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filterPrivacy="1" codeName="ThisWorkbook" defaultThemeVersion="124226"/>
  <xr:revisionPtr revIDLastSave="0" documentId="8_{FB5E638E-2FC7-42CB-A8A6-9C19C19986FF}" xr6:coauthVersionLast="47" xr6:coauthVersionMax="47" xr10:uidLastSave="{00000000-0000-0000-0000-000000000000}"/>
  <bookViews>
    <workbookView xWindow="-120" yWindow="-120" windowWidth="29040" windowHeight="15840" tabRatio="914" firstSheet="1" activeTab="1" xr2:uid="{00000000-000D-0000-FFFF-FFFF00000000}"/>
  </bookViews>
  <sheets>
    <sheet name="Exhibit 3 Tables" sheetId="76" state="hidden" r:id="rId1"/>
    <sheet name="Load Forecast Summary" sheetId="11" r:id="rId2"/>
    <sheet name="Inputs" sheetId="77" r:id="rId3"/>
    <sheet name="Power Purchased Model" sheetId="72" r:id="rId4"/>
    <sheet name="Power Purchased Model-WN" sheetId="79" r:id="rId5"/>
    <sheet name="Rate Class Energy Model" sheetId="9" r:id="rId6"/>
    <sheet name="Rate Class Customer Model" sheetId="17" r:id="rId7"/>
    <sheet name="Rate Class Load Model" sheetId="18" r:id="rId8"/>
  </sheets>
  <definedNames>
    <definedName name="__CAP1000" localSheetId="0">#REF!</definedName>
    <definedName name="__CAP1000" localSheetId="2">#REF!</definedName>
    <definedName name="__CAP1000" localSheetId="3">#REF!</definedName>
    <definedName name="__CAP1000" localSheetId="4">#REF!</definedName>
    <definedName name="__CAP1000">#REF!</definedName>
    <definedName name="__OP1000" localSheetId="0">#REF!</definedName>
    <definedName name="__OP1000" localSheetId="2">#REF!</definedName>
    <definedName name="__OP1000" localSheetId="3">#REF!</definedName>
    <definedName name="__OP1000" localSheetId="4">#REF!</definedName>
    <definedName name="__OP1000">#REF!</definedName>
    <definedName name="_110" localSheetId="0">#REF!</definedName>
    <definedName name="_110" localSheetId="2">#REF!</definedName>
    <definedName name="_110" localSheetId="3">#REF!</definedName>
    <definedName name="_110" localSheetId="4">#REF!</definedName>
    <definedName name="_110">#REF!</definedName>
    <definedName name="_110INPT" localSheetId="3">#REF!</definedName>
    <definedName name="_110INPT" localSheetId="4">#REF!</definedName>
    <definedName name="_110INPT">#REF!</definedName>
    <definedName name="_115" localSheetId="3">#REF!</definedName>
    <definedName name="_115" localSheetId="4">#REF!</definedName>
    <definedName name="_115">#REF!</definedName>
    <definedName name="_115INPT" localSheetId="3">#REF!</definedName>
    <definedName name="_115INPT" localSheetId="4">#REF!</definedName>
    <definedName name="_115INPT">#REF!</definedName>
    <definedName name="_120" localSheetId="3">#REF!</definedName>
    <definedName name="_120" localSheetId="4">#REF!</definedName>
    <definedName name="_120">#REF!</definedName>
    <definedName name="_140" localSheetId="3">#REF!</definedName>
    <definedName name="_140" localSheetId="4">#REF!</definedName>
    <definedName name="_140">#REF!</definedName>
    <definedName name="_140INPT" localSheetId="3">#REF!</definedName>
    <definedName name="_140INPT" localSheetId="4">#REF!</definedName>
    <definedName name="_140INPT">#REF!</definedName>
    <definedName name="_CAP1000" localSheetId="3">#REF!</definedName>
    <definedName name="_CAP1000" localSheetId="4">#REF!</definedName>
    <definedName name="_CAP1000">#REF!</definedName>
    <definedName name="_Fill" hidden="1">#REF!</definedName>
    <definedName name="_OP1000" localSheetId="0">#REF!</definedName>
    <definedName name="_OP1000" localSheetId="2">#REF!</definedName>
    <definedName name="_OP1000" localSheetId="3">#REF!</definedName>
    <definedName name="_OP1000" localSheetId="4">#REF!</definedName>
    <definedName name="_OP1000">#REF!</definedName>
    <definedName name="_Order1" hidden="1">255</definedName>
    <definedName name="_Order2" hidden="1">0</definedName>
    <definedName name="_Sort" localSheetId="0" hidden="1">#REF!</definedName>
    <definedName name="_Sort" localSheetId="2" hidden="1">#REF!</definedName>
    <definedName name="_Sort" hidden="1">#REF!</definedName>
    <definedName name="ALL" localSheetId="0">#REF!</definedName>
    <definedName name="ALL" localSheetId="2">#REF!</definedName>
    <definedName name="ALL" localSheetId="3">#REF!</definedName>
    <definedName name="ALL" localSheetId="4">#REF!</definedName>
    <definedName name="ALL">#REF!</definedName>
    <definedName name="ApprovedYr" localSheetId="0">#REF!</definedName>
    <definedName name="ApprovedYr" localSheetId="2">#REF!</definedName>
    <definedName name="ApprovedYr">#REF!</definedName>
    <definedName name="CAfile" localSheetId="0">#REF!</definedName>
    <definedName name="CAfile" localSheetId="2">#REF!</definedName>
    <definedName name="CAfile">#REF!</definedName>
    <definedName name="CAPCOSTS" localSheetId="0">#REF!</definedName>
    <definedName name="CAPCOSTS" localSheetId="2">#REF!</definedName>
    <definedName name="CAPCOSTS" localSheetId="3">#REF!</definedName>
    <definedName name="CAPCOSTS" localSheetId="4">#REF!</definedName>
    <definedName name="CAPCOSTS">#REF!</definedName>
    <definedName name="CAPITAL" localSheetId="0">#REF!</definedName>
    <definedName name="CAPITAL" localSheetId="2">#REF!</definedName>
    <definedName name="CAPITAL" localSheetId="3">#REF!</definedName>
    <definedName name="CAPITAL" localSheetId="4">#REF!</definedName>
    <definedName name="CAPITAL">#REF!</definedName>
    <definedName name="CapitalExpListing" localSheetId="0">#REF!</definedName>
    <definedName name="CapitalExpListing" localSheetId="2">#REF!</definedName>
    <definedName name="CapitalExpListing" localSheetId="3">#REF!</definedName>
    <definedName name="CapitalExpListing" localSheetId="4">#REF!</definedName>
    <definedName name="CapitalExpListing">#REF!</definedName>
    <definedName name="CArevReq" localSheetId="0">#REF!</definedName>
    <definedName name="CArevReq" localSheetId="2">#REF!</definedName>
    <definedName name="CArevReq">#REF!</definedName>
    <definedName name="CASENUMBER" localSheetId="2">#REF!</definedName>
    <definedName name="CASENUMBER">#REF!</definedName>
    <definedName name="CASHFLOW" localSheetId="0">#REF!</definedName>
    <definedName name="CASHFLOW" localSheetId="2">#REF!</definedName>
    <definedName name="CASHFLOW" localSheetId="3">#REF!</definedName>
    <definedName name="CASHFLOW" localSheetId="4">#REF!</definedName>
    <definedName name="CASHFLOW">#REF!</definedName>
    <definedName name="cc" localSheetId="0">#REF!</definedName>
    <definedName name="cc" localSheetId="2">#REF!</definedName>
    <definedName name="cc" localSheetId="3">#REF!</definedName>
    <definedName name="cc" localSheetId="4">#REF!</definedName>
    <definedName name="cc">#REF!</definedName>
    <definedName name="ClassRange1" localSheetId="0">#REF!</definedName>
    <definedName name="ClassRange1" localSheetId="2">#REF!</definedName>
    <definedName name="ClassRange1">#REF!</definedName>
    <definedName name="ClassRange2" localSheetId="0">#REF!</definedName>
    <definedName name="ClassRange2" localSheetId="2">#REF!</definedName>
    <definedName name="ClassRange2">#REF!</definedName>
    <definedName name="contactf" localSheetId="0">#REF!</definedName>
    <definedName name="contactf" localSheetId="2">#REF!</definedName>
    <definedName name="contactf" localSheetId="3">#REF!</definedName>
    <definedName name="contactf" localSheetId="4">#REF!</definedName>
    <definedName name="contactf">#REF!</definedName>
    <definedName name="_xlnm.Criteria" localSheetId="0">#REF!</definedName>
    <definedName name="_xlnm.Criteria" localSheetId="2">#REF!</definedName>
    <definedName name="_xlnm.Criteria" localSheetId="3">#REF!</definedName>
    <definedName name="_xlnm.Criteria" localSheetId="4">#REF!</definedName>
    <definedName name="_xlnm.Criteria">#REF!</definedName>
    <definedName name="CRLF" localSheetId="0">#REF!</definedName>
    <definedName name="CRLF" localSheetId="2">#REF!</definedName>
    <definedName name="CRLF">#REF!</definedName>
    <definedName name="_xlnm.Database" localSheetId="0">#REF!</definedName>
    <definedName name="_xlnm.Database" localSheetId="2">#REF!</definedName>
    <definedName name="_xlnm.Database" localSheetId="3">#REF!</definedName>
    <definedName name="_xlnm.Database" localSheetId="4">#REF!</definedName>
    <definedName name="_xlnm.Database">#REF!</definedName>
    <definedName name="DaysInPreviousYear" localSheetId="0">#REF!</definedName>
    <definedName name="DaysInPreviousYear" localSheetId="2">#REF!</definedName>
    <definedName name="DaysInPreviousYear">#REF!</definedName>
    <definedName name="DaysInYear" localSheetId="0">#REF!</definedName>
    <definedName name="DaysInYear" localSheetId="2">#REF!</definedName>
    <definedName name="DaysInYear">#REF!</definedName>
    <definedName name="DEBTREPAY" localSheetId="0">#REF!</definedName>
    <definedName name="DEBTREPAY" localSheetId="2">#REF!</definedName>
    <definedName name="DEBTREPAY" localSheetId="3">#REF!</definedName>
    <definedName name="DEBTREPAY" localSheetId="4">#REF!</definedName>
    <definedName name="DEBTREPAY">#REF!</definedName>
    <definedName name="DeptDiv" localSheetId="0">#REF!</definedName>
    <definedName name="DeptDiv" localSheetId="2">#REF!</definedName>
    <definedName name="DeptDiv" localSheetId="3">#REF!</definedName>
    <definedName name="DeptDiv" localSheetId="4">#REF!</definedName>
    <definedName name="DeptDiv">#REF!</definedName>
    <definedName name="EBNUMBER" localSheetId="2">#REF!</definedName>
    <definedName name="EBNUMBER">#REF!</definedName>
    <definedName name="ExpenseAccountListing" localSheetId="0">#REF!</definedName>
    <definedName name="ExpenseAccountListing" localSheetId="2">#REF!</definedName>
    <definedName name="ExpenseAccountListing" localSheetId="3">#REF!</definedName>
    <definedName name="ExpenseAccountListing" localSheetId="4">#REF!</definedName>
    <definedName name="ExpenseAccountListing">#REF!</definedName>
    <definedName name="_xlnm.Extract" localSheetId="2">#REF!</definedName>
    <definedName name="_xlnm.Extract" localSheetId="3">#REF!</definedName>
    <definedName name="_xlnm.Extract" localSheetId="4">#REF!</definedName>
    <definedName name="_xlnm.Extract">#REF!</definedName>
    <definedName name="FakeBlank" localSheetId="0">#REF!</definedName>
    <definedName name="FakeBlank" localSheetId="2">#REF!</definedName>
    <definedName name="FakeBlank">#REF!</definedName>
    <definedName name="FolderPath" localSheetId="0">#REF!</definedName>
    <definedName name="FolderPath" localSheetId="2">#REF!</definedName>
    <definedName name="FolderPath">#REF!</definedName>
    <definedName name="histdate">#REF!</definedName>
    <definedName name="Incr2000" localSheetId="0">#REF!</definedName>
    <definedName name="Incr2000" localSheetId="2">#REF!</definedName>
    <definedName name="Incr2000" localSheetId="3">#REF!</definedName>
    <definedName name="Incr2000" localSheetId="4">#REF!</definedName>
    <definedName name="Incr2000">#REF!</definedName>
    <definedName name="INTERIM" localSheetId="0">#REF!</definedName>
    <definedName name="INTERIM" localSheetId="2">#REF!</definedName>
    <definedName name="INTERIM" localSheetId="3">#REF!</definedName>
    <definedName name="INTERIM" localSheetId="4">#REF!</definedName>
    <definedName name="INTERIM">#REF!</definedName>
    <definedName name="LIMIT" localSheetId="0">#REF!</definedName>
    <definedName name="LIMIT" localSheetId="2">#REF!</definedName>
    <definedName name="LIMIT" localSheetId="3">#REF!</definedName>
    <definedName name="LIMIT" localSheetId="4">#REF!</definedName>
    <definedName name="LIMIT">#REF!</definedName>
    <definedName name="man_beg_bud" localSheetId="3">#REF!</definedName>
    <definedName name="man_beg_bud" localSheetId="4">#REF!</definedName>
    <definedName name="man_beg_bud">#REF!</definedName>
    <definedName name="man_end_bud" localSheetId="3">#REF!</definedName>
    <definedName name="man_end_bud" localSheetId="4">#REF!</definedName>
    <definedName name="man_end_bud">#REF!</definedName>
    <definedName name="man12ACT" localSheetId="3">#REF!</definedName>
    <definedName name="man12ACT" localSheetId="4">#REF!</definedName>
    <definedName name="man12ACT">#REF!</definedName>
    <definedName name="MANBUD" localSheetId="3">#REF!</definedName>
    <definedName name="MANBUD" localSheetId="4">#REF!</definedName>
    <definedName name="MANBUD">#REF!</definedName>
    <definedName name="manCYACT" localSheetId="3">#REF!</definedName>
    <definedName name="manCYACT" localSheetId="4">#REF!</definedName>
    <definedName name="manCYACT">#REF!</definedName>
    <definedName name="manCYBUD" localSheetId="3">#REF!</definedName>
    <definedName name="manCYBUD" localSheetId="4">#REF!</definedName>
    <definedName name="manCYBUD">#REF!</definedName>
    <definedName name="manCYF" localSheetId="3">#REF!</definedName>
    <definedName name="manCYF" localSheetId="4">#REF!</definedName>
    <definedName name="manCYF">#REF!</definedName>
    <definedName name="MANEND" localSheetId="3">#REF!</definedName>
    <definedName name="MANEND" localSheetId="4">#REF!</definedName>
    <definedName name="MANEND">#REF!</definedName>
    <definedName name="manNYbud" localSheetId="3">#REF!</definedName>
    <definedName name="manNYbud" localSheetId="4">#REF!</definedName>
    <definedName name="manNYbud">#REF!</definedName>
    <definedName name="manpower_costs" localSheetId="3">#REF!</definedName>
    <definedName name="manpower_costs" localSheetId="4">#REF!</definedName>
    <definedName name="manpower_costs">#REF!</definedName>
    <definedName name="manPYACT" localSheetId="3">#REF!</definedName>
    <definedName name="manPYACT" localSheetId="4">#REF!</definedName>
    <definedName name="manPYACT">#REF!</definedName>
    <definedName name="MANSTART" localSheetId="3">#REF!</definedName>
    <definedName name="MANSTART" localSheetId="4">#REF!</definedName>
    <definedName name="MANSTART">#REF!</definedName>
    <definedName name="mat_beg_bud" localSheetId="3">#REF!</definedName>
    <definedName name="mat_beg_bud" localSheetId="4">#REF!</definedName>
    <definedName name="mat_beg_bud">#REF!</definedName>
    <definedName name="mat_end_bud" localSheetId="3">#REF!</definedName>
    <definedName name="mat_end_bud" localSheetId="4">#REF!</definedName>
    <definedName name="mat_end_bud">#REF!</definedName>
    <definedName name="mat12ACT" localSheetId="3">#REF!</definedName>
    <definedName name="mat12ACT" localSheetId="4">#REF!</definedName>
    <definedName name="mat12ACT">#REF!</definedName>
    <definedName name="MATBUD" localSheetId="3">#REF!</definedName>
    <definedName name="MATBUD" localSheetId="4">#REF!</definedName>
    <definedName name="MATBUD">#REF!</definedName>
    <definedName name="matCYACT" localSheetId="3">#REF!</definedName>
    <definedName name="matCYACT" localSheetId="4">#REF!</definedName>
    <definedName name="matCYACT">#REF!</definedName>
    <definedName name="matCYBUD" localSheetId="3">#REF!</definedName>
    <definedName name="matCYBUD" localSheetId="4">#REF!</definedName>
    <definedName name="matCYBUD">#REF!</definedName>
    <definedName name="matCYF" localSheetId="3">#REF!</definedName>
    <definedName name="matCYF" localSheetId="4">#REF!</definedName>
    <definedName name="matCYF">#REF!</definedName>
    <definedName name="MATEND" localSheetId="3">#REF!</definedName>
    <definedName name="MATEND" localSheetId="4">#REF!</definedName>
    <definedName name="MATEND">#REF!</definedName>
    <definedName name="material_costs" localSheetId="3">#REF!</definedName>
    <definedName name="material_costs" localSheetId="4">#REF!</definedName>
    <definedName name="material_costs">#REF!</definedName>
    <definedName name="matNYbud" localSheetId="3">#REF!</definedName>
    <definedName name="matNYbud" localSheetId="4">#REF!</definedName>
    <definedName name="matNYbud">#REF!</definedName>
    <definedName name="matPYACT" localSheetId="3">#REF!</definedName>
    <definedName name="matPYACT" localSheetId="4">#REF!</definedName>
    <definedName name="matPYACT">#REF!</definedName>
    <definedName name="MATSTART" localSheetId="3">#REF!</definedName>
    <definedName name="MATSTART" localSheetId="4">#REF!</definedName>
    <definedName name="MATSTART">#REF!</definedName>
    <definedName name="mea" localSheetId="3">#REF!</definedName>
    <definedName name="mea" localSheetId="4">#REF!</definedName>
    <definedName name="mea">#REF!</definedName>
    <definedName name="MEABAL" localSheetId="3">#REF!</definedName>
    <definedName name="MEABAL" localSheetId="4">#REF!</definedName>
    <definedName name="MEABAL">#REF!</definedName>
    <definedName name="MEACASH" localSheetId="3">#REF!</definedName>
    <definedName name="MEACASH" localSheetId="4">#REF!</definedName>
    <definedName name="MEACASH">#REF!</definedName>
    <definedName name="MEAEQITY" localSheetId="3">#REF!</definedName>
    <definedName name="MEAEQITY" localSheetId="4">#REF!</definedName>
    <definedName name="MEAEQITY">#REF!</definedName>
    <definedName name="MEAOP" localSheetId="3">#REF!</definedName>
    <definedName name="MEAOP" localSheetId="4">#REF!</definedName>
    <definedName name="MEAOP">#REF!</definedName>
    <definedName name="MofF" localSheetId="3">#REF!</definedName>
    <definedName name="MofF" localSheetId="4">#REF!</definedName>
    <definedName name="MofF">#REF!</definedName>
    <definedName name="NewRevReq" localSheetId="0">#REF!</definedName>
    <definedName name="NewRevReq" localSheetId="2">#REF!</definedName>
    <definedName name="NewRevReq">#REF!</definedName>
    <definedName name="NOTES" localSheetId="0">#REF!</definedName>
    <definedName name="NOTES" localSheetId="2">#REF!</definedName>
    <definedName name="NOTES" localSheetId="3">#REF!</definedName>
    <definedName name="NOTES" localSheetId="4">#REF!</definedName>
    <definedName name="NOTES">#REF!</definedName>
    <definedName name="OPERATING" localSheetId="0">#REF!</definedName>
    <definedName name="OPERATING" localSheetId="2">#REF!</definedName>
    <definedName name="OPERATING" localSheetId="3">#REF!</definedName>
    <definedName name="OPERATING" localSheetId="4">#REF!</definedName>
    <definedName name="OPERATING">#REF!</definedName>
    <definedName name="oth_beg_bud" localSheetId="0">#REF!</definedName>
    <definedName name="oth_beg_bud" localSheetId="2">#REF!</definedName>
    <definedName name="oth_beg_bud" localSheetId="3">#REF!</definedName>
    <definedName name="oth_beg_bud" localSheetId="4">#REF!</definedName>
    <definedName name="oth_beg_bud">#REF!</definedName>
    <definedName name="oth_end_bud" localSheetId="3">#REF!</definedName>
    <definedName name="oth_end_bud" localSheetId="4">#REF!</definedName>
    <definedName name="oth_end_bud">#REF!</definedName>
    <definedName name="oth12ACT" localSheetId="3">#REF!</definedName>
    <definedName name="oth12ACT" localSheetId="4">#REF!</definedName>
    <definedName name="oth12ACT">#REF!</definedName>
    <definedName name="othCYACT" localSheetId="3">#REF!</definedName>
    <definedName name="othCYACT" localSheetId="4">#REF!</definedName>
    <definedName name="othCYACT">#REF!</definedName>
    <definedName name="othCYBUD" localSheetId="3">#REF!</definedName>
    <definedName name="othCYBUD" localSheetId="4">#REF!</definedName>
    <definedName name="othCYBUD">#REF!</definedName>
    <definedName name="othCYF" localSheetId="3">#REF!</definedName>
    <definedName name="othCYF" localSheetId="4">#REF!</definedName>
    <definedName name="othCYF">#REF!</definedName>
    <definedName name="OTHEND" localSheetId="3">#REF!</definedName>
    <definedName name="OTHEND" localSheetId="4">#REF!</definedName>
    <definedName name="OTHEND">#REF!</definedName>
    <definedName name="other_costs" localSheetId="3">#REF!</definedName>
    <definedName name="other_costs" localSheetId="4">#REF!</definedName>
    <definedName name="other_costs">#REF!</definedName>
    <definedName name="OTHERBUD" localSheetId="3">#REF!</definedName>
    <definedName name="OTHERBUD" localSheetId="4">#REF!</definedName>
    <definedName name="OTHERBUD">#REF!</definedName>
    <definedName name="othNYbud" localSheetId="3">#REF!</definedName>
    <definedName name="othNYbud" localSheetId="4">#REF!</definedName>
    <definedName name="othNYbud">#REF!</definedName>
    <definedName name="othPYACT" localSheetId="3">#REF!</definedName>
    <definedName name="othPYACT" localSheetId="4">#REF!</definedName>
    <definedName name="othPYACT">#REF!</definedName>
    <definedName name="OTHSTART" localSheetId="3">#REF!</definedName>
    <definedName name="OTHSTART" localSheetId="4">#REF!</definedName>
    <definedName name="OTHSTART">#REF!</definedName>
    <definedName name="PAGE11" localSheetId="0">#REF!</definedName>
    <definedName name="PAGE11" localSheetId="3">#REF!</definedName>
    <definedName name="PAGE11" localSheetId="4">#REF!</definedName>
    <definedName name="PAGE11">#REF!</definedName>
    <definedName name="PAGE2" localSheetId="0">#REF!</definedName>
    <definedName name="PAGE2" localSheetId="2">#REF!</definedName>
    <definedName name="PAGE2">#REF!</definedName>
    <definedName name="PAGE3" localSheetId="0">#REF!</definedName>
    <definedName name="PAGE3" localSheetId="2">#REF!</definedName>
    <definedName name="PAGE3" localSheetId="3">#REF!</definedName>
    <definedName name="PAGE3" localSheetId="4">#REF!</definedName>
    <definedName name="PAGE3">#REF!</definedName>
    <definedName name="PAGE4" localSheetId="0">#REF!</definedName>
    <definedName name="PAGE4" localSheetId="2">#REF!</definedName>
    <definedName name="PAGE4" localSheetId="3">#REF!</definedName>
    <definedName name="PAGE4" localSheetId="4">#REF!</definedName>
    <definedName name="PAGE4">#REF!</definedName>
    <definedName name="PAGE7" localSheetId="0">#REF!</definedName>
    <definedName name="PAGE7" localSheetId="2">#REF!</definedName>
    <definedName name="PAGE7" localSheetId="3">#REF!</definedName>
    <definedName name="PAGE7" localSheetId="4">#REF!</definedName>
    <definedName name="PAGE7">#REF!</definedName>
    <definedName name="PAGE9" localSheetId="0">#REF!</definedName>
    <definedName name="PAGE9" localSheetId="3">#REF!</definedName>
    <definedName name="PAGE9" localSheetId="4">#REF!</definedName>
    <definedName name="PAGE9">#REF!</definedName>
    <definedName name="PageOne" localSheetId="3">#REF!</definedName>
    <definedName name="PageOne" localSheetId="4">#REF!</definedName>
    <definedName name="PageOne">#REF!</definedName>
    <definedName name="PR" localSheetId="3">#REF!</definedName>
    <definedName name="PR" localSheetId="4">#REF!</definedName>
    <definedName name="PR">#REF!</definedName>
    <definedName name="_xlnm.Print_Area" localSheetId="1">'Load Forecast Summary'!$A$3:$M$35</definedName>
    <definedName name="_xlnm.Print_Area" localSheetId="3">'Power Purchased Model'!$A$1:$J$168</definedName>
    <definedName name="_xlnm.Print_Area" localSheetId="4">'Power Purchased Model-WN'!$A$1:$J$168</definedName>
    <definedName name="_xlnm.Print_Area" localSheetId="6">'Rate Class Customer Model'!$A$1:$I$43</definedName>
    <definedName name="_xlnm.Print_Area" localSheetId="5">'Rate Class Energy Model'!#REF!</definedName>
    <definedName name="_xlnm.Print_Area" localSheetId="7">'Rate Class Load Model'!$A$1:$G$30</definedName>
    <definedName name="Print_Area_MI" localSheetId="0">#REF!</definedName>
    <definedName name="Print_Area_MI" localSheetId="2">#REF!</definedName>
    <definedName name="Print_Area_MI" localSheetId="3">#REF!</definedName>
    <definedName name="Print_Area_MI" localSheetId="4">#REF!</definedName>
    <definedName name="Print_Area_MI">#REF!</definedName>
    <definedName name="print_end" localSheetId="0">#REF!</definedName>
    <definedName name="print_end" localSheetId="3">#REF!</definedName>
    <definedName name="print_end" localSheetId="4">#REF!</definedName>
    <definedName name="print_end">#REF!</definedName>
    <definedName name="_xlnm.Print_Titles" localSheetId="3">'Power Purchased Model'!$A:$J,'Power Purchased Model'!$1:$2</definedName>
    <definedName name="_xlnm.Print_Titles" localSheetId="4">'Power Purchased Model-WN'!$A:$J,'Power Purchased Model-WN'!$1:$2</definedName>
    <definedName name="PRIOR" localSheetId="0">#REF!</definedName>
    <definedName name="PRIOR" localSheetId="2">#REF!</definedName>
    <definedName name="PRIOR" localSheetId="3">#REF!</definedName>
    <definedName name="PRIOR" localSheetId="4">#REF!</definedName>
    <definedName name="PRIOR">#REF!</definedName>
    <definedName name="Ratebase" localSheetId="0">#REF!</definedName>
    <definedName name="Ratebase" localSheetId="2">#REF!</definedName>
    <definedName name="Ratebase">#REF!</definedName>
    <definedName name="RebaseYear">#REF!</definedName>
    <definedName name="RevReqLookupKey" localSheetId="0">#REF!</definedName>
    <definedName name="RevReqLookupKey" localSheetId="2">#REF!</definedName>
    <definedName name="RevReqLookupKey">#REF!</definedName>
    <definedName name="RevReqRange" localSheetId="0">#REF!</definedName>
    <definedName name="RevReqRange" localSheetId="2">#REF!</definedName>
    <definedName name="RevReqRange">#REF!</definedName>
    <definedName name="RVCASHPR" localSheetId="0">#REF!</definedName>
    <definedName name="RVCASHPR" localSheetId="2">#REF!</definedName>
    <definedName name="RVCASHPR" localSheetId="3">#REF!</definedName>
    <definedName name="RVCASHPR" localSheetId="4">#REF!</definedName>
    <definedName name="RVCASHPR">#REF!</definedName>
    <definedName name="SALBENF" localSheetId="0">#REF!</definedName>
    <definedName name="SALBENF" localSheetId="2">#REF!</definedName>
    <definedName name="SALBENF" localSheetId="3">#REF!</definedName>
    <definedName name="SALBENF" localSheetId="4">#REF!</definedName>
    <definedName name="SALBENF">#REF!</definedName>
    <definedName name="salreg" localSheetId="0">#REF!</definedName>
    <definedName name="salreg" localSheetId="2">#REF!</definedName>
    <definedName name="salreg" localSheetId="3">#REF!</definedName>
    <definedName name="salreg" localSheetId="4">#REF!</definedName>
    <definedName name="salreg">#REF!</definedName>
    <definedName name="SALREGF" localSheetId="3">#REF!</definedName>
    <definedName name="SALREGF" localSheetId="4">#REF!</definedName>
    <definedName name="SALREGF">#REF!</definedName>
    <definedName name="SOURCEAPP" localSheetId="3">#REF!</definedName>
    <definedName name="SOURCEAPP" localSheetId="4">#REF!</definedName>
    <definedName name="SOURCEAPP">#REF!</definedName>
    <definedName name="STATS1" localSheetId="3">#REF!</definedName>
    <definedName name="STATS1" localSheetId="4">#REF!</definedName>
    <definedName name="STATS1">#REF!</definedName>
    <definedName name="STATS2" localSheetId="3">#REF!</definedName>
    <definedName name="STATS2" localSheetId="4">#REF!</definedName>
    <definedName name="STATS2">#REF!</definedName>
    <definedName name="Surtax" localSheetId="3">#REF!</definedName>
    <definedName name="Surtax" localSheetId="4">#REF!</definedName>
    <definedName name="Surtax">#REF!</definedName>
    <definedName name="TEMPA" localSheetId="3">#REF!</definedName>
    <definedName name="TEMPA" localSheetId="4">#REF!</definedName>
    <definedName name="TEMPA">#REF!</definedName>
    <definedName name="TEST">#REF!</definedName>
    <definedName name="Test_Year" localSheetId="2">#REF!</definedName>
    <definedName name="Test_Year">#REF!</definedName>
    <definedName name="TestYr" localSheetId="0">#REF!</definedName>
    <definedName name="TestYr" localSheetId="2">#REF!</definedName>
    <definedName name="TestYr">#REF!</definedName>
    <definedName name="TestYrPL" localSheetId="0">#REF!</definedName>
    <definedName name="TestYrPL" localSheetId="2">#REF!</definedName>
    <definedName name="TestYrPL">#REF!</definedName>
    <definedName name="total_dept" localSheetId="0">#REF!</definedName>
    <definedName name="total_dept" localSheetId="2">#REF!</definedName>
    <definedName name="total_dept" localSheetId="3">#REF!</definedName>
    <definedName name="total_dept" localSheetId="4">#REF!</definedName>
    <definedName name="total_dept">#REF!</definedName>
    <definedName name="total_manpower" localSheetId="0">#REF!</definedName>
    <definedName name="total_manpower" localSheetId="2">#REF!</definedName>
    <definedName name="total_manpower" localSheetId="3">#REF!</definedName>
    <definedName name="total_manpower" localSheetId="4">#REF!</definedName>
    <definedName name="total_manpower">#REF!</definedName>
    <definedName name="total_material" localSheetId="0">#REF!</definedName>
    <definedName name="total_material" localSheetId="2">#REF!</definedName>
    <definedName name="total_material" localSheetId="3">#REF!</definedName>
    <definedName name="total_material" localSheetId="4">#REF!</definedName>
    <definedName name="total_material">#REF!</definedName>
    <definedName name="total_other" localSheetId="3">#REF!</definedName>
    <definedName name="total_other" localSheetId="4">#REF!</definedName>
    <definedName name="total_other">#REF!</definedName>
    <definedName name="total_transportation" localSheetId="3">#REF!</definedName>
    <definedName name="total_transportation" localSheetId="4">#REF!</definedName>
    <definedName name="total_transportation">#REF!</definedName>
    <definedName name="TOTCAPADDITIONS" localSheetId="3">#REF!</definedName>
    <definedName name="TOTCAPADDITIONS" localSheetId="4">#REF!</definedName>
    <definedName name="TOTCAPADDITIONS">#REF!</definedName>
    <definedName name="TRANBUD" localSheetId="3">#REF!</definedName>
    <definedName name="TRANBUD" localSheetId="4">#REF!</definedName>
    <definedName name="TRANBUD">#REF!</definedName>
    <definedName name="TRANEND" localSheetId="3">#REF!</definedName>
    <definedName name="TRANEND" localSheetId="4">#REF!</definedName>
    <definedName name="TRANEND">#REF!</definedName>
    <definedName name="TRANSCAP" localSheetId="3">#REF!</definedName>
    <definedName name="TRANSCAP" localSheetId="4">#REF!</definedName>
    <definedName name="TRANSCAP">#REF!</definedName>
    <definedName name="TRANSFER" localSheetId="3">#REF!</definedName>
    <definedName name="TRANSFER" localSheetId="4">#REF!</definedName>
    <definedName name="TRANSFER">#REF!</definedName>
    <definedName name="transportation_costs" localSheetId="3">#REF!</definedName>
    <definedName name="transportation_costs" localSheetId="4">#REF!</definedName>
    <definedName name="transportation_costs">#REF!</definedName>
    <definedName name="TRANSTART" localSheetId="3">#REF!</definedName>
    <definedName name="TRANSTART" localSheetId="4">#REF!</definedName>
    <definedName name="TRANSTART">#REF!</definedName>
    <definedName name="trn_beg_bud" localSheetId="3">#REF!</definedName>
    <definedName name="trn_beg_bud" localSheetId="4">#REF!</definedName>
    <definedName name="trn_beg_bud">#REF!</definedName>
    <definedName name="trn_end_bud" localSheetId="3">#REF!</definedName>
    <definedName name="trn_end_bud" localSheetId="4">#REF!</definedName>
    <definedName name="trn_end_bud">#REF!</definedName>
    <definedName name="trn12ACT" localSheetId="3">#REF!</definedName>
    <definedName name="trn12ACT" localSheetId="4">#REF!</definedName>
    <definedName name="trn12ACT">#REF!</definedName>
    <definedName name="trnCYACT" localSheetId="3">#REF!</definedName>
    <definedName name="trnCYACT" localSheetId="4">#REF!</definedName>
    <definedName name="trnCYACT">#REF!</definedName>
    <definedName name="trnCYBUD" localSheetId="3">#REF!</definedName>
    <definedName name="trnCYBUD" localSheetId="4">#REF!</definedName>
    <definedName name="trnCYBUD">#REF!</definedName>
    <definedName name="trnCYF" localSheetId="3">#REF!</definedName>
    <definedName name="trnCYF" localSheetId="4">#REF!</definedName>
    <definedName name="trnCYF">#REF!</definedName>
    <definedName name="trnNYbud" localSheetId="3">#REF!</definedName>
    <definedName name="trnNYbud" localSheetId="4">#REF!</definedName>
    <definedName name="trnNYbud">#REF!</definedName>
    <definedName name="trnPYACT" localSheetId="3">#REF!</definedName>
    <definedName name="trnPYACT" localSheetId="4">#REF!</definedName>
    <definedName name="trnPYACT">#REF!</definedName>
    <definedName name="Utility">#REF!</definedName>
    <definedName name="utitliy1">#REF!</definedName>
    <definedName name="Variable1" localSheetId="2">#REF!</definedName>
    <definedName name="Variable1">#REF!</definedName>
    <definedName name="WAGBENF" localSheetId="0">#REF!</definedName>
    <definedName name="WAGBENF" localSheetId="2">#REF!</definedName>
    <definedName name="WAGBENF" localSheetId="3">#REF!</definedName>
    <definedName name="WAGBENF" localSheetId="4">#REF!</definedName>
    <definedName name="WAGBENF">#REF!</definedName>
    <definedName name="wagdob" localSheetId="0">#REF!</definedName>
    <definedName name="wagdob" localSheetId="2">#REF!</definedName>
    <definedName name="wagdob" localSheetId="3">#REF!</definedName>
    <definedName name="wagdob" localSheetId="4">#REF!</definedName>
    <definedName name="wagdob">#REF!</definedName>
    <definedName name="wagdobf" localSheetId="0">#REF!</definedName>
    <definedName name="wagdobf" localSheetId="3">#REF!</definedName>
    <definedName name="wagdobf" localSheetId="4">#REF!</definedName>
    <definedName name="wagdobf">#REF!</definedName>
    <definedName name="wagreg" localSheetId="3">#REF!</definedName>
    <definedName name="wagreg" localSheetId="4">#REF!</definedName>
    <definedName name="wagreg">#REF!</definedName>
    <definedName name="wagregf" localSheetId="3">#REF!</definedName>
    <definedName name="wagregf" localSheetId="4">#REF!</definedName>
    <definedName name="wagregf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8" i="11" l="1"/>
  <c r="B28" i="11"/>
  <c r="C28" i="11"/>
  <c r="D28" i="11"/>
  <c r="E28" i="11"/>
  <c r="F28" i="11"/>
  <c r="G28" i="11"/>
  <c r="H28" i="11"/>
  <c r="I28" i="11"/>
  <c r="J28" i="11"/>
  <c r="K28" i="11"/>
  <c r="J153" i="79" l="1"/>
  <c r="J154" i="79"/>
  <c r="J155" i="79"/>
  <c r="J156" i="79"/>
  <c r="J157" i="79"/>
  <c r="J158" i="79"/>
  <c r="J159" i="79"/>
  <c r="J160" i="79"/>
  <c r="J161" i="79"/>
  <c r="J162" i="79"/>
  <c r="J152" i="79"/>
  <c r="C16" i="79"/>
  <c r="H16" i="79" s="1"/>
  <c r="D16" i="79"/>
  <c r="C17" i="79"/>
  <c r="D17" i="79"/>
  <c r="C18" i="79"/>
  <c r="D18" i="79"/>
  <c r="C19" i="79"/>
  <c r="D19" i="79"/>
  <c r="C20" i="79"/>
  <c r="D20" i="79"/>
  <c r="C21" i="79"/>
  <c r="D21" i="79"/>
  <c r="C22" i="79"/>
  <c r="H22" i="79" s="1"/>
  <c r="I22" i="79" s="1"/>
  <c r="L22" i="79" s="1"/>
  <c r="D22" i="79"/>
  <c r="C23" i="79"/>
  <c r="D23" i="79"/>
  <c r="C24" i="79"/>
  <c r="D24" i="79"/>
  <c r="D144" i="79" s="1"/>
  <c r="C25" i="79"/>
  <c r="C37" i="79" s="1"/>
  <c r="C49" i="79" s="1"/>
  <c r="C61" i="79" s="1"/>
  <c r="C73" i="79" s="1"/>
  <c r="C85" i="79" s="1"/>
  <c r="C97" i="79" s="1"/>
  <c r="C109" i="79" s="1"/>
  <c r="C121" i="79" s="1"/>
  <c r="C133" i="79" s="1"/>
  <c r="D25" i="79"/>
  <c r="C26" i="79"/>
  <c r="D26" i="79"/>
  <c r="C27" i="79"/>
  <c r="C39" i="79" s="1"/>
  <c r="C51" i="79" s="1"/>
  <c r="C63" i="79" s="1"/>
  <c r="C75" i="79" s="1"/>
  <c r="C87" i="79" s="1"/>
  <c r="C99" i="79" s="1"/>
  <c r="C111" i="79" s="1"/>
  <c r="C123" i="79" s="1"/>
  <c r="D27" i="79"/>
  <c r="D39" i="79" s="1"/>
  <c r="D51" i="79" s="1"/>
  <c r="D63" i="79" s="1"/>
  <c r="D75" i="79" s="1"/>
  <c r="D87" i="79" s="1"/>
  <c r="D99" i="79" s="1"/>
  <c r="D111" i="79" s="1"/>
  <c r="D123" i="79" s="1"/>
  <c r="C28" i="79"/>
  <c r="H28" i="79" s="1"/>
  <c r="I28" i="79" s="1"/>
  <c r="J28" i="79" s="1"/>
  <c r="K28" i="79" s="1"/>
  <c r="D28" i="79"/>
  <c r="C29" i="79"/>
  <c r="D29" i="79"/>
  <c r="C30" i="79"/>
  <c r="D30" i="79"/>
  <c r="C31" i="79"/>
  <c r="D31" i="79"/>
  <c r="D43" i="79" s="1"/>
  <c r="D55" i="79" s="1"/>
  <c r="D67" i="79" s="1"/>
  <c r="D79" i="79" s="1"/>
  <c r="D91" i="79" s="1"/>
  <c r="C32" i="79"/>
  <c r="C44" i="79" s="1"/>
  <c r="C56" i="79" s="1"/>
  <c r="C68" i="79" s="1"/>
  <c r="C80" i="79" s="1"/>
  <c r="C92" i="79" s="1"/>
  <c r="C104" i="79" s="1"/>
  <c r="C116" i="79" s="1"/>
  <c r="C128" i="79" s="1"/>
  <c r="D32" i="79"/>
  <c r="D44" i="79" s="1"/>
  <c r="D56" i="79" s="1"/>
  <c r="D68" i="79" s="1"/>
  <c r="D80" i="79" s="1"/>
  <c r="D92" i="79" s="1"/>
  <c r="D104" i="79" s="1"/>
  <c r="D116" i="79" s="1"/>
  <c r="D128" i="79" s="1"/>
  <c r="C33" i="79"/>
  <c r="C45" i="79" s="1"/>
  <c r="C57" i="79" s="1"/>
  <c r="C69" i="79" s="1"/>
  <c r="C81" i="79" s="1"/>
  <c r="C93" i="79" s="1"/>
  <c r="C105" i="79" s="1"/>
  <c r="C117" i="79" s="1"/>
  <c r="C129" i="79" s="1"/>
  <c r="D33" i="79"/>
  <c r="D45" i="79" s="1"/>
  <c r="D57" i="79" s="1"/>
  <c r="D69" i="79" s="1"/>
  <c r="D81" i="79" s="1"/>
  <c r="D93" i="79" s="1"/>
  <c r="D105" i="79" s="1"/>
  <c r="D117" i="79" s="1"/>
  <c r="D129" i="79" s="1"/>
  <c r="C34" i="79"/>
  <c r="C46" i="79" s="1"/>
  <c r="C58" i="79" s="1"/>
  <c r="C70" i="79" s="1"/>
  <c r="D34" i="79"/>
  <c r="C35" i="79"/>
  <c r="D35" i="79"/>
  <c r="C36" i="79"/>
  <c r="D36" i="79"/>
  <c r="C38" i="79"/>
  <c r="C50" i="79" s="1"/>
  <c r="C62" i="79" s="1"/>
  <c r="C74" i="79" s="1"/>
  <c r="D38" i="79"/>
  <c r="D50" i="79" s="1"/>
  <c r="D62" i="79" s="1"/>
  <c r="D74" i="79" s="1"/>
  <c r="C40" i="79"/>
  <c r="C52" i="79" s="1"/>
  <c r="C64" i="79" s="1"/>
  <c r="C76" i="79" s="1"/>
  <c r="C88" i="79" s="1"/>
  <c r="C100" i="79" s="1"/>
  <c r="C112" i="79" s="1"/>
  <c r="C124" i="79" s="1"/>
  <c r="H124" i="79" s="1"/>
  <c r="D40" i="79"/>
  <c r="C41" i="79"/>
  <c r="D41" i="79"/>
  <c r="C42" i="79"/>
  <c r="D42" i="79"/>
  <c r="C43" i="79"/>
  <c r="D46" i="79"/>
  <c r="C47" i="79"/>
  <c r="D47" i="79"/>
  <c r="C48" i="79"/>
  <c r="D48" i="79"/>
  <c r="D52" i="79"/>
  <c r="C53" i="79"/>
  <c r="H53" i="79" s="1"/>
  <c r="I53" i="79" s="1"/>
  <c r="D53" i="79"/>
  <c r="C54" i="79"/>
  <c r="D54" i="79"/>
  <c r="C55" i="79"/>
  <c r="D58" i="79"/>
  <c r="D142" i="79" s="1"/>
  <c r="C59" i="79"/>
  <c r="D59" i="79"/>
  <c r="C60" i="79"/>
  <c r="D60" i="79"/>
  <c r="D64" i="79"/>
  <c r="C65" i="79"/>
  <c r="D65" i="79"/>
  <c r="C66" i="79"/>
  <c r="D66" i="79"/>
  <c r="C67" i="79"/>
  <c r="D70" i="79"/>
  <c r="C71" i="79"/>
  <c r="H71" i="79" s="1"/>
  <c r="I71" i="79" s="1"/>
  <c r="D71" i="79"/>
  <c r="C72" i="79"/>
  <c r="D72" i="79"/>
  <c r="D76" i="79"/>
  <c r="C77" i="79"/>
  <c r="D77" i="79"/>
  <c r="C78" i="79"/>
  <c r="D78" i="79"/>
  <c r="C79" i="79"/>
  <c r="D82" i="79"/>
  <c r="C83" i="79"/>
  <c r="D83" i="79"/>
  <c r="C84" i="79"/>
  <c r="D84" i="79"/>
  <c r="D86" i="79"/>
  <c r="D88" i="79"/>
  <c r="C89" i="79"/>
  <c r="D89" i="79"/>
  <c r="C90" i="79"/>
  <c r="D90" i="79"/>
  <c r="C91" i="79"/>
  <c r="D94" i="79"/>
  <c r="C95" i="79"/>
  <c r="D95" i="79"/>
  <c r="C96" i="79"/>
  <c r="D96" i="79"/>
  <c r="D98" i="79"/>
  <c r="D110" i="79" s="1"/>
  <c r="D122" i="79" s="1"/>
  <c r="D134" i="79" s="1"/>
  <c r="D100" i="79"/>
  <c r="C101" i="79"/>
  <c r="D101" i="79"/>
  <c r="C102" i="79"/>
  <c r="D102" i="79"/>
  <c r="C103" i="79"/>
  <c r="D106" i="79"/>
  <c r="C107" i="79"/>
  <c r="H107" i="79" s="1"/>
  <c r="I107" i="79" s="1"/>
  <c r="D107" i="79"/>
  <c r="C108" i="79"/>
  <c r="D108" i="79"/>
  <c r="D112" i="79"/>
  <c r="C113" i="79"/>
  <c r="D113" i="79"/>
  <c r="C114" i="79"/>
  <c r="D114" i="79"/>
  <c r="C115" i="79"/>
  <c r="D118" i="79"/>
  <c r="C119" i="79"/>
  <c r="D119" i="79"/>
  <c r="C120" i="79"/>
  <c r="D120" i="79"/>
  <c r="D124" i="79"/>
  <c r="C125" i="79"/>
  <c r="D125" i="79"/>
  <c r="C126" i="79"/>
  <c r="D126" i="79"/>
  <c r="C127" i="79"/>
  <c r="D130" i="79"/>
  <c r="C131" i="79"/>
  <c r="D131" i="79"/>
  <c r="C132" i="79"/>
  <c r="D132" i="79"/>
  <c r="D15" i="79"/>
  <c r="C15" i="79"/>
  <c r="D136" i="79"/>
  <c r="D143" i="79"/>
  <c r="H3" i="79"/>
  <c r="I153" i="79"/>
  <c r="I154" i="79"/>
  <c r="I155" i="79"/>
  <c r="I156" i="79"/>
  <c r="I157" i="79"/>
  <c r="I158" i="79"/>
  <c r="I159" i="79"/>
  <c r="I160" i="79"/>
  <c r="I161" i="79"/>
  <c r="I162" i="79"/>
  <c r="I152" i="79"/>
  <c r="B161" i="79"/>
  <c r="B160" i="79"/>
  <c r="B159" i="79"/>
  <c r="B158" i="79"/>
  <c r="B156" i="79"/>
  <c r="B155" i="79"/>
  <c r="G146" i="79"/>
  <c r="G145" i="79"/>
  <c r="G144" i="79"/>
  <c r="G143" i="79"/>
  <c r="G142" i="79"/>
  <c r="G141" i="79"/>
  <c r="F141" i="79"/>
  <c r="F142" i="79" s="1"/>
  <c r="F143" i="79" s="1"/>
  <c r="F144" i="79" s="1"/>
  <c r="F145" i="79" s="1"/>
  <c r="F146" i="79" s="1"/>
  <c r="G140" i="79"/>
  <c r="G139" i="79"/>
  <c r="G138" i="79"/>
  <c r="F138" i="79"/>
  <c r="F139" i="79" s="1"/>
  <c r="F140" i="79" s="1"/>
  <c r="G137" i="79"/>
  <c r="G136" i="79"/>
  <c r="F136" i="79"/>
  <c r="F137" i="79" s="1"/>
  <c r="G135" i="79"/>
  <c r="G134" i="79"/>
  <c r="F134" i="79"/>
  <c r="B134" i="79"/>
  <c r="G133" i="79"/>
  <c r="F133" i="79"/>
  <c r="B133" i="79"/>
  <c r="G132" i="79"/>
  <c r="F132" i="79"/>
  <c r="H132" i="79" s="1"/>
  <c r="B132" i="79"/>
  <c r="G131" i="79"/>
  <c r="F131" i="79"/>
  <c r="B131" i="79"/>
  <c r="G130" i="79"/>
  <c r="F130" i="79"/>
  <c r="B130" i="79"/>
  <c r="G129" i="79"/>
  <c r="F129" i="79"/>
  <c r="B129" i="79"/>
  <c r="G128" i="79"/>
  <c r="F128" i="79"/>
  <c r="B128" i="79"/>
  <c r="G127" i="79"/>
  <c r="F127" i="79"/>
  <c r="B127" i="79"/>
  <c r="G126" i="79"/>
  <c r="F126" i="79"/>
  <c r="H126" i="79" s="1"/>
  <c r="B126" i="79"/>
  <c r="G125" i="79"/>
  <c r="F125" i="79"/>
  <c r="H125" i="79" s="1"/>
  <c r="B125" i="79"/>
  <c r="G124" i="79"/>
  <c r="F124" i="79"/>
  <c r="B124" i="79"/>
  <c r="B162" i="79" s="1"/>
  <c r="G123" i="79"/>
  <c r="F123" i="79"/>
  <c r="B123" i="79"/>
  <c r="G122" i="79"/>
  <c r="F122" i="79"/>
  <c r="B122" i="79"/>
  <c r="G121" i="79"/>
  <c r="F121" i="79"/>
  <c r="B121" i="79"/>
  <c r="G120" i="79"/>
  <c r="F120" i="79"/>
  <c r="B120" i="79"/>
  <c r="H119" i="79"/>
  <c r="I119" i="79" s="1"/>
  <c r="J119" i="79" s="1"/>
  <c r="K119" i="79" s="1"/>
  <c r="G119" i="79"/>
  <c r="F119" i="79"/>
  <c r="B119" i="79"/>
  <c r="G118" i="79"/>
  <c r="F118" i="79"/>
  <c r="B118" i="79"/>
  <c r="G117" i="79"/>
  <c r="F117" i="79"/>
  <c r="B117" i="79"/>
  <c r="G116" i="79"/>
  <c r="F116" i="79"/>
  <c r="B116" i="79"/>
  <c r="G115" i="79"/>
  <c r="F115" i="79"/>
  <c r="B115" i="79"/>
  <c r="G114" i="79"/>
  <c r="F114" i="79"/>
  <c r="B114" i="79"/>
  <c r="H113" i="79"/>
  <c r="I113" i="79" s="1"/>
  <c r="J113" i="79" s="1"/>
  <c r="K113" i="79" s="1"/>
  <c r="G113" i="79"/>
  <c r="F113" i="79"/>
  <c r="B113" i="79"/>
  <c r="G112" i="79"/>
  <c r="F112" i="79"/>
  <c r="B112" i="79"/>
  <c r="G111" i="79"/>
  <c r="F111" i="79"/>
  <c r="B111" i="79"/>
  <c r="G110" i="79"/>
  <c r="F110" i="79"/>
  <c r="B110" i="79"/>
  <c r="G109" i="79"/>
  <c r="F109" i="79"/>
  <c r="B109" i="79"/>
  <c r="G108" i="79"/>
  <c r="F108" i="79"/>
  <c r="H108" i="79" s="1"/>
  <c r="I108" i="79" s="1"/>
  <c r="B108" i="79"/>
  <c r="G107" i="79"/>
  <c r="F107" i="79"/>
  <c r="B107" i="79"/>
  <c r="G106" i="79"/>
  <c r="F106" i="79"/>
  <c r="B106" i="79"/>
  <c r="G105" i="79"/>
  <c r="F105" i="79"/>
  <c r="B105" i="79"/>
  <c r="G104" i="79"/>
  <c r="F104" i="79"/>
  <c r="B104" i="79"/>
  <c r="G103" i="79"/>
  <c r="F103" i="79"/>
  <c r="B103" i="79"/>
  <c r="G102" i="79"/>
  <c r="F102" i="79"/>
  <c r="H102" i="79" s="1"/>
  <c r="I102" i="79" s="1"/>
  <c r="B102" i="79"/>
  <c r="L101" i="79"/>
  <c r="H101" i="79"/>
  <c r="I101" i="79" s="1"/>
  <c r="J101" i="79" s="1"/>
  <c r="K101" i="79" s="1"/>
  <c r="G101" i="79"/>
  <c r="F101" i="79"/>
  <c r="B101" i="79"/>
  <c r="G100" i="79"/>
  <c r="F100" i="79"/>
  <c r="B100" i="79"/>
  <c r="G99" i="79"/>
  <c r="F99" i="79"/>
  <c r="B99" i="79"/>
  <c r="G98" i="79"/>
  <c r="F98" i="79"/>
  <c r="B98" i="79"/>
  <c r="G97" i="79"/>
  <c r="F97" i="79"/>
  <c r="B97" i="79"/>
  <c r="G96" i="79"/>
  <c r="F96" i="79"/>
  <c r="H96" i="79" s="1"/>
  <c r="I96" i="79" s="1"/>
  <c r="B96" i="79"/>
  <c r="H95" i="79"/>
  <c r="I95" i="79" s="1"/>
  <c r="J95" i="79" s="1"/>
  <c r="K95" i="79" s="1"/>
  <c r="G95" i="79"/>
  <c r="F95" i="79"/>
  <c r="B95" i="79"/>
  <c r="G94" i="79"/>
  <c r="F94" i="79"/>
  <c r="B94" i="79"/>
  <c r="G93" i="79"/>
  <c r="F93" i="79"/>
  <c r="B93" i="79"/>
  <c r="G92" i="79"/>
  <c r="F92" i="79"/>
  <c r="B92" i="79"/>
  <c r="G91" i="79"/>
  <c r="F91" i="79"/>
  <c r="B91" i="79"/>
  <c r="G90" i="79"/>
  <c r="F90" i="79"/>
  <c r="H90" i="79" s="1"/>
  <c r="I90" i="79" s="1"/>
  <c r="B90" i="79"/>
  <c r="H89" i="79"/>
  <c r="I89" i="79" s="1"/>
  <c r="G89" i="79"/>
  <c r="F89" i="79"/>
  <c r="B89" i="79"/>
  <c r="G88" i="79"/>
  <c r="F88" i="79"/>
  <c r="B88" i="79"/>
  <c r="G87" i="79"/>
  <c r="F87" i="79"/>
  <c r="B87" i="79"/>
  <c r="G86" i="79"/>
  <c r="F86" i="79"/>
  <c r="B86" i="79"/>
  <c r="G85" i="79"/>
  <c r="F85" i="79"/>
  <c r="B85" i="79"/>
  <c r="G84" i="79"/>
  <c r="F84" i="79"/>
  <c r="B84" i="79"/>
  <c r="H83" i="79"/>
  <c r="I83" i="79" s="1"/>
  <c r="G83" i="79"/>
  <c r="F83" i="79"/>
  <c r="B83" i="79"/>
  <c r="G82" i="79"/>
  <c r="F82" i="79"/>
  <c r="B82" i="79"/>
  <c r="G81" i="79"/>
  <c r="F81" i="79"/>
  <c r="B81" i="79"/>
  <c r="G80" i="79"/>
  <c r="F80" i="79"/>
  <c r="B80" i="79"/>
  <c r="G79" i="79"/>
  <c r="H79" i="79" s="1"/>
  <c r="I79" i="79" s="1"/>
  <c r="F79" i="79"/>
  <c r="B79" i="79"/>
  <c r="H78" i="79"/>
  <c r="I78" i="79" s="1"/>
  <c r="G78" i="79"/>
  <c r="F78" i="79"/>
  <c r="B78" i="79"/>
  <c r="G77" i="79"/>
  <c r="F77" i="79"/>
  <c r="B77" i="79"/>
  <c r="G76" i="79"/>
  <c r="F76" i="79"/>
  <c r="B76" i="79"/>
  <c r="G75" i="79"/>
  <c r="F75" i="79"/>
  <c r="B75" i="79"/>
  <c r="G74" i="79"/>
  <c r="F74" i="79"/>
  <c r="B74" i="79"/>
  <c r="G73" i="79"/>
  <c r="F73" i="79"/>
  <c r="B73" i="79"/>
  <c r="G72" i="79"/>
  <c r="H72" i="79" s="1"/>
  <c r="I72" i="79" s="1"/>
  <c r="F72" i="79"/>
  <c r="B72" i="79"/>
  <c r="G71" i="79"/>
  <c r="F71" i="79"/>
  <c r="B71" i="79"/>
  <c r="G70" i="79"/>
  <c r="F70" i="79"/>
  <c r="B70" i="79"/>
  <c r="G69" i="79"/>
  <c r="F69" i="79"/>
  <c r="B69" i="79"/>
  <c r="G68" i="79"/>
  <c r="F68" i="79"/>
  <c r="B68" i="79"/>
  <c r="G67" i="79"/>
  <c r="F67" i="79"/>
  <c r="B67" i="79"/>
  <c r="H66" i="79"/>
  <c r="I66" i="79" s="1"/>
  <c r="G66" i="79"/>
  <c r="F66" i="79"/>
  <c r="B66" i="79"/>
  <c r="G65" i="79"/>
  <c r="H65" i="79" s="1"/>
  <c r="I65" i="79" s="1"/>
  <c r="F65" i="79"/>
  <c r="B65" i="79"/>
  <c r="G64" i="79"/>
  <c r="F64" i="79"/>
  <c r="B64" i="79"/>
  <c r="G63" i="79"/>
  <c r="F63" i="79"/>
  <c r="B63" i="79"/>
  <c r="B157" i="79" s="1"/>
  <c r="G62" i="79"/>
  <c r="F62" i="79"/>
  <c r="B62" i="79"/>
  <c r="G61" i="79"/>
  <c r="F61" i="79"/>
  <c r="B61" i="79"/>
  <c r="G60" i="79"/>
  <c r="H60" i="79" s="1"/>
  <c r="I60" i="79" s="1"/>
  <c r="F60" i="79"/>
  <c r="B60" i="79"/>
  <c r="H59" i="79"/>
  <c r="I59" i="79" s="1"/>
  <c r="G59" i="79"/>
  <c r="F59" i="79"/>
  <c r="B59" i="79"/>
  <c r="G58" i="79"/>
  <c r="F58" i="79"/>
  <c r="B58" i="79"/>
  <c r="G57" i="79"/>
  <c r="F57" i="79"/>
  <c r="B57" i="79"/>
  <c r="G56" i="79"/>
  <c r="F56" i="79"/>
  <c r="B56" i="79"/>
  <c r="G55" i="79"/>
  <c r="F55" i="79"/>
  <c r="B55" i="79"/>
  <c r="G54" i="79"/>
  <c r="H54" i="79" s="1"/>
  <c r="I54" i="79" s="1"/>
  <c r="F54" i="79"/>
  <c r="B54" i="79"/>
  <c r="G53" i="79"/>
  <c r="F53" i="79"/>
  <c r="B53" i="79"/>
  <c r="G52" i="79"/>
  <c r="F52" i="79"/>
  <c r="B52" i="79"/>
  <c r="G51" i="79"/>
  <c r="F51" i="79"/>
  <c r="B51" i="79"/>
  <c r="G50" i="79"/>
  <c r="F50" i="79"/>
  <c r="B50" i="79"/>
  <c r="G49" i="79"/>
  <c r="F49" i="79"/>
  <c r="B49" i="79"/>
  <c r="G48" i="79"/>
  <c r="H48" i="79" s="1"/>
  <c r="I48" i="79" s="1"/>
  <c r="J48" i="79" s="1"/>
  <c r="K48" i="79" s="1"/>
  <c r="F48" i="79"/>
  <c r="B48" i="79"/>
  <c r="G47" i="79"/>
  <c r="H47" i="79" s="1"/>
  <c r="I47" i="79" s="1"/>
  <c r="L47" i="79" s="1"/>
  <c r="F47" i="79"/>
  <c r="B47" i="79"/>
  <c r="G46" i="79"/>
  <c r="F46" i="79"/>
  <c r="B46" i="79"/>
  <c r="G45" i="79"/>
  <c r="F45" i="79"/>
  <c r="B45" i="79"/>
  <c r="G44" i="79"/>
  <c r="F44" i="79"/>
  <c r="B44" i="79"/>
  <c r="G43" i="79"/>
  <c r="F43" i="79"/>
  <c r="B43" i="79"/>
  <c r="G42" i="79"/>
  <c r="H42" i="79" s="1"/>
  <c r="I42" i="79" s="1"/>
  <c r="L42" i="79" s="1"/>
  <c r="F42" i="79"/>
  <c r="B42" i="79"/>
  <c r="G41" i="79"/>
  <c r="H41" i="79" s="1"/>
  <c r="I41" i="79" s="1"/>
  <c r="L41" i="79" s="1"/>
  <c r="F41" i="79"/>
  <c r="B41" i="79"/>
  <c r="G40" i="79"/>
  <c r="F40" i="79"/>
  <c r="B40" i="79"/>
  <c r="G39" i="79"/>
  <c r="F39" i="79"/>
  <c r="B39" i="79"/>
  <c r="G38" i="79"/>
  <c r="H38" i="79" s="1"/>
  <c r="I38" i="79" s="1"/>
  <c r="L38" i="79" s="1"/>
  <c r="F38" i="79"/>
  <c r="B38" i="79"/>
  <c r="G37" i="79"/>
  <c r="F37" i="79"/>
  <c r="B37" i="79"/>
  <c r="G36" i="79"/>
  <c r="H36" i="79" s="1"/>
  <c r="I36" i="79" s="1"/>
  <c r="J36" i="79" s="1"/>
  <c r="K36" i="79" s="1"/>
  <c r="F36" i="79"/>
  <c r="B36" i="79"/>
  <c r="G35" i="79"/>
  <c r="H35" i="79" s="1"/>
  <c r="I35" i="79" s="1"/>
  <c r="L35" i="79" s="1"/>
  <c r="F35" i="79"/>
  <c r="B35" i="79"/>
  <c r="G34" i="79"/>
  <c r="H34" i="79" s="1"/>
  <c r="I34" i="79" s="1"/>
  <c r="L34" i="79" s="1"/>
  <c r="F34" i="79"/>
  <c r="B34" i="79"/>
  <c r="G33" i="79"/>
  <c r="F33" i="79"/>
  <c r="B33" i="79"/>
  <c r="G32" i="79"/>
  <c r="F32" i="79"/>
  <c r="B32" i="79"/>
  <c r="G31" i="79"/>
  <c r="H31" i="79" s="1"/>
  <c r="I31" i="79" s="1"/>
  <c r="L31" i="79" s="1"/>
  <c r="F31" i="79"/>
  <c r="B31" i="79"/>
  <c r="H30" i="79"/>
  <c r="G30" i="79"/>
  <c r="F30" i="79"/>
  <c r="B30" i="79"/>
  <c r="H29" i="79"/>
  <c r="G29" i="79"/>
  <c r="F29" i="79"/>
  <c r="B29" i="79"/>
  <c r="G28" i="79"/>
  <c r="F28" i="79"/>
  <c r="B28" i="79"/>
  <c r="G27" i="79"/>
  <c r="F27" i="79"/>
  <c r="B27" i="79"/>
  <c r="G26" i="79"/>
  <c r="F26" i="79"/>
  <c r="B26" i="79"/>
  <c r="G25" i="79"/>
  <c r="F25" i="79"/>
  <c r="H25" i="79"/>
  <c r="I25" i="79" s="1"/>
  <c r="B25" i="79"/>
  <c r="G24" i="79"/>
  <c r="F24" i="79"/>
  <c r="H24" i="79"/>
  <c r="B24" i="79"/>
  <c r="G23" i="79"/>
  <c r="F23" i="79"/>
  <c r="B23" i="79"/>
  <c r="G22" i="79"/>
  <c r="F22" i="79"/>
  <c r="B22" i="79"/>
  <c r="G21" i="79"/>
  <c r="F21" i="79"/>
  <c r="B21" i="79"/>
  <c r="G20" i="79"/>
  <c r="F20" i="79"/>
  <c r="B20" i="79"/>
  <c r="G19" i="79"/>
  <c r="F19" i="79"/>
  <c r="B19" i="79"/>
  <c r="G18" i="79"/>
  <c r="F18" i="79"/>
  <c r="H18" i="79"/>
  <c r="B18" i="79"/>
  <c r="G17" i="79"/>
  <c r="F17" i="79"/>
  <c r="B17" i="79"/>
  <c r="G16" i="79"/>
  <c r="F16" i="79"/>
  <c r="B16" i="79"/>
  <c r="G15" i="79"/>
  <c r="F15" i="79"/>
  <c r="H15" i="79"/>
  <c r="B15" i="79"/>
  <c r="G14" i="79"/>
  <c r="F14" i="79"/>
  <c r="B14" i="79"/>
  <c r="G13" i="79"/>
  <c r="F13" i="79"/>
  <c r="H13" i="79"/>
  <c r="I13" i="79" s="1"/>
  <c r="B13" i="79"/>
  <c r="G12" i="79"/>
  <c r="F12" i="79"/>
  <c r="B12" i="79"/>
  <c r="G11" i="79"/>
  <c r="F11" i="79"/>
  <c r="B11" i="79"/>
  <c r="G10" i="79"/>
  <c r="F10" i="79"/>
  <c r="B10" i="79"/>
  <c r="G9" i="79"/>
  <c r="F9" i="79"/>
  <c r="B9" i="79"/>
  <c r="G8" i="79"/>
  <c r="F8" i="79"/>
  <c r="B8" i="79"/>
  <c r="G7" i="79"/>
  <c r="F7" i="79"/>
  <c r="B7" i="79"/>
  <c r="G6" i="79"/>
  <c r="F6" i="79"/>
  <c r="H6" i="79"/>
  <c r="B6" i="79"/>
  <c r="G5" i="79"/>
  <c r="F5" i="79"/>
  <c r="B5" i="79"/>
  <c r="G4" i="79"/>
  <c r="F4" i="79"/>
  <c r="B4" i="79"/>
  <c r="G3" i="79"/>
  <c r="F3" i="79"/>
  <c r="B3" i="79"/>
  <c r="L38" i="11"/>
  <c r="L28" i="11"/>
  <c r="L23" i="11"/>
  <c r="L19" i="11"/>
  <c r="L15" i="11"/>
  <c r="B26" i="18"/>
  <c r="A26" i="18"/>
  <c r="C26" i="18"/>
  <c r="B13" i="9"/>
  <c r="C13" i="9"/>
  <c r="H4" i="9"/>
  <c r="I4" i="9"/>
  <c r="J4" i="9"/>
  <c r="K4" i="9"/>
  <c r="H5" i="9"/>
  <c r="I5" i="9"/>
  <c r="J5" i="9"/>
  <c r="K5" i="9"/>
  <c r="H6" i="9"/>
  <c r="I6" i="9"/>
  <c r="J6" i="9"/>
  <c r="K6" i="9"/>
  <c r="H7" i="9"/>
  <c r="I7" i="9"/>
  <c r="J7" i="9"/>
  <c r="K7" i="9"/>
  <c r="H8" i="9"/>
  <c r="I8" i="9"/>
  <c r="J8" i="9"/>
  <c r="K8" i="9"/>
  <c r="H9" i="9"/>
  <c r="I9" i="9"/>
  <c r="J9" i="9"/>
  <c r="K9" i="9"/>
  <c r="H10" i="9"/>
  <c r="I10" i="9"/>
  <c r="J10" i="9"/>
  <c r="K10" i="9"/>
  <c r="H11" i="9"/>
  <c r="I11" i="9"/>
  <c r="J11" i="9"/>
  <c r="K11" i="9"/>
  <c r="H12" i="9"/>
  <c r="I12" i="9"/>
  <c r="J12" i="9"/>
  <c r="K12" i="9"/>
  <c r="H13" i="9"/>
  <c r="H21" i="9" s="1"/>
  <c r="I13" i="9"/>
  <c r="I21" i="9" s="1"/>
  <c r="J13" i="9"/>
  <c r="J21" i="9" s="1"/>
  <c r="K13" i="9"/>
  <c r="K21" i="9" s="1"/>
  <c r="K3" i="9"/>
  <c r="J3" i="9"/>
  <c r="I3" i="9"/>
  <c r="H3" i="9"/>
  <c r="H123" i="79" l="1"/>
  <c r="H70" i="79"/>
  <c r="I70" i="79" s="1"/>
  <c r="C82" i="79"/>
  <c r="J89" i="79"/>
  <c r="K89" i="79" s="1"/>
  <c r="M89" i="79"/>
  <c r="N89" i="79" s="1"/>
  <c r="H75" i="79"/>
  <c r="D141" i="79"/>
  <c r="H45" i="79"/>
  <c r="I45" i="79" s="1"/>
  <c r="J45" i="79" s="1"/>
  <c r="K45" i="79" s="1"/>
  <c r="H112" i="79"/>
  <c r="I112" i="79" s="1"/>
  <c r="J112" i="79" s="1"/>
  <c r="K112" i="79" s="1"/>
  <c r="D135" i="79"/>
  <c r="H21" i="79"/>
  <c r="I21" i="79" s="1"/>
  <c r="D140" i="79"/>
  <c r="J83" i="79"/>
  <c r="K83" i="79" s="1"/>
  <c r="L83" i="79"/>
  <c r="H116" i="79"/>
  <c r="I116" i="79" s="1"/>
  <c r="J71" i="79"/>
  <c r="K71" i="79" s="1"/>
  <c r="L71" i="79"/>
  <c r="H91" i="79"/>
  <c r="I91" i="79" s="1"/>
  <c r="M91" i="79" s="1"/>
  <c r="N91" i="79" s="1"/>
  <c r="D103" i="79"/>
  <c r="D115" i="79" s="1"/>
  <c r="D145" i="79"/>
  <c r="H58" i="79"/>
  <c r="I58" i="79" s="1"/>
  <c r="H69" i="79"/>
  <c r="I69" i="79" s="1"/>
  <c r="H105" i="79"/>
  <c r="I105" i="79" s="1"/>
  <c r="H74" i="79"/>
  <c r="I74" i="79" s="1"/>
  <c r="C86" i="79"/>
  <c r="H92" i="79"/>
  <c r="I92" i="79" s="1"/>
  <c r="L92" i="79" s="1"/>
  <c r="H51" i="79"/>
  <c r="I51" i="79" s="1"/>
  <c r="M52" i="79" s="1"/>
  <c r="N52" i="79" s="1"/>
  <c r="H55" i="79"/>
  <c r="I55" i="79" s="1"/>
  <c r="M55" i="79" s="1"/>
  <c r="N55" i="79" s="1"/>
  <c r="H99" i="79"/>
  <c r="I99" i="79" s="1"/>
  <c r="H133" i="79"/>
  <c r="J107" i="79"/>
  <c r="K107" i="79" s="1"/>
  <c r="L107" i="79"/>
  <c r="D146" i="79"/>
  <c r="H62" i="79"/>
  <c r="I62" i="79" s="1"/>
  <c r="L95" i="79"/>
  <c r="H52" i="79"/>
  <c r="I52" i="79" s="1"/>
  <c r="J52" i="79" s="1"/>
  <c r="K52" i="79" s="1"/>
  <c r="L89" i="79"/>
  <c r="H76" i="79"/>
  <c r="I76" i="79" s="1"/>
  <c r="L76" i="79" s="1"/>
  <c r="H56" i="79"/>
  <c r="I56" i="79" s="1"/>
  <c r="J56" i="79" s="1"/>
  <c r="K56" i="79" s="1"/>
  <c r="H63" i="79"/>
  <c r="H80" i="79"/>
  <c r="I80" i="79" s="1"/>
  <c r="J80" i="79" s="1"/>
  <c r="K80" i="79" s="1"/>
  <c r="H93" i="79"/>
  <c r="I93" i="79" s="1"/>
  <c r="L93" i="79" s="1"/>
  <c r="L119" i="79"/>
  <c r="D37" i="79"/>
  <c r="D49" i="79" s="1"/>
  <c r="D61" i="79" s="1"/>
  <c r="D73" i="79" s="1"/>
  <c r="D85" i="79" s="1"/>
  <c r="D97" i="79" s="1"/>
  <c r="D109" i="79" s="1"/>
  <c r="D121" i="79" s="1"/>
  <c r="D133" i="79" s="1"/>
  <c r="H39" i="79"/>
  <c r="I39" i="79" s="1"/>
  <c r="L39" i="79" s="1"/>
  <c r="H67" i="79"/>
  <c r="I67" i="79" s="1"/>
  <c r="M67" i="79" s="1"/>
  <c r="N67" i="79" s="1"/>
  <c r="H87" i="79"/>
  <c r="I87" i="79" s="1"/>
  <c r="M88" i="79" s="1"/>
  <c r="N88" i="79" s="1"/>
  <c r="H97" i="79"/>
  <c r="I97" i="79" s="1"/>
  <c r="J97" i="79" s="1"/>
  <c r="K97" i="79" s="1"/>
  <c r="L113" i="79"/>
  <c r="H46" i="79"/>
  <c r="I46" i="79" s="1"/>
  <c r="L46" i="79" s="1"/>
  <c r="H77" i="79"/>
  <c r="I77" i="79" s="1"/>
  <c r="M77" i="79" s="1"/>
  <c r="N77" i="79" s="1"/>
  <c r="H117" i="79"/>
  <c r="I117" i="79" s="1"/>
  <c r="H43" i="79"/>
  <c r="I43" i="79" s="1"/>
  <c r="L43" i="79" s="1"/>
  <c r="H64" i="79"/>
  <c r="I64" i="79" s="1"/>
  <c r="L64" i="79" s="1"/>
  <c r="H81" i="79"/>
  <c r="I81" i="79" s="1"/>
  <c r="H104" i="79"/>
  <c r="I104" i="79" s="1"/>
  <c r="M105" i="79" s="1"/>
  <c r="N105" i="79" s="1"/>
  <c r="H114" i="79"/>
  <c r="I114" i="79" s="1"/>
  <c r="M114" i="79" s="1"/>
  <c r="N114" i="79" s="1"/>
  <c r="H120" i="79"/>
  <c r="I120" i="79" s="1"/>
  <c r="M120" i="79" s="1"/>
  <c r="N120" i="79" s="1"/>
  <c r="H131" i="79"/>
  <c r="H32" i="79"/>
  <c r="I32" i="79" s="1"/>
  <c r="J32" i="79" s="1"/>
  <c r="K32" i="79" s="1"/>
  <c r="I24" i="79"/>
  <c r="J24" i="79" s="1"/>
  <c r="K24" i="79" s="1"/>
  <c r="H33" i="79"/>
  <c r="I33" i="79" s="1"/>
  <c r="H40" i="79"/>
  <c r="I40" i="79" s="1"/>
  <c r="J40" i="79" s="1"/>
  <c r="K40" i="79" s="1"/>
  <c r="H50" i="79"/>
  <c r="I50" i="79" s="1"/>
  <c r="L50" i="79" s="1"/>
  <c r="H57" i="79"/>
  <c r="I57" i="79" s="1"/>
  <c r="H68" i="79"/>
  <c r="I68" i="79" s="1"/>
  <c r="H84" i="79"/>
  <c r="I84" i="79" s="1"/>
  <c r="L84" i="79" s="1"/>
  <c r="H100" i="79"/>
  <c r="I100" i="79" s="1"/>
  <c r="M101" i="79" s="1"/>
  <c r="N101" i="79" s="1"/>
  <c r="H88" i="79"/>
  <c r="I88" i="79" s="1"/>
  <c r="H111" i="79"/>
  <c r="H44" i="79"/>
  <c r="I44" i="79" s="1"/>
  <c r="J44" i="79" s="1"/>
  <c r="K44" i="79" s="1"/>
  <c r="H128" i="79"/>
  <c r="L81" i="79"/>
  <c r="J81" i="79"/>
  <c r="K81" i="79" s="1"/>
  <c r="L55" i="79"/>
  <c r="J62" i="79"/>
  <c r="K62" i="79" s="1"/>
  <c r="L62" i="79"/>
  <c r="M69" i="79"/>
  <c r="N69" i="79" s="1"/>
  <c r="L69" i="79"/>
  <c r="J69" i="79"/>
  <c r="K69" i="79" s="1"/>
  <c r="J54" i="79"/>
  <c r="K54" i="79" s="1"/>
  <c r="M54" i="79"/>
  <c r="N54" i="79" s="1"/>
  <c r="L54" i="79"/>
  <c r="L25" i="79"/>
  <c r="J25" i="79"/>
  <c r="K25" i="79" s="1"/>
  <c r="J74" i="79"/>
  <c r="K74" i="79" s="1"/>
  <c r="L74" i="79"/>
  <c r="J84" i="79"/>
  <c r="K84" i="79" s="1"/>
  <c r="J116" i="79"/>
  <c r="K116" i="79" s="1"/>
  <c r="M65" i="79"/>
  <c r="N65" i="79" s="1"/>
  <c r="L65" i="79"/>
  <c r="J65" i="79"/>
  <c r="K65" i="79" s="1"/>
  <c r="L79" i="79"/>
  <c r="M79" i="79"/>
  <c r="N79" i="79" s="1"/>
  <c r="J79" i="79"/>
  <c r="K79" i="79" s="1"/>
  <c r="J57" i="79"/>
  <c r="K57" i="79" s="1"/>
  <c r="M59" i="79"/>
  <c r="N59" i="79" s="1"/>
  <c r="L59" i="79"/>
  <c r="J59" i="79"/>
  <c r="K59" i="79" s="1"/>
  <c r="L77" i="79"/>
  <c r="J77" i="79"/>
  <c r="K77" i="79" s="1"/>
  <c r="L57" i="79"/>
  <c r="M60" i="79"/>
  <c r="N60" i="79" s="1"/>
  <c r="L60" i="79"/>
  <c r="J60" i="79"/>
  <c r="K60" i="79" s="1"/>
  <c r="M66" i="79"/>
  <c r="N66" i="79" s="1"/>
  <c r="J66" i="79"/>
  <c r="K66" i="79" s="1"/>
  <c r="L66" i="79"/>
  <c r="H27" i="79"/>
  <c r="C135" i="79"/>
  <c r="M58" i="79"/>
  <c r="N58" i="79" s="1"/>
  <c r="L58" i="79"/>
  <c r="J58" i="79"/>
  <c r="K58" i="79" s="1"/>
  <c r="M78" i="79"/>
  <c r="N78" i="79" s="1"/>
  <c r="J78" i="79"/>
  <c r="K78" i="79" s="1"/>
  <c r="L78" i="79"/>
  <c r="J13" i="79"/>
  <c r="K13" i="79" s="1"/>
  <c r="L13" i="79"/>
  <c r="M72" i="79"/>
  <c r="N72" i="79" s="1"/>
  <c r="L72" i="79"/>
  <c r="J72" i="79"/>
  <c r="K72" i="79" s="1"/>
  <c r="L105" i="79"/>
  <c r="J105" i="79"/>
  <c r="K105" i="79" s="1"/>
  <c r="M25" i="79"/>
  <c r="N25" i="79" s="1"/>
  <c r="L67" i="79"/>
  <c r="H4" i="79"/>
  <c r="I4" i="79" s="1"/>
  <c r="C136" i="79"/>
  <c r="H136" i="79" s="1"/>
  <c r="L24" i="79"/>
  <c r="M68" i="79"/>
  <c r="N68" i="79" s="1"/>
  <c r="L68" i="79"/>
  <c r="J68" i="79"/>
  <c r="K68" i="79" s="1"/>
  <c r="H19" i="79"/>
  <c r="I19" i="79" s="1"/>
  <c r="L21" i="79"/>
  <c r="J21" i="79"/>
  <c r="K21" i="79" s="1"/>
  <c r="L28" i="79"/>
  <c r="L32" i="79"/>
  <c r="M32" i="79"/>
  <c r="N32" i="79" s="1"/>
  <c r="L36" i="79"/>
  <c r="M36" i="79"/>
  <c r="N36" i="79" s="1"/>
  <c r="L40" i="79"/>
  <c r="M40" i="79"/>
  <c r="N40" i="79" s="1"/>
  <c r="L44" i="79"/>
  <c r="L48" i="79"/>
  <c r="M48" i="79"/>
  <c r="N48" i="79" s="1"/>
  <c r="L52" i="79"/>
  <c r="J70" i="79"/>
  <c r="K70" i="79" s="1"/>
  <c r="M70" i="79"/>
  <c r="N70" i="79" s="1"/>
  <c r="H121" i="79"/>
  <c r="I121" i="79" s="1"/>
  <c r="B152" i="79"/>
  <c r="B165" i="79" s="1"/>
  <c r="J22" i="79"/>
  <c r="K22" i="79" s="1"/>
  <c r="J31" i="79"/>
  <c r="K31" i="79" s="1"/>
  <c r="J35" i="79"/>
  <c r="K35" i="79" s="1"/>
  <c r="J39" i="79"/>
  <c r="K39" i="79" s="1"/>
  <c r="J47" i="79"/>
  <c r="K47" i="79" s="1"/>
  <c r="J93" i="79"/>
  <c r="K93" i="79" s="1"/>
  <c r="I15" i="79"/>
  <c r="J88" i="79"/>
  <c r="K88" i="79" s="1"/>
  <c r="L88" i="79"/>
  <c r="I18" i="79"/>
  <c r="I30" i="79"/>
  <c r="M31" i="79"/>
  <c r="N31" i="79" s="1"/>
  <c r="M35" i="79"/>
  <c r="N35" i="79" s="1"/>
  <c r="M39" i="79"/>
  <c r="N39" i="79" s="1"/>
  <c r="M47" i="79"/>
  <c r="N47" i="79" s="1"/>
  <c r="M90" i="79"/>
  <c r="N90" i="79" s="1"/>
  <c r="L90" i="79"/>
  <c r="J90" i="79"/>
  <c r="K90" i="79" s="1"/>
  <c r="I111" i="79"/>
  <c r="H5" i="79"/>
  <c r="I5" i="79" s="1"/>
  <c r="C137" i="79"/>
  <c r="J34" i="79"/>
  <c r="K34" i="79" s="1"/>
  <c r="J38" i="79"/>
  <c r="K38" i="79" s="1"/>
  <c r="J42" i="79"/>
  <c r="K42" i="79" s="1"/>
  <c r="J46" i="79"/>
  <c r="K46" i="79" s="1"/>
  <c r="J64" i="79"/>
  <c r="K64" i="79" s="1"/>
  <c r="M22" i="79"/>
  <c r="N22" i="79" s="1"/>
  <c r="M102" i="79"/>
  <c r="N102" i="79" s="1"/>
  <c r="L102" i="79"/>
  <c r="J102" i="79"/>
  <c r="K102" i="79" s="1"/>
  <c r="H10" i="79"/>
  <c r="I10" i="79" s="1"/>
  <c r="H20" i="79"/>
  <c r="I20" i="79" s="1"/>
  <c r="C140" i="79"/>
  <c r="H140" i="79" s="1"/>
  <c r="I29" i="79"/>
  <c r="M42" i="79"/>
  <c r="N42" i="79" s="1"/>
  <c r="M53" i="79"/>
  <c r="N53" i="79" s="1"/>
  <c r="J53" i="79"/>
  <c r="K53" i="79" s="1"/>
  <c r="M108" i="79"/>
  <c r="N108" i="79" s="1"/>
  <c r="L108" i="79"/>
  <c r="J108" i="79"/>
  <c r="K108" i="79" s="1"/>
  <c r="C138" i="79"/>
  <c r="J33" i="79"/>
  <c r="K33" i="79" s="1"/>
  <c r="J41" i="79"/>
  <c r="K41" i="79" s="1"/>
  <c r="I63" i="79"/>
  <c r="C145" i="79"/>
  <c r="H7" i="79"/>
  <c r="I7" i="79" s="1"/>
  <c r="C139" i="79"/>
  <c r="H17" i="79"/>
  <c r="I17" i="79" s="1"/>
  <c r="B154" i="79"/>
  <c r="L53" i="79"/>
  <c r="I75" i="79"/>
  <c r="M76" i="79" s="1"/>
  <c r="N76" i="79" s="1"/>
  <c r="M96" i="79"/>
  <c r="N96" i="79" s="1"/>
  <c r="L96" i="79"/>
  <c r="J96" i="79"/>
  <c r="K96" i="79" s="1"/>
  <c r="I6" i="79"/>
  <c r="H9" i="79"/>
  <c r="I9" i="79" s="1"/>
  <c r="C141" i="79"/>
  <c r="H141" i="79" s="1"/>
  <c r="I16" i="79"/>
  <c r="I3" i="79"/>
  <c r="D138" i="79"/>
  <c r="B153" i="79"/>
  <c r="D137" i="79"/>
  <c r="H8" i="79"/>
  <c r="I8" i="79" s="1"/>
  <c r="H14" i="79"/>
  <c r="I14" i="79" s="1"/>
  <c r="H26" i="79"/>
  <c r="I26" i="79" s="1"/>
  <c r="H129" i="79"/>
  <c r="H12" i="79"/>
  <c r="I12" i="79" s="1"/>
  <c r="C144" i="79"/>
  <c r="H144" i="79" s="1"/>
  <c r="C143" i="79"/>
  <c r="H143" i="79" s="1"/>
  <c r="H11" i="79"/>
  <c r="I11" i="79" s="1"/>
  <c r="H23" i="79"/>
  <c r="I23" i="79" s="1"/>
  <c r="M24" i="79" s="1"/>
  <c r="N24" i="79" s="1"/>
  <c r="D13" i="9"/>
  <c r="E13" i="9" s="1"/>
  <c r="G13" i="9"/>
  <c r="F13" i="9" s="1"/>
  <c r="J100" i="79" l="1"/>
  <c r="K100" i="79" s="1"/>
  <c r="L80" i="79"/>
  <c r="L97" i="79"/>
  <c r="M81" i="79"/>
  <c r="N81" i="79" s="1"/>
  <c r="H73" i="79"/>
  <c r="I73" i="79" s="1"/>
  <c r="L100" i="79"/>
  <c r="J76" i="79"/>
  <c r="K76" i="79" s="1"/>
  <c r="J104" i="79"/>
  <c r="K104" i="79" s="1"/>
  <c r="M80" i="79"/>
  <c r="N80" i="79" s="1"/>
  <c r="J91" i="79"/>
  <c r="K91" i="79" s="1"/>
  <c r="M97" i="79"/>
  <c r="N97" i="79" s="1"/>
  <c r="M57" i="79"/>
  <c r="N57" i="79" s="1"/>
  <c r="L116" i="79"/>
  <c r="L104" i="79"/>
  <c r="M92" i="79"/>
  <c r="N92" i="79" s="1"/>
  <c r="L91" i="79"/>
  <c r="D139" i="79"/>
  <c r="H139" i="79" s="1"/>
  <c r="L56" i="79"/>
  <c r="M112" i="79"/>
  <c r="N112" i="79" s="1"/>
  <c r="H109" i="79"/>
  <c r="I109" i="79" s="1"/>
  <c r="M41" i="79"/>
  <c r="N41" i="79" s="1"/>
  <c r="L117" i="79"/>
  <c r="M117" i="79"/>
  <c r="N117" i="79" s="1"/>
  <c r="J117" i="79"/>
  <c r="K117" i="79" s="1"/>
  <c r="J92" i="79"/>
  <c r="K92" i="79" s="1"/>
  <c r="L112" i="79"/>
  <c r="M84" i="79"/>
  <c r="N84" i="79" s="1"/>
  <c r="H49" i="79"/>
  <c r="L33" i="79"/>
  <c r="M33" i="79"/>
  <c r="N33" i="79" s="1"/>
  <c r="J43" i="79"/>
  <c r="K43" i="79" s="1"/>
  <c r="H135" i="79"/>
  <c r="H82" i="79"/>
  <c r="C94" i="79"/>
  <c r="L45" i="79"/>
  <c r="M45" i="79"/>
  <c r="N45" i="79" s="1"/>
  <c r="M113" i="79"/>
  <c r="N113" i="79" s="1"/>
  <c r="C98" i="79"/>
  <c r="H86" i="79"/>
  <c r="I86" i="79" s="1"/>
  <c r="M46" i="79"/>
  <c r="N46" i="79" s="1"/>
  <c r="L114" i="79"/>
  <c r="L70" i="79"/>
  <c r="M71" i="79"/>
  <c r="N71" i="79" s="1"/>
  <c r="D127" i="79"/>
  <c r="H127" i="79" s="1"/>
  <c r="H115" i="79"/>
  <c r="I115" i="79" s="1"/>
  <c r="M56" i="79"/>
  <c r="N56" i="79" s="1"/>
  <c r="H85" i="79"/>
  <c r="I85" i="79" s="1"/>
  <c r="H138" i="79"/>
  <c r="J50" i="79"/>
  <c r="K50" i="79" s="1"/>
  <c r="M93" i="79"/>
  <c r="N93" i="79" s="1"/>
  <c r="H37" i="79"/>
  <c r="I37" i="79" s="1"/>
  <c r="H145" i="79"/>
  <c r="J120" i="79"/>
  <c r="K120" i="79" s="1"/>
  <c r="J114" i="79"/>
  <c r="K114" i="79" s="1"/>
  <c r="L120" i="79"/>
  <c r="J67" i="79"/>
  <c r="K67" i="79" s="1"/>
  <c r="J55" i="79"/>
  <c r="K55" i="79" s="1"/>
  <c r="H103" i="79"/>
  <c r="I103" i="79" s="1"/>
  <c r="M34" i="79"/>
  <c r="N34" i="79" s="1"/>
  <c r="M43" i="79"/>
  <c r="N43" i="79" s="1"/>
  <c r="M44" i="79"/>
  <c r="N44" i="79" s="1"/>
  <c r="H61" i="79"/>
  <c r="H137" i="79"/>
  <c r="J11" i="79"/>
  <c r="K11" i="79" s="1"/>
  <c r="M11" i="79"/>
  <c r="N11" i="79" s="1"/>
  <c r="L11" i="79"/>
  <c r="L9" i="79"/>
  <c r="M9" i="79"/>
  <c r="N9" i="79" s="1"/>
  <c r="J9" i="79"/>
  <c r="K9" i="79" s="1"/>
  <c r="J4" i="79"/>
  <c r="K4" i="79" s="1"/>
  <c r="M4" i="79"/>
  <c r="N4" i="79" s="1"/>
  <c r="L4" i="79"/>
  <c r="H152" i="79"/>
  <c r="J5" i="79"/>
  <c r="K5" i="79" s="1"/>
  <c r="M5" i="79"/>
  <c r="N5" i="79" s="1"/>
  <c r="L5" i="79"/>
  <c r="L26" i="79"/>
  <c r="M26" i="79"/>
  <c r="N26" i="79" s="1"/>
  <c r="J26" i="79"/>
  <c r="K26" i="79" s="1"/>
  <c r="H153" i="79"/>
  <c r="M14" i="79"/>
  <c r="N14" i="79" s="1"/>
  <c r="L14" i="79"/>
  <c r="J14" i="79"/>
  <c r="K14" i="79" s="1"/>
  <c r="L111" i="79"/>
  <c r="J111" i="79"/>
  <c r="K111" i="79" s="1"/>
  <c r="M7" i="79"/>
  <c r="N7" i="79" s="1"/>
  <c r="L7" i="79"/>
  <c r="J7" i="79"/>
  <c r="K7" i="79" s="1"/>
  <c r="L18" i="79"/>
  <c r="M18" i="79"/>
  <c r="N18" i="79" s="1"/>
  <c r="J18" i="79"/>
  <c r="K18" i="79" s="1"/>
  <c r="L6" i="79"/>
  <c r="J6" i="79"/>
  <c r="K6" i="79" s="1"/>
  <c r="M6" i="79"/>
  <c r="N6" i="79" s="1"/>
  <c r="M121" i="79"/>
  <c r="N121" i="79" s="1"/>
  <c r="L121" i="79"/>
  <c r="J121" i="79"/>
  <c r="K121" i="79" s="1"/>
  <c r="H154" i="79"/>
  <c r="I27" i="79"/>
  <c r="M8" i="79"/>
  <c r="N8" i="79" s="1"/>
  <c r="L8" i="79"/>
  <c r="J8" i="79"/>
  <c r="K8" i="79" s="1"/>
  <c r="L99" i="79"/>
  <c r="J99" i="79"/>
  <c r="K99" i="79" s="1"/>
  <c r="M20" i="79"/>
  <c r="N20" i="79" s="1"/>
  <c r="L20" i="79"/>
  <c r="J20" i="79"/>
  <c r="K20" i="79" s="1"/>
  <c r="L15" i="79"/>
  <c r="J15" i="79"/>
  <c r="K15" i="79" s="1"/>
  <c r="M15" i="79"/>
  <c r="N15" i="79" s="1"/>
  <c r="M87" i="79"/>
  <c r="N87" i="79" s="1"/>
  <c r="L87" i="79"/>
  <c r="J87" i="79"/>
  <c r="K87" i="79" s="1"/>
  <c r="J16" i="79"/>
  <c r="K16" i="79" s="1"/>
  <c r="M16" i="79"/>
  <c r="N16" i="79" s="1"/>
  <c r="L16" i="79"/>
  <c r="M29" i="79"/>
  <c r="N29" i="79" s="1"/>
  <c r="J29" i="79"/>
  <c r="K29" i="79" s="1"/>
  <c r="L29" i="79"/>
  <c r="J63" i="79"/>
  <c r="K63" i="79" s="1"/>
  <c r="M63" i="79"/>
  <c r="N63" i="79" s="1"/>
  <c r="L63" i="79"/>
  <c r="M12" i="79"/>
  <c r="N12" i="79" s="1"/>
  <c r="L12" i="79"/>
  <c r="J12" i="79"/>
  <c r="K12" i="79" s="1"/>
  <c r="J75" i="79"/>
  <c r="K75" i="79" s="1"/>
  <c r="M75" i="79"/>
  <c r="N75" i="79" s="1"/>
  <c r="L75" i="79"/>
  <c r="M21" i="79"/>
  <c r="N21" i="79" s="1"/>
  <c r="M10" i="79"/>
  <c r="N10" i="79" s="1"/>
  <c r="L10" i="79"/>
  <c r="J10" i="79"/>
  <c r="K10" i="79" s="1"/>
  <c r="M19" i="79"/>
  <c r="N19" i="79" s="1"/>
  <c r="L19" i="79"/>
  <c r="J19" i="79"/>
  <c r="K19" i="79" s="1"/>
  <c r="J17" i="79"/>
  <c r="K17" i="79" s="1"/>
  <c r="M17" i="79"/>
  <c r="N17" i="79" s="1"/>
  <c r="L17" i="79"/>
  <c r="M30" i="79"/>
  <c r="N30" i="79" s="1"/>
  <c r="J30" i="79"/>
  <c r="K30" i="79" s="1"/>
  <c r="L30" i="79"/>
  <c r="M64" i="79"/>
  <c r="N64" i="79" s="1"/>
  <c r="M100" i="79"/>
  <c r="N100" i="79" s="1"/>
  <c r="M13" i="79"/>
  <c r="N13" i="79" s="1"/>
  <c r="M23" i="79"/>
  <c r="N23" i="79" s="1"/>
  <c r="L23" i="79"/>
  <c r="J23" i="79"/>
  <c r="K23" i="79" s="1"/>
  <c r="L3" i="79"/>
  <c r="J3" i="79"/>
  <c r="K3" i="79" s="1"/>
  <c r="L51" i="79"/>
  <c r="M51" i="79"/>
  <c r="N51" i="79" s="1"/>
  <c r="J51" i="79"/>
  <c r="K51" i="79" s="1"/>
  <c r="H165" i="72"/>
  <c r="B165" i="72"/>
  <c r="B162" i="72"/>
  <c r="H162" i="72"/>
  <c r="I165" i="72"/>
  <c r="B123" i="72"/>
  <c r="B124" i="72"/>
  <c r="B125" i="72"/>
  <c r="B126" i="72"/>
  <c r="B127" i="72"/>
  <c r="B128" i="72"/>
  <c r="B129" i="72"/>
  <c r="B130" i="72"/>
  <c r="B131" i="72"/>
  <c r="B132" i="72"/>
  <c r="B133" i="72"/>
  <c r="B134" i="72"/>
  <c r="L37" i="79" l="1"/>
  <c r="M37" i="79"/>
  <c r="N37" i="79" s="1"/>
  <c r="M38" i="79"/>
  <c r="N38" i="79" s="1"/>
  <c r="J37" i="79"/>
  <c r="K37" i="79" s="1"/>
  <c r="I61" i="79"/>
  <c r="H156" i="79"/>
  <c r="J73" i="79"/>
  <c r="K73" i="79" s="1"/>
  <c r="M73" i="79"/>
  <c r="N73" i="79" s="1"/>
  <c r="M74" i="79"/>
  <c r="N74" i="79" s="1"/>
  <c r="L73" i="79"/>
  <c r="I49" i="79"/>
  <c r="H155" i="79"/>
  <c r="J85" i="79"/>
  <c r="K85" i="79" s="1"/>
  <c r="L85" i="79"/>
  <c r="M85" i="79"/>
  <c r="N85" i="79" s="1"/>
  <c r="C110" i="79"/>
  <c r="H98" i="79"/>
  <c r="I98" i="79" s="1"/>
  <c r="M103" i="79"/>
  <c r="N103" i="79" s="1"/>
  <c r="J103" i="79"/>
  <c r="K103" i="79" s="1"/>
  <c r="M104" i="79"/>
  <c r="N104" i="79" s="1"/>
  <c r="L103" i="79"/>
  <c r="J115" i="79"/>
  <c r="K115" i="79" s="1"/>
  <c r="M115" i="79"/>
  <c r="N115" i="79" s="1"/>
  <c r="L115" i="79"/>
  <c r="I82" i="79"/>
  <c r="H158" i="79"/>
  <c r="M116" i="79"/>
  <c r="N116" i="79" s="1"/>
  <c r="M109" i="79"/>
  <c r="N109" i="79" s="1"/>
  <c r="L109" i="79"/>
  <c r="J109" i="79"/>
  <c r="K109" i="79" s="1"/>
  <c r="J86" i="79"/>
  <c r="K86" i="79" s="1"/>
  <c r="L86" i="79"/>
  <c r="M86" i="79"/>
  <c r="N86" i="79" s="1"/>
  <c r="C106" i="79"/>
  <c r="H94" i="79"/>
  <c r="H157" i="79"/>
  <c r="J27" i="79"/>
  <c r="K27" i="79" s="1"/>
  <c r="M27" i="79"/>
  <c r="N27" i="79" s="1"/>
  <c r="L27" i="79"/>
  <c r="M28" i="79"/>
  <c r="N28" i="79" s="1"/>
  <c r="L61" i="79" l="1"/>
  <c r="M62" i="79"/>
  <c r="N62" i="79" s="1"/>
  <c r="J61" i="79"/>
  <c r="K61" i="79" s="1"/>
  <c r="M61" i="79"/>
  <c r="N61" i="79" s="1"/>
  <c r="C122" i="79"/>
  <c r="H110" i="79"/>
  <c r="I110" i="79" s="1"/>
  <c r="L49" i="79"/>
  <c r="M49" i="79"/>
  <c r="N49" i="79" s="1"/>
  <c r="J49" i="79"/>
  <c r="K49" i="79" s="1"/>
  <c r="M50" i="79"/>
  <c r="N50" i="79" s="1"/>
  <c r="J98" i="79"/>
  <c r="K98" i="79" s="1"/>
  <c r="L98" i="79"/>
  <c r="M98" i="79"/>
  <c r="N98" i="79" s="1"/>
  <c r="M99" i="79"/>
  <c r="N99" i="79" s="1"/>
  <c r="L82" i="79"/>
  <c r="J82" i="79"/>
  <c r="K82" i="79" s="1"/>
  <c r="M82" i="79"/>
  <c r="N82" i="79" s="1"/>
  <c r="M83" i="79"/>
  <c r="N83" i="79" s="1"/>
  <c r="I94" i="79"/>
  <c r="H159" i="79"/>
  <c r="C118" i="79"/>
  <c r="H106" i="79"/>
  <c r="L110" i="79" l="1"/>
  <c r="M110" i="79"/>
  <c r="N110" i="79" s="1"/>
  <c r="J110" i="79"/>
  <c r="K110" i="79" s="1"/>
  <c r="M111" i="79"/>
  <c r="N111" i="79" s="1"/>
  <c r="C134" i="79"/>
  <c r="H134" i="79" s="1"/>
  <c r="H122" i="79"/>
  <c r="I122" i="79" s="1"/>
  <c r="C146" i="79"/>
  <c r="H146" i="79" s="1"/>
  <c r="I106" i="79"/>
  <c r="H160" i="79"/>
  <c r="M95" i="79"/>
  <c r="N95" i="79" s="1"/>
  <c r="M94" i="79"/>
  <c r="N94" i="79" s="1"/>
  <c r="L94" i="79"/>
  <c r="J94" i="79"/>
  <c r="K94" i="79" s="1"/>
  <c r="C130" i="79"/>
  <c r="H130" i="79" s="1"/>
  <c r="H118" i="79"/>
  <c r="F123" i="72"/>
  <c r="G123" i="72"/>
  <c r="G124" i="72"/>
  <c r="G125" i="72"/>
  <c r="G126" i="72"/>
  <c r="G127" i="72"/>
  <c r="G128" i="72"/>
  <c r="G129" i="72"/>
  <c r="G130" i="72"/>
  <c r="G131" i="72"/>
  <c r="G132" i="72"/>
  <c r="G133" i="72"/>
  <c r="G134" i="72"/>
  <c r="M1" i="17"/>
  <c r="D20" i="17"/>
  <c r="D21" i="17"/>
  <c r="B21" i="17"/>
  <c r="H21" i="17" s="1"/>
  <c r="C21" i="17"/>
  <c r="E15" i="77"/>
  <c r="D15" i="77"/>
  <c r="C15" i="77"/>
  <c r="B15" i="77"/>
  <c r="C146" i="72"/>
  <c r="C136" i="72"/>
  <c r="D136" i="72"/>
  <c r="C137" i="72"/>
  <c r="D137" i="72"/>
  <c r="C138" i="72"/>
  <c r="D138" i="72"/>
  <c r="C139" i="72"/>
  <c r="D139" i="72"/>
  <c r="C140" i="72"/>
  <c r="D140" i="72"/>
  <c r="C141" i="72"/>
  <c r="D141" i="72"/>
  <c r="C142" i="72"/>
  <c r="D142" i="72"/>
  <c r="C143" i="72"/>
  <c r="D143" i="72"/>
  <c r="C144" i="72"/>
  <c r="D144" i="72"/>
  <c r="C145" i="72"/>
  <c r="D145" i="72"/>
  <c r="D146" i="72"/>
  <c r="D135" i="72"/>
  <c r="C135" i="72"/>
  <c r="F124" i="72"/>
  <c r="F125" i="72"/>
  <c r="F126" i="72"/>
  <c r="F127" i="72"/>
  <c r="F128" i="72"/>
  <c r="F129" i="72"/>
  <c r="F130" i="72"/>
  <c r="F131" i="72"/>
  <c r="F132" i="72"/>
  <c r="F133" i="72"/>
  <c r="F134" i="72"/>
  <c r="B282" i="76"/>
  <c r="B283" i="76"/>
  <c r="B284" i="76"/>
  <c r="B281" i="76"/>
  <c r="M107" i="79" l="1"/>
  <c r="N107" i="79" s="1"/>
  <c r="M106" i="79"/>
  <c r="N106" i="79" s="1"/>
  <c r="L106" i="79"/>
  <c r="J106" i="79"/>
  <c r="K106" i="79" s="1"/>
  <c r="H162" i="79"/>
  <c r="J122" i="79"/>
  <c r="K122" i="79" s="1"/>
  <c r="L122" i="79"/>
  <c r="M122" i="79"/>
  <c r="N122" i="79" s="1"/>
  <c r="I118" i="79"/>
  <c r="H161" i="79"/>
  <c r="H165" i="79" s="1"/>
  <c r="I165" i="79" s="1"/>
  <c r="C142" i="79"/>
  <c r="H142" i="79" s="1"/>
  <c r="H163" i="79" s="1"/>
  <c r="D35" i="17"/>
  <c r="C474" i="76"/>
  <c r="C475" i="76"/>
  <c r="C476" i="76"/>
  <c r="C473" i="76"/>
  <c r="C450" i="76"/>
  <c r="B474" i="76" s="1"/>
  <c r="C451" i="76"/>
  <c r="B475" i="76" s="1"/>
  <c r="C452" i="76"/>
  <c r="B476" i="76" s="1"/>
  <c r="C449" i="76"/>
  <c r="B473" i="76" s="1"/>
  <c r="J8" i="76"/>
  <c r="K8" i="76"/>
  <c r="L8" i="76"/>
  <c r="H150" i="79" l="1"/>
  <c r="M119" i="79"/>
  <c r="N119" i="79" s="1"/>
  <c r="M118" i="79"/>
  <c r="N118" i="79" s="1"/>
  <c r="L118" i="79"/>
  <c r="L123" i="79" s="1"/>
  <c r="Q28" i="79" s="1"/>
  <c r="J118" i="79"/>
  <c r="K118" i="79" s="1"/>
  <c r="K123" i="79" s="1"/>
  <c r="H167" i="79"/>
  <c r="I167" i="79" s="1"/>
  <c r="B377" i="76"/>
  <c r="B378" i="76"/>
  <c r="B379" i="76"/>
  <c r="B380" i="76"/>
  <c r="N123" i="79" l="1"/>
  <c r="Q27" i="79" s="1"/>
  <c r="Q30" i="79" s="1"/>
  <c r="I8" i="76"/>
  <c r="H8" i="76"/>
  <c r="B8" i="76"/>
  <c r="F196" i="76" l="1"/>
  <c r="F179" i="76"/>
  <c r="F149" i="76"/>
  <c r="F74" i="76"/>
  <c r="F71" i="76"/>
  <c r="F55" i="76"/>
  <c r="L14" i="76"/>
  <c r="L16" i="76" s="1"/>
  <c r="B291" i="76" l="1" a="1"/>
  <c r="B293" i="76" s="1"/>
  <c r="B276" i="76"/>
  <c r="B275" i="76"/>
  <c r="B274" i="76"/>
  <c r="E204" i="76"/>
  <c r="E181" i="76"/>
  <c r="B128" i="76"/>
  <c r="B124" i="76"/>
  <c r="B125" i="76"/>
  <c r="B126" i="76"/>
  <c r="B127" i="76"/>
  <c r="B123" i="76"/>
  <c r="A124" i="76"/>
  <c r="A125" i="76"/>
  <c r="A126" i="76"/>
  <c r="A127" i="76"/>
  <c r="A123" i="76"/>
  <c r="B119" i="76"/>
  <c r="B294" i="76" l="1"/>
  <c r="B292" i="76"/>
  <c r="B291" i="76"/>
  <c r="B118" i="76"/>
  <c r="B117" i="76"/>
  <c r="C41" i="76"/>
  <c r="D41" i="76"/>
  <c r="E41" i="76"/>
  <c r="B41" i="76"/>
  <c r="A27" i="76"/>
  <c r="A4" i="76" a="1"/>
  <c r="A4" i="76" s="1"/>
  <c r="A281" i="76" s="1"/>
  <c r="A291" i="76" l="1"/>
  <c r="A305" i="76"/>
  <c r="A329" i="76" s="1"/>
  <c r="A353" i="76" s="1"/>
  <c r="A377" i="76" s="1"/>
  <c r="A401" i="76" s="1"/>
  <c r="A425" i="76" s="1"/>
  <c r="A449" i="76" s="1"/>
  <c r="A7" i="76"/>
  <c r="A284" i="76" s="1"/>
  <c r="A6" i="76"/>
  <c r="A283" i="76" s="1"/>
  <c r="A5" i="76"/>
  <c r="A282" i="76" s="1"/>
  <c r="F119" i="72"/>
  <c r="F116" i="72"/>
  <c r="F115" i="72"/>
  <c r="F110" i="72"/>
  <c r="F109" i="72"/>
  <c r="F108" i="72"/>
  <c r="F107" i="72"/>
  <c r="F106" i="72"/>
  <c r="F105" i="72"/>
  <c r="F104" i="72"/>
  <c r="F103" i="72"/>
  <c r="F102" i="72"/>
  <c r="F101" i="72"/>
  <c r="F100" i="72"/>
  <c r="F99" i="72"/>
  <c r="F98" i="72"/>
  <c r="F97" i="72"/>
  <c r="F96" i="72"/>
  <c r="F95" i="72"/>
  <c r="F94" i="72"/>
  <c r="F93" i="72"/>
  <c r="F92" i="72"/>
  <c r="F91" i="72"/>
  <c r="F90" i="72"/>
  <c r="F89" i="72"/>
  <c r="F88" i="72"/>
  <c r="F87" i="72"/>
  <c r="F86" i="72"/>
  <c r="F85" i="72"/>
  <c r="F84" i="72"/>
  <c r="F83" i="72"/>
  <c r="F82" i="72"/>
  <c r="F81" i="72"/>
  <c r="F80" i="72"/>
  <c r="F79" i="72"/>
  <c r="F78" i="72"/>
  <c r="F77" i="72"/>
  <c r="F76" i="72"/>
  <c r="F75" i="72"/>
  <c r="F74" i="72"/>
  <c r="F73" i="72"/>
  <c r="F72" i="72"/>
  <c r="F71" i="72"/>
  <c r="F70" i="72"/>
  <c r="F69" i="72"/>
  <c r="F68" i="72"/>
  <c r="F67" i="72"/>
  <c r="F66" i="72"/>
  <c r="F65" i="72"/>
  <c r="F64" i="72"/>
  <c r="F63" i="72"/>
  <c r="F62" i="72"/>
  <c r="F61" i="72"/>
  <c r="F60" i="72"/>
  <c r="F59" i="72"/>
  <c r="F58" i="72"/>
  <c r="F57" i="72"/>
  <c r="F56" i="72"/>
  <c r="F55" i="72"/>
  <c r="F54" i="72"/>
  <c r="F53" i="72"/>
  <c r="F52" i="72"/>
  <c r="F51" i="72"/>
  <c r="F50" i="72"/>
  <c r="F49" i="72"/>
  <c r="F48" i="72"/>
  <c r="F47" i="72"/>
  <c r="F46" i="72"/>
  <c r="F45" i="72"/>
  <c r="F44" i="72"/>
  <c r="F43" i="72"/>
  <c r="F42" i="72"/>
  <c r="F41" i="72"/>
  <c r="F40" i="72"/>
  <c r="F39" i="72"/>
  <c r="F38" i="72"/>
  <c r="F37" i="72"/>
  <c r="F36" i="72"/>
  <c r="F35" i="72"/>
  <c r="F34" i="72"/>
  <c r="F33" i="72"/>
  <c r="F32" i="72"/>
  <c r="F31" i="72"/>
  <c r="F30" i="72"/>
  <c r="F29" i="72"/>
  <c r="F28" i="72"/>
  <c r="F27" i="72"/>
  <c r="F26" i="72"/>
  <c r="F25" i="72"/>
  <c r="F24" i="72"/>
  <c r="F23" i="72"/>
  <c r="F22" i="72"/>
  <c r="F21" i="72"/>
  <c r="F20" i="72"/>
  <c r="F4" i="72"/>
  <c r="A473" i="76" l="1"/>
  <c r="A293" i="76"/>
  <c r="A307" i="76"/>
  <c r="A331" i="76" s="1"/>
  <c r="A355" i="76" s="1"/>
  <c r="A379" i="76" s="1"/>
  <c r="A403" i="76" s="1"/>
  <c r="A427" i="76" s="1"/>
  <c r="A451" i="76" s="1"/>
  <c r="A294" i="76"/>
  <c r="A308" i="76"/>
  <c r="A332" i="76" s="1"/>
  <c r="A356" i="76" s="1"/>
  <c r="A380" i="76" s="1"/>
  <c r="A404" i="76" s="1"/>
  <c r="A428" i="76" s="1"/>
  <c r="A452" i="76" s="1"/>
  <c r="A292" i="76"/>
  <c r="A306" i="76"/>
  <c r="A330" i="76" s="1"/>
  <c r="A354" i="76" s="1"/>
  <c r="A378" i="76" s="1"/>
  <c r="A402" i="76" s="1"/>
  <c r="A426" i="76" s="1"/>
  <c r="A450" i="76" s="1"/>
  <c r="A297" i="76"/>
  <c r="A315" i="76"/>
  <c r="A34" i="17"/>
  <c r="G4" i="72"/>
  <c r="G5" i="72"/>
  <c r="G6" i="72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22" i="72"/>
  <c r="G23" i="72"/>
  <c r="G24" i="72"/>
  <c r="G25" i="72"/>
  <c r="G26" i="72"/>
  <c r="A474" i="76" l="1"/>
  <c r="A476" i="76"/>
  <c r="A475" i="76"/>
  <c r="A321" i="76"/>
  <c r="A339" i="76"/>
  <c r="A298" i="76"/>
  <c r="A316" i="76"/>
  <c r="A300" i="76"/>
  <c r="A318" i="76"/>
  <c r="A299" i="76"/>
  <c r="A317" i="76"/>
  <c r="G10" i="9"/>
  <c r="G7" i="9"/>
  <c r="G6" i="9"/>
  <c r="G9" i="9"/>
  <c r="G8" i="9"/>
  <c r="G5" i="9"/>
  <c r="G11" i="9"/>
  <c r="C2" i="17"/>
  <c r="D2" i="17"/>
  <c r="E2" i="17"/>
  <c r="B2" i="17"/>
  <c r="G28" i="72"/>
  <c r="G29" i="72"/>
  <c r="G30" i="72"/>
  <c r="G31" i="72"/>
  <c r="G32" i="72"/>
  <c r="G33" i="72"/>
  <c r="G34" i="72"/>
  <c r="G35" i="72"/>
  <c r="G36" i="72"/>
  <c r="G37" i="72"/>
  <c r="G38" i="72"/>
  <c r="G39" i="72"/>
  <c r="G40" i="72"/>
  <c r="G41" i="72"/>
  <c r="G42" i="72"/>
  <c r="G43" i="72"/>
  <c r="G44" i="72"/>
  <c r="G45" i="72"/>
  <c r="G46" i="72"/>
  <c r="G47" i="72"/>
  <c r="G48" i="72"/>
  <c r="G49" i="72"/>
  <c r="G50" i="72"/>
  <c r="G51" i="72"/>
  <c r="G52" i="72"/>
  <c r="G53" i="72"/>
  <c r="G54" i="72"/>
  <c r="G55" i="72"/>
  <c r="G56" i="72"/>
  <c r="G57" i="72"/>
  <c r="G58" i="72"/>
  <c r="G59" i="72"/>
  <c r="G60" i="72"/>
  <c r="G61" i="72"/>
  <c r="G62" i="72"/>
  <c r="G63" i="72"/>
  <c r="G64" i="72"/>
  <c r="G65" i="72"/>
  <c r="G66" i="72"/>
  <c r="G67" i="72"/>
  <c r="G68" i="72"/>
  <c r="G69" i="72"/>
  <c r="G70" i="72"/>
  <c r="G71" i="72"/>
  <c r="G72" i="72"/>
  <c r="G73" i="72"/>
  <c r="G74" i="72"/>
  <c r="G75" i="72"/>
  <c r="G76" i="72"/>
  <c r="G77" i="72"/>
  <c r="G78" i="72"/>
  <c r="G79" i="72"/>
  <c r="G80" i="72"/>
  <c r="G81" i="72"/>
  <c r="G82" i="72"/>
  <c r="G83" i="72"/>
  <c r="G84" i="72"/>
  <c r="G85" i="72"/>
  <c r="G86" i="72"/>
  <c r="G87" i="72"/>
  <c r="G88" i="72"/>
  <c r="G89" i="72"/>
  <c r="G90" i="72"/>
  <c r="G91" i="72"/>
  <c r="G92" i="72"/>
  <c r="G93" i="72"/>
  <c r="G94" i="72"/>
  <c r="G95" i="72"/>
  <c r="G96" i="72"/>
  <c r="G97" i="72"/>
  <c r="G98" i="72"/>
  <c r="G99" i="72"/>
  <c r="G100" i="72"/>
  <c r="G101" i="72"/>
  <c r="G102" i="72"/>
  <c r="G103" i="72"/>
  <c r="G104" i="72"/>
  <c r="G105" i="72"/>
  <c r="G106" i="72"/>
  <c r="G107" i="72"/>
  <c r="G108" i="72"/>
  <c r="G109" i="72"/>
  <c r="G110" i="72"/>
  <c r="G111" i="72"/>
  <c r="G112" i="72"/>
  <c r="G113" i="72"/>
  <c r="G114" i="72"/>
  <c r="G115" i="72"/>
  <c r="G116" i="72"/>
  <c r="G117" i="72"/>
  <c r="G118" i="72"/>
  <c r="G119" i="72"/>
  <c r="G120" i="72"/>
  <c r="G121" i="72"/>
  <c r="G122" i="72"/>
  <c r="G27" i="72"/>
  <c r="A323" i="76" l="1"/>
  <c r="A341" i="76"/>
  <c r="A324" i="76"/>
  <c r="A342" i="76"/>
  <c r="A340" i="76"/>
  <c r="A322" i="76"/>
  <c r="A345" i="76"/>
  <c r="A363" i="76"/>
  <c r="I2" i="9"/>
  <c r="J2" i="9"/>
  <c r="K2" i="9"/>
  <c r="H2" i="9"/>
  <c r="A346" i="76" l="1"/>
  <c r="A364" i="76"/>
  <c r="A369" i="76"/>
  <c r="A387" i="76"/>
  <c r="A366" i="76"/>
  <c r="A348" i="76"/>
  <c r="A365" i="76"/>
  <c r="A347" i="76"/>
  <c r="B111" i="72"/>
  <c r="B112" i="72"/>
  <c r="B113" i="72"/>
  <c r="B114" i="72"/>
  <c r="B115" i="72"/>
  <c r="B116" i="72"/>
  <c r="B117" i="72"/>
  <c r="B118" i="72"/>
  <c r="B119" i="72"/>
  <c r="B120" i="72"/>
  <c r="B121" i="72"/>
  <c r="B122" i="72"/>
  <c r="D4" i="72"/>
  <c r="D5" i="72"/>
  <c r="D6" i="72"/>
  <c r="D7" i="72"/>
  <c r="D8" i="72"/>
  <c r="D9" i="72"/>
  <c r="D10" i="72"/>
  <c r="D11" i="72"/>
  <c r="D12" i="72"/>
  <c r="D13" i="72"/>
  <c r="D14" i="72"/>
  <c r="D15" i="72"/>
  <c r="D16" i="72"/>
  <c r="D17" i="72"/>
  <c r="D18" i="72"/>
  <c r="D19" i="72"/>
  <c r="D20" i="72"/>
  <c r="D21" i="72"/>
  <c r="D22" i="72"/>
  <c r="D23" i="72"/>
  <c r="D24" i="72"/>
  <c r="D25" i="72"/>
  <c r="D26" i="72"/>
  <c r="D27" i="72"/>
  <c r="D28" i="72"/>
  <c r="D29" i="72"/>
  <c r="D30" i="72"/>
  <c r="D31" i="72"/>
  <c r="D32" i="72"/>
  <c r="D33" i="72"/>
  <c r="D34" i="72"/>
  <c r="D35" i="72"/>
  <c r="D36" i="72"/>
  <c r="D37" i="72"/>
  <c r="D38" i="72"/>
  <c r="D39" i="72"/>
  <c r="D40" i="72"/>
  <c r="D41" i="72"/>
  <c r="D42" i="72"/>
  <c r="D43" i="72"/>
  <c r="D44" i="72"/>
  <c r="D45" i="72"/>
  <c r="D46" i="72"/>
  <c r="D47" i="72"/>
  <c r="D48" i="72"/>
  <c r="D49" i="72"/>
  <c r="D50" i="72"/>
  <c r="D51" i="72"/>
  <c r="D52" i="72"/>
  <c r="D53" i="72"/>
  <c r="D54" i="72"/>
  <c r="D55" i="72"/>
  <c r="D56" i="72"/>
  <c r="D57" i="72"/>
  <c r="D58" i="72"/>
  <c r="D59" i="72"/>
  <c r="D60" i="72"/>
  <c r="D61" i="72"/>
  <c r="D62" i="72"/>
  <c r="D63" i="72"/>
  <c r="D64" i="72"/>
  <c r="D65" i="72"/>
  <c r="D66" i="72"/>
  <c r="D67" i="72"/>
  <c r="D68" i="72"/>
  <c r="D69" i="72"/>
  <c r="D70" i="72"/>
  <c r="D71" i="72"/>
  <c r="D72" i="72"/>
  <c r="D73" i="72"/>
  <c r="D74" i="72"/>
  <c r="D75" i="72"/>
  <c r="D76" i="72"/>
  <c r="D77" i="72"/>
  <c r="D78" i="72"/>
  <c r="D79" i="72"/>
  <c r="D80" i="72"/>
  <c r="D81" i="72"/>
  <c r="D82" i="72"/>
  <c r="D83" i="72"/>
  <c r="D84" i="72"/>
  <c r="D85" i="72"/>
  <c r="D86" i="72"/>
  <c r="D87" i="72"/>
  <c r="D88" i="72"/>
  <c r="D89" i="72"/>
  <c r="D90" i="72"/>
  <c r="D91" i="72"/>
  <c r="D92" i="72"/>
  <c r="D93" i="72"/>
  <c r="D94" i="72"/>
  <c r="D95" i="72"/>
  <c r="D96" i="72"/>
  <c r="D97" i="72"/>
  <c r="D98" i="72"/>
  <c r="D99" i="72"/>
  <c r="D100" i="72"/>
  <c r="D101" i="72"/>
  <c r="D102" i="72"/>
  <c r="D103" i="72"/>
  <c r="D104" i="72"/>
  <c r="D105" i="72"/>
  <c r="D106" i="72"/>
  <c r="D107" i="72"/>
  <c r="D108" i="72"/>
  <c r="D109" i="72"/>
  <c r="D110" i="72"/>
  <c r="D111" i="72"/>
  <c r="D112" i="72"/>
  <c r="D113" i="72"/>
  <c r="D114" i="72"/>
  <c r="D115" i="72"/>
  <c r="D116" i="72"/>
  <c r="D117" i="72"/>
  <c r="D118" i="72"/>
  <c r="D119" i="72"/>
  <c r="D120" i="72"/>
  <c r="D121" i="72"/>
  <c r="D122" i="72"/>
  <c r="D3" i="72"/>
  <c r="C30" i="72"/>
  <c r="C38" i="72"/>
  <c r="C42" i="72"/>
  <c r="H42" i="72" s="1"/>
  <c r="C50" i="72"/>
  <c r="C54" i="72"/>
  <c r="C62" i="72"/>
  <c r="C66" i="72"/>
  <c r="C74" i="72"/>
  <c r="C78" i="72"/>
  <c r="C82" i="72"/>
  <c r="C86" i="72"/>
  <c r="H86" i="72" s="1"/>
  <c r="C90" i="72"/>
  <c r="C94" i="72"/>
  <c r="C102" i="72"/>
  <c r="C106" i="72"/>
  <c r="C114" i="72"/>
  <c r="C118" i="72"/>
  <c r="C28" i="72"/>
  <c r="C31" i="72"/>
  <c r="C32" i="72"/>
  <c r="C36" i="72"/>
  <c r="H36" i="72" s="1"/>
  <c r="C39" i="72"/>
  <c r="C40" i="72"/>
  <c r="C44" i="72"/>
  <c r="C47" i="72"/>
  <c r="C48" i="72"/>
  <c r="C52" i="72"/>
  <c r="C55" i="72"/>
  <c r="C56" i="72"/>
  <c r="C60" i="72"/>
  <c r="C63" i="72"/>
  <c r="C64" i="72"/>
  <c r="C68" i="72"/>
  <c r="C71" i="72"/>
  <c r="C72" i="72"/>
  <c r="C76" i="72"/>
  <c r="C79" i="72"/>
  <c r="C80" i="72"/>
  <c r="C84" i="72"/>
  <c r="C87" i="72"/>
  <c r="C88" i="72"/>
  <c r="C92" i="72"/>
  <c r="C95" i="72"/>
  <c r="C96" i="72"/>
  <c r="C100" i="72"/>
  <c r="C103" i="72"/>
  <c r="C104" i="72"/>
  <c r="C108" i="72"/>
  <c r="C111" i="72"/>
  <c r="C112" i="72"/>
  <c r="C116" i="72"/>
  <c r="C119" i="72"/>
  <c r="C120" i="72"/>
  <c r="C4" i="72"/>
  <c r="C5" i="72"/>
  <c r="C6" i="72"/>
  <c r="C7" i="72"/>
  <c r="C8" i="72"/>
  <c r="C9" i="72"/>
  <c r="C10" i="72"/>
  <c r="C11" i="72"/>
  <c r="C12" i="72"/>
  <c r="C13" i="72"/>
  <c r="C14" i="72"/>
  <c r="C15" i="72"/>
  <c r="C16" i="72"/>
  <c r="C17" i="72"/>
  <c r="C18" i="72"/>
  <c r="C19" i="72"/>
  <c r="C20" i="72"/>
  <c r="C21" i="72"/>
  <c r="C22" i="72"/>
  <c r="C23" i="72"/>
  <c r="C24" i="72"/>
  <c r="C25" i="72"/>
  <c r="H25" i="72" s="1"/>
  <c r="C26" i="72"/>
  <c r="H26" i="72" s="1"/>
  <c r="C27" i="72"/>
  <c r="C29" i="72"/>
  <c r="C33" i="72"/>
  <c r="C34" i="72"/>
  <c r="C35" i="72"/>
  <c r="C37" i="72"/>
  <c r="H37" i="72" s="1"/>
  <c r="C41" i="72"/>
  <c r="C43" i="72"/>
  <c r="C45" i="72"/>
  <c r="C46" i="72"/>
  <c r="C49" i="72"/>
  <c r="H49" i="72" s="1"/>
  <c r="C51" i="72"/>
  <c r="C53" i="72"/>
  <c r="C57" i="72"/>
  <c r="H57" i="72" s="1"/>
  <c r="C58" i="72"/>
  <c r="C59" i="72"/>
  <c r="C61" i="72"/>
  <c r="C65" i="72"/>
  <c r="C67" i="72"/>
  <c r="C69" i="72"/>
  <c r="C70" i="72"/>
  <c r="C73" i="72"/>
  <c r="C75" i="72"/>
  <c r="C77" i="72"/>
  <c r="C81" i="72"/>
  <c r="C83" i="72"/>
  <c r="C85" i="72"/>
  <c r="C89" i="72"/>
  <c r="C91" i="72"/>
  <c r="C93" i="72"/>
  <c r="C97" i="72"/>
  <c r="H97" i="72" s="1"/>
  <c r="C98" i="72"/>
  <c r="C99" i="72"/>
  <c r="C101" i="72"/>
  <c r="H101" i="72" s="1"/>
  <c r="C105" i="72"/>
  <c r="C107" i="72"/>
  <c r="C109" i="72"/>
  <c r="C110" i="72"/>
  <c r="C113" i="72"/>
  <c r="C115" i="72"/>
  <c r="C117" i="72"/>
  <c r="C121" i="72"/>
  <c r="C122" i="72"/>
  <c r="C3" i="72"/>
  <c r="B4" i="72"/>
  <c r="B5" i="72"/>
  <c r="B6" i="72"/>
  <c r="B7" i="72"/>
  <c r="B8" i="72"/>
  <c r="B9" i="72"/>
  <c r="B10" i="72"/>
  <c r="B11" i="72"/>
  <c r="B12" i="72"/>
  <c r="B13" i="72"/>
  <c r="B14" i="72"/>
  <c r="B15" i="72"/>
  <c r="B16" i="72"/>
  <c r="B17" i="72"/>
  <c r="B18" i="72"/>
  <c r="B19" i="72"/>
  <c r="B20" i="72"/>
  <c r="B21" i="72"/>
  <c r="B22" i="72"/>
  <c r="B23" i="72"/>
  <c r="B24" i="72"/>
  <c r="B25" i="72"/>
  <c r="B26" i="72"/>
  <c r="B27" i="72"/>
  <c r="B28" i="72"/>
  <c r="B29" i="72"/>
  <c r="B30" i="72"/>
  <c r="B31" i="72"/>
  <c r="B32" i="72"/>
  <c r="B33" i="72"/>
  <c r="B34" i="72"/>
  <c r="B35" i="72"/>
  <c r="B36" i="72"/>
  <c r="B37" i="72"/>
  <c r="B38" i="72"/>
  <c r="B39" i="72"/>
  <c r="B40" i="72"/>
  <c r="B41" i="72"/>
  <c r="B42" i="72"/>
  <c r="B43" i="72"/>
  <c r="B44" i="72"/>
  <c r="B45" i="72"/>
  <c r="B46" i="72"/>
  <c r="B47" i="72"/>
  <c r="B48" i="72"/>
  <c r="B49" i="72"/>
  <c r="B50" i="72"/>
  <c r="B51" i="72"/>
  <c r="B52" i="72"/>
  <c r="B53" i="72"/>
  <c r="B54" i="72"/>
  <c r="B55" i="72"/>
  <c r="B56" i="72"/>
  <c r="B57" i="72"/>
  <c r="B58" i="72"/>
  <c r="B59" i="72"/>
  <c r="B60" i="72"/>
  <c r="B61" i="72"/>
  <c r="B62" i="72"/>
  <c r="B63" i="72"/>
  <c r="B64" i="72"/>
  <c r="B65" i="72"/>
  <c r="B66" i="72"/>
  <c r="B67" i="72"/>
  <c r="B68" i="72"/>
  <c r="B69" i="72"/>
  <c r="B70" i="72"/>
  <c r="B71" i="72"/>
  <c r="B72" i="72"/>
  <c r="B73" i="72"/>
  <c r="B74" i="72"/>
  <c r="B75" i="72"/>
  <c r="B76" i="72"/>
  <c r="B77" i="72"/>
  <c r="B78" i="72"/>
  <c r="B79" i="72"/>
  <c r="B80" i="72"/>
  <c r="B81" i="72"/>
  <c r="B82" i="72"/>
  <c r="B83" i="72"/>
  <c r="B84" i="72"/>
  <c r="B85" i="72"/>
  <c r="B86" i="72"/>
  <c r="B87" i="72"/>
  <c r="B88" i="72"/>
  <c r="B89" i="72"/>
  <c r="B90" i="72"/>
  <c r="B91" i="72"/>
  <c r="B92" i="72"/>
  <c r="B93" i="72"/>
  <c r="B94" i="72"/>
  <c r="B95" i="72"/>
  <c r="B96" i="72"/>
  <c r="B97" i="72"/>
  <c r="B98" i="72"/>
  <c r="B99" i="72"/>
  <c r="B100" i="72"/>
  <c r="B101" i="72"/>
  <c r="B102" i="72"/>
  <c r="B103" i="72"/>
  <c r="B104" i="72"/>
  <c r="B105" i="72"/>
  <c r="B106" i="72"/>
  <c r="B107" i="72"/>
  <c r="B108" i="72"/>
  <c r="B109" i="72"/>
  <c r="B110" i="72"/>
  <c r="B3" i="72"/>
  <c r="E7" i="77"/>
  <c r="E13" i="17" s="1"/>
  <c r="E153" i="76" s="1"/>
  <c r="E8" i="77"/>
  <c r="E14" i="17" s="1"/>
  <c r="E154" i="76" s="1"/>
  <c r="E9" i="77"/>
  <c r="E15" i="17" s="1"/>
  <c r="E155" i="76" s="1"/>
  <c r="E10" i="77"/>
  <c r="E16" i="17" s="1"/>
  <c r="E156" i="76" s="1"/>
  <c r="E11" i="77"/>
  <c r="E17" i="17" s="1"/>
  <c r="E157" i="76" s="1"/>
  <c r="E12" i="77"/>
  <c r="E18" i="17" s="1"/>
  <c r="E158" i="76" s="1"/>
  <c r="E13" i="77"/>
  <c r="E19" i="17" s="1"/>
  <c r="E14" i="77"/>
  <c r="E20" i="17" s="1"/>
  <c r="E35" i="17" s="1"/>
  <c r="D6" i="77"/>
  <c r="D12" i="17" s="1"/>
  <c r="D7" i="77"/>
  <c r="D13" i="17" s="1"/>
  <c r="D8" i="77"/>
  <c r="D14" i="17" s="1"/>
  <c r="D9" i="77"/>
  <c r="D15" i="17" s="1"/>
  <c r="D10" i="77"/>
  <c r="D16" i="17" s="1"/>
  <c r="D11" i="77"/>
  <c r="D17" i="17" s="1"/>
  <c r="D12" i="77"/>
  <c r="D18" i="17" s="1"/>
  <c r="D13" i="77"/>
  <c r="D19" i="17" s="1"/>
  <c r="D14" i="77"/>
  <c r="C6" i="77"/>
  <c r="C12" i="17" s="1"/>
  <c r="C7" i="77"/>
  <c r="C13" i="17" s="1"/>
  <c r="C8" i="77"/>
  <c r="C14" i="17" s="1"/>
  <c r="C9" i="77"/>
  <c r="C15" i="17" s="1"/>
  <c r="C10" i="77"/>
  <c r="C16" i="17" s="1"/>
  <c r="C11" i="77"/>
  <c r="C17" i="17" s="1"/>
  <c r="C12" i="77"/>
  <c r="C18" i="17" s="1"/>
  <c r="C13" i="77"/>
  <c r="C19" i="17" s="1"/>
  <c r="C14" i="77"/>
  <c r="C20" i="17" s="1"/>
  <c r="C5" i="77"/>
  <c r="C11" i="17" s="1"/>
  <c r="B6" i="77"/>
  <c r="B12" i="17" s="1"/>
  <c r="H12" i="17" s="1"/>
  <c r="B7" i="77"/>
  <c r="B13" i="17" s="1"/>
  <c r="B8" i="77"/>
  <c r="B14" i="17" s="1"/>
  <c r="B9" i="77"/>
  <c r="B15" i="17" s="1"/>
  <c r="B10" i="77"/>
  <c r="B16" i="17" s="1"/>
  <c r="B11" i="77"/>
  <c r="B17" i="17" s="1"/>
  <c r="B12" i="77"/>
  <c r="B18" i="17" s="1"/>
  <c r="B13" i="77"/>
  <c r="B19" i="17" s="1"/>
  <c r="B14" i="77"/>
  <c r="B20" i="17" s="1"/>
  <c r="B5" i="77"/>
  <c r="B11" i="17" s="1"/>
  <c r="C187" i="76" l="1"/>
  <c r="C35" i="17"/>
  <c r="B187" i="76"/>
  <c r="B35" i="17"/>
  <c r="E159" i="76"/>
  <c r="H13" i="17"/>
  <c r="E160" i="76"/>
  <c r="E187" i="76"/>
  <c r="D34" i="17"/>
  <c r="H109" i="72"/>
  <c r="H33" i="72"/>
  <c r="H100" i="72"/>
  <c r="H88" i="72"/>
  <c r="H34" i="72"/>
  <c r="H53" i="72"/>
  <c r="H77" i="72"/>
  <c r="H41" i="72"/>
  <c r="H65" i="72"/>
  <c r="H81" i="72"/>
  <c r="H105" i="72"/>
  <c r="H106" i="72"/>
  <c r="H45" i="72"/>
  <c r="H69" i="72"/>
  <c r="H21" i="72"/>
  <c r="H93" i="72"/>
  <c r="H82" i="72"/>
  <c r="H35" i="72"/>
  <c r="A371" i="76"/>
  <c r="A389" i="76"/>
  <c r="A372" i="76"/>
  <c r="A390" i="76"/>
  <c r="A393" i="76"/>
  <c r="A411" i="76"/>
  <c r="A370" i="76"/>
  <c r="A388" i="76"/>
  <c r="E22" i="17"/>
  <c r="E182" i="76" s="1"/>
  <c r="E192" i="76"/>
  <c r="H19" i="17"/>
  <c r="C34" i="17"/>
  <c r="H70" i="72"/>
  <c r="H23" i="72"/>
  <c r="H47" i="72"/>
  <c r="H22" i="72"/>
  <c r="H87" i="72"/>
  <c r="B34" i="17"/>
  <c r="H17" i="17"/>
  <c r="H16" i="17"/>
  <c r="H15" i="17"/>
  <c r="H46" i="72"/>
  <c r="H39" i="72"/>
  <c r="H14" i="17"/>
  <c r="H18" i="17"/>
  <c r="E34" i="17"/>
  <c r="H94" i="72"/>
  <c r="H54" i="72"/>
  <c r="H102" i="72"/>
  <c r="H79" i="72"/>
  <c r="H30" i="72"/>
  <c r="H98" i="72"/>
  <c r="H108" i="72"/>
  <c r="H76" i="72"/>
  <c r="H44" i="72"/>
  <c r="H90" i="72"/>
  <c r="H91" i="72"/>
  <c r="H20" i="72"/>
  <c r="H103" i="72"/>
  <c r="H61" i="72"/>
  <c r="H68" i="72"/>
  <c r="H78" i="72"/>
  <c r="H89" i="72"/>
  <c r="H74" i="72"/>
  <c r="H85" i="72"/>
  <c r="H66" i="72"/>
  <c r="H110" i="72"/>
  <c r="H29" i="72"/>
  <c r="H4" i="72"/>
  <c r="H92" i="72"/>
  <c r="H60" i="72"/>
  <c r="H28" i="72"/>
  <c r="H62" i="72"/>
  <c r="H50" i="72"/>
  <c r="H38" i="72"/>
  <c r="H73" i="72"/>
  <c r="H80" i="72"/>
  <c r="H99" i="72"/>
  <c r="H27" i="72"/>
  <c r="H56" i="72"/>
  <c r="H115" i="72"/>
  <c r="H59" i="72"/>
  <c r="H43" i="72"/>
  <c r="H119" i="72"/>
  <c r="H96" i="72"/>
  <c r="H55" i="72"/>
  <c r="H32" i="72"/>
  <c r="H75" i="72"/>
  <c r="H58" i="72"/>
  <c r="H116" i="72"/>
  <c r="H95" i="72"/>
  <c r="H72" i="72"/>
  <c r="H52" i="72"/>
  <c r="H31" i="72"/>
  <c r="H24" i="72"/>
  <c r="H71" i="72"/>
  <c r="H48" i="72"/>
  <c r="H107" i="72"/>
  <c r="H51" i="72"/>
  <c r="H64" i="72"/>
  <c r="H67" i="72"/>
  <c r="H104" i="72"/>
  <c r="H84" i="72"/>
  <c r="H63" i="72"/>
  <c r="H40" i="72"/>
  <c r="H83" i="72"/>
  <c r="N24" i="77"/>
  <c r="O24" i="77"/>
  <c r="P24" i="77"/>
  <c r="Q24" i="77"/>
  <c r="P25" i="77"/>
  <c r="Q25" i="77"/>
  <c r="O26" i="77"/>
  <c r="P26" i="77"/>
  <c r="Q26" i="77"/>
  <c r="O27" i="77"/>
  <c r="P27" i="77"/>
  <c r="Q27" i="77"/>
  <c r="O28" i="77"/>
  <c r="P28" i="77"/>
  <c r="Q28" i="77"/>
  <c r="O29" i="77"/>
  <c r="P29" i="77"/>
  <c r="Q29" i="77"/>
  <c r="O30" i="77"/>
  <c r="P30" i="77"/>
  <c r="Q30" i="77"/>
  <c r="O31" i="77"/>
  <c r="P31" i="77"/>
  <c r="Q31" i="77"/>
  <c r="O32" i="77"/>
  <c r="P32" i="77"/>
  <c r="Q32" i="77"/>
  <c r="O33" i="77"/>
  <c r="P33" i="77"/>
  <c r="Q33" i="77"/>
  <c r="O34" i="77"/>
  <c r="P34" i="77"/>
  <c r="Q34" i="77"/>
  <c r="O35" i="77"/>
  <c r="P35" i="77"/>
  <c r="Q35" i="77"/>
  <c r="O36" i="77"/>
  <c r="P36" i="77"/>
  <c r="Q36" i="77"/>
  <c r="O37" i="77"/>
  <c r="P37" i="77"/>
  <c r="Q37" i="77"/>
  <c r="O38" i="77"/>
  <c r="P38" i="77"/>
  <c r="Q38" i="77"/>
  <c r="O39" i="77"/>
  <c r="P39" i="77"/>
  <c r="Q39" i="77"/>
  <c r="O40" i="77"/>
  <c r="P40" i="77"/>
  <c r="Q40" i="77"/>
  <c r="M84" i="77"/>
  <c r="M85" i="77"/>
  <c r="M86" i="77"/>
  <c r="M87" i="77"/>
  <c r="M88" i="77"/>
  <c r="M89" i="77"/>
  <c r="M90" i="77"/>
  <c r="M91" i="77"/>
  <c r="M92" i="77"/>
  <c r="M93" i="77"/>
  <c r="M95" i="77"/>
  <c r="M96" i="77"/>
  <c r="M97" i="77"/>
  <c r="M98" i="77"/>
  <c r="M99" i="77"/>
  <c r="M100" i="77"/>
  <c r="M101" i="77"/>
  <c r="M102" i="77"/>
  <c r="M103" i="77"/>
  <c r="M104" i="77"/>
  <c r="M105" i="77"/>
  <c r="M106" i="77"/>
  <c r="M107" i="77"/>
  <c r="L132" i="77"/>
  <c r="M132" i="77"/>
  <c r="L133" i="77"/>
  <c r="M133" i="77"/>
  <c r="L134" i="77"/>
  <c r="M134" i="77"/>
  <c r="L135" i="77"/>
  <c r="M135" i="77"/>
  <c r="M136" i="77"/>
  <c r="M137" i="77"/>
  <c r="L138" i="77"/>
  <c r="M138" i="77"/>
  <c r="L139" i="77"/>
  <c r="M139" i="77"/>
  <c r="M140" i="77"/>
  <c r="L141" i="77"/>
  <c r="M141" i="77"/>
  <c r="L142" i="77"/>
  <c r="M142" i="77"/>
  <c r="L143" i="77"/>
  <c r="M143" i="77"/>
  <c r="F114" i="72" l="1"/>
  <c r="H114" i="72" s="1"/>
  <c r="F9" i="72"/>
  <c r="H9" i="72" s="1"/>
  <c r="F112" i="72"/>
  <c r="H112" i="72" s="1"/>
  <c r="F122" i="72"/>
  <c r="H122" i="72" s="1"/>
  <c r="F18" i="72"/>
  <c r="H18" i="72" s="1"/>
  <c r="F14" i="72"/>
  <c r="H14" i="72" s="1"/>
  <c r="F6" i="72"/>
  <c r="H6" i="72" s="1"/>
  <c r="F113" i="72"/>
  <c r="H113" i="72" s="1"/>
  <c r="F17" i="72"/>
  <c r="H17" i="72" s="1"/>
  <c r="F13" i="72"/>
  <c r="H13" i="72" s="1"/>
  <c r="F120" i="72"/>
  <c r="H120" i="72" s="1"/>
  <c r="F10" i="72"/>
  <c r="H10" i="72" s="1"/>
  <c r="F5" i="72"/>
  <c r="H5" i="72" s="1"/>
  <c r="F12" i="72"/>
  <c r="H12" i="72" s="1"/>
  <c r="F118" i="72"/>
  <c r="H118" i="72" s="1"/>
  <c r="F121" i="72"/>
  <c r="H121" i="72" s="1"/>
  <c r="F16" i="72"/>
  <c r="H16" i="72" s="1"/>
  <c r="F8" i="72"/>
  <c r="H8" i="72" s="1"/>
  <c r="F117" i="72"/>
  <c r="H117" i="72" s="1"/>
  <c r="F19" i="72"/>
  <c r="H19" i="72" s="1"/>
  <c r="F11" i="72"/>
  <c r="H11" i="72" s="1"/>
  <c r="F7" i="72"/>
  <c r="H7" i="72" s="1"/>
  <c r="A394" i="76"/>
  <c r="A412" i="76"/>
  <c r="A417" i="76"/>
  <c r="A435" i="76"/>
  <c r="A459" i="76" s="1"/>
  <c r="A465" i="76" s="1"/>
  <c r="A396" i="76"/>
  <c r="A414" i="76"/>
  <c r="A395" i="76"/>
  <c r="A413" i="76"/>
  <c r="G3" i="72"/>
  <c r="D5" i="77"/>
  <c r="D11" i="17" s="1"/>
  <c r="F3" i="72"/>
  <c r="G3" i="9"/>
  <c r="E6" i="77"/>
  <c r="E12" i="17" s="1"/>
  <c r="E152" i="76" s="1"/>
  <c r="F15" i="72"/>
  <c r="H15" i="72" s="1"/>
  <c r="G4" i="9"/>
  <c r="E5" i="77"/>
  <c r="E11" i="17" s="1"/>
  <c r="E151" i="76" s="1"/>
  <c r="F111" i="72"/>
  <c r="H111" i="72" s="1"/>
  <c r="D187" i="76"/>
  <c r="K20" i="17"/>
  <c r="H3" i="72" l="1"/>
  <c r="A420" i="76"/>
  <c r="A438" i="76"/>
  <c r="A462" i="76" s="1"/>
  <c r="A468" i="76" s="1"/>
  <c r="A418" i="76"/>
  <c r="A436" i="76"/>
  <c r="A460" i="76" s="1"/>
  <c r="A466" i="76" s="1"/>
  <c r="A419" i="76"/>
  <c r="A437" i="76"/>
  <c r="A461" i="76" s="1"/>
  <c r="A467" i="76" s="1"/>
  <c r="A441" i="76"/>
  <c r="A483" i="76"/>
  <c r="A489" i="76" s="1"/>
  <c r="F11" i="17"/>
  <c r="H11" i="17"/>
  <c r="G12" i="9"/>
  <c r="A443" i="76" l="1"/>
  <c r="A485" i="76"/>
  <c r="A491" i="76" s="1"/>
  <c r="A442" i="76"/>
  <c r="A484" i="76"/>
  <c r="A490" i="76" s="1"/>
  <c r="A444" i="76"/>
  <c r="A486" i="76"/>
  <c r="A492" i="76" s="1"/>
  <c r="E135" i="76" l="1"/>
  <c r="E136" i="76"/>
  <c r="E137" i="76" l="1"/>
  <c r="J14" i="76"/>
  <c r="I14" i="76"/>
  <c r="H14" i="76"/>
  <c r="K14" i="76"/>
  <c r="G14" i="76"/>
  <c r="F14" i="76"/>
  <c r="E14" i="76"/>
  <c r="D14" i="76"/>
  <c r="C14" i="76"/>
  <c r="B14" i="76"/>
  <c r="E138" i="76" l="1"/>
  <c r="E139" i="76" l="1"/>
  <c r="D8" i="76"/>
  <c r="D16" i="76" s="1"/>
  <c r="E8" i="76"/>
  <c r="E16" i="76" s="1"/>
  <c r="F8" i="76"/>
  <c r="F16" i="76" s="1"/>
  <c r="G8" i="76"/>
  <c r="G16" i="76" s="1"/>
  <c r="H16" i="76"/>
  <c r="B16" i="76"/>
  <c r="B428" i="76"/>
  <c r="B427" i="76"/>
  <c r="B426" i="76"/>
  <c r="B425" i="76"/>
  <c r="E140" i="76" l="1"/>
  <c r="B429" i="76"/>
  <c r="C405" i="76"/>
  <c r="B404" i="76"/>
  <c r="D404" i="76" s="1"/>
  <c r="E404" i="76" s="1"/>
  <c r="B403" i="76"/>
  <c r="D403" i="76" s="1"/>
  <c r="E403" i="76" s="1"/>
  <c r="B402" i="76"/>
  <c r="D402" i="76" s="1"/>
  <c r="E402" i="76" s="1"/>
  <c r="B401" i="76"/>
  <c r="D401" i="76" s="1"/>
  <c r="E401" i="76" s="1"/>
  <c r="C381" i="76"/>
  <c r="D380" i="76"/>
  <c r="E380" i="76" s="1"/>
  <c r="D379" i="76"/>
  <c r="E379" i="76" s="1"/>
  <c r="D378" i="76"/>
  <c r="E378" i="76" s="1"/>
  <c r="D377" i="76"/>
  <c r="E377" i="76" s="1"/>
  <c r="C357" i="76"/>
  <c r="B356" i="76"/>
  <c r="D356" i="76" s="1"/>
  <c r="E356" i="76" s="1"/>
  <c r="B355" i="76"/>
  <c r="D355" i="76" s="1"/>
  <c r="E355" i="76" s="1"/>
  <c r="B354" i="76"/>
  <c r="D354" i="76" s="1"/>
  <c r="E354" i="76" s="1"/>
  <c r="B353" i="76"/>
  <c r="D353" i="76" s="1"/>
  <c r="E353" i="76" s="1"/>
  <c r="B330" i="76"/>
  <c r="D330" i="76" s="1"/>
  <c r="E330" i="76" s="1"/>
  <c r="B331" i="76"/>
  <c r="D331" i="76" s="1"/>
  <c r="E331" i="76" s="1"/>
  <c r="B332" i="76"/>
  <c r="D332" i="76" s="1"/>
  <c r="E332" i="76" s="1"/>
  <c r="B329" i="76"/>
  <c r="D329" i="76" s="1"/>
  <c r="E329" i="76" s="1"/>
  <c r="C333" i="76"/>
  <c r="B306" i="76"/>
  <c r="B307" i="76"/>
  <c r="B308" i="76"/>
  <c r="B305" i="76"/>
  <c r="E141" i="76" l="1"/>
  <c r="C8" i="76"/>
  <c r="C16" i="76" s="1"/>
  <c r="B357" i="76"/>
  <c r="D357" i="76" s="1"/>
  <c r="E357" i="76" s="1"/>
  <c r="B405" i="76"/>
  <c r="D405" i="76" s="1"/>
  <c r="E405" i="76" s="1"/>
  <c r="B381" i="76"/>
  <c r="D381" i="76" s="1"/>
  <c r="E381" i="76" s="1"/>
  <c r="B333" i="76"/>
  <c r="D333" i="76" s="1"/>
  <c r="E333" i="76" s="1"/>
  <c r="E142" i="76" l="1"/>
  <c r="C285" i="76"/>
  <c r="B285" i="76"/>
  <c r="D282" i="76"/>
  <c r="E282" i="76" s="1"/>
  <c r="D283" i="76"/>
  <c r="E283" i="76" s="1"/>
  <c r="D284" i="76"/>
  <c r="E284" i="76" s="1"/>
  <c r="D281" i="76"/>
  <c r="E281" i="76" s="1"/>
  <c r="E143" i="76" l="1"/>
  <c r="D285" i="76"/>
  <c r="E285" i="76" s="1"/>
  <c r="I293" i="76"/>
  <c r="I292" i="76"/>
  <c r="I291" i="76"/>
  <c r="E144" i="76" l="1"/>
  <c r="I294" i="76"/>
  <c r="B295" i="76"/>
  <c r="M11" i="17" l="1"/>
  <c r="G135" i="72" l="1"/>
  <c r="M12" i="17"/>
  <c r="D305" i="76"/>
  <c r="E305" i="76" s="1"/>
  <c r="D308" i="76"/>
  <c r="E308" i="76" s="1"/>
  <c r="G136" i="72" l="1"/>
  <c r="M13" i="17"/>
  <c r="D306" i="76"/>
  <c r="E306" i="76" s="1"/>
  <c r="G137" i="72" l="1"/>
  <c r="M14" i="17"/>
  <c r="D204" i="76"/>
  <c r="A74" i="76"/>
  <c r="A101" i="76" s="1"/>
  <c r="G138" i="72" l="1"/>
  <c r="M15" i="17"/>
  <c r="G139" i="72" l="1"/>
  <c r="M16" i="17"/>
  <c r="A28" i="76"/>
  <c r="A29" i="76" s="1"/>
  <c r="A13" i="18"/>
  <c r="A12" i="18"/>
  <c r="A11" i="18"/>
  <c r="A10" i="18"/>
  <c r="A9" i="18"/>
  <c r="A8" i="18"/>
  <c r="A7" i="18"/>
  <c r="A6" i="18"/>
  <c r="A5" i="18"/>
  <c r="A4" i="18"/>
  <c r="A3" i="18"/>
  <c r="A2" i="18"/>
  <c r="A33" i="17"/>
  <c r="A32" i="17"/>
  <c r="A31" i="17"/>
  <c r="A30" i="17"/>
  <c r="A29" i="17"/>
  <c r="A28" i="17"/>
  <c r="A27" i="17"/>
  <c r="A26" i="17"/>
  <c r="D159" i="76"/>
  <c r="C159" i="76"/>
  <c r="B159" i="76"/>
  <c r="E32" i="17"/>
  <c r="D158" i="76"/>
  <c r="B158" i="76"/>
  <c r="D157" i="76"/>
  <c r="C31" i="17"/>
  <c r="D156" i="76"/>
  <c r="C156" i="76"/>
  <c r="B156" i="76"/>
  <c r="F156" i="76" s="1"/>
  <c r="D155" i="76"/>
  <c r="C155" i="76"/>
  <c r="B155" i="76"/>
  <c r="E27" i="11"/>
  <c r="C269" i="76" s="1"/>
  <c r="D154" i="76"/>
  <c r="B154" i="76"/>
  <c r="D153" i="76"/>
  <c r="D18" i="11"/>
  <c r="D152" i="76"/>
  <c r="C152" i="76"/>
  <c r="C14" i="11"/>
  <c r="D151" i="76"/>
  <c r="C151" i="76"/>
  <c r="B14" i="11"/>
  <c r="D10" i="17"/>
  <c r="C10" i="17"/>
  <c r="B10" i="17"/>
  <c r="E9" i="17"/>
  <c r="D9" i="17"/>
  <c r="C9" i="17"/>
  <c r="B9" i="17"/>
  <c r="E8" i="17"/>
  <c r="D8" i="17"/>
  <c r="C8" i="17"/>
  <c r="B8" i="17"/>
  <c r="E7" i="17"/>
  <c r="D7" i="17"/>
  <c r="C7" i="17"/>
  <c r="B7" i="17"/>
  <c r="E6" i="17"/>
  <c r="D6" i="17"/>
  <c r="C6" i="17"/>
  <c r="B6" i="17"/>
  <c r="E5" i="17"/>
  <c r="D5" i="17"/>
  <c r="C5" i="17"/>
  <c r="B5" i="17"/>
  <c r="C1" i="18"/>
  <c r="B1" i="18"/>
  <c r="H31" i="9"/>
  <c r="B204" i="76" s="1"/>
  <c r="G270" i="76"/>
  <c r="I19" i="11"/>
  <c r="G261" i="76" s="1"/>
  <c r="I15" i="11"/>
  <c r="G257" i="76" s="1"/>
  <c r="F270" i="76"/>
  <c r="H19" i="11"/>
  <c r="F261" i="76" s="1"/>
  <c r="H15" i="11"/>
  <c r="F257" i="76" s="1"/>
  <c r="G23" i="11"/>
  <c r="E265" i="76" s="1"/>
  <c r="E270" i="76"/>
  <c r="G19" i="11"/>
  <c r="E261" i="76" s="1"/>
  <c r="G15" i="11"/>
  <c r="E257" i="76" s="1"/>
  <c r="F23" i="11"/>
  <c r="D265" i="76" s="1"/>
  <c r="D270" i="76"/>
  <c r="F19" i="11"/>
  <c r="D261" i="76" s="1"/>
  <c r="F15" i="11"/>
  <c r="D257" i="76" s="1"/>
  <c r="C270" i="76"/>
  <c r="E19" i="11"/>
  <c r="C261" i="76" s="1"/>
  <c r="E15" i="11"/>
  <c r="C257" i="76" s="1"/>
  <c r="D19" i="11"/>
  <c r="D15" i="11"/>
  <c r="C23" i="11"/>
  <c r="C19" i="11"/>
  <c r="B23" i="11"/>
  <c r="B19" i="11"/>
  <c r="I116" i="72"/>
  <c r="I115" i="72"/>
  <c r="I112" i="72"/>
  <c r="I111" i="72"/>
  <c r="B160" i="72"/>
  <c r="B159" i="72"/>
  <c r="B158" i="72"/>
  <c r="I72" i="72"/>
  <c r="I68" i="72"/>
  <c r="B157" i="72"/>
  <c r="I52" i="72"/>
  <c r="B156" i="72"/>
  <c r="I48" i="72"/>
  <c r="I44" i="72"/>
  <c r="I40" i="72"/>
  <c r="I36" i="72"/>
  <c r="I32" i="72"/>
  <c r="I28" i="72"/>
  <c r="I24" i="72"/>
  <c r="I20" i="72"/>
  <c r="I16" i="72"/>
  <c r="B153" i="72"/>
  <c r="I12" i="72"/>
  <c r="I8" i="72"/>
  <c r="I4" i="72"/>
  <c r="B152" i="72"/>
  <c r="H48" i="11"/>
  <c r="H47" i="11"/>
  <c r="H46" i="11"/>
  <c r="H45" i="11"/>
  <c r="H44" i="11"/>
  <c r="M43" i="11"/>
  <c r="M47" i="11" s="1"/>
  <c r="L43" i="11"/>
  <c r="L47" i="11" s="1"/>
  <c r="I43" i="11"/>
  <c r="I47" i="11" s="1"/>
  <c r="H43" i="11"/>
  <c r="M42" i="11"/>
  <c r="M46" i="11" s="1"/>
  <c r="L42" i="11"/>
  <c r="L46" i="11" s="1"/>
  <c r="I42" i="11"/>
  <c r="I46" i="11" s="1"/>
  <c r="M41" i="11"/>
  <c r="M45" i="11" s="1"/>
  <c r="L41" i="11"/>
  <c r="L45" i="11" s="1"/>
  <c r="I41" i="11"/>
  <c r="I45" i="11" s="1"/>
  <c r="H27" i="11"/>
  <c r="F269" i="76" s="1"/>
  <c r="G27" i="11"/>
  <c r="E269" i="76" s="1"/>
  <c r="D27" i="11"/>
  <c r="C27" i="11"/>
  <c r="A26" i="11"/>
  <c r="J22" i="11"/>
  <c r="H264" i="76" s="1"/>
  <c r="A21" i="11"/>
  <c r="J18" i="11"/>
  <c r="H260" i="76" s="1"/>
  <c r="F18" i="11"/>
  <c r="D260" i="76" s="1"/>
  <c r="C18" i="11"/>
  <c r="B18" i="11"/>
  <c r="A17" i="11"/>
  <c r="J15" i="11"/>
  <c r="H257" i="76" s="1"/>
  <c r="I14" i="11"/>
  <c r="G256" i="76" s="1"/>
  <c r="H14" i="11"/>
  <c r="F256" i="76" s="1"/>
  <c r="G14" i="11"/>
  <c r="E256" i="76" s="1"/>
  <c r="F14" i="11"/>
  <c r="D256" i="76" s="1"/>
  <c r="E14" i="11"/>
  <c r="C256" i="76" s="1"/>
  <c r="A13" i="11"/>
  <c r="A135" i="76"/>
  <c r="A151" i="76" s="1"/>
  <c r="A166" i="76" s="1"/>
  <c r="A224" i="76" s="1"/>
  <c r="A89" i="76"/>
  <c r="E71" i="76"/>
  <c r="E149" i="76" s="1"/>
  <c r="D71" i="76"/>
  <c r="D149" i="76" s="1"/>
  <c r="C71" i="76"/>
  <c r="C149" i="76" s="1"/>
  <c r="B71" i="76"/>
  <c r="B149" i="76" s="1"/>
  <c r="A71" i="76"/>
  <c r="A149" i="76" s="1"/>
  <c r="A179" i="76" s="1"/>
  <c r="A57" i="76"/>
  <c r="A103" i="76" s="1"/>
  <c r="A43" i="76"/>
  <c r="B7" i="18" l="1"/>
  <c r="C7" i="18"/>
  <c r="B12" i="18"/>
  <c r="C12" i="18"/>
  <c r="C8" i="18"/>
  <c r="B8" i="18"/>
  <c r="B10" i="18"/>
  <c r="C10" i="18"/>
  <c r="C24" i="18" s="1"/>
  <c r="A25" i="18"/>
  <c r="B11" i="18"/>
  <c r="C11" i="18"/>
  <c r="C25" i="18" s="1"/>
  <c r="B2" i="18"/>
  <c r="B24" i="11" s="1"/>
  <c r="C2" i="18"/>
  <c r="B3" i="18"/>
  <c r="C3" i="18"/>
  <c r="B9" i="18"/>
  <c r="C9" i="18"/>
  <c r="B4" i="18"/>
  <c r="C4" i="18"/>
  <c r="B6" i="18"/>
  <c r="C6" i="18"/>
  <c r="F29" i="11" s="1"/>
  <c r="D271" i="76" s="1"/>
  <c r="B5" i="18"/>
  <c r="C5" i="18"/>
  <c r="F159" i="76"/>
  <c r="G140" i="72"/>
  <c r="F155" i="76"/>
  <c r="J16" i="72"/>
  <c r="K16" i="72" s="1"/>
  <c r="L16" i="72"/>
  <c r="J20" i="72"/>
  <c r="K20" i="72" s="1"/>
  <c r="L20" i="72"/>
  <c r="J72" i="72"/>
  <c r="K72" i="72" s="1"/>
  <c r="L72" i="72"/>
  <c r="J24" i="72"/>
  <c r="K24" i="72" s="1"/>
  <c r="L24" i="72"/>
  <c r="J28" i="72"/>
  <c r="K28" i="72" s="1"/>
  <c r="L28" i="72"/>
  <c r="J32" i="72"/>
  <c r="K32" i="72" s="1"/>
  <c r="L32" i="72"/>
  <c r="J36" i="72"/>
  <c r="K36" i="72" s="1"/>
  <c r="L36" i="72"/>
  <c r="J111" i="72"/>
  <c r="K111" i="72" s="1"/>
  <c r="L111" i="72"/>
  <c r="J40" i="72"/>
  <c r="K40" i="72" s="1"/>
  <c r="L40" i="72"/>
  <c r="J112" i="72"/>
  <c r="K112" i="72" s="1"/>
  <c r="L112" i="72"/>
  <c r="M112" i="72"/>
  <c r="N112" i="72" s="1"/>
  <c r="J44" i="72"/>
  <c r="K44" i="72" s="1"/>
  <c r="L44" i="72"/>
  <c r="J115" i="72"/>
  <c r="K115" i="72" s="1"/>
  <c r="L115" i="72"/>
  <c r="J68" i="72"/>
  <c r="K68" i="72" s="1"/>
  <c r="L68" i="72"/>
  <c r="J4" i="72"/>
  <c r="K4" i="72" s="1"/>
  <c r="L4" i="72"/>
  <c r="J48" i="72"/>
  <c r="K48" i="72" s="1"/>
  <c r="L48" i="72"/>
  <c r="J116" i="72"/>
  <c r="K116" i="72" s="1"/>
  <c r="M116" i="72"/>
  <c r="N116" i="72" s="1"/>
  <c r="L116" i="72"/>
  <c r="J8" i="72"/>
  <c r="K8" i="72" s="1"/>
  <c r="L8" i="72"/>
  <c r="J12" i="72"/>
  <c r="K12" i="72" s="1"/>
  <c r="L12" i="72"/>
  <c r="J52" i="72"/>
  <c r="K52" i="72" s="1"/>
  <c r="L52" i="72"/>
  <c r="C315" i="76" a="1"/>
  <c r="C317" i="76" s="1"/>
  <c r="C339" i="76" a="1"/>
  <c r="C339" i="76" s="1"/>
  <c r="C411" i="76" a="1"/>
  <c r="F34" i="11"/>
  <c r="G34" i="11"/>
  <c r="M17" i="17"/>
  <c r="A18" i="18"/>
  <c r="A17" i="18"/>
  <c r="D3" i="18"/>
  <c r="A20" i="18"/>
  <c r="F341" i="76" a="1"/>
  <c r="F365" i="76" a="1"/>
  <c r="B29" i="11"/>
  <c r="A23" i="18"/>
  <c r="I29" i="11"/>
  <c r="G271" i="76" s="1"/>
  <c r="I57" i="72"/>
  <c r="I65" i="72"/>
  <c r="I77" i="72"/>
  <c r="I81" i="72"/>
  <c r="I85" i="72"/>
  <c r="I89" i="72"/>
  <c r="I97" i="72"/>
  <c r="I107" i="72"/>
  <c r="I61" i="72"/>
  <c r="I93" i="72"/>
  <c r="I26" i="72"/>
  <c r="I38" i="72"/>
  <c r="I70" i="72"/>
  <c r="I102" i="72"/>
  <c r="I35" i="72"/>
  <c r="M36" i="72" s="1"/>
  <c r="N36" i="72" s="1"/>
  <c r="I39" i="72"/>
  <c r="I43" i="72"/>
  <c r="M44" i="72" s="1"/>
  <c r="N44" i="72" s="1"/>
  <c r="I47" i="72"/>
  <c r="M48" i="72" s="1"/>
  <c r="N48" i="72" s="1"/>
  <c r="I55" i="72"/>
  <c r="I59" i="72"/>
  <c r="I63" i="72"/>
  <c r="I83" i="72"/>
  <c r="I87" i="72"/>
  <c r="I91" i="72"/>
  <c r="I95" i="72"/>
  <c r="I18" i="72"/>
  <c r="I50" i="72"/>
  <c r="I98" i="72"/>
  <c r="I10" i="72"/>
  <c r="I22" i="72"/>
  <c r="I34" i="72"/>
  <c r="I46" i="72"/>
  <c r="I74" i="72"/>
  <c r="I110" i="72"/>
  <c r="I76" i="72"/>
  <c r="I80" i="72"/>
  <c r="I92" i="72"/>
  <c r="I96" i="72"/>
  <c r="I100" i="72"/>
  <c r="I104" i="72"/>
  <c r="I108" i="72"/>
  <c r="B154" i="72"/>
  <c r="D4" i="11" s="1"/>
  <c r="B155" i="72"/>
  <c r="E4" i="11" s="1"/>
  <c r="C247" i="76" s="1"/>
  <c r="I6" i="72"/>
  <c r="I14" i="72"/>
  <c r="I30" i="72"/>
  <c r="I42" i="72"/>
  <c r="I66" i="72"/>
  <c r="I78" i="72"/>
  <c r="I106" i="72"/>
  <c r="J19" i="11"/>
  <c r="H261" i="76" s="1"/>
  <c r="H270" i="76"/>
  <c r="K19" i="11"/>
  <c r="I261" i="76" s="1"/>
  <c r="I31" i="9"/>
  <c r="C204" i="76" s="1"/>
  <c r="A22" i="9"/>
  <c r="A26" i="9" s="1"/>
  <c r="I121" i="72"/>
  <c r="I114" i="72"/>
  <c r="M115" i="72" s="1"/>
  <c r="N115" i="72" s="1"/>
  <c r="I118" i="72"/>
  <c r="K23" i="11"/>
  <c r="I265" i="76" s="1"/>
  <c r="I119" i="72"/>
  <c r="B161" i="72"/>
  <c r="I62" i="72"/>
  <c r="G4" i="11"/>
  <c r="E247" i="76" s="1"/>
  <c r="B8" i="9"/>
  <c r="B140" i="76" s="1"/>
  <c r="B9" i="9"/>
  <c r="B141" i="76" s="1"/>
  <c r="H4" i="11"/>
  <c r="F247" i="76" s="1"/>
  <c r="B10" i="9"/>
  <c r="B142" i="76" s="1"/>
  <c r="I4" i="11"/>
  <c r="G247" i="76" s="1"/>
  <c r="B3" i="9"/>
  <c r="B4" i="11"/>
  <c r="F4" i="11"/>
  <c r="D247" i="76" s="1"/>
  <c r="B7" i="9"/>
  <c r="B139" i="76" s="1"/>
  <c r="B11" i="9"/>
  <c r="B143" i="76" s="1"/>
  <c r="J4" i="11"/>
  <c r="H247" i="76" s="1"/>
  <c r="B4" i="9"/>
  <c r="B136" i="76" s="1"/>
  <c r="C4" i="11"/>
  <c r="I56" i="72"/>
  <c r="I60" i="72"/>
  <c r="I82" i="72"/>
  <c r="I120" i="72"/>
  <c r="I5" i="72"/>
  <c r="I9" i="72"/>
  <c r="I13" i="72"/>
  <c r="I17" i="72"/>
  <c r="I21" i="72"/>
  <c r="I25" i="72"/>
  <c r="I29" i="72"/>
  <c r="I33" i="72"/>
  <c r="I37" i="72"/>
  <c r="I41" i="72"/>
  <c r="I45" i="72"/>
  <c r="I49" i="72"/>
  <c r="I53" i="72"/>
  <c r="I64" i="72"/>
  <c r="I79" i="72"/>
  <c r="I90" i="72"/>
  <c r="I94" i="72"/>
  <c r="I109" i="72"/>
  <c r="I113" i="72"/>
  <c r="I117" i="72"/>
  <c r="I67" i="72"/>
  <c r="I86" i="72"/>
  <c r="I105" i="72"/>
  <c r="I54" i="72"/>
  <c r="I58" i="72"/>
  <c r="I69" i="72"/>
  <c r="I73" i="72"/>
  <c r="I84" i="72"/>
  <c r="I88" i="72"/>
  <c r="I103" i="72"/>
  <c r="I122" i="72"/>
  <c r="I71" i="72"/>
  <c r="M72" i="72" s="1"/>
  <c r="N72" i="72" s="1"/>
  <c r="I7" i="72"/>
  <c r="M8" i="72" s="1"/>
  <c r="N8" i="72" s="1"/>
  <c r="I11" i="72"/>
  <c r="I19" i="72"/>
  <c r="I23" i="72"/>
  <c r="I27" i="72"/>
  <c r="M28" i="72" s="1"/>
  <c r="N28" i="72" s="1"/>
  <c r="I31" i="72"/>
  <c r="M32" i="72" s="1"/>
  <c r="N32" i="72" s="1"/>
  <c r="I101" i="72"/>
  <c r="B38" i="11"/>
  <c r="C38" i="11"/>
  <c r="B15" i="11"/>
  <c r="B34" i="11" s="1"/>
  <c r="I270" i="76"/>
  <c r="F38" i="11"/>
  <c r="I23" i="11"/>
  <c r="G265" i="76" s="1"/>
  <c r="E23" i="11"/>
  <c r="C15" i="11"/>
  <c r="C34" i="11" s="1"/>
  <c r="K15" i="11"/>
  <c r="I257" i="76" s="1"/>
  <c r="D23" i="11"/>
  <c r="D34" i="11" s="1"/>
  <c r="H23" i="11"/>
  <c r="F265" i="76" s="1"/>
  <c r="E31" i="17"/>
  <c r="B28" i="17"/>
  <c r="B29" i="17"/>
  <c r="B30" i="17"/>
  <c r="C30" i="17"/>
  <c r="J14" i="11"/>
  <c r="H256" i="76" s="1"/>
  <c r="E30" i="17"/>
  <c r="A16" i="18"/>
  <c r="A24" i="18"/>
  <c r="E28" i="17"/>
  <c r="B27" i="11"/>
  <c r="C154" i="76"/>
  <c r="C291" i="76" s="1" a="1"/>
  <c r="E18" i="11"/>
  <c r="C260" i="76" s="1"/>
  <c r="C28" i="17"/>
  <c r="E29" i="17"/>
  <c r="C158" i="76"/>
  <c r="C174" i="76" s="1"/>
  <c r="C32" i="17"/>
  <c r="E33" i="17"/>
  <c r="J27" i="11"/>
  <c r="H269" i="76" s="1"/>
  <c r="I18" i="11"/>
  <c r="G260" i="76" s="1"/>
  <c r="E167" i="76"/>
  <c r="B153" i="76"/>
  <c r="B27" i="17"/>
  <c r="D14" i="11"/>
  <c r="E171" i="76"/>
  <c r="B157" i="76"/>
  <c r="F157" i="76" s="1"/>
  <c r="B31" i="17"/>
  <c r="E174" i="76"/>
  <c r="C153" i="76"/>
  <c r="C168" i="76" s="1"/>
  <c r="C27" i="17"/>
  <c r="I27" i="11"/>
  <c r="G269" i="76" s="1"/>
  <c r="F27" i="11"/>
  <c r="D269" i="76" s="1"/>
  <c r="C157" i="76"/>
  <c r="C172" i="76" s="1"/>
  <c r="H18" i="11"/>
  <c r="F260" i="76" s="1"/>
  <c r="C29" i="17"/>
  <c r="A22" i="18"/>
  <c r="A19" i="18"/>
  <c r="B151" i="76"/>
  <c r="F151" i="76" s="1"/>
  <c r="G18" i="11"/>
  <c r="E260" i="76" s="1"/>
  <c r="E26" i="17"/>
  <c r="B32" i="17"/>
  <c r="C33" i="17"/>
  <c r="A21" i="18"/>
  <c r="B26" i="17"/>
  <c r="B41" i="17" s="1"/>
  <c r="B152" i="76"/>
  <c r="F152" i="76" s="1"/>
  <c r="C26" i="17"/>
  <c r="E27" i="17"/>
  <c r="B33" i="17"/>
  <c r="A44" i="76"/>
  <c r="A58" i="76"/>
  <c r="A77" i="76" s="1"/>
  <c r="H158" i="72"/>
  <c r="H160" i="72"/>
  <c r="I75" i="72"/>
  <c r="I99" i="72"/>
  <c r="H156" i="72"/>
  <c r="I51" i="72"/>
  <c r="M52" i="72" s="1"/>
  <c r="N52" i="72" s="1"/>
  <c r="H155" i="72"/>
  <c r="F13" i="17"/>
  <c r="D37" i="11" s="1"/>
  <c r="H154" i="72"/>
  <c r="D22" i="11"/>
  <c r="H157" i="72"/>
  <c r="H159" i="72"/>
  <c r="H161" i="72"/>
  <c r="H22" i="11"/>
  <c r="F264" i="76" s="1"/>
  <c r="I3" i="72"/>
  <c r="H152" i="72"/>
  <c r="I15" i="72"/>
  <c r="M16" i="72" s="1"/>
  <c r="N16" i="72" s="1"/>
  <c r="H153" i="72"/>
  <c r="F17" i="17"/>
  <c r="H37" i="11" s="1"/>
  <c r="B22" i="11"/>
  <c r="B37" i="11"/>
  <c r="F22" i="11"/>
  <c r="D264" i="76" s="1"/>
  <c r="G22" i="11"/>
  <c r="E264" i="76" s="1"/>
  <c r="F16" i="17"/>
  <c r="G37" i="11" s="1"/>
  <c r="F14" i="17"/>
  <c r="E37" i="11" s="1"/>
  <c r="F18" i="17"/>
  <c r="I37" i="11" s="1"/>
  <c r="D27" i="17"/>
  <c r="I22" i="11"/>
  <c r="G264" i="76" s="1"/>
  <c r="D28" i="17"/>
  <c r="F15" i="17"/>
  <c r="F37" i="11" s="1"/>
  <c r="F19" i="17"/>
  <c r="J37" i="11" s="1"/>
  <c r="D29" i="17"/>
  <c r="C22" i="11"/>
  <c r="C33" i="11" s="1"/>
  <c r="D30" i="17"/>
  <c r="F12" i="17"/>
  <c r="C37" i="11" s="1"/>
  <c r="D31" i="17"/>
  <c r="E22" i="11"/>
  <c r="C264" i="76" s="1"/>
  <c r="D32" i="17"/>
  <c r="D33" i="17"/>
  <c r="D26" i="17"/>
  <c r="A90" i="76"/>
  <c r="A136" i="76"/>
  <c r="A152" i="76" s="1"/>
  <c r="A167" i="76" s="1"/>
  <c r="A225" i="76" s="1"/>
  <c r="A30" i="76"/>
  <c r="A92" i="76" s="1"/>
  <c r="A137" i="76"/>
  <c r="A153" i="76" s="1"/>
  <c r="A168" i="76" s="1"/>
  <c r="A226" i="76" s="1"/>
  <c r="A91" i="76"/>
  <c r="A59" i="76"/>
  <c r="A78" i="76" s="1"/>
  <c r="A45" i="76"/>
  <c r="E172" i="76"/>
  <c r="D173" i="76"/>
  <c r="E169" i="76"/>
  <c r="B170" i="76"/>
  <c r="A185" i="76"/>
  <c r="A196" i="76"/>
  <c r="B179" i="76"/>
  <c r="B164" i="76"/>
  <c r="C179" i="76"/>
  <c r="C164" i="76"/>
  <c r="D164" i="76"/>
  <c r="D179" i="76"/>
  <c r="E164" i="76"/>
  <c r="E179" i="76"/>
  <c r="D167" i="76"/>
  <c r="D168" i="76"/>
  <c r="C171" i="76"/>
  <c r="A76" i="76"/>
  <c r="E168" i="76"/>
  <c r="D169" i="76"/>
  <c r="D170" i="76"/>
  <c r="D171" i="76"/>
  <c r="D172" i="76"/>
  <c r="D174" i="76"/>
  <c r="C167" i="76"/>
  <c r="B174" i="76"/>
  <c r="B171" i="76"/>
  <c r="E173" i="76"/>
  <c r="C240" i="76" l="1"/>
  <c r="C13" i="18"/>
  <c r="C241" i="76" s="1"/>
  <c r="J29" i="11"/>
  <c r="H271" i="76" s="1"/>
  <c r="E41" i="17"/>
  <c r="D41" i="17"/>
  <c r="C41" i="17"/>
  <c r="B43" i="17" s="1"/>
  <c r="C43" i="76" a="1"/>
  <c r="C43" i="76" s="1"/>
  <c r="F153" i="76"/>
  <c r="D5" i="18"/>
  <c r="E39" i="11" s="1"/>
  <c r="F293" i="76" a="1"/>
  <c r="D10" i="18"/>
  <c r="J39" i="11" s="1"/>
  <c r="F413" i="76" a="1"/>
  <c r="D4" i="18"/>
  <c r="D39" i="11" s="1"/>
  <c r="F317" i="76" a="1"/>
  <c r="F341" i="76"/>
  <c r="F342" i="76"/>
  <c r="G141" i="72"/>
  <c r="F366" i="76"/>
  <c r="F365" i="76"/>
  <c r="F389" i="76" a="1"/>
  <c r="B25" i="18"/>
  <c r="B233" i="76" s="1"/>
  <c r="F437" i="76" a="1"/>
  <c r="F154" i="76"/>
  <c r="D8" i="18"/>
  <c r="H39" i="11" s="1"/>
  <c r="E34" i="11"/>
  <c r="C265" i="76"/>
  <c r="C275" i="76" s="1"/>
  <c r="F158" i="76"/>
  <c r="E33" i="11"/>
  <c r="F30" i="76" s="1"/>
  <c r="B33" i="11"/>
  <c r="F27" i="76" s="1"/>
  <c r="E43" i="76" a="1"/>
  <c r="J23" i="72"/>
  <c r="K23" i="72" s="1"/>
  <c r="M23" i="72"/>
  <c r="N23" i="72" s="1"/>
  <c r="L23" i="72"/>
  <c r="J120" i="72"/>
  <c r="K120" i="72" s="1"/>
  <c r="M120" i="72"/>
  <c r="N120" i="72" s="1"/>
  <c r="L120" i="72"/>
  <c r="J118" i="72"/>
  <c r="K118" i="72" s="1"/>
  <c r="M118" i="72"/>
  <c r="N118" i="72" s="1"/>
  <c r="L118" i="72"/>
  <c r="J42" i="72"/>
  <c r="K42" i="72" s="1"/>
  <c r="L42" i="72"/>
  <c r="M42" i="72"/>
  <c r="N42" i="72" s="1"/>
  <c r="J76" i="72"/>
  <c r="K76" i="72" s="1"/>
  <c r="M76" i="72"/>
  <c r="N76" i="72" s="1"/>
  <c r="L76" i="72"/>
  <c r="J87" i="72"/>
  <c r="K87" i="72" s="1"/>
  <c r="M87" i="72"/>
  <c r="N87" i="72" s="1"/>
  <c r="L87" i="72"/>
  <c r="J26" i="72"/>
  <c r="K26" i="72" s="1"/>
  <c r="M26" i="72"/>
  <c r="N26" i="72" s="1"/>
  <c r="L26" i="72"/>
  <c r="J3" i="72"/>
  <c r="K3" i="72" s="1"/>
  <c r="L3" i="72"/>
  <c r="J75" i="72"/>
  <c r="K75" i="72" s="1"/>
  <c r="M75" i="72"/>
  <c r="N75" i="72" s="1"/>
  <c r="L75" i="72"/>
  <c r="J19" i="72"/>
  <c r="K19" i="72" s="1"/>
  <c r="L19" i="72"/>
  <c r="M19" i="72"/>
  <c r="N19" i="72" s="1"/>
  <c r="J105" i="72"/>
  <c r="K105" i="72" s="1"/>
  <c r="M105" i="72"/>
  <c r="N105" i="72" s="1"/>
  <c r="L105" i="72"/>
  <c r="J45" i="72"/>
  <c r="K45" i="72" s="1"/>
  <c r="L45" i="72"/>
  <c r="M45" i="72"/>
  <c r="N45" i="72" s="1"/>
  <c r="J82" i="72"/>
  <c r="K82" i="72" s="1"/>
  <c r="M82" i="72"/>
  <c r="N82" i="72" s="1"/>
  <c r="L82" i="72"/>
  <c r="J114" i="72"/>
  <c r="K114" i="72" s="1"/>
  <c r="M114" i="72"/>
  <c r="N114" i="72" s="1"/>
  <c r="L114" i="72"/>
  <c r="J30" i="72"/>
  <c r="K30" i="72" s="1"/>
  <c r="L30" i="72"/>
  <c r="M30" i="72"/>
  <c r="N30" i="72" s="1"/>
  <c r="J110" i="72"/>
  <c r="K110" i="72" s="1"/>
  <c r="L110" i="72"/>
  <c r="M110" i="72"/>
  <c r="N110" i="72" s="1"/>
  <c r="J83" i="72"/>
  <c r="K83" i="72" s="1"/>
  <c r="L83" i="72"/>
  <c r="M83" i="72"/>
  <c r="N83" i="72" s="1"/>
  <c r="J93" i="72"/>
  <c r="K93" i="72" s="1"/>
  <c r="L93" i="72"/>
  <c r="M93" i="72"/>
  <c r="N93" i="72" s="1"/>
  <c r="M111" i="72"/>
  <c r="N111" i="72" s="1"/>
  <c r="M24" i="72"/>
  <c r="N24" i="72" s="1"/>
  <c r="J11" i="72"/>
  <c r="K11" i="72" s="1"/>
  <c r="M11" i="72"/>
  <c r="N11" i="72" s="1"/>
  <c r="L11" i="72"/>
  <c r="J86" i="72"/>
  <c r="K86" i="72" s="1"/>
  <c r="M86" i="72"/>
  <c r="N86" i="72" s="1"/>
  <c r="L86" i="72"/>
  <c r="J41" i="72"/>
  <c r="K41" i="72" s="1"/>
  <c r="M41" i="72"/>
  <c r="N41" i="72" s="1"/>
  <c r="L41" i="72"/>
  <c r="J60" i="72"/>
  <c r="K60" i="72" s="1"/>
  <c r="L60" i="72"/>
  <c r="M60" i="72"/>
  <c r="N60" i="72" s="1"/>
  <c r="J121" i="72"/>
  <c r="K121" i="72" s="1"/>
  <c r="M121" i="72"/>
  <c r="N121" i="72" s="1"/>
  <c r="L121" i="72"/>
  <c r="J14" i="72"/>
  <c r="K14" i="72" s="1"/>
  <c r="L14" i="72"/>
  <c r="M14" i="72"/>
  <c r="N14" i="72" s="1"/>
  <c r="J74" i="72"/>
  <c r="K74" i="72" s="1"/>
  <c r="L74" i="72"/>
  <c r="M74" i="72"/>
  <c r="N74" i="72" s="1"/>
  <c r="J63" i="72"/>
  <c r="K63" i="72" s="1"/>
  <c r="M63" i="72"/>
  <c r="N63" i="72" s="1"/>
  <c r="L63" i="72"/>
  <c r="J61" i="72"/>
  <c r="K61" i="72" s="1"/>
  <c r="M61" i="72"/>
  <c r="N61" i="72" s="1"/>
  <c r="L61" i="72"/>
  <c r="J6" i="72"/>
  <c r="K6" i="72" s="1"/>
  <c r="L6" i="72"/>
  <c r="M6" i="72"/>
  <c r="N6" i="72" s="1"/>
  <c r="J46" i="72"/>
  <c r="K46" i="72" s="1"/>
  <c r="L46" i="72"/>
  <c r="M46" i="72"/>
  <c r="N46" i="72" s="1"/>
  <c r="J59" i="72"/>
  <c r="K59" i="72" s="1"/>
  <c r="M59" i="72"/>
  <c r="N59" i="72" s="1"/>
  <c r="L59" i="72"/>
  <c r="J107" i="72"/>
  <c r="K107" i="72" s="1"/>
  <c r="M107" i="72"/>
  <c r="N107" i="72" s="1"/>
  <c r="L107" i="72"/>
  <c r="J34" i="72"/>
  <c r="K34" i="72" s="1"/>
  <c r="M34" i="72"/>
  <c r="N34" i="72" s="1"/>
  <c r="L34" i="72"/>
  <c r="J55" i="72"/>
  <c r="K55" i="72" s="1"/>
  <c r="L55" i="72"/>
  <c r="M55" i="72"/>
  <c r="N55" i="72" s="1"/>
  <c r="J97" i="72"/>
  <c r="K97" i="72" s="1"/>
  <c r="M97" i="72"/>
  <c r="N97" i="72" s="1"/>
  <c r="L97" i="72"/>
  <c r="J99" i="72"/>
  <c r="K99" i="72" s="1"/>
  <c r="L99" i="72"/>
  <c r="M99" i="72"/>
  <c r="N99" i="72" s="1"/>
  <c r="J37" i="72"/>
  <c r="K37" i="72" s="1"/>
  <c r="M37" i="72"/>
  <c r="N37" i="72" s="1"/>
  <c r="L37" i="72"/>
  <c r="J22" i="72"/>
  <c r="K22" i="72" s="1"/>
  <c r="L22" i="72"/>
  <c r="M22" i="72"/>
  <c r="N22" i="72" s="1"/>
  <c r="J47" i="72"/>
  <c r="K47" i="72" s="1"/>
  <c r="M47" i="72"/>
  <c r="N47" i="72" s="1"/>
  <c r="L47" i="72"/>
  <c r="J89" i="72"/>
  <c r="K89" i="72" s="1"/>
  <c r="M89" i="72"/>
  <c r="N89" i="72" s="1"/>
  <c r="L89" i="72"/>
  <c r="J122" i="72"/>
  <c r="K122" i="72" s="1"/>
  <c r="M122" i="72"/>
  <c r="N122" i="72" s="1"/>
  <c r="L122" i="72"/>
  <c r="J113" i="72"/>
  <c r="K113" i="72" s="1"/>
  <c r="M113" i="72"/>
  <c r="N113" i="72" s="1"/>
  <c r="L113" i="72"/>
  <c r="J29" i="72"/>
  <c r="K29" i="72" s="1"/>
  <c r="M29" i="72"/>
  <c r="N29" i="72" s="1"/>
  <c r="L29" i="72"/>
  <c r="J103" i="72"/>
  <c r="K103" i="72" s="1"/>
  <c r="L103" i="72"/>
  <c r="M103" i="72"/>
  <c r="N103" i="72" s="1"/>
  <c r="J109" i="72"/>
  <c r="K109" i="72" s="1"/>
  <c r="M109" i="72"/>
  <c r="N109" i="72" s="1"/>
  <c r="L109" i="72"/>
  <c r="J25" i="72"/>
  <c r="K25" i="72" s="1"/>
  <c r="M25" i="72"/>
  <c r="N25" i="72" s="1"/>
  <c r="L25" i="72"/>
  <c r="J62" i="72"/>
  <c r="K62" i="72" s="1"/>
  <c r="L62" i="72"/>
  <c r="M62" i="72"/>
  <c r="N62" i="72" s="1"/>
  <c r="J108" i="72"/>
  <c r="K108" i="72" s="1"/>
  <c r="M108" i="72"/>
  <c r="N108" i="72" s="1"/>
  <c r="L108" i="72"/>
  <c r="J10" i="72"/>
  <c r="K10" i="72" s="1"/>
  <c r="L10" i="72"/>
  <c r="M10" i="72"/>
  <c r="N10" i="72" s="1"/>
  <c r="J43" i="72"/>
  <c r="K43" i="72" s="1"/>
  <c r="L43" i="72"/>
  <c r="M43" i="72"/>
  <c r="N43" i="72" s="1"/>
  <c r="J85" i="72"/>
  <c r="K85" i="72" s="1"/>
  <c r="M85" i="72"/>
  <c r="N85" i="72" s="1"/>
  <c r="L85" i="72"/>
  <c r="M12" i="72"/>
  <c r="N12" i="72" s="1"/>
  <c r="J49" i="72"/>
  <c r="K49" i="72" s="1"/>
  <c r="M49" i="72"/>
  <c r="N49" i="72" s="1"/>
  <c r="L49" i="72"/>
  <c r="J67" i="72"/>
  <c r="K67" i="72" s="1"/>
  <c r="L67" i="72"/>
  <c r="M67" i="72"/>
  <c r="N67" i="72" s="1"/>
  <c r="J94" i="72"/>
  <c r="K94" i="72" s="1"/>
  <c r="L94" i="72"/>
  <c r="M94" i="72"/>
  <c r="N94" i="72" s="1"/>
  <c r="J21" i="72"/>
  <c r="K21" i="72" s="1"/>
  <c r="L21" i="72"/>
  <c r="M21" i="72"/>
  <c r="N21" i="72" s="1"/>
  <c r="J104" i="72"/>
  <c r="K104" i="72" s="1"/>
  <c r="M104" i="72"/>
  <c r="N104" i="72" s="1"/>
  <c r="L104" i="72"/>
  <c r="J98" i="72"/>
  <c r="K98" i="72" s="1"/>
  <c r="L98" i="72"/>
  <c r="M98" i="72"/>
  <c r="N98" i="72" s="1"/>
  <c r="J39" i="72"/>
  <c r="K39" i="72" s="1"/>
  <c r="L39" i="72"/>
  <c r="M39" i="72"/>
  <c r="N39" i="72" s="1"/>
  <c r="J81" i="72"/>
  <c r="K81" i="72" s="1"/>
  <c r="M81" i="72"/>
  <c r="N81" i="72" s="1"/>
  <c r="L81" i="72"/>
  <c r="M4" i="72"/>
  <c r="N4" i="72" s="1"/>
  <c r="M20" i="72"/>
  <c r="N20" i="72" s="1"/>
  <c r="J117" i="72"/>
  <c r="K117" i="72" s="1"/>
  <c r="L117" i="72"/>
  <c r="M117" i="72"/>
  <c r="N117" i="72" s="1"/>
  <c r="J84" i="72"/>
  <c r="K84" i="72" s="1"/>
  <c r="M84" i="72"/>
  <c r="N84" i="72" s="1"/>
  <c r="L84" i="72"/>
  <c r="J90" i="72"/>
  <c r="K90" i="72" s="1"/>
  <c r="M90" i="72"/>
  <c r="N90" i="72" s="1"/>
  <c r="L90" i="72"/>
  <c r="J17" i="72"/>
  <c r="K17" i="72" s="1"/>
  <c r="M17" i="72"/>
  <c r="N17" i="72" s="1"/>
  <c r="L17" i="72"/>
  <c r="J100" i="72"/>
  <c r="K100" i="72" s="1"/>
  <c r="M100" i="72"/>
  <c r="N100" i="72" s="1"/>
  <c r="L100" i="72"/>
  <c r="J50" i="72"/>
  <c r="K50" i="72" s="1"/>
  <c r="L50" i="72"/>
  <c r="M50" i="72"/>
  <c r="N50" i="72" s="1"/>
  <c r="J35" i="72"/>
  <c r="K35" i="72" s="1"/>
  <c r="L35" i="72"/>
  <c r="M35" i="72"/>
  <c r="N35" i="72" s="1"/>
  <c r="J77" i="72"/>
  <c r="K77" i="72" s="1"/>
  <c r="M77" i="72"/>
  <c r="N77" i="72" s="1"/>
  <c r="L77" i="72"/>
  <c r="J54" i="72"/>
  <c r="K54" i="72" s="1"/>
  <c r="L54" i="72"/>
  <c r="M54" i="72"/>
  <c r="N54" i="72" s="1"/>
  <c r="J56" i="72"/>
  <c r="K56" i="72" s="1"/>
  <c r="M56" i="72"/>
  <c r="N56" i="72" s="1"/>
  <c r="L56" i="72"/>
  <c r="J71" i="72"/>
  <c r="K71" i="72" s="1"/>
  <c r="M71" i="72"/>
  <c r="N71" i="72" s="1"/>
  <c r="L71" i="72"/>
  <c r="J33" i="72"/>
  <c r="K33" i="72" s="1"/>
  <c r="L33" i="72"/>
  <c r="M33" i="72"/>
  <c r="N33" i="72" s="1"/>
  <c r="J88" i="72"/>
  <c r="K88" i="72" s="1"/>
  <c r="M88" i="72"/>
  <c r="N88" i="72" s="1"/>
  <c r="L88" i="72"/>
  <c r="J101" i="72"/>
  <c r="K101" i="72" s="1"/>
  <c r="M101" i="72"/>
  <c r="N101" i="72" s="1"/>
  <c r="L101" i="72"/>
  <c r="J73" i="72"/>
  <c r="K73" i="72" s="1"/>
  <c r="M73" i="72"/>
  <c r="N73" i="72" s="1"/>
  <c r="L73" i="72"/>
  <c r="J79" i="72"/>
  <c r="K79" i="72" s="1"/>
  <c r="M79" i="72"/>
  <c r="N79" i="72" s="1"/>
  <c r="L79" i="72"/>
  <c r="J13" i="72"/>
  <c r="K13" i="72" s="1"/>
  <c r="M13" i="72"/>
  <c r="N13" i="72" s="1"/>
  <c r="L13" i="72"/>
  <c r="J106" i="72"/>
  <c r="K106" i="72" s="1"/>
  <c r="M106" i="72"/>
  <c r="N106" i="72" s="1"/>
  <c r="L106" i="72"/>
  <c r="J96" i="72"/>
  <c r="K96" i="72" s="1"/>
  <c r="L96" i="72"/>
  <c r="M96" i="72"/>
  <c r="N96" i="72" s="1"/>
  <c r="J18" i="72"/>
  <c r="K18" i="72" s="1"/>
  <c r="M18" i="72"/>
  <c r="N18" i="72" s="1"/>
  <c r="L18" i="72"/>
  <c r="J102" i="72"/>
  <c r="K102" i="72" s="1"/>
  <c r="M102" i="72"/>
  <c r="N102" i="72" s="1"/>
  <c r="L102" i="72"/>
  <c r="J65" i="72"/>
  <c r="K65" i="72" s="1"/>
  <c r="M65" i="72"/>
  <c r="N65" i="72" s="1"/>
  <c r="L65" i="72"/>
  <c r="J31" i="72"/>
  <c r="K31" i="72" s="1"/>
  <c r="M31" i="72"/>
  <c r="N31" i="72" s="1"/>
  <c r="L31" i="72"/>
  <c r="J64" i="72"/>
  <c r="K64" i="72" s="1"/>
  <c r="M64" i="72"/>
  <c r="N64" i="72" s="1"/>
  <c r="L64" i="72"/>
  <c r="J9" i="72"/>
  <c r="K9" i="72" s="1"/>
  <c r="M9" i="72"/>
  <c r="N9" i="72" s="1"/>
  <c r="L9" i="72"/>
  <c r="J119" i="72"/>
  <c r="K119" i="72" s="1"/>
  <c r="M119" i="72"/>
  <c r="N119" i="72" s="1"/>
  <c r="L119" i="72"/>
  <c r="J78" i="72"/>
  <c r="K78" i="72" s="1"/>
  <c r="L78" i="72"/>
  <c r="M78" i="72"/>
  <c r="N78" i="72" s="1"/>
  <c r="J92" i="72"/>
  <c r="K92" i="72" s="1"/>
  <c r="M92" i="72"/>
  <c r="N92" i="72" s="1"/>
  <c r="L92" i="72"/>
  <c r="J95" i="72"/>
  <c r="K95" i="72" s="1"/>
  <c r="M95" i="72"/>
  <c r="N95" i="72" s="1"/>
  <c r="L95" i="72"/>
  <c r="J70" i="72"/>
  <c r="K70" i="72" s="1"/>
  <c r="M70" i="72"/>
  <c r="N70" i="72" s="1"/>
  <c r="L70" i="72"/>
  <c r="J57" i="72"/>
  <c r="K57" i="72" s="1"/>
  <c r="M57" i="72"/>
  <c r="N57" i="72" s="1"/>
  <c r="L57" i="72"/>
  <c r="M68" i="72"/>
  <c r="N68" i="72" s="1"/>
  <c r="M40" i="72"/>
  <c r="N40" i="72" s="1"/>
  <c r="J7" i="72"/>
  <c r="K7" i="72" s="1"/>
  <c r="L7" i="72"/>
  <c r="M7" i="72"/>
  <c r="N7" i="72" s="1"/>
  <c r="J51" i="72"/>
  <c r="K51" i="72" s="1"/>
  <c r="L51" i="72"/>
  <c r="M51" i="72"/>
  <c r="N51" i="72" s="1"/>
  <c r="J69" i="72"/>
  <c r="K69" i="72" s="1"/>
  <c r="L69" i="72"/>
  <c r="M69" i="72"/>
  <c r="N69" i="72" s="1"/>
  <c r="J15" i="72"/>
  <c r="K15" i="72" s="1"/>
  <c r="M15" i="72"/>
  <c r="N15" i="72" s="1"/>
  <c r="L15" i="72"/>
  <c r="J27" i="72"/>
  <c r="K27" i="72" s="1"/>
  <c r="M27" i="72"/>
  <c r="N27" i="72" s="1"/>
  <c r="L27" i="72"/>
  <c r="J58" i="72"/>
  <c r="K58" i="72" s="1"/>
  <c r="L58" i="72"/>
  <c r="M58" i="72"/>
  <c r="N58" i="72" s="1"/>
  <c r="J53" i="72"/>
  <c r="K53" i="72" s="1"/>
  <c r="L53" i="72"/>
  <c r="M53" i="72"/>
  <c r="N53" i="72" s="1"/>
  <c r="J5" i="72"/>
  <c r="K5" i="72" s="1"/>
  <c r="L5" i="72"/>
  <c r="M5" i="72"/>
  <c r="N5" i="72" s="1"/>
  <c r="J66" i="72"/>
  <c r="K66" i="72" s="1"/>
  <c r="M66" i="72"/>
  <c r="N66" i="72" s="1"/>
  <c r="L66" i="72"/>
  <c r="J80" i="72"/>
  <c r="K80" i="72" s="1"/>
  <c r="L80" i="72"/>
  <c r="M80" i="72"/>
  <c r="N80" i="72" s="1"/>
  <c r="J91" i="72"/>
  <c r="K91" i="72" s="1"/>
  <c r="M91" i="72"/>
  <c r="N91" i="72" s="1"/>
  <c r="L91" i="72"/>
  <c r="J38" i="72"/>
  <c r="K38" i="72" s="1"/>
  <c r="M38" i="72"/>
  <c r="N38" i="72" s="1"/>
  <c r="L38" i="72"/>
  <c r="C12" i="9"/>
  <c r="C318" i="76"/>
  <c r="B342" i="76" s="1"/>
  <c r="C316" i="76"/>
  <c r="B340" i="76" s="1"/>
  <c r="C315" i="76"/>
  <c r="B363" i="76"/>
  <c r="C341" i="76"/>
  <c r="C340" i="76"/>
  <c r="B364" i="76" s="1"/>
  <c r="C342" i="76"/>
  <c r="C291" i="76"/>
  <c r="B315" i="76" s="1"/>
  <c r="C294" i="76"/>
  <c r="B318" i="76" s="1"/>
  <c r="C292" i="76"/>
  <c r="B316" i="76" s="1"/>
  <c r="C293" i="76"/>
  <c r="B317" i="76" s="1"/>
  <c r="C387" i="76" a="1"/>
  <c r="B172" i="76"/>
  <c r="C363" i="76" a="1"/>
  <c r="B339" i="76"/>
  <c r="B345" i="76" s="1"/>
  <c r="C345" i="76" s="1"/>
  <c r="C412" i="76"/>
  <c r="C414" i="76"/>
  <c r="C413" i="76"/>
  <c r="C411" i="76"/>
  <c r="F275" i="76"/>
  <c r="E275" i="76"/>
  <c r="E274" i="76"/>
  <c r="D275" i="76"/>
  <c r="C274" i="76"/>
  <c r="C173" i="76"/>
  <c r="D9" i="18"/>
  <c r="I39" i="11" s="1"/>
  <c r="I33" i="11"/>
  <c r="G33" i="11"/>
  <c r="B19" i="18"/>
  <c r="B227" i="76" s="1"/>
  <c r="B35" i="11"/>
  <c r="H34" i="11"/>
  <c r="K34" i="11"/>
  <c r="D6" i="18"/>
  <c r="F39" i="11" s="1"/>
  <c r="C39" i="17"/>
  <c r="E24" i="11"/>
  <c r="C266" i="76" s="1"/>
  <c r="F33" i="11"/>
  <c r="F31" i="76" s="1"/>
  <c r="D33" i="11"/>
  <c r="F29" i="76" s="1"/>
  <c r="I34" i="11"/>
  <c r="H33" i="11"/>
  <c r="H50" i="11" s="1"/>
  <c r="J33" i="11"/>
  <c r="F35" i="76" s="1"/>
  <c r="B12" i="9"/>
  <c r="F12" i="9" s="1"/>
  <c r="M18" i="17"/>
  <c r="B20" i="18"/>
  <c r="B228" i="76" s="1"/>
  <c r="D7" i="18"/>
  <c r="G39" i="11" s="1"/>
  <c r="B16" i="18"/>
  <c r="D2" i="18"/>
  <c r="B39" i="11" s="1"/>
  <c r="B135" i="76"/>
  <c r="F3" i="9"/>
  <c r="C140" i="76"/>
  <c r="D5" i="11"/>
  <c r="D6" i="11" s="1"/>
  <c r="C139" i="76"/>
  <c r="E5" i="11"/>
  <c r="C11" i="9"/>
  <c r="D11" i="9" s="1"/>
  <c r="E11" i="9" s="1"/>
  <c r="H5" i="11"/>
  <c r="I5" i="11"/>
  <c r="B167" i="76"/>
  <c r="C141" i="76"/>
  <c r="C143" i="76"/>
  <c r="B168" i="76"/>
  <c r="F51" i="11"/>
  <c r="B5" i="9"/>
  <c r="B137" i="76" s="1"/>
  <c r="C51" i="11"/>
  <c r="B6" i="9"/>
  <c r="B138" i="76" s="1"/>
  <c r="B173" i="76"/>
  <c r="A29" i="9"/>
  <c r="F8" i="9"/>
  <c r="J23" i="11"/>
  <c r="F11" i="9"/>
  <c r="K4" i="11"/>
  <c r="I247" i="76" s="1"/>
  <c r="C23" i="18"/>
  <c r="C20" i="18"/>
  <c r="C16" i="18"/>
  <c r="F7" i="9"/>
  <c r="C144" i="76"/>
  <c r="F144" i="76" s="1"/>
  <c r="B51" i="11"/>
  <c r="F10" i="11"/>
  <c r="F4" i="9"/>
  <c r="B10" i="11"/>
  <c r="B27" i="76" s="1"/>
  <c r="J10" i="11"/>
  <c r="J38" i="11"/>
  <c r="G10" i="11"/>
  <c r="C10" i="11"/>
  <c r="B28" i="76" s="1"/>
  <c r="G38" i="11"/>
  <c r="F10" i="9"/>
  <c r="I38" i="11"/>
  <c r="I10" i="11"/>
  <c r="B43" i="76" a="1"/>
  <c r="E38" i="11"/>
  <c r="E10" i="11"/>
  <c r="B24" i="18"/>
  <c r="B232" i="76" s="1"/>
  <c r="J24" i="11"/>
  <c r="B169" i="76"/>
  <c r="F24" i="11"/>
  <c r="B23" i="18"/>
  <c r="B231" i="76" s="1"/>
  <c r="I24" i="11"/>
  <c r="E170" i="76"/>
  <c r="C170" i="76"/>
  <c r="C18" i="18"/>
  <c r="D29" i="11"/>
  <c r="C169" i="76"/>
  <c r="C21" i="18"/>
  <c r="G29" i="11"/>
  <c r="E271" i="76" s="1"/>
  <c r="C29" i="11"/>
  <c r="C17" i="18"/>
  <c r="B21" i="18"/>
  <c r="B229" i="76" s="1"/>
  <c r="G24" i="11"/>
  <c r="E266" i="76" s="1"/>
  <c r="C22" i="18"/>
  <c r="H29" i="11"/>
  <c r="F271" i="76" s="1"/>
  <c r="B22" i="18"/>
  <c r="B230" i="76" s="1"/>
  <c r="H24" i="11"/>
  <c r="C24" i="11"/>
  <c r="B17" i="18"/>
  <c r="B225" i="76" s="1"/>
  <c r="C39" i="11"/>
  <c r="B18" i="18"/>
  <c r="B226" i="76" s="1"/>
  <c r="D24" i="11"/>
  <c r="E29" i="11"/>
  <c r="C271" i="76" s="1"/>
  <c r="C19" i="18"/>
  <c r="A104" i="76"/>
  <c r="B309" i="76"/>
  <c r="K5" i="11"/>
  <c r="I248" i="76" s="1"/>
  <c r="I249" i="76" s="1"/>
  <c r="J5" i="11"/>
  <c r="C9" i="9"/>
  <c r="D9" i="9" s="1"/>
  <c r="E9" i="9" s="1"/>
  <c r="C10" i="9"/>
  <c r="D10" i="9" s="1"/>
  <c r="E10" i="9" s="1"/>
  <c r="G5" i="11"/>
  <c r="F5" i="11"/>
  <c r="C142" i="76"/>
  <c r="C8" i="9"/>
  <c r="D8" i="9" s="1"/>
  <c r="E8" i="9" s="1"/>
  <c r="C7" i="9"/>
  <c r="D7" i="9" s="1"/>
  <c r="E7" i="9" s="1"/>
  <c r="C5" i="9"/>
  <c r="C6" i="9"/>
  <c r="C137" i="76"/>
  <c r="F137" i="76" s="1"/>
  <c r="I137" i="76" s="1"/>
  <c r="C138" i="76"/>
  <c r="F138" i="76" s="1"/>
  <c r="C135" i="76"/>
  <c r="F135" i="76" s="1"/>
  <c r="C3" i="9"/>
  <c r="D3" i="9" s="1"/>
  <c r="E3" i="9" s="1"/>
  <c r="B5" i="11"/>
  <c r="B6" i="11" s="1"/>
  <c r="C136" i="76"/>
  <c r="C4" i="9"/>
  <c r="D4" i="9" s="1"/>
  <c r="E4" i="9" s="1"/>
  <c r="C5" i="11"/>
  <c r="C6" i="11" s="1"/>
  <c r="D274" i="76"/>
  <c r="C50" i="11"/>
  <c r="F28" i="76"/>
  <c r="F274" i="76"/>
  <c r="A105" i="76"/>
  <c r="A46" i="76"/>
  <c r="A138" i="76"/>
  <c r="A154" i="76" s="1"/>
  <c r="A169" i="76" s="1"/>
  <c r="A227" i="76" s="1"/>
  <c r="A31" i="76"/>
  <c r="A60" i="76"/>
  <c r="A106" i="76" s="1"/>
  <c r="A190" i="76"/>
  <c r="E196" i="76"/>
  <c r="E202" i="76" s="1"/>
  <c r="E209" i="76" s="1"/>
  <c r="C238" i="76" s="1"/>
  <c r="E185" i="76"/>
  <c r="C196" i="76"/>
  <c r="C202" i="76" s="1"/>
  <c r="C209" i="76" s="1"/>
  <c r="C185" i="76"/>
  <c r="D196" i="76"/>
  <c r="D202" i="76" s="1"/>
  <c r="D209" i="76" s="1"/>
  <c r="B238" i="76" s="1"/>
  <c r="D185" i="76"/>
  <c r="B185" i="76"/>
  <c r="B196" i="76"/>
  <c r="B202" i="76" s="1"/>
  <c r="C49" i="76" l="1"/>
  <c r="C48" i="76"/>
  <c r="C47" i="76"/>
  <c r="C50" i="76"/>
  <c r="C46" i="76"/>
  <c r="C60" i="76" s="1"/>
  <c r="C51" i="76"/>
  <c r="C45" i="76"/>
  <c r="C59" i="76" s="1"/>
  <c r="C52" i="76"/>
  <c r="C66" i="76" s="1"/>
  <c r="C44" i="76"/>
  <c r="K123" i="72"/>
  <c r="B120" i="76" s="1"/>
  <c r="D35" i="11"/>
  <c r="D52" i="11" s="1"/>
  <c r="B346" i="76"/>
  <c r="C346" i="76" s="1"/>
  <c r="B30" i="76"/>
  <c r="C252" i="76"/>
  <c r="J6" i="11"/>
  <c r="H248" i="76"/>
  <c r="H249" i="76" s="1"/>
  <c r="I35" i="11"/>
  <c r="I52" i="11" s="1"/>
  <c r="G266" i="76"/>
  <c r="G276" i="76" s="1"/>
  <c r="B31" i="76"/>
  <c r="C31" i="76" s="1"/>
  <c r="D252" i="76"/>
  <c r="G248" i="76"/>
  <c r="G249" i="76" s="1"/>
  <c r="H6" i="11"/>
  <c r="F248" i="76"/>
  <c r="F249" i="76" s="1"/>
  <c r="E39" i="17"/>
  <c r="E176" i="76"/>
  <c r="E6" i="11"/>
  <c r="C248" i="76"/>
  <c r="F318" i="76"/>
  <c r="F317" i="76"/>
  <c r="C249" i="76"/>
  <c r="D248" i="76"/>
  <c r="D249" i="76" s="1"/>
  <c r="B32" i="76"/>
  <c r="C32" i="76" s="1"/>
  <c r="E252" i="76"/>
  <c r="B34" i="76"/>
  <c r="C35" i="76" s="1"/>
  <c r="G252" i="76"/>
  <c r="F35" i="11"/>
  <c r="F52" i="11" s="1"/>
  <c r="D266" i="76"/>
  <c r="H35" i="11"/>
  <c r="H52" i="11" s="1"/>
  <c r="F266" i="76"/>
  <c r="F276" i="76" s="1"/>
  <c r="E248" i="76"/>
  <c r="E249" i="76" s="1"/>
  <c r="J35" i="11"/>
  <c r="J52" i="11" s="1"/>
  <c r="H266" i="76"/>
  <c r="F438" i="76"/>
  <c r="F437" i="76"/>
  <c r="F414" i="76"/>
  <c r="F413" i="76"/>
  <c r="D43" i="76" a="1"/>
  <c r="D49" i="76" s="1"/>
  <c r="H265" i="76"/>
  <c r="H275" i="76" s="1"/>
  <c r="G142" i="72"/>
  <c r="B35" i="76"/>
  <c r="H252" i="76"/>
  <c r="F389" i="76"/>
  <c r="F390" i="76"/>
  <c r="F293" i="76"/>
  <c r="F294" i="76"/>
  <c r="G35" i="11"/>
  <c r="G52" i="11" s="1"/>
  <c r="E44" i="76"/>
  <c r="E47" i="76"/>
  <c r="E50" i="76"/>
  <c r="E49" i="76"/>
  <c r="E52" i="76"/>
  <c r="E66" i="76" s="1"/>
  <c r="E48" i="76"/>
  <c r="E46" i="76"/>
  <c r="E60" i="76" s="1"/>
  <c r="E43" i="76"/>
  <c r="E45" i="76"/>
  <c r="E59" i="76" s="1"/>
  <c r="E51" i="76"/>
  <c r="L123" i="72"/>
  <c r="Q28" i="72" s="1"/>
  <c r="N123" i="72"/>
  <c r="Q27" i="72" s="1"/>
  <c r="B348" i="76"/>
  <c r="C348" i="76" s="1"/>
  <c r="B366" i="76"/>
  <c r="I144" i="76"/>
  <c r="L456" i="76"/>
  <c r="C389" i="76"/>
  <c r="B413" i="76" s="1"/>
  <c r="C387" i="76"/>
  <c r="B411" i="76" s="1"/>
  <c r="C388" i="76"/>
  <c r="C390" i="76"/>
  <c r="C366" i="76"/>
  <c r="C365" i="76"/>
  <c r="C363" i="76"/>
  <c r="C364" i="76"/>
  <c r="B370" i="76" s="1"/>
  <c r="C370" i="76" s="1"/>
  <c r="I138" i="76"/>
  <c r="L311" i="76"/>
  <c r="L288" i="76"/>
  <c r="L432" i="76"/>
  <c r="I135" i="76"/>
  <c r="D27" i="76"/>
  <c r="D143" i="76"/>
  <c r="F143" i="76"/>
  <c r="D139" i="76"/>
  <c r="F139" i="76"/>
  <c r="G274" i="76"/>
  <c r="D141" i="76"/>
  <c r="F141" i="76"/>
  <c r="D142" i="76"/>
  <c r="F142" i="76"/>
  <c r="D140" i="76"/>
  <c r="F140" i="76"/>
  <c r="D136" i="76"/>
  <c r="F136" i="76"/>
  <c r="I136" i="76" s="1"/>
  <c r="A139" i="76"/>
  <c r="A155" i="76" s="1"/>
  <c r="A170" i="76" s="1"/>
  <c r="A228" i="76" s="1"/>
  <c r="A61" i="76"/>
  <c r="A80" i="76" s="1"/>
  <c r="B144" i="76"/>
  <c r="D144" i="76" s="1"/>
  <c r="C35" i="11"/>
  <c r="C52" i="11" s="1"/>
  <c r="E35" i="11"/>
  <c r="E52" i="11" s="1"/>
  <c r="B30" i="18"/>
  <c r="B28" i="18" s="1"/>
  <c r="J34" i="11"/>
  <c r="J51" i="11" s="1"/>
  <c r="C30" i="18"/>
  <c r="C28" i="18" s="1"/>
  <c r="D12" i="9"/>
  <c r="E12" i="9" s="1"/>
  <c r="K6" i="11"/>
  <c r="D135" i="76"/>
  <c r="M19" i="17"/>
  <c r="G51" i="11"/>
  <c r="I6" i="11"/>
  <c r="E50" i="11"/>
  <c r="G6" i="11"/>
  <c r="D5" i="9"/>
  <c r="E5" i="9" s="1"/>
  <c r="D137" i="76"/>
  <c r="B224" i="76"/>
  <c r="F6" i="9"/>
  <c r="D138" i="76"/>
  <c r="D6" i="9"/>
  <c r="E6" i="9" s="1"/>
  <c r="E175" i="76"/>
  <c r="K27" i="11"/>
  <c r="I269" i="76" s="1"/>
  <c r="C176" i="76"/>
  <c r="A32" i="9"/>
  <c r="A35" i="9" s="1"/>
  <c r="E51" i="11"/>
  <c r="K38" i="11"/>
  <c r="K51" i="11" s="1"/>
  <c r="G275" i="76"/>
  <c r="K10" i="11"/>
  <c r="D50" i="11"/>
  <c r="G30" i="76"/>
  <c r="B52" i="11"/>
  <c r="F50" i="11"/>
  <c r="B50" i="11"/>
  <c r="G28" i="76"/>
  <c r="I51" i="11"/>
  <c r="C28" i="76"/>
  <c r="B43" i="76"/>
  <c r="B52" i="76"/>
  <c r="B44" i="76"/>
  <c r="B46" i="76"/>
  <c r="B45" i="76"/>
  <c r="B50" i="76"/>
  <c r="B51" i="76"/>
  <c r="B48" i="76"/>
  <c r="B49" i="76"/>
  <c r="B47" i="76"/>
  <c r="D38" i="11"/>
  <c r="D51" i="11" s="1"/>
  <c r="D10" i="11"/>
  <c r="B29" i="76" s="1"/>
  <c r="C29" i="76" s="1"/>
  <c r="F5" i="9"/>
  <c r="F9" i="9"/>
  <c r="H38" i="11"/>
  <c r="H51" i="11" s="1"/>
  <c r="H10" i="11"/>
  <c r="J50" i="11"/>
  <c r="C276" i="76"/>
  <c r="F6" i="11"/>
  <c r="B341" i="76"/>
  <c r="B365" i="76"/>
  <c r="C343" i="76"/>
  <c r="D30" i="76"/>
  <c r="G138" i="76"/>
  <c r="B209" i="76"/>
  <c r="F33" i="76"/>
  <c r="G137" i="76"/>
  <c r="C57" i="76"/>
  <c r="G29" i="76"/>
  <c r="G50" i="11"/>
  <c r="F32" i="76"/>
  <c r="G31" i="76"/>
  <c r="D39" i="17"/>
  <c r="D22" i="17" s="1"/>
  <c r="I50" i="11"/>
  <c r="F34" i="76"/>
  <c r="A47" i="76"/>
  <c r="A93" i="76"/>
  <c r="A32" i="76"/>
  <c r="A140" i="76" s="1"/>
  <c r="A156" i="76" s="1"/>
  <c r="A171" i="76" s="1"/>
  <c r="A229" i="76" s="1"/>
  <c r="A79" i="76"/>
  <c r="C190" i="76"/>
  <c r="D190" i="76"/>
  <c r="E190" i="76"/>
  <c r="B222" i="76"/>
  <c r="A263" i="76"/>
  <c r="B190" i="76"/>
  <c r="F16" i="9" l="1"/>
  <c r="D47" i="76"/>
  <c r="D61" i="76" s="1"/>
  <c r="D48" i="76"/>
  <c r="D62" i="76" s="1"/>
  <c r="D44" i="76"/>
  <c r="D51" i="76"/>
  <c r="F51" i="76" s="1"/>
  <c r="D46" i="76"/>
  <c r="D60" i="76" s="1"/>
  <c r="D52" i="76"/>
  <c r="F52" i="76" s="1"/>
  <c r="D50" i="76"/>
  <c r="F50" i="76" s="1"/>
  <c r="D45" i="76"/>
  <c r="D59" i="76" s="1"/>
  <c r="J251" i="76"/>
  <c r="K251" i="76" s="1"/>
  <c r="D43" i="76"/>
  <c r="D57" i="76" s="1"/>
  <c r="F44" i="76"/>
  <c r="B33" i="76"/>
  <c r="C33" i="76" s="1"/>
  <c r="F252" i="76"/>
  <c r="B59" i="76"/>
  <c r="B66" i="76"/>
  <c r="F435" i="76" a="1"/>
  <c r="G143" i="72"/>
  <c r="F49" i="76"/>
  <c r="F363" i="76" a="1"/>
  <c r="F411" i="76" a="1"/>
  <c r="F387" i="76" a="1"/>
  <c r="B60" i="76"/>
  <c r="F291" i="76" a="1"/>
  <c r="B36" i="76"/>
  <c r="C36" i="76" s="1"/>
  <c r="I252" i="76"/>
  <c r="F47" i="76"/>
  <c r="F315" i="76" a="1"/>
  <c r="F48" i="76"/>
  <c r="F339" i="76" a="1"/>
  <c r="Q30" i="72"/>
  <c r="B121" i="76" s="1"/>
  <c r="C391" i="76"/>
  <c r="L431" i="76"/>
  <c r="E61" i="76"/>
  <c r="L312" i="76"/>
  <c r="L335" i="76"/>
  <c r="B390" i="76"/>
  <c r="B387" i="76"/>
  <c r="B369" i="76"/>
  <c r="C369" i="76" s="1"/>
  <c r="I140" i="76"/>
  <c r="L359" i="76"/>
  <c r="L336" i="76"/>
  <c r="B372" i="76"/>
  <c r="C372" i="76" s="1"/>
  <c r="I143" i="76"/>
  <c r="L408" i="76"/>
  <c r="B414" i="76"/>
  <c r="I142" i="76"/>
  <c r="L407" i="76"/>
  <c r="L384" i="76"/>
  <c r="B412" i="76"/>
  <c r="I141" i="76"/>
  <c r="L383" i="76"/>
  <c r="L360" i="76"/>
  <c r="B388" i="76"/>
  <c r="A107" i="76"/>
  <c r="E65" i="76"/>
  <c r="E58" i="76"/>
  <c r="G136" i="76"/>
  <c r="G140" i="76"/>
  <c r="C62" i="76"/>
  <c r="G294" i="76"/>
  <c r="K294" i="76" s="1"/>
  <c r="G144" i="76"/>
  <c r="D31" i="76"/>
  <c r="E31" i="76" s="1"/>
  <c r="D32" i="76"/>
  <c r="B61" i="76"/>
  <c r="C61" i="76"/>
  <c r="G139" i="76"/>
  <c r="E62" i="76"/>
  <c r="D28" i="76"/>
  <c r="E28" i="76" s="1"/>
  <c r="C58" i="76"/>
  <c r="B58" i="76"/>
  <c r="E63" i="76"/>
  <c r="C63" i="76"/>
  <c r="C65" i="76"/>
  <c r="D58" i="76"/>
  <c r="G143" i="76"/>
  <c r="B65" i="76"/>
  <c r="D35" i="76"/>
  <c r="G142" i="76"/>
  <c r="B64" i="76"/>
  <c r="G141" i="76"/>
  <c r="D34" i="76"/>
  <c r="D63" i="76"/>
  <c r="C64" i="76"/>
  <c r="D276" i="76"/>
  <c r="E276" i="76"/>
  <c r="I139" i="76"/>
  <c r="D65" i="76"/>
  <c r="E64" i="76"/>
  <c r="B57" i="76"/>
  <c r="G135" i="76"/>
  <c r="E57" i="76"/>
  <c r="B235" i="76"/>
  <c r="M20" i="17"/>
  <c r="K22" i="9"/>
  <c r="E193" i="76"/>
  <c r="K18" i="11"/>
  <c r="I260" i="76" s="1"/>
  <c r="C160" i="76"/>
  <c r="C175" i="76" s="1"/>
  <c r="D160" i="76"/>
  <c r="D175" i="76" s="1"/>
  <c r="K22" i="11"/>
  <c r="B438" i="76"/>
  <c r="C22" i="17"/>
  <c r="M18" i="11" s="1"/>
  <c r="K260" i="76" s="1"/>
  <c r="D29" i="76"/>
  <c r="E30" i="76" s="1"/>
  <c r="D33" i="76"/>
  <c r="B63" i="76"/>
  <c r="B62" i="76"/>
  <c r="C30" i="76"/>
  <c r="C181" i="76"/>
  <c r="L18" i="11"/>
  <c r="J260" i="76" s="1"/>
  <c r="L27" i="11"/>
  <c r="J269" i="76" s="1"/>
  <c r="B371" i="76"/>
  <c r="B367" i="76"/>
  <c r="B389" i="76"/>
  <c r="C367" i="76"/>
  <c r="C319" i="76"/>
  <c r="B343" i="76"/>
  <c r="B347" i="76"/>
  <c r="D307" i="76"/>
  <c r="E307" i="76" s="1"/>
  <c r="C309" i="76"/>
  <c r="D309" i="76" s="1"/>
  <c r="E309" i="76" s="1"/>
  <c r="G34" i="76"/>
  <c r="G33" i="76"/>
  <c r="G32" i="76"/>
  <c r="G35" i="76"/>
  <c r="D176" i="76"/>
  <c r="A48" i="76"/>
  <c r="A33" i="76"/>
  <c r="A63" i="76" s="1"/>
  <c r="A82" i="76" s="1"/>
  <c r="A62" i="76"/>
  <c r="A108" i="76" s="1"/>
  <c r="A94" i="76"/>
  <c r="D66" i="76" l="1"/>
  <c r="F43" i="76"/>
  <c r="D64" i="76"/>
  <c r="F64" i="76" s="1"/>
  <c r="F46" i="76"/>
  <c r="F63" i="76"/>
  <c r="F58" i="76"/>
  <c r="F66" i="76"/>
  <c r="F60" i="76"/>
  <c r="F45" i="76"/>
  <c r="F59" i="76"/>
  <c r="B419" i="76"/>
  <c r="I264" i="76"/>
  <c r="C34" i="76"/>
  <c r="F62" i="76"/>
  <c r="D36" i="76"/>
  <c r="E36" i="76" s="1"/>
  <c r="F57" i="76"/>
  <c r="F388" i="76"/>
  <c r="F387" i="76"/>
  <c r="F436" i="76"/>
  <c r="F435" i="76"/>
  <c r="F65" i="76"/>
  <c r="F316" i="76"/>
  <c r="F315" i="76"/>
  <c r="F61" i="76"/>
  <c r="F339" i="76"/>
  <c r="H339" i="76" s="1"/>
  <c r="F340" i="76"/>
  <c r="F411" i="76"/>
  <c r="F412" i="76"/>
  <c r="G144" i="72"/>
  <c r="F292" i="76"/>
  <c r="E316" i="76" s="1"/>
  <c r="G316" i="76" s="1"/>
  <c r="F291" i="76"/>
  <c r="E315" i="76" s="1"/>
  <c r="G315" i="76" s="1"/>
  <c r="F364" i="76"/>
  <c r="F363" i="76"/>
  <c r="E317" i="76"/>
  <c r="G317" i="76" s="1"/>
  <c r="E318" i="76"/>
  <c r="G318" i="76" s="1"/>
  <c r="B393" i="76"/>
  <c r="C393" i="76" s="1"/>
  <c r="B415" i="76"/>
  <c r="B394" i="76"/>
  <c r="C394" i="76" s="1"/>
  <c r="B420" i="76"/>
  <c r="C420" i="76" s="1"/>
  <c r="B396" i="76"/>
  <c r="C396" i="76" s="1"/>
  <c r="G293" i="76"/>
  <c r="K293" i="76" s="1"/>
  <c r="G291" i="76"/>
  <c r="K291" i="76" s="1"/>
  <c r="G292" i="76"/>
  <c r="K292" i="76" s="1"/>
  <c r="E32" i="76"/>
  <c r="E35" i="76"/>
  <c r="E34" i="76"/>
  <c r="M21" i="17"/>
  <c r="E198" i="76"/>
  <c r="E29" i="76"/>
  <c r="B437" i="76"/>
  <c r="C182" i="76"/>
  <c r="C192" i="76"/>
  <c r="C193" i="76" s="1"/>
  <c r="B436" i="76"/>
  <c r="B418" i="76"/>
  <c r="C418" i="76" s="1"/>
  <c r="J22" i="9"/>
  <c r="D192" i="76"/>
  <c r="D193" i="76" s="1"/>
  <c r="E33" i="76"/>
  <c r="C76" i="76" a="1"/>
  <c r="C84" i="76" s="1"/>
  <c r="E199" i="76"/>
  <c r="M27" i="11"/>
  <c r="K26" i="9"/>
  <c r="K32" i="9" s="1"/>
  <c r="C347" i="76"/>
  <c r="B349" i="76"/>
  <c r="C349" i="76" s="1"/>
  <c r="B391" i="76"/>
  <c r="B395" i="76"/>
  <c r="C419" i="76"/>
  <c r="C371" i="76"/>
  <c r="B373" i="76"/>
  <c r="C373" i="76" s="1"/>
  <c r="D181" i="76"/>
  <c r="L22" i="11"/>
  <c r="J264" i="76" s="1"/>
  <c r="A34" i="76"/>
  <c r="A64" i="76" s="1"/>
  <c r="A83" i="76" s="1"/>
  <c r="A49" i="76"/>
  <c r="A81" i="76"/>
  <c r="A95" i="76"/>
  <c r="A109" i="76"/>
  <c r="A141" i="76"/>
  <c r="A157" i="76" s="1"/>
  <c r="A172" i="76" s="1"/>
  <c r="A230" i="76" s="1"/>
  <c r="G145" i="72" l="1"/>
  <c r="E212" i="76"/>
  <c r="E76" i="76" a="1"/>
  <c r="E84" i="76" s="1"/>
  <c r="K269" i="76"/>
  <c r="E211" i="76"/>
  <c r="H437" i="76"/>
  <c r="E462" i="76"/>
  <c r="G462" i="76" s="1"/>
  <c r="H438" i="76"/>
  <c r="J341" i="76"/>
  <c r="H342" i="76"/>
  <c r="L342" i="76" s="1"/>
  <c r="E364" i="76"/>
  <c r="H341" i="76"/>
  <c r="L341" i="76" s="1"/>
  <c r="E366" i="76"/>
  <c r="J339" i="76"/>
  <c r="E363" i="76"/>
  <c r="L339" i="76"/>
  <c r="M22" i="17"/>
  <c r="C199" i="76"/>
  <c r="C212" i="76" s="1"/>
  <c r="C198" i="76"/>
  <c r="C211" i="76" s="1"/>
  <c r="I22" i="9"/>
  <c r="I26" i="9" s="1"/>
  <c r="I32" i="9" s="1"/>
  <c r="C82" i="76"/>
  <c r="C95" i="76" s="1"/>
  <c r="C81" i="76"/>
  <c r="C108" i="76" s="1"/>
  <c r="C79" i="76"/>
  <c r="C92" i="76" s="1"/>
  <c r="C76" i="76"/>
  <c r="C89" i="76" s="1"/>
  <c r="C80" i="76"/>
  <c r="C93" i="76" s="1"/>
  <c r="C86" i="76"/>
  <c r="C77" i="76"/>
  <c r="C90" i="76" s="1"/>
  <c r="C87" i="76"/>
  <c r="C83" i="76"/>
  <c r="C110" i="76" s="1"/>
  <c r="C85" i="76"/>
  <c r="C98" i="76" s="1"/>
  <c r="C78" i="76"/>
  <c r="C91" i="76" s="1"/>
  <c r="C97" i="76"/>
  <c r="C111" i="76"/>
  <c r="C395" i="76"/>
  <c r="B397" i="76"/>
  <c r="C397" i="76" s="1"/>
  <c r="J26" i="9"/>
  <c r="J32" i="9" s="1"/>
  <c r="M22" i="11"/>
  <c r="K264" i="76" s="1"/>
  <c r="D182" i="76"/>
  <c r="D198" i="76"/>
  <c r="A142" i="76"/>
  <c r="A158" i="76" s="1"/>
  <c r="A173" i="76" s="1"/>
  <c r="A231" i="76" s="1"/>
  <c r="A35" i="76"/>
  <c r="A65" i="76" s="1"/>
  <c r="A84" i="76" s="1"/>
  <c r="A50" i="76"/>
  <c r="A96" i="76"/>
  <c r="A110" i="76"/>
  <c r="G146" i="72" l="1"/>
  <c r="E77" i="76"/>
  <c r="E85" i="76"/>
  <c r="E81" i="76"/>
  <c r="E86" i="76"/>
  <c r="E79" i="76"/>
  <c r="E82" i="76"/>
  <c r="E78" i="76"/>
  <c r="E80" i="76"/>
  <c r="E83" i="76"/>
  <c r="E76" i="76"/>
  <c r="E87" i="76"/>
  <c r="E365" i="76"/>
  <c r="I365" i="76" s="1"/>
  <c r="E461" i="76"/>
  <c r="G461" i="76" s="1"/>
  <c r="E460" i="76"/>
  <c r="H436" i="76"/>
  <c r="E459" i="76"/>
  <c r="G459" i="76" s="1"/>
  <c r="H435" i="76"/>
  <c r="J342" i="76"/>
  <c r="H340" i="76"/>
  <c r="L340" i="76" s="1"/>
  <c r="J340" i="76"/>
  <c r="E411" i="76"/>
  <c r="E417" i="76" s="1"/>
  <c r="F417" i="76" s="1"/>
  <c r="J387" i="76"/>
  <c r="H387" i="76"/>
  <c r="E322" i="76"/>
  <c r="F322" i="76" s="1"/>
  <c r="E340" i="76"/>
  <c r="H316" i="76"/>
  <c r="G322" i="76" s="1"/>
  <c r="H322" i="76" s="1"/>
  <c r="E390" i="76"/>
  <c r="J366" i="76"/>
  <c r="E372" i="76"/>
  <c r="F372" i="76" s="1"/>
  <c r="H366" i="76"/>
  <c r="E388" i="76"/>
  <c r="J364" i="76"/>
  <c r="H364" i="76"/>
  <c r="E414" i="76"/>
  <c r="J390" i="76"/>
  <c r="H390" i="76"/>
  <c r="E342" i="76"/>
  <c r="E324" i="76"/>
  <c r="F324" i="76" s="1"/>
  <c r="H318" i="76"/>
  <c r="G324" i="76" s="1"/>
  <c r="H324" i="76" s="1"/>
  <c r="E389" i="76"/>
  <c r="E395" i="76" s="1"/>
  <c r="F395" i="76" s="1"/>
  <c r="H365" i="76"/>
  <c r="J365" i="76"/>
  <c r="I363" i="76"/>
  <c r="G363" i="76"/>
  <c r="K363" i="76" s="1"/>
  <c r="E412" i="76"/>
  <c r="E418" i="76" s="1"/>
  <c r="F418" i="76" s="1"/>
  <c r="J388" i="76"/>
  <c r="H388" i="76"/>
  <c r="E339" i="76"/>
  <c r="E321" i="76"/>
  <c r="F321" i="76" s="1"/>
  <c r="H315" i="76"/>
  <c r="G321" i="76" s="1"/>
  <c r="H321" i="76" s="1"/>
  <c r="E370" i="76"/>
  <c r="F370" i="76" s="1"/>
  <c r="I364" i="76"/>
  <c r="G364" i="76"/>
  <c r="K364" i="76" s="1"/>
  <c r="H389" i="76"/>
  <c r="E413" i="76"/>
  <c r="J389" i="76"/>
  <c r="E341" i="76"/>
  <c r="E323" i="76"/>
  <c r="F323" i="76" s="1"/>
  <c r="H317" i="76"/>
  <c r="G323" i="76" s="1"/>
  <c r="H323" i="76" s="1"/>
  <c r="E435" i="76"/>
  <c r="G435" i="76" s="1"/>
  <c r="H411" i="76"/>
  <c r="E369" i="76"/>
  <c r="F369" i="76" s="1"/>
  <c r="E387" i="76"/>
  <c r="J363" i="76"/>
  <c r="H363" i="76"/>
  <c r="I366" i="76"/>
  <c r="G366" i="76"/>
  <c r="K366" i="76" s="1"/>
  <c r="E436" i="76"/>
  <c r="G436" i="76" s="1"/>
  <c r="J412" i="76"/>
  <c r="H412" i="76"/>
  <c r="M23" i="17"/>
  <c r="C105" i="76"/>
  <c r="C106" i="76"/>
  <c r="C104" i="76"/>
  <c r="C94" i="76"/>
  <c r="C109" i="76"/>
  <c r="C96" i="76"/>
  <c r="C112" i="76"/>
  <c r="C107" i="76"/>
  <c r="C103" i="76"/>
  <c r="D199" i="76"/>
  <c r="D76" i="76" a="1"/>
  <c r="D211" i="76"/>
  <c r="A51" i="76"/>
  <c r="A97" i="76"/>
  <c r="A111" i="76"/>
  <c r="A36" i="76"/>
  <c r="A143" i="76"/>
  <c r="A159" i="76" s="1"/>
  <c r="A174" i="76" s="1"/>
  <c r="A232" i="76" s="1"/>
  <c r="E371" i="76" l="1"/>
  <c r="F371" i="76" s="1"/>
  <c r="G365" i="76"/>
  <c r="K365" i="76" s="1"/>
  <c r="G460" i="76"/>
  <c r="I371" i="76"/>
  <c r="J371" i="76" s="1"/>
  <c r="I370" i="76"/>
  <c r="J370" i="76" s="1"/>
  <c r="I342" i="76"/>
  <c r="I348" i="76" s="1"/>
  <c r="J348" i="76" s="1"/>
  <c r="G342" i="76"/>
  <c r="E348" i="76"/>
  <c r="F348" i="76" s="1"/>
  <c r="I388" i="76"/>
  <c r="I394" i="76" s="1"/>
  <c r="J394" i="76" s="1"/>
  <c r="G388" i="76"/>
  <c r="K388" i="76" s="1"/>
  <c r="I340" i="76"/>
  <c r="I346" i="76" s="1"/>
  <c r="J346" i="76" s="1"/>
  <c r="G340" i="76"/>
  <c r="E346" i="76"/>
  <c r="F346" i="76" s="1"/>
  <c r="L390" i="76"/>
  <c r="I387" i="76"/>
  <c r="I393" i="76" s="1"/>
  <c r="J393" i="76" s="1"/>
  <c r="G387" i="76"/>
  <c r="K387" i="76" s="1"/>
  <c r="L389" i="76"/>
  <c r="L388" i="76"/>
  <c r="L387" i="76"/>
  <c r="L412" i="76"/>
  <c r="L365" i="76"/>
  <c r="G371" i="76"/>
  <c r="H371" i="76" s="1"/>
  <c r="G414" i="76"/>
  <c r="K414" i="76" s="1"/>
  <c r="I414" i="76"/>
  <c r="I372" i="76"/>
  <c r="J372" i="76" s="1"/>
  <c r="I436" i="76"/>
  <c r="G412" i="76"/>
  <c r="K412" i="76" s="1"/>
  <c r="I412" i="76"/>
  <c r="I418" i="76" s="1"/>
  <c r="J418" i="76" s="1"/>
  <c r="E396" i="76"/>
  <c r="F396" i="76" s="1"/>
  <c r="I390" i="76"/>
  <c r="I396" i="76" s="1"/>
  <c r="J396" i="76" s="1"/>
  <c r="G390" i="76"/>
  <c r="K390" i="76" s="1"/>
  <c r="I411" i="76"/>
  <c r="G411" i="76"/>
  <c r="K411" i="76" s="1"/>
  <c r="L366" i="76"/>
  <c r="K372" i="76" s="1"/>
  <c r="L372" i="76" s="1"/>
  <c r="G372" i="76"/>
  <c r="H372" i="76" s="1"/>
  <c r="E394" i="76"/>
  <c r="F394" i="76" s="1"/>
  <c r="I389" i="76"/>
  <c r="I395" i="76" s="1"/>
  <c r="J395" i="76" s="1"/>
  <c r="G389" i="76"/>
  <c r="K389" i="76" s="1"/>
  <c r="E393" i="76"/>
  <c r="F393" i="76" s="1"/>
  <c r="L363" i="76"/>
  <c r="K369" i="76" s="1"/>
  <c r="L369" i="76" s="1"/>
  <c r="G369" i="76"/>
  <c r="H369" i="76" s="1"/>
  <c r="I369" i="76"/>
  <c r="J369" i="76" s="1"/>
  <c r="I413" i="76"/>
  <c r="G413" i="76"/>
  <c r="K413" i="76" s="1"/>
  <c r="I339" i="76"/>
  <c r="I345" i="76" s="1"/>
  <c r="J345" i="76" s="1"/>
  <c r="G339" i="76"/>
  <c r="E345" i="76"/>
  <c r="F345" i="76" s="1"/>
  <c r="E347" i="76"/>
  <c r="F347" i="76" s="1"/>
  <c r="I341" i="76"/>
  <c r="I347" i="76" s="1"/>
  <c r="J347" i="76" s="1"/>
  <c r="G341" i="76"/>
  <c r="L364" i="76"/>
  <c r="K370" i="76" s="1"/>
  <c r="L370" i="76" s="1"/>
  <c r="G370" i="76"/>
  <c r="H370" i="76" s="1"/>
  <c r="A66" i="76"/>
  <c r="A85" i="76" s="1"/>
  <c r="A37" i="76"/>
  <c r="A38" i="76"/>
  <c r="E89" i="76"/>
  <c r="E103" i="76"/>
  <c r="E94" i="76"/>
  <c r="E108" i="76"/>
  <c r="E95" i="76"/>
  <c r="E109" i="76"/>
  <c r="E98" i="76"/>
  <c r="E112" i="76"/>
  <c r="E97" i="76"/>
  <c r="E111" i="76"/>
  <c r="E91" i="76"/>
  <c r="E105" i="76"/>
  <c r="E93" i="76"/>
  <c r="E107" i="76"/>
  <c r="E90" i="76"/>
  <c r="E104" i="76"/>
  <c r="E96" i="76"/>
  <c r="E110" i="76"/>
  <c r="E92" i="76"/>
  <c r="E106" i="76"/>
  <c r="D82" i="76"/>
  <c r="D86" i="76"/>
  <c r="D80" i="76"/>
  <c r="D84" i="76"/>
  <c r="D81" i="76"/>
  <c r="D76" i="76"/>
  <c r="D87" i="76"/>
  <c r="D79" i="76"/>
  <c r="D77" i="76"/>
  <c r="D78" i="76"/>
  <c r="D85" i="76"/>
  <c r="D83" i="76"/>
  <c r="D212" i="76"/>
  <c r="A98" i="76"/>
  <c r="A144" i="76"/>
  <c r="A160" i="76" s="1"/>
  <c r="A175" i="76" s="1"/>
  <c r="A52" i="76"/>
  <c r="K371" i="76" l="1"/>
  <c r="L371" i="76" s="1"/>
  <c r="G395" i="76"/>
  <c r="H395" i="76" s="1"/>
  <c r="G418" i="76"/>
  <c r="H418" i="76" s="1"/>
  <c r="K418" i="76"/>
  <c r="L418" i="76" s="1"/>
  <c r="K395" i="76"/>
  <c r="L395" i="76" s="1"/>
  <c r="K340" i="76"/>
  <c r="K346" i="76" s="1"/>
  <c r="L346" i="76" s="1"/>
  <c r="G346" i="76"/>
  <c r="H346" i="76" s="1"/>
  <c r="K436" i="76"/>
  <c r="G442" i="76"/>
  <c r="H442" i="76" s="1"/>
  <c r="G393" i="76"/>
  <c r="H393" i="76" s="1"/>
  <c r="K393" i="76"/>
  <c r="L393" i="76" s="1"/>
  <c r="K339" i="76"/>
  <c r="K345" i="76" s="1"/>
  <c r="L345" i="76" s="1"/>
  <c r="G345" i="76"/>
  <c r="H345" i="76" s="1"/>
  <c r="G396" i="76"/>
  <c r="H396" i="76" s="1"/>
  <c r="K394" i="76"/>
  <c r="L394" i="76" s="1"/>
  <c r="K396" i="76"/>
  <c r="L396" i="76" s="1"/>
  <c r="K342" i="76"/>
  <c r="K348" i="76" s="1"/>
  <c r="L348" i="76" s="1"/>
  <c r="G348" i="76"/>
  <c r="H348" i="76" s="1"/>
  <c r="K341" i="76"/>
  <c r="K347" i="76" s="1"/>
  <c r="L347" i="76" s="1"/>
  <c r="G347" i="76"/>
  <c r="H347" i="76" s="1"/>
  <c r="G441" i="76"/>
  <c r="H441" i="76" s="1"/>
  <c r="G394" i="76"/>
  <c r="H394" i="76" s="1"/>
  <c r="G417" i="76"/>
  <c r="H417" i="76" s="1"/>
  <c r="A112" i="76"/>
  <c r="A233" i="76"/>
  <c r="A187" i="76"/>
  <c r="A68" i="76"/>
  <c r="A146" i="76"/>
  <c r="A182" i="76" s="1"/>
  <c r="A193" i="76" s="1"/>
  <c r="A67" i="76"/>
  <c r="A145" i="76"/>
  <c r="A181" i="76" s="1"/>
  <c r="A192" i="76" s="1"/>
  <c r="D90" i="76"/>
  <c r="D104" i="76"/>
  <c r="D95" i="76"/>
  <c r="D109" i="76"/>
  <c r="D105" i="76"/>
  <c r="D91" i="76"/>
  <c r="D92" i="76"/>
  <c r="D106" i="76"/>
  <c r="D89" i="76"/>
  <c r="D103" i="76"/>
  <c r="D94" i="76"/>
  <c r="D108" i="76"/>
  <c r="D96" i="76"/>
  <c r="D110" i="76"/>
  <c r="D97" i="76"/>
  <c r="D111" i="76"/>
  <c r="D98" i="76"/>
  <c r="D112" i="76"/>
  <c r="D107" i="76"/>
  <c r="D93" i="76"/>
  <c r="A214" i="76" l="1"/>
  <c r="A198" i="76"/>
  <c r="A211" i="76" s="1"/>
  <c r="A217" i="76" s="1"/>
  <c r="A240" i="76" s="1"/>
  <c r="A113" i="76"/>
  <c r="A86" i="76"/>
  <c r="A215" i="76"/>
  <c r="A199" i="76"/>
  <c r="A212" i="76" s="1"/>
  <c r="A218" i="76" s="1"/>
  <c r="A241" i="76" s="1"/>
  <c r="A114" i="76"/>
  <c r="A87" i="76"/>
  <c r="I318" i="76" l="1"/>
  <c r="K318" i="76"/>
  <c r="J317" i="76"/>
  <c r="B323" i="76"/>
  <c r="C323" i="76" s="1"/>
  <c r="L317" i="76"/>
  <c r="I316" i="76"/>
  <c r="K316" i="76"/>
  <c r="B324" i="76"/>
  <c r="C324" i="76" s="1"/>
  <c r="J318" i="76"/>
  <c r="L318" i="76"/>
  <c r="J315" i="76"/>
  <c r="L315" i="76"/>
  <c r="B322" i="76"/>
  <c r="C322" i="76" s="1"/>
  <c r="J316" i="76"/>
  <c r="L316" i="76"/>
  <c r="I317" i="76"/>
  <c r="K317" i="76"/>
  <c r="I323" i="76" l="1"/>
  <c r="J323" i="76" s="1"/>
  <c r="I322" i="76"/>
  <c r="J322" i="76" s="1"/>
  <c r="I324" i="76"/>
  <c r="J324" i="76" s="1"/>
  <c r="K322" i="76"/>
  <c r="L322" i="76" s="1"/>
  <c r="K323" i="76"/>
  <c r="L323" i="76" s="1"/>
  <c r="K324" i="76"/>
  <c r="L324" i="76" s="1"/>
  <c r="D428" i="76" l="1"/>
  <c r="E428" i="76" s="1"/>
  <c r="B39" i="17"/>
  <c r="B22" i="17" s="1"/>
  <c r="H20" i="17" l="1"/>
  <c r="K14" i="11"/>
  <c r="I256" i="76" s="1"/>
  <c r="B160" i="76"/>
  <c r="F160" i="76" s="1"/>
  <c r="F20" i="17"/>
  <c r="K37" i="11" s="1"/>
  <c r="B452" i="76"/>
  <c r="D452" i="76" s="1"/>
  <c r="E452" i="76" s="1"/>
  <c r="B176" i="76"/>
  <c r="C435" i="76" l="1" a="1"/>
  <c r="C437" i="76" s="1"/>
  <c r="B461" i="76" s="1"/>
  <c r="K33" i="11"/>
  <c r="F36" i="76" s="1"/>
  <c r="G36" i="76" s="1"/>
  <c r="H274" i="76"/>
  <c r="B192" i="76"/>
  <c r="B193" i="76" s="1"/>
  <c r="B175" i="76"/>
  <c r="D476" i="76"/>
  <c r="E476" i="76" s="1"/>
  <c r="H22" i="9"/>
  <c r="L14" i="11"/>
  <c r="B181" i="76"/>
  <c r="F181" i="76" s="1"/>
  <c r="F21" i="17"/>
  <c r="L37" i="11" s="1"/>
  <c r="H22" i="17"/>
  <c r="M25" i="17" s="1"/>
  <c r="L33" i="11" l="1"/>
  <c r="J256" i="76"/>
  <c r="C459" i="76" a="1"/>
  <c r="B483" i="76" a="1"/>
  <c r="C436" i="76"/>
  <c r="B460" i="76" s="1"/>
  <c r="I460" i="76" s="1"/>
  <c r="C435" i="76"/>
  <c r="B459" i="76" s="1"/>
  <c r="I459" i="76" s="1"/>
  <c r="C438" i="76"/>
  <c r="B462" i="76" s="1"/>
  <c r="I462" i="76" s="1"/>
  <c r="I461" i="76"/>
  <c r="K461" i="76"/>
  <c r="K460" i="76"/>
  <c r="B463" i="76"/>
  <c r="J437" i="76"/>
  <c r="L437" i="76"/>
  <c r="B443" i="76"/>
  <c r="C443" i="76" s="1"/>
  <c r="K50" i="11"/>
  <c r="J411" i="76"/>
  <c r="I417" i="76" s="1"/>
  <c r="J417" i="76" s="1"/>
  <c r="B198" i="76"/>
  <c r="F198" i="76" s="1"/>
  <c r="F22" i="17"/>
  <c r="M37" i="11" s="1"/>
  <c r="B182" i="76"/>
  <c r="M14" i="11"/>
  <c r="K256" i="76" s="1"/>
  <c r="K274" i="76" s="1"/>
  <c r="H26" i="9"/>
  <c r="I274" i="76"/>
  <c r="B442" i="76" l="1"/>
  <c r="C442" i="76" s="1"/>
  <c r="B444" i="76"/>
  <c r="C444" i="76" s="1"/>
  <c r="L435" i="76"/>
  <c r="L436" i="76"/>
  <c r="K442" i="76" s="1"/>
  <c r="L442" i="76" s="1"/>
  <c r="J436" i="76"/>
  <c r="I442" i="76" s="1"/>
  <c r="J442" i="76" s="1"/>
  <c r="K462" i="76"/>
  <c r="K459" i="76"/>
  <c r="C483" i="76" a="1"/>
  <c r="C486" i="76" s="1"/>
  <c r="F182" i="76"/>
  <c r="J435" i="76"/>
  <c r="L438" i="76"/>
  <c r="J438" i="76"/>
  <c r="B484" i="76"/>
  <c r="B483" i="76"/>
  <c r="B485" i="76"/>
  <c r="B486" i="76"/>
  <c r="C461" i="76"/>
  <c r="B467" i="76" s="1"/>
  <c r="C467" i="76" s="1"/>
  <c r="C459" i="76"/>
  <c r="B465" i="76" s="1"/>
  <c r="C460" i="76"/>
  <c r="C462" i="76"/>
  <c r="B468" i="76" s="1"/>
  <c r="C468" i="76" s="1"/>
  <c r="B466" i="76"/>
  <c r="C466" i="76" s="1"/>
  <c r="B76" i="76" a="1"/>
  <c r="B79" i="76" s="1"/>
  <c r="F79" i="76" s="1"/>
  <c r="M33" i="11"/>
  <c r="L411" i="76"/>
  <c r="K417" i="76" s="1"/>
  <c r="L417" i="76" s="1"/>
  <c r="C415" i="76"/>
  <c r="B417" i="76"/>
  <c r="B421" i="76" s="1"/>
  <c r="C421" i="76" s="1"/>
  <c r="B435" i="76"/>
  <c r="B211" i="76"/>
  <c r="F211" i="76" s="1"/>
  <c r="B199" i="76"/>
  <c r="F199" i="76" s="1"/>
  <c r="G26" i="9"/>
  <c r="H32" i="9"/>
  <c r="J274" i="76"/>
  <c r="F37" i="76"/>
  <c r="G37" i="76" s="1"/>
  <c r="L50" i="11"/>
  <c r="C483" i="76" l="1"/>
  <c r="C484" i="76"/>
  <c r="C485" i="76"/>
  <c r="B492" i="76"/>
  <c r="C492" i="76" s="1"/>
  <c r="C463" i="76"/>
  <c r="B490" i="76"/>
  <c r="C490" i="76" s="1"/>
  <c r="B491" i="76"/>
  <c r="C491" i="76" s="1"/>
  <c r="B469" i="76"/>
  <c r="C469" i="76" s="1"/>
  <c r="C465" i="76"/>
  <c r="B439" i="76"/>
  <c r="I435" i="76"/>
  <c r="I441" i="76" s="1"/>
  <c r="J441" i="76" s="1"/>
  <c r="K435" i="76"/>
  <c r="K441" i="76" s="1"/>
  <c r="L441" i="76" s="1"/>
  <c r="B76" i="76"/>
  <c r="B83" i="76"/>
  <c r="B87" i="76"/>
  <c r="F87" i="76" s="1"/>
  <c r="B78" i="76"/>
  <c r="B86" i="76"/>
  <c r="F86" i="76" s="1"/>
  <c r="B77" i="76"/>
  <c r="F77" i="76" s="1"/>
  <c r="B80" i="76"/>
  <c r="B84" i="76"/>
  <c r="F84" i="76" s="1"/>
  <c r="B81" i="76"/>
  <c r="B82" i="76"/>
  <c r="B85" i="76"/>
  <c r="F85" i="76" s="1"/>
  <c r="C417" i="76"/>
  <c r="B212" i="76"/>
  <c r="F212" i="76" s="1"/>
  <c r="B106" i="76"/>
  <c r="B92" i="76"/>
  <c r="M50" i="11"/>
  <c r="F38" i="76"/>
  <c r="G38" i="76" s="1"/>
  <c r="C439" i="76"/>
  <c r="B487" i="76"/>
  <c r="B441" i="76"/>
  <c r="K29" i="11"/>
  <c r="I271" i="76" s="1"/>
  <c r="L32" i="9"/>
  <c r="B89" i="76" l="1"/>
  <c r="F76" i="76"/>
  <c r="B96" i="76"/>
  <c r="F83" i="76"/>
  <c r="B107" i="76"/>
  <c r="F80" i="76"/>
  <c r="B95" i="76"/>
  <c r="F82" i="76"/>
  <c r="B94" i="76"/>
  <c r="F81" i="76"/>
  <c r="B91" i="76"/>
  <c r="F78" i="76"/>
  <c r="B93" i="76"/>
  <c r="B103" i="76"/>
  <c r="B108" i="76"/>
  <c r="B112" i="76"/>
  <c r="B105" i="76"/>
  <c r="B98" i="76"/>
  <c r="B110" i="76"/>
  <c r="B109" i="76"/>
  <c r="B97" i="76"/>
  <c r="B90" i="76"/>
  <c r="B111" i="76"/>
  <c r="B104" i="76"/>
  <c r="D11" i="18"/>
  <c r="K39" i="11" s="1"/>
  <c r="E420" i="76"/>
  <c r="F420" i="76" s="1"/>
  <c r="J414" i="76"/>
  <c r="I420" i="76" s="1"/>
  <c r="J420" i="76" s="1"/>
  <c r="E438" i="76"/>
  <c r="G438" i="76" s="1"/>
  <c r="H414" i="76"/>
  <c r="K24" i="11"/>
  <c r="C487" i="76"/>
  <c r="B489" i="76"/>
  <c r="C441" i="76"/>
  <c r="B445" i="76"/>
  <c r="C445" i="76" s="1"/>
  <c r="D425" i="76"/>
  <c r="E425" i="76" s="1"/>
  <c r="B449" i="76"/>
  <c r="K35" i="11" l="1"/>
  <c r="I266" i="76"/>
  <c r="I438" i="76"/>
  <c r="I444" i="76" s="1"/>
  <c r="J444" i="76" s="1"/>
  <c r="H276" i="76"/>
  <c r="K52" i="11"/>
  <c r="L414" i="76"/>
  <c r="K420" i="76" s="1"/>
  <c r="L420" i="76" s="1"/>
  <c r="G420" i="76"/>
  <c r="H420" i="76" s="1"/>
  <c r="B300" i="76"/>
  <c r="C300" i="76" s="1"/>
  <c r="B298" i="76"/>
  <c r="C298" i="76" s="1"/>
  <c r="B299" i="76"/>
  <c r="C299" i="76" s="1"/>
  <c r="C295" i="76"/>
  <c r="B297" i="76"/>
  <c r="C489" i="76"/>
  <c r="B493" i="76"/>
  <c r="C493" i="76" s="1"/>
  <c r="K438" i="76" l="1"/>
  <c r="K444" i="76" s="1"/>
  <c r="L444" i="76" s="1"/>
  <c r="G444" i="76"/>
  <c r="H444" i="76" s="1"/>
  <c r="B301" i="76"/>
  <c r="C301" i="76" s="1"/>
  <c r="C297" i="76"/>
  <c r="B321" i="76"/>
  <c r="I315" i="76"/>
  <c r="I321" i="76" s="1"/>
  <c r="J321" i="76" s="1"/>
  <c r="K315" i="76"/>
  <c r="K321" i="76" s="1"/>
  <c r="L321" i="76" s="1"/>
  <c r="B319" i="76"/>
  <c r="E437" i="76" l="1"/>
  <c r="G437" i="76" s="1"/>
  <c r="H413" i="76"/>
  <c r="J413" i="76"/>
  <c r="I419" i="76" s="1"/>
  <c r="J419" i="76" s="1"/>
  <c r="E419" i="76"/>
  <c r="F419" i="76" s="1"/>
  <c r="C321" i="76"/>
  <c r="B325" i="76"/>
  <c r="C325" i="76" s="1"/>
  <c r="E444" i="76"/>
  <c r="F444" i="76" s="1"/>
  <c r="I437" i="76" l="1"/>
  <c r="I443" i="76" s="1"/>
  <c r="J443" i="76" s="1"/>
  <c r="L413" i="76"/>
  <c r="K419" i="76" s="1"/>
  <c r="L419" i="76" s="1"/>
  <c r="G419" i="76"/>
  <c r="H419" i="76" s="1"/>
  <c r="K437" i="76" l="1"/>
  <c r="K443" i="76" s="1"/>
  <c r="L443" i="76" s="1"/>
  <c r="G443" i="76"/>
  <c r="H443" i="76" s="1"/>
  <c r="L29" i="11" l="1"/>
  <c r="J271" i="76" s="1"/>
  <c r="M29" i="11" l="1"/>
  <c r="K271" i="76" s="1"/>
  <c r="H123" i="72" l="1"/>
  <c r="H124" i="72" l="1"/>
  <c r="H125" i="72"/>
  <c r="H126" i="72" l="1"/>
  <c r="H127" i="72" l="1"/>
  <c r="H128" i="72" l="1"/>
  <c r="H129" i="72" l="1"/>
  <c r="H130" i="72" l="1"/>
  <c r="H131" i="72" l="1"/>
  <c r="H132" i="72" l="1"/>
  <c r="H133" i="72" l="1"/>
  <c r="H134" i="72" l="1"/>
  <c r="L5" i="11" l="1"/>
  <c r="J248" i="76" s="1"/>
  <c r="C145" i="76"/>
  <c r="H135" i="72"/>
  <c r="F136" i="72"/>
  <c r="F137" i="72" l="1"/>
  <c r="H136" i="72"/>
  <c r="L10" i="11"/>
  <c r="B37" i="76" l="1"/>
  <c r="C37" i="76" s="1"/>
  <c r="J252" i="76"/>
  <c r="H137" i="72"/>
  <c r="F138" i="72"/>
  <c r="H138" i="72" l="1"/>
  <c r="F139" i="72"/>
  <c r="B214" i="76"/>
  <c r="B217" i="76" l="1"/>
  <c r="F461" i="76" a="1"/>
  <c r="D214" i="76"/>
  <c r="D217" i="76" s="1"/>
  <c r="E214" i="76"/>
  <c r="E217" i="76" s="1"/>
  <c r="C214" i="76"/>
  <c r="C217" i="76" s="1"/>
  <c r="F140" i="72"/>
  <c r="H139" i="72"/>
  <c r="F461" i="76" l="1"/>
  <c r="F462" i="76"/>
  <c r="E67" i="76"/>
  <c r="E113" i="76" s="1"/>
  <c r="J270" i="76"/>
  <c r="F214" i="76"/>
  <c r="C67" i="76"/>
  <c r="C113" i="76" s="1"/>
  <c r="J261" i="76"/>
  <c r="F217" i="76"/>
  <c r="E442" i="76"/>
  <c r="F442" i="76" s="1"/>
  <c r="J257" i="76"/>
  <c r="L24" i="11"/>
  <c r="J266" i="76" s="1"/>
  <c r="B240" i="76"/>
  <c r="D12" i="18"/>
  <c r="F141" i="72"/>
  <c r="H140" i="72"/>
  <c r="D67" i="76" l="1"/>
  <c r="D113" i="76" s="1"/>
  <c r="J265" i="76"/>
  <c r="L35" i="11"/>
  <c r="I276" i="76"/>
  <c r="F142" i="72"/>
  <c r="H141" i="72"/>
  <c r="I275" i="76"/>
  <c r="L34" i="11"/>
  <c r="L51" i="11" s="1"/>
  <c r="B67" i="76"/>
  <c r="H41" i="11"/>
  <c r="L39" i="11"/>
  <c r="F459" i="76" l="1" a="1"/>
  <c r="F67" i="76"/>
  <c r="D426" i="76"/>
  <c r="E426" i="76" s="1"/>
  <c r="B450" i="76"/>
  <c r="H142" i="72"/>
  <c r="F143" i="72"/>
  <c r="B113" i="76"/>
  <c r="L52" i="11"/>
  <c r="F460" i="76" l="1"/>
  <c r="H460" i="76" s="1"/>
  <c r="F459" i="76"/>
  <c r="E465" i="76" s="1"/>
  <c r="F465" i="76" s="1"/>
  <c r="E486" i="76"/>
  <c r="G486" i="76" s="1"/>
  <c r="H462" i="76"/>
  <c r="E468" i="76"/>
  <c r="F468" i="76" s="1"/>
  <c r="J462" i="76"/>
  <c r="I468" i="76" s="1"/>
  <c r="J468" i="76" s="1"/>
  <c r="H461" i="76"/>
  <c r="E485" i="76"/>
  <c r="G485" i="76" s="1"/>
  <c r="E467" i="76"/>
  <c r="F467" i="76" s="1"/>
  <c r="J461" i="76"/>
  <c r="I467" i="76" s="1"/>
  <c r="J467" i="76" s="1"/>
  <c r="H143" i="72"/>
  <c r="F144" i="72"/>
  <c r="E443" i="76"/>
  <c r="F443" i="76" s="1"/>
  <c r="E441" i="76"/>
  <c r="F441" i="76" s="1"/>
  <c r="H459" i="76" l="1"/>
  <c r="G465" i="76" s="1"/>
  <c r="H465" i="76" s="1"/>
  <c r="E483" i="76"/>
  <c r="G483" i="76" s="1"/>
  <c r="E466" i="76"/>
  <c r="F466" i="76" s="1"/>
  <c r="J460" i="76"/>
  <c r="I466" i="76" s="1"/>
  <c r="J466" i="76" s="1"/>
  <c r="E484" i="76"/>
  <c r="G484" i="76" s="1"/>
  <c r="J459" i="76"/>
  <c r="I465" i="76" s="1"/>
  <c r="J465" i="76" s="1"/>
  <c r="G468" i="76"/>
  <c r="H468" i="76" s="1"/>
  <c r="L462" i="76"/>
  <c r="K468" i="76" s="1"/>
  <c r="L468" i="76" s="1"/>
  <c r="G467" i="76"/>
  <c r="H467" i="76" s="1"/>
  <c r="L461" i="76"/>
  <c r="K467" i="76" s="1"/>
  <c r="L467" i="76" s="1"/>
  <c r="G466" i="76"/>
  <c r="H466" i="76" s="1"/>
  <c r="L460" i="76"/>
  <c r="K466" i="76" s="1"/>
  <c r="L466" i="76" s="1"/>
  <c r="D449" i="76"/>
  <c r="E449" i="76" s="1"/>
  <c r="F145" i="72"/>
  <c r="H144" i="72"/>
  <c r="D427" i="76"/>
  <c r="E427" i="76" s="1"/>
  <c r="B451" i="76"/>
  <c r="C429" i="76"/>
  <c r="D429" i="76" s="1"/>
  <c r="E429" i="76" s="1"/>
  <c r="L459" i="76" l="1"/>
  <c r="K465" i="76" s="1"/>
  <c r="L465" i="76" s="1"/>
  <c r="F146" i="72"/>
  <c r="H146" i="72" s="1"/>
  <c r="H145" i="72"/>
  <c r="B477" i="76"/>
  <c r="I16" i="76"/>
  <c r="B453" i="76"/>
  <c r="H150" i="72" l="1"/>
  <c r="H163" i="72"/>
  <c r="C146" i="76" l="1"/>
  <c r="C14" i="9"/>
  <c r="G14" i="9" s="1"/>
  <c r="M5" i="11"/>
  <c r="K248" i="76" s="1"/>
  <c r="H167" i="72"/>
  <c r="I167" i="72" s="1"/>
  <c r="G29" i="9" l="1"/>
  <c r="G32" i="9" s="1"/>
  <c r="M10" i="11"/>
  <c r="B38" i="76" l="1"/>
  <c r="C38" i="76" s="1"/>
  <c r="K252" i="76"/>
  <c r="K35" i="9"/>
  <c r="E215" i="76" s="1"/>
  <c r="E218" i="76" s="1"/>
  <c r="J35" i="9"/>
  <c r="D215" i="76" s="1"/>
  <c r="H35" i="9"/>
  <c r="B215" i="76" s="1"/>
  <c r="I35" i="9"/>
  <c r="C215" i="76" s="1"/>
  <c r="F215" i="76" l="1"/>
  <c r="I29" i="9"/>
  <c r="M19" i="11" s="1"/>
  <c r="K261" i="76" s="1"/>
  <c r="C218" i="76"/>
  <c r="J29" i="9"/>
  <c r="D218" i="76"/>
  <c r="K29" i="9"/>
  <c r="M28" i="11" s="1"/>
  <c r="H29" i="9"/>
  <c r="G35" i="9"/>
  <c r="E68" i="76" l="1"/>
  <c r="E114" i="76" s="1"/>
  <c r="K270" i="76"/>
  <c r="B13" i="18"/>
  <c r="F485" i="76" s="1" a="1"/>
  <c r="M23" i="11"/>
  <c r="K265" i="76" s="1"/>
  <c r="C68" i="76"/>
  <c r="C114" i="76" s="1"/>
  <c r="M15" i="11"/>
  <c r="K257" i="76" s="1"/>
  <c r="L29" i="9"/>
  <c r="M38" i="11" s="1"/>
  <c r="B218" i="76"/>
  <c r="F485" i="76" l="1"/>
  <c r="F486" i="76"/>
  <c r="K275" i="76"/>
  <c r="F218" i="76"/>
  <c r="F483" i="76" a="1"/>
  <c r="D474" i="76"/>
  <c r="E474" i="76" s="1"/>
  <c r="D68" i="76"/>
  <c r="D114" i="76" s="1"/>
  <c r="M24" i="11"/>
  <c r="K266" i="76" s="1"/>
  <c r="K276" i="76" s="1"/>
  <c r="D13" i="18"/>
  <c r="B241" i="76"/>
  <c r="M29" i="9"/>
  <c r="M34" i="11"/>
  <c r="M51" i="11" s="1"/>
  <c r="B68" i="76"/>
  <c r="F68" i="76" l="1"/>
  <c r="F483" i="76"/>
  <c r="H483" i="76" s="1"/>
  <c r="G489" i="76" s="1"/>
  <c r="H489" i="76" s="1"/>
  <c r="F484" i="76"/>
  <c r="H484" i="76" s="1"/>
  <c r="G490" i="76" s="1"/>
  <c r="H490" i="76" s="1"/>
  <c r="H486" i="76"/>
  <c r="G492" i="76" s="1"/>
  <c r="H492" i="76" s="1"/>
  <c r="E492" i="76"/>
  <c r="F492" i="76" s="1"/>
  <c r="E300" i="76"/>
  <c r="F300" i="76" s="1"/>
  <c r="H294" i="76"/>
  <c r="L294" i="76" s="1"/>
  <c r="J294" i="76"/>
  <c r="I300" i="76" s="1"/>
  <c r="J300" i="76" s="1"/>
  <c r="E297" i="76"/>
  <c r="F297" i="76" s="1"/>
  <c r="H291" i="76"/>
  <c r="J291" i="76"/>
  <c r="I297" i="76" s="1"/>
  <c r="J297" i="76" s="1"/>
  <c r="E298" i="76"/>
  <c r="F298" i="76" s="1"/>
  <c r="H292" i="76"/>
  <c r="J292" i="76"/>
  <c r="I298" i="76" s="1"/>
  <c r="J298" i="76" s="1"/>
  <c r="E299" i="76"/>
  <c r="F299" i="76" s="1"/>
  <c r="H293" i="76"/>
  <c r="J293" i="76"/>
  <c r="I299" i="76" s="1"/>
  <c r="J299" i="76" s="1"/>
  <c r="J275" i="76"/>
  <c r="E145" i="76"/>
  <c r="F145" i="76" s="1"/>
  <c r="D37" i="76" s="1"/>
  <c r="J276" i="76"/>
  <c r="M35" i="11"/>
  <c r="H42" i="11"/>
  <c r="M39" i="11"/>
  <c r="B114" i="76"/>
  <c r="E489" i="76" l="1"/>
  <c r="F489" i="76" s="1"/>
  <c r="E490" i="76"/>
  <c r="F490" i="76" s="1"/>
  <c r="G297" i="76"/>
  <c r="H297" i="76" s="1"/>
  <c r="L291" i="76"/>
  <c r="K297" i="76" s="1"/>
  <c r="L297" i="76" s="1"/>
  <c r="G299" i="76"/>
  <c r="H299" i="76" s="1"/>
  <c r="L293" i="76"/>
  <c r="K299" i="76" s="1"/>
  <c r="L299" i="76" s="1"/>
  <c r="G300" i="76"/>
  <c r="H300" i="76" s="1"/>
  <c r="K300" i="76"/>
  <c r="L300" i="76" s="1"/>
  <c r="G298" i="76"/>
  <c r="H298" i="76" s="1"/>
  <c r="L292" i="76"/>
  <c r="K298" i="76" s="1"/>
  <c r="L298" i="76" s="1"/>
  <c r="M52" i="11"/>
  <c r="D475" i="76"/>
  <c r="E475" i="76" s="1"/>
  <c r="D450" i="76"/>
  <c r="E450" i="76" s="1"/>
  <c r="E37" i="76" l="1"/>
  <c r="K16" i="76"/>
  <c r="D473" i="76"/>
  <c r="E473" i="76" s="1"/>
  <c r="C477" i="76"/>
  <c r="D477" i="76" s="1"/>
  <c r="E477" i="76" s="1"/>
  <c r="E491" i="76"/>
  <c r="F491" i="76" s="1"/>
  <c r="H485" i="76"/>
  <c r="G491" i="76" s="1"/>
  <c r="H491" i="76" s="1"/>
  <c r="D451" i="76" l="1"/>
  <c r="E451" i="76" s="1"/>
  <c r="J16" i="76"/>
  <c r="C453" i="76"/>
  <c r="D453" i="76" s="1"/>
  <c r="E453" i="76" s="1"/>
  <c r="E146" i="76" l="1"/>
  <c r="F146" i="76" s="1"/>
  <c r="D38" i="76" l="1"/>
  <c r="E38" i="7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I48" authorId="0" shapeId="0" xr:uid="{EC3BF7F2-80CA-4FF4-89C9-BBB6D34BF165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1401 ebt report
</t>
        </r>
      </text>
    </comment>
  </commentList>
</comments>
</file>

<file path=xl/sharedStrings.xml><?xml version="1.0" encoding="utf-8"?>
<sst xmlns="http://schemas.openxmlformats.org/spreadsheetml/2006/main" count="902" uniqueCount="250">
  <si>
    <t>Loss Factor</t>
  </si>
  <si>
    <t xml:space="preserve">Residential </t>
  </si>
  <si>
    <t>Total Billed</t>
  </si>
  <si>
    <t>Heating Degree Days</t>
  </si>
  <si>
    <t>Cooling Degree Days</t>
  </si>
  <si>
    <t>Purchases</t>
  </si>
  <si>
    <t>Modeled Purchases</t>
  </si>
  <si>
    <t>% Difference</t>
  </si>
  <si>
    <t>Total</t>
  </si>
  <si>
    <t xml:space="preserve">Predicted Purchases </t>
  </si>
  <si>
    <t>Average</t>
  </si>
  <si>
    <t xml:space="preserve">Geomean </t>
  </si>
  <si>
    <t>Usage Per Customer</t>
  </si>
  <si>
    <t>Check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</si>
  <si>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</si>
  <si>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</si>
  <si>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</si>
  <si>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</si>
  <si>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</si>
  <si>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</si>
  <si>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</si>
  <si>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</si>
  <si>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</si>
  <si>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</si>
  <si>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</si>
  <si>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</si>
  <si>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</si>
  <si>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</si>
  <si>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</si>
  <si>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</si>
  <si>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Difference</t>
  </si>
  <si>
    <t xml:space="preserve">Growth Rate in Customer Numbers 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</si>
  <si>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</si>
  <si>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</si>
  <si>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</si>
  <si>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</si>
  <si>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</si>
  <si>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</si>
  <si>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</si>
  <si>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  Connections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</si>
  <si>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</si>
  <si>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</si>
  <si>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</si>
  <si>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</si>
  <si>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</si>
  <si>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Used</t>
  </si>
  <si>
    <t>kW/kWh</t>
  </si>
  <si>
    <t>Street Lights</t>
  </si>
  <si>
    <t>May</t>
  </si>
  <si>
    <t>kWh</t>
  </si>
  <si>
    <t>kW</t>
  </si>
  <si>
    <t xml:space="preserve">2016 Actual </t>
  </si>
  <si>
    <t xml:space="preserve">2017 Actual </t>
  </si>
  <si>
    <t>Power Purchased</t>
  </si>
  <si>
    <t>Average Number of Customer/Connections</t>
  </si>
  <si>
    <t xml:space="preserve">2018 Actual </t>
  </si>
  <si>
    <t xml:space="preserve">2019 Actual </t>
  </si>
  <si>
    <t xml:space="preserve">Total Billed </t>
  </si>
  <si>
    <t>Input data</t>
  </si>
  <si>
    <t>Residential</t>
  </si>
  <si>
    <t>Coefficient-If negative, it's reducing, if +ve, it's adding</t>
  </si>
  <si>
    <t>R Square of 90% is OK</t>
  </si>
  <si>
    <t>Adjusted R Square takes into consideration the number of variables</t>
  </si>
  <si>
    <t>ANOVA is not really used</t>
  </si>
  <si>
    <t>Tstat indicates how relevant a variable is.Should be greater than absolute value of 2, if less than 2 it is not statistically significant so don’t use it</t>
  </si>
  <si>
    <t>Year</t>
  </si>
  <si>
    <t>Check - must be zero</t>
  </si>
  <si>
    <t>Demand only</t>
  </si>
  <si>
    <t>2020 Actual</t>
  </si>
  <si>
    <t>2021 Actual</t>
  </si>
  <si>
    <t>2022 Actual</t>
  </si>
  <si>
    <t>Date</t>
  </si>
  <si>
    <t>General Service &lt; 50 kW</t>
  </si>
  <si>
    <t>General Service &gt; 50 to 4999 kW</t>
  </si>
  <si>
    <t>Wholesale</t>
  </si>
  <si>
    <t>Retail Consumption</t>
  </si>
  <si>
    <t>Wholesale Purchases</t>
  </si>
  <si>
    <t>Number of Customer/ Connection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</si>
  <si>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</si>
  <si>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</si>
  <si>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</si>
  <si>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</si>
  <si>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</si>
  <si>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</si>
  <si>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</si>
  <si>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</si>
  <si>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</si>
  <si>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</si>
  <si>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</si>
  <si>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GS Avg</t>
  </si>
  <si>
    <t>10-year average</t>
  </si>
  <si>
    <t>Geomean Monthly Escalation</t>
  </si>
  <si>
    <t>Days in Month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</si>
  <si>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</si>
  <si>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</si>
  <si>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</si>
  <si>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</si>
  <si>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</si>
  <si>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</si>
  <si>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</si>
  <si>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</si>
  <si>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</si>
  <si>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</si>
  <si>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</si>
  <si>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Average Customer / Connection Count</t>
  </si>
  <si>
    <t>Month</t>
  </si>
  <si>
    <t>Number of Customers</t>
  </si>
  <si>
    <t>Weather Normal</t>
  </si>
  <si>
    <t>Billed 
Actual
(GWh)</t>
  </si>
  <si>
    <t>Growth 
(GWh)</t>
  </si>
  <si>
    <t>Billed 
Weather 
Normal
(GWh)</t>
  </si>
  <si>
    <t>Customer/
Connection
Count</t>
  </si>
  <si>
    <t xml:space="preserve">Growth </t>
  </si>
  <si>
    <t>Billed Energy (GWh) and Customer Count / Connections</t>
  </si>
  <si>
    <t>Billed Energy (GWh) - Actual</t>
  </si>
  <si>
    <t>Billed Energy (GWh) - Weather Normal</t>
  </si>
  <si>
    <t>Number of Customers/Connections</t>
  </si>
  <si>
    <t>Actual Annual Energy Usage per Customer/Connection (kWh per customer/connection)</t>
  </si>
  <si>
    <t>Normalized Annual Energy Usage per Customer/Connection (kWh per customer/connection)</t>
  </si>
  <si>
    <t xml:space="preserve">Actual </t>
  </si>
  <si>
    <t xml:space="preserve">Predicted </t>
  </si>
  <si>
    <t>Predicted 
Weather 
Normal</t>
  </si>
  <si>
    <t>Weather 
Normal Conversion 
Factor</t>
  </si>
  <si>
    <t>Actual 
Weather 
Normal</t>
  </si>
  <si>
    <t>Purchased Energy (GWh)</t>
  </si>
  <si>
    <t>Growth Rate in Customers/Connections</t>
  </si>
  <si>
    <t>Geometric Mean</t>
  </si>
  <si>
    <t>Forecast Number of Customers/Connections</t>
  </si>
  <si>
    <t xml:space="preserve">Annual kWh Usage Per Customer/Connection </t>
  </si>
  <si>
    <t>Forecast Annual kWh Usage per Customers/Connection</t>
  </si>
  <si>
    <t>NON-normalized Weather Billed Energy Forecast (GWh)</t>
  </si>
  <si>
    <t>Weather Sensitivity</t>
  </si>
  <si>
    <t>Non-normalized Weather Billed Energy Forecast (GWh)</t>
  </si>
  <si>
    <t>Weather Adjustment (GWh)</t>
  </si>
  <si>
    <t>Weather Normalized Billed Energy Forecast (GWh)</t>
  </si>
  <si>
    <t>Ratio of kW to kWh</t>
  </si>
  <si>
    <t>Predicted Billed kW</t>
  </si>
  <si>
    <t>% Difference between actual and predicted purchases</t>
  </si>
  <si>
    <t>Billing Determinants</t>
  </si>
  <si>
    <t>2017 Board Approved</t>
  </si>
  <si>
    <t>F Test</t>
  </si>
  <si>
    <t xml:space="preserve">MAPE (Monthly) </t>
  </si>
  <si>
    <t>T-stats by Coefficient</t>
  </si>
  <si>
    <t>Constant</t>
  </si>
  <si>
    <t xml:space="preserve">2020 Actual </t>
  </si>
  <si>
    <t>Distribution Throughput Revenue</t>
  </si>
  <si>
    <t>2017 Actual</t>
  </si>
  <si>
    <t>Difference ($)</t>
  </si>
  <si>
    <t>Difference (%)</t>
  </si>
  <si>
    <t>Rate Class</t>
  </si>
  <si>
    <t>Variance</t>
  </si>
  <si>
    <t>Customers / Connections</t>
  </si>
  <si>
    <t>Units</t>
  </si>
  <si>
    <t>Volume</t>
  </si>
  <si>
    <t>Annual Usage per Customer / Connection</t>
  </si>
  <si>
    <t>Annual Usage per Customer / Connection (Wthr Nrml)</t>
  </si>
  <si>
    <t>Volume (Wthr Nrml)</t>
  </si>
  <si>
    <t>Weather Normal Conversion Factor</t>
  </si>
  <si>
    <t>%</t>
  </si>
  <si>
    <t>Count</t>
  </si>
  <si>
    <t>Dollars</t>
  </si>
  <si>
    <t>2018 Actual</t>
  </si>
  <si>
    <t>Weather Normal Conversion Factor 2017</t>
  </si>
  <si>
    <t>Weather Normal Conversion Factor 2018</t>
  </si>
  <si>
    <t>2019 Actual</t>
  </si>
  <si>
    <t>Weather Normal Conversion Factor 2019</t>
  </si>
  <si>
    <t>Weather Normal Conversion Factor 2020</t>
  </si>
  <si>
    <t>Weather Normal Conversion Factor 2021</t>
  </si>
  <si>
    <t>Weather Normal Conversion Factor 2022</t>
  </si>
  <si>
    <t>Total Distribution</t>
  </si>
  <si>
    <t>Specific Service Charges</t>
  </si>
  <si>
    <t>Late Payment Charges</t>
  </si>
  <si>
    <t>Other Distribution/Operating Revenues</t>
  </si>
  <si>
    <t>Other Income or Deductions</t>
  </si>
  <si>
    <t>Grand Total</t>
  </si>
  <si>
    <t>Table 3-1: Summary of Operating Revenue</t>
  </si>
  <si>
    <t>Table 3-2: Summary of Load and Customer/Connection Forecast</t>
  </si>
  <si>
    <t>Table 3-3 Billed Energy by Rate Class</t>
  </si>
  <si>
    <t xml:space="preserve">Table 3-4: Number of Customers/Connections  and Annual Normalized Usage by Rate Class </t>
  </si>
  <si>
    <t>Table 3-5: Statistical Results</t>
  </si>
  <si>
    <t>Table 3-6: Total System Purchases Excluding Wholesale Market Particpants</t>
  </si>
  <si>
    <t>Table 3-7: Historical Customer/Connection (Average)</t>
  </si>
  <si>
    <t>Table 3-8: Growth Rate in Customers/Connections</t>
  </si>
  <si>
    <t>Table 3-9: Customer/Connection Forecast</t>
  </si>
  <si>
    <t>Table 3-10: 2022 Actual Annual Usage per Customer</t>
  </si>
  <si>
    <t>Table 3-11: Forecast Annual kWh Usage per Customer/Connection</t>
  </si>
  <si>
    <t>Table 3-12: Non-normalized Weather Billed Energy Forecast</t>
  </si>
  <si>
    <t>Table 3-13:  Weather Sensitivity by Rate Class</t>
  </si>
  <si>
    <t xml:space="preserve">Table 3-14: Alignment of Non-normal to Weather Normal Forecast </t>
  </si>
  <si>
    <t>Table 3-15: Average 2013-2022 kW/KWh Ratio per Applicable Rate Class</t>
  </si>
  <si>
    <t>Table 3-16: kW Forecast by Applicable Rate Class</t>
  </si>
  <si>
    <t xml:space="preserve">Table 3-17: Forecast Summary </t>
  </si>
  <si>
    <t xml:space="preserve">Table 3-18: Distribution Revenue - 2017 Board Approved vs 2017 Actual </t>
  </si>
  <si>
    <t xml:space="preserve">Table 3-19: Billing Determinants - 2017 Board Approved vs 2017 Actual </t>
  </si>
  <si>
    <t>Table 3-20: Distribution Revenue - 2017 Actual vs 2018 Actual</t>
  </si>
  <si>
    <t>Table 3-21: Billing Determinants - 2017 Actual vs 2018 Actual</t>
  </si>
  <si>
    <t>Table 3-22: Distribution Revenue - 2018 Actual vs 2019 Actual</t>
  </si>
  <si>
    <t>Table 3-23: Billing Determinants - 2018 Actual vs 2019 Actual</t>
  </si>
  <si>
    <t>Table 3-24: Distribution Revenue - 2019 Actual vs 2020 Actual</t>
  </si>
  <si>
    <t>Table 3-25: Billing Determinants - 2019 Actual vs 2020 Actual</t>
  </si>
  <si>
    <t>Table 3-26: Distribution Revenue - 2020 Actual vs 2021 Actual</t>
  </si>
  <si>
    <t>Table 3-27: Billing Determinants - 2020 Actual vs 2021 Actual</t>
  </si>
  <si>
    <t>Table 3-28: Distribution Revenue - 2021 Actual vs 2022 Actual</t>
  </si>
  <si>
    <t>Table 3-29: Billing Determinants - 2021 Actual vs 2022 Actual</t>
  </si>
  <si>
    <t>Average Monthly Growth (%)</t>
  </si>
  <si>
    <t>Annual</t>
  </si>
  <si>
    <t>Monthly</t>
  </si>
  <si>
    <t>2015 Actual</t>
  </si>
  <si>
    <t>2024 Bridge</t>
  </si>
  <si>
    <t>2025 Test</t>
  </si>
  <si>
    <t>2014 Actual</t>
  </si>
  <si>
    <t>Other
kWh</t>
  </si>
  <si>
    <t>Embedded Generation
kWh</t>
  </si>
  <si>
    <t>IESO
kWh</t>
  </si>
  <si>
    <t>Weather Data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</si>
  <si>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</si>
  <si>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</si>
  <si>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</si>
  <si>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</si>
  <si>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</si>
  <si>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</si>
  <si>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</si>
  <si>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2023 Actual</t>
  </si>
  <si>
    <t>Atikokan Weather Normal Load Forecast for 2025 Rate Application</t>
  </si>
  <si>
    <t>Check -&gt;</t>
  </si>
  <si>
    <t>GS &gt;50 % of Total Consumption</t>
  </si>
  <si>
    <t>Weather Normalization Factor</t>
  </si>
  <si>
    <t>WN Check</t>
  </si>
  <si>
    <t>Weather Normal Conversion Factor 2023</t>
  </si>
  <si>
    <t>Table 3-32: Distribution Revenue - 2023 Actual vs 2024 Bridge</t>
  </si>
  <si>
    <t>Table 3-30: Distribution Revenue - 2022 Actual vs 2023 Actual</t>
  </si>
  <si>
    <t>Table 3-31: Billing Determinants - 2022 Actual vs 2023 Actual</t>
  </si>
  <si>
    <t>Table 3-31: Billing Determinants - 2023 Actual vs 2024 Bridge</t>
  </si>
  <si>
    <t>Table 3-33: Distribution Revenue - 2024 Bridge vs 2025 Test at Proposed Rates</t>
  </si>
  <si>
    <t>Table 3-34: Billing Determinants - 2024 Bridge vs 2025 Test</t>
  </si>
  <si>
    <t>Residual (kWh)</t>
  </si>
  <si>
    <t xml:space="preserve">% Residual </t>
  </si>
  <si>
    <t>% Residual (Abs)</t>
  </si>
  <si>
    <t>Residual Squared</t>
  </si>
  <si>
    <t>Difference of Residuals</t>
  </si>
  <si>
    <t>Difference of Residuals Squared</t>
  </si>
  <si>
    <t>Sum of Squared Difference of Residuals</t>
  </si>
  <si>
    <t>Sum of Squared Residuals</t>
  </si>
  <si>
    <t>Durbin-Watson Calculation</t>
  </si>
  <si>
    <t>2025 Test at Proposed Rates</t>
  </si>
  <si>
    <t>2025 Test at Current Rates</t>
  </si>
  <si>
    <t>2024 Bridge
Weather Normal</t>
  </si>
  <si>
    <t>2025 Test
Weather Normal</t>
  </si>
  <si>
    <t>Last 11 years</t>
  </si>
  <si>
    <t>2024 Actual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</si>
</sst>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;\-&quot;$&quot;#,##0"/>
    <numFmt numFmtId="165" formatCode="_-&quot;$&quot;* #,##0.00_-;\-&quot;$&quot;* #,##0.00_-;_-&quot;$&quot;* &quot;-&quot;??_-;_-@_-"/>
    <numFmt numFmtId="166" formatCode="_-* #,##0.00_-;\-* #,##0.00_-;_-* &quot;-&quot;??_-;_-@_-"/>
    <numFmt numFmtId="167" formatCode="0.0%"/>
    <numFmt numFmtId="168" formatCode="#,##0;\(#,##0\)"/>
    <numFmt numFmtId="169" formatCode="0.0000"/>
    <numFmt numFmtId="170" formatCode="#,##0.0000"/>
    <numFmt numFmtId="171" formatCode="0.0000%"/>
    <numFmt numFmtId="172" formatCode="_(* #,##0_);_(* \(#,##0\);_(* &quot;-&quot;??_);_(@_)"/>
    <numFmt numFmtId="173" formatCode="_(* #,##0.0_);_(* \(#,##0.0\);_(* &quot;-&quot;??_);_(@_)"/>
    <numFmt numFmtId="174" formatCode="#,##0.0"/>
    <numFmt numFmtId="175" formatCode="mm/dd/yyyy"/>
    <numFmt numFmtId="176" formatCode="0\-0"/>
    <numFmt numFmtId="177" formatCode="##\-#"/>
    <numFmt numFmtId="178" formatCode="&quot;£ &quot;#,##0.00;[Red]\-&quot;£ &quot;#,##0.00"/>
    <numFmt numFmtId="179" formatCode="_-* #,##0.00_-;\-* #,##0.00_-;_-* \-??_-;_-@_-"/>
    <numFmt numFmtId="180" formatCode="0;\(0\)"/>
    <numFmt numFmtId="181" formatCode="0.0;\(0.0\)"/>
    <numFmt numFmtId="182" formatCode="#,##0.00000"/>
    <numFmt numFmtId="183" formatCode="0.0%;\(0.0%\)"/>
    <numFmt numFmtId="184" formatCode="#,##0.0;\(#,##0.0\)"/>
    <numFmt numFmtId="185" formatCode="0.0000%;\(0.0%\)"/>
    <numFmt numFmtId="186" formatCode="0.0"/>
    <numFmt numFmtId="187" formatCode="_-* #,##0_-;\-* #,##0_-;_-* &quot;-&quot;??_-;_-@_-"/>
    <numFmt numFmtId="188" formatCode="#,##0.000"/>
    <numFmt numFmtId="189" formatCode="_(* #,##0.000_);_(* \(#,##0.000\);_(* &quot;-&quot;??_);_(@_)"/>
  </numFmts>
  <fonts count="9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4"/>
      <name val="Arial"/>
      <family val="2"/>
    </font>
    <font>
      <sz val="10"/>
      <name val="Times New Roman"/>
      <family val="1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u/>
      <sz val="10"/>
      <color theme="10"/>
      <name val="Times New Roman"/>
      <family val="1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imes New Roman"/>
      <family val="1"/>
    </font>
    <font>
      <b/>
      <sz val="8"/>
      <name val="Arial"/>
      <family val="2"/>
    </font>
    <font>
      <sz val="10"/>
      <name val="Arial"/>
      <family val="2"/>
      <charset val="1"/>
    </font>
    <font>
      <sz val="10"/>
      <name val="Mangal"/>
      <family val="2"/>
      <charset val="1"/>
    </font>
    <font>
      <u/>
      <sz val="10"/>
      <color indexed="12"/>
      <name val="Times New Roman"/>
      <family val="1"/>
    </font>
    <font>
      <sz val="10"/>
      <color theme="0" tint="-0.14999847407452621"/>
      <name val="Arial"/>
      <family val="2"/>
    </font>
    <font>
      <b/>
      <u/>
      <sz val="10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73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79998168889431442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</borders>
  <cellStyleXfs count="1721">
    <xf numFmtId="0" fontId="0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9" fillId="5" borderId="1" applyNumberFormat="0" applyProtection="0">
      <alignment horizontal="left" vertical="center"/>
    </xf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3" fontId="11" fillId="0" borderId="0" applyFont="0" applyFill="0" applyBorder="0" applyAlignment="0" applyProtection="0"/>
    <xf numFmtId="5" fontId="11" fillId="0" borderId="0" applyFont="0" applyFill="0" applyBorder="0" applyAlignment="0" applyProtection="0"/>
    <xf numFmtId="14" fontId="11" fillId="0" borderId="0" applyFont="0" applyFill="0" applyBorder="0" applyAlignment="0" applyProtection="0"/>
    <xf numFmtId="2" fontId="11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3" fontId="11" fillId="0" borderId="0"/>
    <xf numFmtId="174" fontId="11" fillId="0" borderId="0"/>
    <xf numFmtId="173" fontId="11" fillId="0" borderId="0"/>
    <xf numFmtId="173" fontId="11" fillId="0" borderId="0"/>
    <xf numFmtId="173" fontId="11" fillId="0" borderId="0"/>
    <xf numFmtId="173" fontId="11" fillId="0" borderId="0"/>
    <xf numFmtId="175" fontId="11" fillId="0" borderId="0"/>
    <xf numFmtId="176" fontId="11" fillId="0" borderId="0"/>
    <xf numFmtId="175" fontId="11" fillId="0" borderId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35" fillId="16" borderId="0" applyNumberFormat="0" applyBorder="0" applyAlignment="0" applyProtection="0"/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8" borderId="0" applyNumberFormat="0" applyBorder="0" applyAlignment="0" applyProtection="0"/>
    <xf numFmtId="0" fontId="35" fillId="32" borderId="0" applyNumberFormat="0" applyBorder="0" applyAlignment="0" applyProtection="0"/>
    <xf numFmtId="0" fontId="35" fillId="36" borderId="0" applyNumberFormat="0" applyBorder="0" applyAlignment="0" applyProtection="0"/>
    <xf numFmtId="0" fontId="35" fillId="13" borderId="0" applyNumberFormat="0" applyBorder="0" applyAlignment="0" applyProtection="0"/>
    <xf numFmtId="0" fontId="35" fillId="17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9" borderId="0" applyNumberFormat="0" applyBorder="0" applyAlignment="0" applyProtection="0"/>
    <xf numFmtId="0" fontId="35" fillId="33" borderId="0" applyNumberFormat="0" applyBorder="0" applyAlignment="0" applyProtection="0"/>
    <xf numFmtId="0" fontId="26" fillId="7" borderId="0" applyNumberFormat="0" applyBorder="0" applyAlignment="0" applyProtection="0"/>
    <xf numFmtId="0" fontId="30" fillId="10" borderId="8" applyNumberFormat="0" applyAlignment="0" applyProtection="0"/>
    <xf numFmtId="0" fontId="32" fillId="11" borderId="11" applyNumberFormat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25" fillId="6" borderId="0" applyNumberFormat="0" applyBorder="0" applyAlignment="0" applyProtection="0"/>
    <xf numFmtId="38" fontId="17" fillId="37" borderId="0" applyNumberFormat="0" applyBorder="0" applyAlignment="0" applyProtection="0"/>
    <xf numFmtId="38" fontId="17" fillId="37" borderId="0" applyNumberFormat="0" applyBorder="0" applyAlignment="0" applyProtection="0"/>
    <xf numFmtId="0" fontId="22" fillId="0" borderId="5" applyNumberFormat="0" applyFill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4" fillId="0" borderId="0" applyNumberFormat="0" applyFill="0" applyBorder="0" applyAlignment="0" applyProtection="0"/>
    <xf numFmtId="10" fontId="17" fillId="38" borderId="1" applyNumberFormat="0" applyBorder="0" applyAlignment="0" applyProtection="0"/>
    <xf numFmtId="10" fontId="17" fillId="38" borderId="1" applyNumberFormat="0" applyBorder="0" applyAlignment="0" applyProtection="0"/>
    <xf numFmtId="0" fontId="28" fillId="9" borderId="8" applyNumberFormat="0" applyAlignment="0" applyProtection="0"/>
    <xf numFmtId="0" fontId="31" fillId="0" borderId="10" applyNumberFormat="0" applyFill="0" applyAlignment="0" applyProtection="0"/>
    <xf numFmtId="177" fontId="11" fillId="0" borderId="0"/>
    <xf numFmtId="172" fontId="11" fillId="0" borderId="0"/>
    <xf numFmtId="177" fontId="11" fillId="0" borderId="0"/>
    <xf numFmtId="177" fontId="11" fillId="0" borderId="0"/>
    <xf numFmtId="177" fontId="11" fillId="0" borderId="0"/>
    <xf numFmtId="177" fontId="11" fillId="0" borderId="0"/>
    <xf numFmtId="0" fontId="27" fillId="8" borderId="0" applyNumberFormat="0" applyBorder="0" applyAlignment="0" applyProtection="0"/>
    <xf numFmtId="178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12" borderId="12" applyNumberFormat="0" applyFont="0" applyAlignment="0" applyProtection="0"/>
    <xf numFmtId="0" fontId="29" fillId="10" borderId="9" applyNumberFormat="0" applyAlignment="0" applyProtection="0"/>
    <xf numFmtId="10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36" fillId="0" borderId="0" applyNumberFormat="0" applyBorder="0" applyAlignment="0"/>
    <xf numFmtId="0" fontId="37" fillId="0" borderId="0" applyNumberFormat="0" applyBorder="0" applyAlignment="0"/>
    <xf numFmtId="0" fontId="38" fillId="0" borderId="0" applyNumberFormat="0" applyBorder="0" applyAlignment="0"/>
    <xf numFmtId="0" fontId="39" fillId="0" borderId="14">
      <alignment horizontal="center" vertical="center"/>
    </xf>
    <xf numFmtId="0" fontId="21" fillId="0" borderId="0" applyNumberFormat="0" applyFill="0" applyBorder="0" applyAlignment="0" applyProtection="0"/>
    <xf numFmtId="0" fontId="20" fillId="0" borderId="13" applyNumberFormat="0" applyFill="0" applyAlignment="0" applyProtection="0"/>
    <xf numFmtId="0" fontId="33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7" fillId="0" borderId="0"/>
    <xf numFmtId="0" fontId="40" fillId="0" borderId="0"/>
    <xf numFmtId="43" fontId="40" fillId="0" borderId="0" applyFont="0" applyFill="0" applyBorder="0" applyAlignment="0" applyProtection="0"/>
    <xf numFmtId="0" fontId="40" fillId="0" borderId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16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4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3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6" fillId="7" borderId="0" applyNumberFormat="0" applyBorder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7" fillId="10" borderId="8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0" fontId="48" fillId="11" borderId="11" applyNumberFormat="0" applyAlignment="0" applyProtection="0"/>
    <xf numFmtId="166" fontId="40" fillId="0" borderId="0" applyFont="0" applyFill="0" applyBorder="0" applyAlignment="0" applyProtection="0"/>
    <xf numFmtId="43" fontId="4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0" fillId="6" borderId="0" applyNumberFormat="0" applyBorder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2" fillId="0" borderId="6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7" applyNumberFormat="0" applyFill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4" fillId="9" borderId="8" applyNumberFormat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42" fillId="0" borderId="0"/>
    <xf numFmtId="0" fontId="4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36" fillId="12" borderId="12" applyNumberFormat="0" applyFon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0" fontId="57" fillId="10" borderId="9" applyNumberFormat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5" borderId="1" applyNumberFormat="0" applyProtection="0">
      <alignment horizontal="left" vertical="center"/>
    </xf>
    <xf numFmtId="0" fontId="11" fillId="5" borderId="1" applyNumberFormat="0" applyProtection="0">
      <alignment horizontal="left"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40" fillId="0" borderId="0"/>
    <xf numFmtId="0" fontId="6" fillId="0" borderId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0" fillId="0" borderId="0"/>
    <xf numFmtId="166" fontId="40" fillId="0" borderId="0" applyFont="0" applyFill="0" applyBorder="0" applyAlignment="0" applyProtection="0"/>
    <xf numFmtId="0" fontId="6" fillId="0" borderId="0"/>
    <xf numFmtId="0" fontId="6" fillId="0" borderId="0"/>
    <xf numFmtId="9" fontId="40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4" fillId="41" borderId="0" applyNumberFormat="0" applyBorder="0" applyAlignment="0" applyProtection="0"/>
    <xf numFmtId="0" fontId="44" fillId="42" borderId="0" applyNumberFormat="0" applyBorder="0" applyAlignment="0" applyProtection="0"/>
    <xf numFmtId="0" fontId="44" fillId="43" borderId="0" applyNumberFormat="0" applyBorder="0" applyAlignment="0" applyProtection="0"/>
    <xf numFmtId="0" fontId="44" fillId="44" borderId="0" applyNumberFormat="0" applyBorder="0" applyAlignment="0" applyProtection="0"/>
    <xf numFmtId="0" fontId="44" fillId="45" borderId="0" applyNumberFormat="0" applyBorder="0" applyAlignment="0" applyProtection="0"/>
    <xf numFmtId="0" fontId="44" fillId="46" borderId="0" applyNumberFormat="0" applyBorder="0" applyAlignment="0" applyProtection="0"/>
    <xf numFmtId="0" fontId="44" fillId="47" borderId="0" applyNumberFormat="0" applyBorder="0" applyAlignment="0" applyProtection="0"/>
    <xf numFmtId="0" fontId="44" fillId="48" borderId="0" applyNumberFormat="0" applyBorder="0" applyAlignment="0" applyProtection="0"/>
    <xf numFmtId="0" fontId="44" fillId="49" borderId="0" applyNumberFormat="0" applyBorder="0" applyAlignment="0" applyProtection="0"/>
    <xf numFmtId="0" fontId="44" fillId="44" borderId="0" applyNumberFormat="0" applyBorder="0" applyAlignment="0" applyProtection="0"/>
    <xf numFmtId="0" fontId="44" fillId="47" borderId="0" applyNumberFormat="0" applyBorder="0" applyAlignment="0" applyProtection="0"/>
    <xf numFmtId="0" fontId="44" fillId="50" borderId="0" applyNumberFormat="0" applyBorder="0" applyAlignment="0" applyProtection="0"/>
    <xf numFmtId="0" fontId="61" fillId="51" borderId="0" applyNumberFormat="0" applyBorder="0" applyAlignment="0" applyProtection="0"/>
    <xf numFmtId="0" fontId="61" fillId="48" borderId="0" applyNumberFormat="0" applyBorder="0" applyAlignment="0" applyProtection="0"/>
    <xf numFmtId="0" fontId="61" fillId="49" borderId="0" applyNumberFormat="0" applyBorder="0" applyAlignment="0" applyProtection="0"/>
    <xf numFmtId="0" fontId="61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4" borderId="0" applyNumberFormat="0" applyBorder="0" applyAlignment="0" applyProtection="0"/>
    <xf numFmtId="0" fontId="61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7" borderId="0" applyNumberFormat="0" applyBorder="0" applyAlignment="0" applyProtection="0"/>
    <xf numFmtId="0" fontId="63" fillId="59" borderId="15" applyNumberFormat="0" applyAlignment="0" applyProtection="0"/>
    <xf numFmtId="0" fontId="60" fillId="0" borderId="0" applyNumberFormat="0" applyFill="0" applyBorder="0" applyAlignment="0" applyProtection="0">
      <alignment vertical="top"/>
      <protection locked="0"/>
    </xf>
    <xf numFmtId="0" fontId="72" fillId="61" borderId="0" applyNumberFormat="0" applyBorder="0" applyAlignment="0" applyProtection="0"/>
    <xf numFmtId="0" fontId="74" fillId="0" borderId="0" applyNumberFormat="0" applyFill="0" applyBorder="0" applyAlignment="0" applyProtection="0"/>
    <xf numFmtId="0" fontId="75" fillId="0" borderId="23" applyNumberFormat="0" applyFill="0" applyAlignment="0" applyProtection="0"/>
    <xf numFmtId="0" fontId="76" fillId="0" borderId="0" applyNumberFormat="0" applyFill="0" applyBorder="0" applyAlignment="0" applyProtection="0"/>
    <xf numFmtId="0" fontId="11" fillId="0" borderId="0"/>
    <xf numFmtId="0" fontId="23" fillId="0" borderId="6" applyNumberFormat="0" applyFill="0" applyAlignment="0" applyProtection="0"/>
    <xf numFmtId="0" fontId="22" fillId="0" borderId="5" applyNumberFormat="0" applyFill="0" applyAlignment="0" applyProtection="0"/>
    <xf numFmtId="0" fontId="6" fillId="0" borderId="0"/>
    <xf numFmtId="0" fontId="24" fillId="0" borderId="7" applyNumberFormat="0" applyFill="0" applyAlignment="0" applyProtection="0"/>
    <xf numFmtId="0" fontId="24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26" fillId="7" borderId="0" applyNumberFormat="0" applyBorder="0" applyAlignment="0" applyProtection="0"/>
    <xf numFmtId="0" fontId="27" fillId="8" borderId="0" applyNumberFormat="0" applyBorder="0" applyAlignment="0" applyProtection="0"/>
    <xf numFmtId="0" fontId="28" fillId="9" borderId="8" applyNumberFormat="0" applyAlignment="0" applyProtection="0"/>
    <xf numFmtId="0" fontId="29" fillId="10" borderId="9" applyNumberFormat="0" applyAlignment="0" applyProtection="0"/>
    <xf numFmtId="0" fontId="30" fillId="10" borderId="8" applyNumberFormat="0" applyAlignment="0" applyProtection="0"/>
    <xf numFmtId="0" fontId="31" fillId="0" borderId="10" applyNumberFormat="0" applyFill="0" applyAlignment="0" applyProtection="0"/>
    <xf numFmtId="0" fontId="32" fillId="11" borderId="11" applyNumberFormat="0" applyAlignment="0" applyProtection="0"/>
    <xf numFmtId="0" fontId="33" fillId="0" borderId="0" applyNumberFormat="0" applyFill="0" applyBorder="0" applyAlignment="0" applyProtection="0"/>
    <xf numFmtId="0" fontId="6" fillId="12" borderId="12" applyNumberFormat="0" applyFont="0" applyAlignment="0" applyProtection="0"/>
    <xf numFmtId="0" fontId="34" fillId="0" borderId="0" applyNumberFormat="0" applyFill="0" applyBorder="0" applyAlignment="0" applyProtection="0"/>
    <xf numFmtId="0" fontId="20" fillId="0" borderId="13" applyNumberFormat="0" applyFill="0" applyAlignment="0" applyProtection="0"/>
    <xf numFmtId="0" fontId="35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35" borderId="0" applyNumberFormat="0" applyBorder="0" applyAlignment="0" applyProtection="0"/>
    <xf numFmtId="0" fontId="35" fillId="36" borderId="0" applyNumberFormat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6" fillId="0" borderId="0"/>
    <xf numFmtId="0" fontId="6" fillId="0" borderId="0"/>
    <xf numFmtId="0" fontId="73" fillId="59" borderId="22" applyNumberFormat="0" applyAlignment="0" applyProtection="0"/>
    <xf numFmtId="0" fontId="64" fillId="60" borderId="16" applyNumberFormat="0" applyAlignment="0" applyProtection="0"/>
    <xf numFmtId="0" fontId="70" fillId="46" borderId="15" applyNumberFormat="0" applyAlignment="0" applyProtection="0"/>
    <xf numFmtId="0" fontId="11" fillId="62" borderId="21" applyNumberFormat="0" applyFont="0" applyAlignment="0" applyProtection="0"/>
    <xf numFmtId="0" fontId="66" fillId="43" borderId="0" applyNumberFormat="0" applyBorder="0" applyAlignment="0" applyProtection="0"/>
    <xf numFmtId="0" fontId="62" fillId="42" borderId="0" applyNumberFormat="0" applyBorder="0" applyAlignment="0" applyProtection="0"/>
    <xf numFmtId="0" fontId="69" fillId="0" borderId="19" applyNumberFormat="0" applyFill="0" applyAlignment="0" applyProtection="0"/>
    <xf numFmtId="0" fontId="68" fillId="0" borderId="18" applyNumberFormat="0" applyFill="0" applyAlignment="0" applyProtection="0"/>
    <xf numFmtId="0" fontId="65" fillId="0" borderId="0" applyNumberFormat="0" applyFill="0" applyBorder="0" applyAlignment="0" applyProtection="0"/>
    <xf numFmtId="0" fontId="67" fillId="0" borderId="17" applyNumberFormat="0" applyFill="0" applyAlignment="0" applyProtection="0"/>
    <xf numFmtId="0" fontId="59" fillId="0" borderId="0" applyNumberForma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1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1" fillId="58" borderId="0" applyNumberFormat="0" applyBorder="0" applyAlignment="0" applyProtection="0"/>
    <xf numFmtId="0" fontId="61" fillId="52" borderId="0" applyNumberFormat="0" applyBorder="0" applyAlignment="0" applyProtection="0"/>
    <xf numFmtId="166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40" fillId="0" borderId="0"/>
    <xf numFmtId="0" fontId="71" fillId="0" borderId="20" applyNumberFormat="0" applyFill="0" applyAlignment="0" applyProtection="0"/>
    <xf numFmtId="0" fontId="6" fillId="0" borderId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9" fillId="0" borderId="0" applyNumberForma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70" fillId="46" borderId="15" applyNumberFormat="0" applyAlignment="0" applyProtection="0"/>
    <xf numFmtId="0" fontId="70" fillId="46" borderId="15" applyNumberFormat="0" applyAlignment="0" applyProtection="0"/>
    <xf numFmtId="0" fontId="70" fillId="46" borderId="15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70" fillId="46" borderId="15" applyNumberFormat="0" applyAlignment="0" applyProtection="0"/>
    <xf numFmtId="0" fontId="11" fillId="0" borderId="0"/>
    <xf numFmtId="0" fontId="40" fillId="0" borderId="0"/>
    <xf numFmtId="0" fontId="6" fillId="0" borderId="0"/>
    <xf numFmtId="0" fontId="6" fillId="0" borderId="0"/>
    <xf numFmtId="9" fontId="40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6" fillId="0" borderId="0"/>
    <xf numFmtId="0" fontId="11" fillId="0" borderId="0"/>
    <xf numFmtId="9" fontId="40" fillId="0" borderId="0" applyFont="0" applyFill="0" applyBorder="0" applyAlignment="0" applyProtection="0"/>
    <xf numFmtId="0" fontId="40" fillId="0" borderId="0"/>
    <xf numFmtId="9" fontId="11" fillId="0" borderId="0" applyFont="0" applyFill="0" applyBorder="0" applyAlignment="0" applyProtection="0"/>
    <xf numFmtId="0" fontId="11" fillId="0" borderId="0"/>
    <xf numFmtId="9" fontId="40" fillId="0" borderId="0" applyFont="0" applyFill="0" applyBorder="0" applyAlignment="0" applyProtection="0"/>
    <xf numFmtId="0" fontId="40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1" fillId="0" borderId="0"/>
    <xf numFmtId="0" fontId="6" fillId="0" borderId="0"/>
    <xf numFmtId="0" fontId="6" fillId="0" borderId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74" fillId="0" borderId="0" applyNumberFormat="0" applyFill="0" applyBorder="0" applyAlignment="0" applyProtection="0"/>
    <xf numFmtId="0" fontId="6" fillId="0" borderId="0"/>
    <xf numFmtId="165" fontId="40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40" fillId="0" borderId="0"/>
    <xf numFmtId="166" fontId="40" fillId="0" borderId="0" applyFont="0" applyFill="0" applyBorder="0" applyAlignment="0" applyProtection="0"/>
    <xf numFmtId="0" fontId="6" fillId="0" borderId="0"/>
    <xf numFmtId="0" fontId="6" fillId="0" borderId="0"/>
    <xf numFmtId="9" fontId="40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40" fillId="0" borderId="0"/>
    <xf numFmtId="9" fontId="4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6" fillId="0" borderId="0"/>
    <xf numFmtId="0" fontId="59" fillId="0" borderId="0" applyNumberFormat="0" applyFill="0" applyBorder="0" applyAlignment="0" applyProtection="0"/>
    <xf numFmtId="0" fontId="77" fillId="0" borderId="0"/>
    <xf numFmtId="0" fontId="5" fillId="0" borderId="0"/>
    <xf numFmtId="0" fontId="79" fillId="0" borderId="0"/>
    <xf numFmtId="179" fontId="80" fillId="0" borderId="0" applyFill="0" applyBorder="0" applyAlignment="0" applyProtection="0"/>
    <xf numFmtId="166" fontId="40" fillId="0" borderId="0" applyFont="0" applyFill="0" applyBorder="0" applyAlignment="0" applyProtection="0"/>
    <xf numFmtId="166" fontId="40" fillId="0" borderId="0" applyFont="0" applyFill="0" applyBorder="0" applyAlignment="0" applyProtection="0"/>
    <xf numFmtId="0" fontId="81" fillId="0" borderId="0" applyNumberFormat="0" applyFill="0" applyBorder="0" applyAlignment="0" applyProtection="0">
      <alignment vertical="top"/>
      <protection locked="0"/>
    </xf>
    <xf numFmtId="0" fontId="86" fillId="0" borderId="0"/>
    <xf numFmtId="0" fontId="11" fillId="0" borderId="0"/>
    <xf numFmtId="0" fontId="85" fillId="0" borderId="0"/>
    <xf numFmtId="0" fontId="4" fillId="0" borderId="0"/>
    <xf numFmtId="0" fontId="11" fillId="0" borderId="0"/>
    <xf numFmtId="0" fontId="11" fillId="0" borderId="0"/>
    <xf numFmtId="0" fontId="75" fillId="0" borderId="61" applyNumberFormat="0" applyFill="0" applyAlignment="0" applyProtection="0"/>
    <xf numFmtId="0" fontId="63" fillId="59" borderId="45" applyNumberFormat="0" applyAlignment="0" applyProtection="0"/>
    <xf numFmtId="0" fontId="73" fillId="59" borderId="60" applyNumberFormat="0" applyAlignment="0" applyProtection="0"/>
    <xf numFmtId="0" fontId="70" fillId="46" borderId="58" applyNumberFormat="0" applyAlignment="0" applyProtection="0"/>
    <xf numFmtId="0" fontId="63" fillId="59" borderId="58" applyNumberFormat="0" applyAlignment="0" applyProtection="0"/>
    <xf numFmtId="0" fontId="70" fillId="46" borderId="45" applyNumberFormat="0" applyAlignment="0" applyProtection="0"/>
    <xf numFmtId="0" fontId="11" fillId="62" borderId="46" applyNumberFormat="0" applyFont="0" applyAlignment="0" applyProtection="0"/>
    <xf numFmtId="0" fontId="73" fillId="59" borderId="47" applyNumberFormat="0" applyAlignment="0" applyProtection="0"/>
    <xf numFmtId="0" fontId="75" fillId="0" borderId="48" applyNumberFormat="0" applyFill="0" applyAlignment="0" applyProtection="0"/>
    <xf numFmtId="0" fontId="11" fillId="0" borderId="0"/>
    <xf numFmtId="0" fontId="3" fillId="0" borderId="0"/>
    <xf numFmtId="0" fontId="70" fillId="46" borderId="58" applyNumberFormat="0" applyAlignment="0" applyProtection="0"/>
    <xf numFmtId="0" fontId="11" fillId="62" borderId="59" applyNumberFormat="0" applyFont="0" applyAlignment="0" applyProtection="0"/>
    <xf numFmtId="0" fontId="3" fillId="12" borderId="12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70" fillId="46" borderId="58" applyNumberFormat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11" fillId="0" borderId="0" applyFont="0" applyFill="0" applyBorder="0" applyAlignment="0" applyProtection="0"/>
    <xf numFmtId="10" fontId="17" fillId="38" borderId="49" applyNumberFormat="0" applyBorder="0" applyAlignment="0" applyProtection="0"/>
    <xf numFmtId="0" fontId="11" fillId="0" borderId="0"/>
    <xf numFmtId="0" fontId="3" fillId="0" borderId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62" borderId="46" applyNumberFormat="0" applyFont="0" applyAlignment="0" applyProtection="0"/>
    <xf numFmtId="0" fontId="11" fillId="0" borderId="0"/>
    <xf numFmtId="0" fontId="3" fillId="0" borderId="0"/>
    <xf numFmtId="0" fontId="3" fillId="12" borderId="12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" fillId="0" borderId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1" fillId="0" borderId="0"/>
    <xf numFmtId="0" fontId="11" fillId="0" borderId="0"/>
    <xf numFmtId="0" fontId="3" fillId="0" borderId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12" borderId="12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0" fillId="46" borderId="58" applyNumberFormat="0" applyAlignment="0" applyProtection="0"/>
    <xf numFmtId="10" fontId="17" fillId="38" borderId="37" applyNumberFormat="0" applyBorder="0" applyAlignment="0" applyProtection="0"/>
    <xf numFmtId="0" fontId="11" fillId="0" borderId="0"/>
    <xf numFmtId="0" fontId="70" fillId="46" borderId="58" applyNumberFormat="0" applyAlignment="0" applyProtection="0"/>
    <xf numFmtId="0" fontId="11" fillId="62" borderId="59" applyNumberFormat="0" applyFont="0" applyAlignment="0" applyProtection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35" fillId="33" borderId="0" applyNumberFormat="0" applyBorder="0" applyAlignment="0" applyProtection="0"/>
    <xf numFmtId="0" fontId="40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166" fontId="2" fillId="0" borderId="0" applyFont="0" applyFill="0" applyBorder="0" applyAlignment="0" applyProtection="0"/>
    <xf numFmtId="166" fontId="1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1" fillId="0" borderId="0" applyFont="0" applyFill="0" applyBorder="0" applyAlignment="0" applyProtection="0"/>
    <xf numFmtId="10" fontId="17" fillId="38" borderId="37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1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9" fillId="0" borderId="68">
      <alignment horizontal="center" vertical="center"/>
    </xf>
    <xf numFmtId="166" fontId="11" fillId="0" borderId="0" applyFont="0" applyFill="0" applyBorder="0" applyAlignment="0" applyProtection="0"/>
    <xf numFmtId="0" fontId="2" fillId="0" borderId="0"/>
    <xf numFmtId="166" fontId="11" fillId="0" borderId="0" applyFont="0" applyFill="0" applyBorder="0" applyAlignment="0" applyProtection="0"/>
    <xf numFmtId="0" fontId="39" fillId="0" borderId="69">
      <alignment horizontal="center" vertical="center"/>
    </xf>
    <xf numFmtId="0" fontId="1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1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0" fontId="1" fillId="0" borderId="0"/>
    <xf numFmtId="0" fontId="11" fillId="0" borderId="0"/>
    <xf numFmtId="0" fontId="11" fillId="0" borderId="0"/>
  </cellStyleXfs>
  <cellXfs count="396">
    <xf numFmtId="0" fontId="0" fillId="0" borderId="0" xfId="0"/>
    <xf numFmtId="0" fontId="0" fillId="0" borderId="0" xfId="0" applyAlignment="1">
      <alignment horizontal="center"/>
    </xf>
    <xf numFmtId="0" fontId="13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7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12" fillId="0" borderId="0" xfId="0" applyNumberFormat="1" applyFont="1" applyAlignment="1">
      <alignment horizontal="center" wrapText="1"/>
    </xf>
    <xf numFmtId="3" fontId="13" fillId="0" borderId="0" xfId="0" applyNumberFormat="1" applyFont="1" applyAlignment="1">
      <alignment horizontal="center" wrapText="1"/>
    </xf>
    <xf numFmtId="37" fontId="12" fillId="0" borderId="0" xfId="0" applyNumberFormat="1" applyFont="1" applyAlignment="1">
      <alignment horizontal="center"/>
    </xf>
    <xf numFmtId="3" fontId="11" fillId="0" borderId="0" xfId="1" applyNumberFormat="1" applyAlignment="1">
      <alignment horizontal="center"/>
    </xf>
    <xf numFmtId="167" fontId="12" fillId="0" borderId="0" xfId="0" applyNumberFormat="1" applyFont="1" applyAlignment="1">
      <alignment horizontal="center"/>
    </xf>
    <xf numFmtId="10" fontId="0" fillId="0" borderId="0" xfId="0" applyNumberFormat="1" applyAlignment="1">
      <alignment horizontal="center"/>
    </xf>
    <xf numFmtId="0" fontId="14" fillId="0" borderId="0" xfId="0" applyFont="1"/>
    <xf numFmtId="3" fontId="0" fillId="2" borderId="0" xfId="0" applyNumberFormat="1" applyFill="1" applyAlignment="1">
      <alignment horizontal="center"/>
    </xf>
    <xf numFmtId="17" fontId="14" fillId="0" borderId="0" xfId="0" applyNumberFormat="1" applyFont="1"/>
    <xf numFmtId="169" fontId="0" fillId="0" borderId="0" xfId="0" applyNumberFormat="1" applyAlignment="1">
      <alignment horizontal="center"/>
    </xf>
    <xf numFmtId="170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171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right"/>
    </xf>
    <xf numFmtId="168" fontId="0" fillId="0" borderId="0" xfId="0" applyNumberFormat="1" applyAlignment="1">
      <alignment horizontal="center"/>
    </xf>
    <xf numFmtId="3" fontId="0" fillId="3" borderId="0" xfId="0" applyNumberFormat="1" applyFill="1" applyAlignment="1">
      <alignment horizontal="center"/>
    </xf>
    <xf numFmtId="3" fontId="12" fillId="3" borderId="0" xfId="0" applyNumberFormat="1" applyFont="1" applyFill="1" applyAlignment="1">
      <alignment horizontal="center"/>
    </xf>
    <xf numFmtId="0" fontId="0" fillId="0" borderId="0" xfId="0" applyAlignment="1">
      <alignment horizontal="left"/>
    </xf>
    <xf numFmtId="3" fontId="14" fillId="0" borderId="0" xfId="0" applyNumberFormat="1" applyFont="1"/>
    <xf numFmtId="0" fontId="15" fillId="0" borderId="0" xfId="0" applyFont="1"/>
    <xf numFmtId="167" fontId="0" fillId="0" borderId="0" xfId="0" applyNumberFormat="1" applyAlignment="1">
      <alignment horizontal="center" wrapText="1"/>
    </xf>
    <xf numFmtId="0" fontId="14" fillId="0" borderId="0" xfId="0" applyFont="1" applyAlignment="1">
      <alignment horizontal="center" wrapText="1"/>
    </xf>
    <xf numFmtId="37" fontId="0" fillId="0" borderId="0" xfId="0" applyNumberFormat="1" applyAlignment="1">
      <alignment horizontal="center"/>
    </xf>
    <xf numFmtId="17" fontId="0" fillId="0" borderId="0" xfId="0" applyNumberFormat="1" applyAlignment="1">
      <alignment horizontal="left"/>
    </xf>
    <xf numFmtId="172" fontId="0" fillId="0" borderId="0" xfId="1" applyNumberFormat="1" applyFont="1" applyAlignment="1">
      <alignment horizontal="center"/>
    </xf>
    <xf numFmtId="3" fontId="0" fillId="0" borderId="0" xfId="0" applyNumberFormat="1"/>
    <xf numFmtId="172" fontId="0" fillId="0" borderId="0" xfId="0" applyNumberFormat="1" applyAlignment="1">
      <alignment horizontal="center"/>
    </xf>
    <xf numFmtId="3" fontId="0" fillId="4" borderId="0" xfId="0" applyNumberFormat="1" applyFill="1" applyAlignment="1">
      <alignment horizontal="center"/>
    </xf>
    <xf numFmtId="3" fontId="12" fillId="4" borderId="1" xfId="0" applyNumberFormat="1" applyFont="1" applyFill="1" applyBorder="1" applyAlignment="1">
      <alignment horizontal="center"/>
    </xf>
    <xf numFmtId="3" fontId="18" fillId="0" borderId="0" xfId="0" applyNumberFormat="1" applyFont="1" applyAlignment="1">
      <alignment horizontal="left"/>
    </xf>
    <xf numFmtId="167" fontId="0" fillId="0" borderId="0" xfId="2" applyNumberFormat="1" applyFont="1" applyAlignment="1">
      <alignment horizontal="center"/>
    </xf>
    <xf numFmtId="0" fontId="11" fillId="0" borderId="0" xfId="0" applyFont="1" applyAlignment="1">
      <alignment horizontal="left"/>
    </xf>
    <xf numFmtId="0" fontId="11" fillId="0" borderId="0" xfId="0" applyFont="1"/>
    <xf numFmtId="38" fontId="0" fillId="0" borderId="0" xfId="0" applyNumberFormat="1" applyAlignment="1">
      <alignment horizontal="center"/>
    </xf>
    <xf numFmtId="1" fontId="0" fillId="0" borderId="0" xfId="0" applyNumberFormat="1"/>
    <xf numFmtId="1" fontId="0" fillId="0" borderId="0" xfId="0" applyNumberFormat="1" applyAlignment="1">
      <alignment horizontal="center"/>
    </xf>
    <xf numFmtId="17" fontId="0" fillId="0" borderId="1" xfId="0" applyNumberFormat="1" applyBorder="1" applyAlignment="1">
      <alignment horizontal="left"/>
    </xf>
    <xf numFmtId="37" fontId="12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9" fontId="11" fillId="4" borderId="0" xfId="0" applyNumberFormat="1" applyFont="1" applyFill="1" applyAlignment="1">
      <alignment horizontal="center"/>
    </xf>
    <xf numFmtId="9" fontId="0" fillId="4" borderId="0" xfId="0" applyNumberFormat="1" applyFill="1" applyAlignment="1">
      <alignment horizontal="center"/>
    </xf>
    <xf numFmtId="0" fontId="11" fillId="0" borderId="0" xfId="0" applyFont="1" applyAlignment="1">
      <alignment horizontal="center"/>
    </xf>
    <xf numFmtId="171" fontId="0" fillId="0" borderId="1" xfId="0" applyNumberFormat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170" fontId="0" fillId="40" borderId="0" xfId="0" applyNumberFormat="1" applyFill="1" applyAlignment="1">
      <alignment horizontal="center"/>
    </xf>
    <xf numFmtId="3" fontId="11" fillId="0" borderId="0" xfId="0" applyNumberFormat="1" applyFont="1" applyAlignment="1">
      <alignment horizontal="center"/>
    </xf>
    <xf numFmtId="0" fontId="11" fillId="0" borderId="0" xfId="736" applyFont="1"/>
    <xf numFmtId="0" fontId="11" fillId="0" borderId="0" xfId="736" applyFont="1" applyAlignment="1">
      <alignment horizontal="center"/>
    </xf>
    <xf numFmtId="1" fontId="11" fillId="64" borderId="32" xfId="1527" applyNumberFormat="1" applyFont="1" applyFill="1" applyBorder="1" applyAlignment="1">
      <alignment horizontal="center"/>
    </xf>
    <xf numFmtId="1" fontId="11" fillId="64" borderId="33" xfId="1526" applyNumberFormat="1" applyFont="1" applyFill="1" applyBorder="1" applyAlignment="1">
      <alignment horizontal="center"/>
    </xf>
    <xf numFmtId="1" fontId="11" fillId="64" borderId="32" xfId="1526" applyNumberFormat="1" applyFont="1" applyFill="1" applyBorder="1" applyAlignment="1">
      <alignment horizontal="center"/>
    </xf>
    <xf numFmtId="1" fontId="11" fillId="65" borderId="32" xfId="1527" applyNumberFormat="1" applyFont="1" applyFill="1" applyBorder="1" applyAlignment="1">
      <alignment horizontal="center"/>
    </xf>
    <xf numFmtId="1" fontId="11" fillId="65" borderId="33" xfId="1526" applyNumberFormat="1" applyFont="1" applyFill="1" applyBorder="1" applyAlignment="1">
      <alignment horizontal="center"/>
    </xf>
    <xf numFmtId="1" fontId="11" fillId="65" borderId="32" xfId="1526" applyNumberFormat="1" applyFont="1" applyFill="1" applyBorder="1" applyAlignment="1">
      <alignment horizontal="center"/>
    </xf>
    <xf numFmtId="1" fontId="11" fillId="65" borderId="27" xfId="1527" applyNumberFormat="1" applyFont="1" applyFill="1" applyBorder="1" applyAlignment="1">
      <alignment horizontal="center"/>
    </xf>
    <xf numFmtId="1" fontId="11" fillId="65" borderId="29" xfId="1527" applyNumberFormat="1" applyFont="1" applyFill="1" applyBorder="1" applyAlignment="1">
      <alignment horizontal="center"/>
    </xf>
    <xf numFmtId="1" fontId="11" fillId="65" borderId="28" xfId="1526" applyNumberFormat="1" applyFont="1" applyFill="1" applyBorder="1" applyAlignment="1">
      <alignment horizontal="center"/>
    </xf>
    <xf numFmtId="1" fontId="11" fillId="65" borderId="27" xfId="1526" applyNumberFormat="1" applyFont="1" applyFill="1" applyBorder="1" applyAlignment="1">
      <alignment horizontal="center"/>
    </xf>
    <xf numFmtId="1" fontId="11" fillId="65" borderId="30" xfId="1526" applyNumberFormat="1" applyFont="1" applyFill="1" applyBorder="1" applyAlignment="1">
      <alignment horizontal="center"/>
    </xf>
    <xf numFmtId="1" fontId="11" fillId="65" borderId="34" xfId="1526" applyNumberFormat="1" applyFont="1" applyFill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1" fillId="4" borderId="0" xfId="0" applyFont="1" applyFill="1" applyAlignment="1">
      <alignment horizontal="center"/>
    </xf>
    <xf numFmtId="0" fontId="11" fillId="66" borderId="0" xfId="0" quotePrefix="1" applyFont="1" applyFill="1" applyAlignment="1">
      <alignment horizontal="center"/>
    </xf>
    <xf numFmtId="0" fontId="11" fillId="4" borderId="0" xfId="0" applyFont="1" applyFill="1" applyAlignment="1">
      <alignment horizontal="left"/>
    </xf>
    <xf numFmtId="0" fontId="11" fillId="66" borderId="0" xfId="0" applyFont="1" applyFill="1" applyAlignment="1">
      <alignment horizontal="left"/>
    </xf>
    <xf numFmtId="0" fontId="0" fillId="0" borderId="1" xfId="0" applyBorder="1" applyAlignment="1">
      <alignment horizontal="center" vertical="center"/>
    </xf>
    <xf numFmtId="3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82" fillId="0" borderId="0" xfId="0" applyFont="1"/>
    <xf numFmtId="3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right"/>
    </xf>
    <xf numFmtId="10" fontId="0" fillId="0" borderId="0" xfId="2" applyNumberFormat="1" applyFont="1" applyAlignment="1">
      <alignment horizontal="center" vertical="center"/>
    </xf>
    <xf numFmtId="0" fontId="11" fillId="0" borderId="31" xfId="0" applyFont="1" applyBorder="1" applyAlignment="1">
      <alignment horizontal="right"/>
    </xf>
    <xf numFmtId="3" fontId="0" fillId="0" borderId="31" xfId="0" applyNumberFormat="1" applyBorder="1" applyAlignment="1">
      <alignment horizontal="center" vertical="center"/>
    </xf>
    <xf numFmtId="0" fontId="78" fillId="68" borderId="4" xfId="1524" applyFont="1" applyFill="1" applyBorder="1" applyAlignment="1">
      <alignment horizontal="center" vertical="center" wrapText="1"/>
    </xf>
    <xf numFmtId="1" fontId="11" fillId="63" borderId="1" xfId="736" applyNumberFormat="1" applyFont="1" applyFill="1" applyBorder="1" applyAlignment="1">
      <alignment horizontal="center"/>
    </xf>
    <xf numFmtId="0" fontId="14" fillId="69" borderId="1" xfId="736" applyFont="1" applyFill="1" applyBorder="1" applyAlignment="1">
      <alignment horizontal="center"/>
    </xf>
    <xf numFmtId="0" fontId="14" fillId="0" borderId="0" xfId="75" applyFont="1" applyAlignment="1">
      <alignment horizontal="left" vertical="center"/>
    </xf>
    <xf numFmtId="0" fontId="11" fillId="0" borderId="0" xfId="75"/>
    <xf numFmtId="0" fontId="14" fillId="0" borderId="37" xfId="75" applyFont="1" applyBorder="1" applyAlignment="1">
      <alignment horizontal="center" vertical="center" wrapText="1"/>
    </xf>
    <xf numFmtId="0" fontId="14" fillId="0" borderId="0" xfId="1531" applyFont="1" applyAlignment="1">
      <alignment horizontal="center" vertical="center" wrapText="1"/>
    </xf>
    <xf numFmtId="0" fontId="11" fillId="0" borderId="0" xfId="620"/>
    <xf numFmtId="180" fontId="11" fillId="0" borderId="0" xfId="75" applyNumberFormat="1" applyAlignment="1">
      <alignment horizontal="center" vertical="center"/>
    </xf>
    <xf numFmtId="0" fontId="85" fillId="0" borderId="0" xfId="1533"/>
    <xf numFmtId="174" fontId="11" fillId="0" borderId="0" xfId="75" applyNumberFormat="1"/>
    <xf numFmtId="182" fontId="11" fillId="0" borderId="0" xfId="75" applyNumberFormat="1"/>
    <xf numFmtId="0" fontId="11" fillId="0" borderId="0" xfId="75" applyAlignment="1">
      <alignment horizontal="left" vertical="center" wrapText="1"/>
    </xf>
    <xf numFmtId="174" fontId="11" fillId="0" borderId="0" xfId="1532" applyNumberFormat="1" applyAlignment="1">
      <alignment horizontal="center" vertical="center"/>
    </xf>
    <xf numFmtId="174" fontId="11" fillId="0" borderId="0" xfId="75" applyNumberFormat="1" applyAlignment="1">
      <alignment horizontal="center" vertical="center"/>
    </xf>
    <xf numFmtId="0" fontId="14" fillId="0" borderId="0" xfId="75" applyFont="1" applyAlignment="1">
      <alignment vertical="center"/>
    </xf>
    <xf numFmtId="3" fontId="14" fillId="0" borderId="0" xfId="1531" applyNumberFormat="1" applyFont="1" applyAlignment="1">
      <alignment horizontal="center" vertical="center" wrapText="1"/>
    </xf>
    <xf numFmtId="3" fontId="11" fillId="0" borderId="0" xfId="75" applyNumberFormat="1"/>
    <xf numFmtId="3" fontId="11" fillId="0" borderId="0" xfId="1532" applyNumberFormat="1" applyAlignment="1">
      <alignment horizontal="center" vertical="center"/>
    </xf>
    <xf numFmtId="3" fontId="11" fillId="0" borderId="0" xfId="75" applyNumberFormat="1" applyAlignment="1">
      <alignment horizontal="center" vertical="center"/>
    </xf>
    <xf numFmtId="1" fontId="11" fillId="0" borderId="0" xfId="75" applyNumberFormat="1" applyAlignment="1">
      <alignment horizontal="left" vertical="center" indent="1"/>
    </xf>
    <xf numFmtId="181" fontId="11" fillId="0" borderId="0" xfId="1532" applyNumberFormat="1" applyAlignment="1">
      <alignment horizontal="center" vertical="center"/>
    </xf>
    <xf numFmtId="0" fontId="11" fillId="0" borderId="0" xfId="75" applyAlignment="1">
      <alignment horizontal="left" vertical="center"/>
    </xf>
    <xf numFmtId="0" fontId="11" fillId="0" borderId="0" xfId="75" applyAlignment="1">
      <alignment vertical="center"/>
    </xf>
    <xf numFmtId="0" fontId="87" fillId="0" borderId="31" xfId="4" applyFont="1" applyBorder="1" applyAlignment="1">
      <alignment vertical="center"/>
    </xf>
    <xf numFmtId="0" fontId="87" fillId="0" borderId="0" xfId="4" applyFont="1" applyAlignment="1">
      <alignment horizontal="left" vertical="center"/>
    </xf>
    <xf numFmtId="0" fontId="43" fillId="0" borderId="0" xfId="4" applyFont="1"/>
    <xf numFmtId="0" fontId="43" fillId="0" borderId="0" xfId="4" applyFont="1" applyAlignment="1">
      <alignment vertical="center"/>
    </xf>
    <xf numFmtId="3" fontId="43" fillId="0" borderId="0" xfId="4" applyNumberFormat="1" applyFont="1"/>
    <xf numFmtId="0" fontId="88" fillId="0" borderId="0" xfId="4" applyFont="1" applyAlignment="1">
      <alignment horizontal="left" vertical="center"/>
    </xf>
    <xf numFmtId="3" fontId="88" fillId="0" borderId="0" xfId="4" applyNumberFormat="1" applyFont="1" applyAlignment="1">
      <alignment horizontal="center" vertical="center" wrapText="1"/>
    </xf>
    <xf numFmtId="0" fontId="88" fillId="0" borderId="0" xfId="4" applyFont="1"/>
    <xf numFmtId="0" fontId="11" fillId="0" borderId="0" xfId="4"/>
    <xf numFmtId="0" fontId="0" fillId="0" borderId="0" xfId="4" applyFont="1"/>
    <xf numFmtId="3" fontId="11" fillId="0" borderId="0" xfId="75" applyNumberFormat="1" applyAlignment="1">
      <alignment horizontal="center" vertical="center" wrapText="1"/>
    </xf>
    <xf numFmtId="9" fontId="11" fillId="0" borderId="0" xfId="75" applyNumberFormat="1" applyAlignment="1">
      <alignment horizontal="center" vertical="center" wrapText="1"/>
    </xf>
    <xf numFmtId="174" fontId="85" fillId="0" borderId="0" xfId="1533" applyNumberFormat="1"/>
    <xf numFmtId="184" fontId="11" fillId="0" borderId="0" xfId="75" applyNumberFormat="1" applyAlignment="1">
      <alignment horizontal="center" vertical="center" wrapText="1"/>
    </xf>
    <xf numFmtId="3" fontId="14" fillId="0" borderId="0" xfId="75" applyNumberFormat="1" applyFont="1" applyAlignment="1">
      <alignment horizontal="center" vertical="center" wrapText="1"/>
    </xf>
    <xf numFmtId="0" fontId="11" fillId="0" borderId="0" xfId="75" applyAlignment="1">
      <alignment horizontal="center"/>
    </xf>
    <xf numFmtId="3" fontId="11" fillId="0" borderId="0" xfId="1531" applyNumberFormat="1" applyFont="1" applyAlignment="1">
      <alignment horizontal="center" wrapText="1"/>
    </xf>
    <xf numFmtId="0" fontId="11" fillId="0" borderId="0" xfId="75" applyAlignment="1">
      <alignment horizontal="center" vertical="center"/>
    </xf>
    <xf numFmtId="9" fontId="11" fillId="0" borderId="37" xfId="75" applyNumberFormat="1" applyBorder="1" applyAlignment="1">
      <alignment horizontal="center" vertical="center" wrapText="1"/>
    </xf>
    <xf numFmtId="0" fontId="14" fillId="63" borderId="37" xfId="75" applyFont="1" applyFill="1" applyBorder="1" applyAlignment="1">
      <alignment horizontal="left" vertical="center" wrapText="1"/>
    </xf>
    <xf numFmtId="0" fontId="14" fillId="63" borderId="37" xfId="75" applyFont="1" applyFill="1" applyBorder="1" applyAlignment="1">
      <alignment horizontal="center" vertical="center" wrapText="1"/>
    </xf>
    <xf numFmtId="0" fontId="14" fillId="63" borderId="37" xfId="75" applyFont="1" applyFill="1" applyBorder="1" applyAlignment="1">
      <alignment horizontal="left" vertical="center"/>
    </xf>
    <xf numFmtId="0" fontId="14" fillId="63" borderId="41" xfId="75" applyFont="1" applyFill="1" applyBorder="1" applyAlignment="1">
      <alignment horizontal="left" vertical="center"/>
    </xf>
    <xf numFmtId="0" fontId="14" fillId="63" borderId="0" xfId="75" applyFont="1" applyFill="1" applyAlignment="1">
      <alignment horizontal="left" vertical="center"/>
    </xf>
    <xf numFmtId="0" fontId="14" fillId="63" borderId="43" xfId="75" applyFont="1" applyFill="1" applyBorder="1" applyAlignment="1">
      <alignment horizontal="left" vertical="center"/>
    </xf>
    <xf numFmtId="0" fontId="11" fillId="63" borderId="38" xfId="75" applyFill="1" applyBorder="1" applyAlignment="1">
      <alignment horizontal="left" vertical="center"/>
    </xf>
    <xf numFmtId="186" fontId="11" fillId="63" borderId="39" xfId="75" applyNumberFormat="1" applyFill="1" applyBorder="1" applyAlignment="1">
      <alignment horizontal="center" vertical="center"/>
    </xf>
    <xf numFmtId="0" fontId="11" fillId="63" borderId="39" xfId="75" applyFill="1" applyBorder="1" applyAlignment="1">
      <alignment horizontal="center" vertical="center"/>
    </xf>
    <xf numFmtId="0" fontId="11" fillId="63" borderId="40" xfId="75" applyFill="1" applyBorder="1" applyAlignment="1">
      <alignment horizontal="center" vertical="center"/>
    </xf>
    <xf numFmtId="0" fontId="11" fillId="63" borderId="37" xfId="75" applyFill="1" applyBorder="1" applyAlignment="1">
      <alignment horizontal="left" vertical="center"/>
    </xf>
    <xf numFmtId="174" fontId="11" fillId="63" borderId="37" xfId="1532" applyNumberFormat="1" applyFill="1" applyBorder="1" applyAlignment="1">
      <alignment horizontal="center" vertical="center"/>
    </xf>
    <xf numFmtId="0" fontId="11" fillId="63" borderId="37" xfId="75" applyFill="1" applyBorder="1"/>
    <xf numFmtId="3" fontId="11" fillId="63" borderId="37" xfId="1532" applyNumberFormat="1" applyFill="1" applyBorder="1" applyAlignment="1">
      <alignment horizontal="center" vertical="center"/>
    </xf>
    <xf numFmtId="181" fontId="11" fillId="63" borderId="37" xfId="1533" applyNumberFormat="1" applyFont="1" applyFill="1" applyBorder="1" applyAlignment="1">
      <alignment horizontal="center" vertical="center"/>
    </xf>
    <xf numFmtId="0" fontId="0" fillId="63" borderId="37" xfId="75" applyFont="1" applyFill="1" applyBorder="1" applyAlignment="1">
      <alignment horizontal="left" vertical="center"/>
    </xf>
    <xf numFmtId="0" fontId="14" fillId="63" borderId="38" xfId="75" applyFont="1" applyFill="1" applyBorder="1" applyAlignment="1">
      <alignment horizontal="left" vertical="center" wrapText="1"/>
    </xf>
    <xf numFmtId="0" fontId="14" fillId="63" borderId="0" xfId="75" applyFont="1" applyFill="1" applyAlignment="1">
      <alignment horizontal="left" wrapText="1"/>
    </xf>
    <xf numFmtId="174" fontId="11" fillId="63" borderId="37" xfId="75" applyNumberFormat="1" applyFill="1" applyBorder="1" applyAlignment="1">
      <alignment horizontal="center" vertical="center"/>
    </xf>
    <xf numFmtId="0" fontId="11" fillId="63" borderId="0" xfId="75" applyFill="1"/>
    <xf numFmtId="0" fontId="14" fillId="63" borderId="0" xfId="75" applyFont="1" applyFill="1" applyAlignment="1">
      <alignment wrapText="1"/>
    </xf>
    <xf numFmtId="0" fontId="11" fillId="63" borderId="0" xfId="620" applyFill="1"/>
    <xf numFmtId="0" fontId="85" fillId="63" borderId="0" xfId="1533" applyFill="1"/>
    <xf numFmtId="182" fontId="11" fillId="63" borderId="0" xfId="75" applyNumberFormat="1" applyFill="1"/>
    <xf numFmtId="0" fontId="11" fillId="63" borderId="37" xfId="75" applyFill="1" applyBorder="1" applyAlignment="1">
      <alignment horizontal="left" wrapText="1"/>
    </xf>
    <xf numFmtId="186" fontId="11" fillId="63" borderId="37" xfId="75" applyNumberFormat="1" applyFill="1" applyBorder="1" applyAlignment="1">
      <alignment horizontal="center" vertical="center" wrapText="1"/>
    </xf>
    <xf numFmtId="0" fontId="14" fillId="63" borderId="38" xfId="75" applyFont="1" applyFill="1" applyBorder="1" applyAlignment="1">
      <alignment horizontal="center" vertical="center" wrapText="1"/>
    </xf>
    <xf numFmtId="3" fontId="11" fillId="63" borderId="37" xfId="75" applyNumberFormat="1" applyFill="1" applyBorder="1" applyAlignment="1">
      <alignment horizontal="center" vertical="center"/>
    </xf>
    <xf numFmtId="0" fontId="11" fillId="63" borderId="37" xfId="75" applyFill="1" applyBorder="1" applyAlignment="1">
      <alignment horizontal="center" vertical="center"/>
    </xf>
    <xf numFmtId="0" fontId="11" fillId="63" borderId="0" xfId="75" applyFill="1" applyAlignment="1">
      <alignment horizontal="center" vertical="center"/>
    </xf>
    <xf numFmtId="3" fontId="11" fillId="63" borderId="37" xfId="75" applyNumberFormat="1" applyFill="1" applyBorder="1" applyAlignment="1">
      <alignment horizontal="center" vertical="center" wrapText="1"/>
    </xf>
    <xf numFmtId="0" fontId="11" fillId="63" borderId="37" xfId="75" applyFill="1" applyBorder="1" applyAlignment="1">
      <alignment horizontal="left" vertical="center" wrapText="1"/>
    </xf>
    <xf numFmtId="0" fontId="11" fillId="63" borderId="41" xfId="75" applyFill="1" applyBorder="1" applyAlignment="1">
      <alignment horizontal="center" vertical="center"/>
    </xf>
    <xf numFmtId="167" fontId="11" fillId="63" borderId="37" xfId="75" applyNumberFormat="1" applyFill="1" applyBorder="1"/>
    <xf numFmtId="3" fontId="11" fillId="63" borderId="37" xfId="75" applyNumberFormat="1" applyFill="1" applyBorder="1"/>
    <xf numFmtId="0" fontId="11" fillId="63" borderId="44" xfId="75" applyFill="1" applyBorder="1"/>
    <xf numFmtId="167" fontId="11" fillId="63" borderId="44" xfId="75" applyNumberFormat="1" applyFill="1" applyBorder="1"/>
    <xf numFmtId="0" fontId="14" fillId="63" borderId="38" xfId="75" applyFont="1" applyFill="1" applyBorder="1"/>
    <xf numFmtId="3" fontId="11" fillId="63" borderId="40" xfId="75" applyNumberFormat="1" applyFill="1" applyBorder="1"/>
    <xf numFmtId="0" fontId="11" fillId="63" borderId="4" xfId="75" applyFill="1" applyBorder="1"/>
    <xf numFmtId="181" fontId="11" fillId="63" borderId="4" xfId="75" applyNumberFormat="1" applyFill="1" applyBorder="1"/>
    <xf numFmtId="181" fontId="11" fillId="63" borderId="37" xfId="75" applyNumberFormat="1" applyFill="1" applyBorder="1"/>
    <xf numFmtId="183" fontId="11" fillId="63" borderId="37" xfId="1532" applyNumberFormat="1" applyFill="1" applyBorder="1" applyAlignment="1">
      <alignment horizontal="center" vertical="center"/>
    </xf>
    <xf numFmtId="169" fontId="11" fillId="63" borderId="37" xfId="75" applyNumberFormat="1" applyFill="1" applyBorder="1" applyAlignment="1">
      <alignment horizontal="center"/>
    </xf>
    <xf numFmtId="174" fontId="0" fillId="0" borderId="0" xfId="0" applyNumberFormat="1" applyAlignment="1">
      <alignment horizontal="center"/>
    </xf>
    <xf numFmtId="0" fontId="43" fillId="63" borderId="37" xfId="4" applyFont="1" applyFill="1" applyBorder="1" applyAlignment="1">
      <alignment horizontal="left" vertical="center"/>
    </xf>
    <xf numFmtId="3" fontId="43" fillId="63" borderId="37" xfId="4" applyNumberFormat="1" applyFont="1" applyFill="1" applyBorder="1" applyAlignment="1">
      <alignment horizontal="center" vertical="center" wrapText="1"/>
    </xf>
    <xf numFmtId="0" fontId="11" fillId="63" borderId="42" xfId="4" applyFill="1" applyBorder="1" applyAlignment="1">
      <alignment horizontal="left" vertical="center"/>
    </xf>
    <xf numFmtId="0" fontId="11" fillId="63" borderId="37" xfId="620" applyFill="1" applyBorder="1"/>
    <xf numFmtId="183" fontId="11" fillId="63" borderId="37" xfId="4" applyNumberFormat="1" applyFill="1" applyBorder="1" applyAlignment="1">
      <alignment horizontal="center" vertical="center" wrapText="1"/>
    </xf>
    <xf numFmtId="0" fontId="14" fillId="63" borderId="38" xfId="4" applyFont="1" applyFill="1" applyBorder="1" applyAlignment="1">
      <alignment horizontal="left" vertical="center"/>
    </xf>
    <xf numFmtId="183" fontId="14" fillId="63" borderId="37" xfId="4" applyNumberFormat="1" applyFont="1" applyFill="1" applyBorder="1" applyAlignment="1">
      <alignment horizontal="center" vertical="center" wrapText="1"/>
    </xf>
    <xf numFmtId="0" fontId="14" fillId="63" borderId="38" xfId="620" applyFont="1" applyFill="1" applyBorder="1" applyAlignment="1">
      <alignment horizontal="left" vertical="center" wrapText="1"/>
    </xf>
    <xf numFmtId="0" fontId="14" fillId="63" borderId="38" xfId="620" applyFont="1" applyFill="1" applyBorder="1" applyAlignment="1">
      <alignment horizontal="center" vertical="center" wrapText="1"/>
    </xf>
    <xf numFmtId="0" fontId="14" fillId="63" borderId="37" xfId="620" applyFont="1" applyFill="1" applyBorder="1" applyAlignment="1">
      <alignment horizontal="center" vertical="center" wrapText="1"/>
    </xf>
    <xf numFmtId="0" fontId="0" fillId="63" borderId="37" xfId="4" applyFont="1" applyFill="1" applyBorder="1" applyAlignment="1">
      <alignment horizontal="left" vertical="center" wrapText="1"/>
    </xf>
    <xf numFmtId="3" fontId="0" fillId="63" borderId="37" xfId="4" applyNumberFormat="1" applyFont="1" applyFill="1" applyBorder="1" applyAlignment="1">
      <alignment horizontal="center" vertical="center" wrapText="1"/>
    </xf>
    <xf numFmtId="0" fontId="14" fillId="63" borderId="37" xfId="620" applyFont="1" applyFill="1" applyBorder="1" applyAlignment="1">
      <alignment horizontal="left" vertical="center" wrapText="1"/>
    </xf>
    <xf numFmtId="174" fontId="11" fillId="63" borderId="37" xfId="75" applyNumberFormat="1" applyFill="1" applyBorder="1" applyAlignment="1">
      <alignment horizontal="center" vertical="center" wrapText="1"/>
    </xf>
    <xf numFmtId="181" fontId="11" fillId="63" borderId="37" xfId="75" applyNumberFormat="1" applyFill="1" applyBorder="1" applyAlignment="1">
      <alignment horizontal="center" vertical="center" wrapText="1"/>
    </xf>
    <xf numFmtId="184" fontId="11" fillId="63" borderId="37" xfId="75" applyNumberFormat="1" applyFill="1" applyBorder="1" applyAlignment="1">
      <alignment horizontal="center" vertical="center" wrapText="1"/>
    </xf>
    <xf numFmtId="171" fontId="11" fillId="63" borderId="37" xfId="2" applyNumberFormat="1" applyFont="1" applyFill="1" applyBorder="1" applyAlignment="1">
      <alignment horizontal="center" vertical="center"/>
    </xf>
    <xf numFmtId="185" fontId="14" fillId="63" borderId="37" xfId="75" applyNumberFormat="1" applyFont="1" applyFill="1" applyBorder="1" applyAlignment="1">
      <alignment horizontal="center" vertical="center" wrapText="1"/>
    </xf>
    <xf numFmtId="183" fontId="11" fillId="63" borderId="37" xfId="75" applyNumberFormat="1" applyFill="1" applyBorder="1" applyAlignment="1">
      <alignment horizontal="center" vertical="center" wrapText="1"/>
    </xf>
    <xf numFmtId="0" fontId="14" fillId="63" borderId="37" xfId="75" applyFont="1" applyFill="1" applyBorder="1" applyAlignment="1">
      <alignment vertical="center"/>
    </xf>
    <xf numFmtId="183" fontId="14" fillId="63" borderId="37" xfId="1532" applyNumberFormat="1" applyFont="1" applyFill="1" applyBorder="1" applyAlignment="1">
      <alignment horizontal="center" vertical="center"/>
    </xf>
    <xf numFmtId="0" fontId="11" fillId="63" borderId="37" xfId="75" applyFill="1" applyBorder="1" applyAlignment="1">
      <alignment vertical="center"/>
    </xf>
    <xf numFmtId="169" fontId="11" fillId="63" borderId="37" xfId="75" applyNumberFormat="1" applyFill="1" applyBorder="1" applyAlignment="1">
      <alignment horizontal="center" vertical="center"/>
    </xf>
    <xf numFmtId="3" fontId="11" fillId="63" borderId="37" xfId="75" applyNumberFormat="1" applyFill="1" applyBorder="1" applyAlignment="1">
      <alignment horizontal="left" vertical="center"/>
    </xf>
    <xf numFmtId="0" fontId="0" fillId="63" borderId="41" xfId="0" applyFill="1" applyBorder="1"/>
    <xf numFmtId="1" fontId="11" fillId="0" borderId="0" xfId="736" applyNumberFormat="1" applyFont="1"/>
    <xf numFmtId="172" fontId="11" fillId="63" borderId="33" xfId="1" applyNumberFormat="1" applyFill="1" applyBorder="1"/>
    <xf numFmtId="0" fontId="11" fillId="63" borderId="37" xfId="620" applyFill="1" applyBorder="1" applyAlignment="1">
      <alignment horizontal="right"/>
    </xf>
    <xf numFmtId="172" fontId="11" fillId="63" borderId="53" xfId="620" applyNumberFormat="1" applyFill="1" applyBorder="1" applyAlignment="1">
      <alignment horizontal="center" vertical="center"/>
    </xf>
    <xf numFmtId="167" fontId="11" fillId="63" borderId="37" xfId="2" applyNumberFormat="1" applyFill="1" applyBorder="1"/>
    <xf numFmtId="0" fontId="14" fillId="63" borderId="24" xfId="620" applyFont="1" applyFill="1" applyBorder="1" applyAlignment="1">
      <alignment horizontal="right"/>
    </xf>
    <xf numFmtId="0" fontId="11" fillId="63" borderId="37" xfId="620" applyFill="1" applyBorder="1" applyAlignment="1">
      <alignment horizontal="center" vertical="center"/>
    </xf>
    <xf numFmtId="172" fontId="11" fillId="63" borderId="50" xfId="620" applyNumberFormat="1" applyFill="1" applyBorder="1"/>
    <xf numFmtId="0" fontId="14" fillId="63" borderId="0" xfId="75" applyFont="1" applyFill="1" applyAlignment="1">
      <alignment vertical="center"/>
    </xf>
    <xf numFmtId="187" fontId="11" fillId="63" borderId="37" xfId="620" applyNumberFormat="1" applyFill="1" applyBorder="1"/>
    <xf numFmtId="167" fontId="11" fillId="63" borderId="4" xfId="2" applyNumberFormat="1" applyFill="1" applyBorder="1"/>
    <xf numFmtId="0" fontId="14" fillId="63" borderId="0" xfId="620" applyFont="1" applyFill="1" applyAlignment="1">
      <alignment horizontal="right"/>
    </xf>
    <xf numFmtId="172" fontId="11" fillId="63" borderId="4" xfId="1" applyNumberFormat="1" applyFill="1" applyBorder="1"/>
    <xf numFmtId="0" fontId="14" fillId="70" borderId="37" xfId="620" applyFont="1" applyFill="1" applyBorder="1" applyAlignment="1">
      <alignment horizontal="center" vertical="center"/>
    </xf>
    <xf numFmtId="0" fontId="14" fillId="70" borderId="37" xfId="620" applyFont="1" applyFill="1" applyBorder="1" applyAlignment="1">
      <alignment horizontal="center" vertical="center" wrapText="1"/>
    </xf>
    <xf numFmtId="172" fontId="11" fillId="63" borderId="37" xfId="1" applyNumberFormat="1" applyFont="1" applyFill="1" applyBorder="1"/>
    <xf numFmtId="0" fontId="11" fillId="63" borderId="50" xfId="620" applyFill="1" applyBorder="1"/>
    <xf numFmtId="0" fontId="14" fillId="63" borderId="50" xfId="620" applyFont="1" applyFill="1" applyBorder="1" applyAlignment="1">
      <alignment horizontal="right"/>
    </xf>
    <xf numFmtId="172" fontId="11" fillId="63" borderId="37" xfId="1" applyNumberFormat="1" applyFill="1" applyBorder="1"/>
    <xf numFmtId="0" fontId="14" fillId="63" borderId="33" xfId="620" applyFont="1" applyFill="1" applyBorder="1" applyAlignment="1">
      <alignment horizontal="center" vertical="center" wrapText="1"/>
    </xf>
    <xf numFmtId="0" fontId="14" fillId="70" borderId="51" xfId="620" applyFont="1" applyFill="1" applyBorder="1" applyAlignment="1">
      <alignment horizontal="center" vertical="center"/>
    </xf>
    <xf numFmtId="3" fontId="11" fillId="63" borderId="37" xfId="620" applyNumberFormat="1" applyFill="1" applyBorder="1"/>
    <xf numFmtId="169" fontId="11" fillId="0" borderId="56" xfId="620" applyNumberFormat="1" applyBorder="1" applyAlignment="1">
      <alignment horizontal="center"/>
    </xf>
    <xf numFmtId="167" fontId="11" fillId="63" borderId="37" xfId="2" applyNumberFormat="1" applyFill="1" applyBorder="1" applyAlignment="1">
      <alignment horizontal="right" vertical="center"/>
    </xf>
    <xf numFmtId="172" fontId="11" fillId="63" borderId="26" xfId="620" applyNumberFormat="1" applyFill="1" applyBorder="1" applyAlignment="1">
      <alignment horizontal="center" vertical="center"/>
    </xf>
    <xf numFmtId="172" fontId="11" fillId="63" borderId="37" xfId="620" applyNumberFormat="1" applyFill="1" applyBorder="1" applyAlignment="1">
      <alignment horizontal="center" vertical="center"/>
    </xf>
    <xf numFmtId="172" fontId="11" fillId="63" borderId="4" xfId="620" applyNumberFormat="1" applyFill="1" applyBorder="1"/>
    <xf numFmtId="167" fontId="11" fillId="63" borderId="33" xfId="2" applyNumberFormat="1" applyFill="1" applyBorder="1" applyAlignment="1">
      <alignment horizontal="right" vertical="center"/>
    </xf>
    <xf numFmtId="0" fontId="11" fillId="63" borderId="32" xfId="620" applyFill="1" applyBorder="1" applyAlignment="1">
      <alignment horizontal="right"/>
    </xf>
    <xf numFmtId="172" fontId="11" fillId="63" borderId="30" xfId="1" applyNumberFormat="1" applyFill="1" applyBorder="1"/>
    <xf numFmtId="0" fontId="14" fillId="63" borderId="4" xfId="620" applyFont="1" applyFill="1" applyBorder="1" applyAlignment="1">
      <alignment horizontal="right"/>
    </xf>
    <xf numFmtId="167" fontId="11" fillId="63" borderId="25" xfId="2" applyNumberFormat="1" applyFill="1" applyBorder="1" applyAlignment="1">
      <alignment horizontal="right" vertical="center"/>
    </xf>
    <xf numFmtId="0" fontId="14" fillId="63" borderId="55" xfId="620" applyFont="1" applyFill="1" applyBorder="1" applyAlignment="1">
      <alignment horizontal="right"/>
    </xf>
    <xf numFmtId="167" fontId="11" fillId="63" borderId="54" xfId="2" applyNumberFormat="1" applyFill="1" applyBorder="1" applyAlignment="1">
      <alignment horizontal="right" vertical="center"/>
    </xf>
    <xf numFmtId="0" fontId="14" fillId="70" borderId="37" xfId="620" applyFont="1" applyFill="1" applyBorder="1"/>
    <xf numFmtId="0" fontId="11" fillId="70" borderId="37" xfId="620" applyFill="1" applyBorder="1"/>
    <xf numFmtId="0" fontId="14" fillId="70" borderId="52" xfId="620" applyFont="1" applyFill="1" applyBorder="1"/>
    <xf numFmtId="0" fontId="11" fillId="70" borderId="51" xfId="620" applyFill="1" applyBorder="1"/>
    <xf numFmtId="0" fontId="0" fillId="63" borderId="0" xfId="0" applyFill="1"/>
    <xf numFmtId="0" fontId="14" fillId="70" borderId="49" xfId="620" applyFont="1" applyFill="1" applyBorder="1" applyAlignment="1">
      <alignment horizontal="center" vertical="center" wrapText="1"/>
    </xf>
    <xf numFmtId="0" fontId="11" fillId="63" borderId="49" xfId="620" applyFill="1" applyBorder="1" applyAlignment="1">
      <alignment horizontal="right"/>
    </xf>
    <xf numFmtId="172" fontId="11" fillId="63" borderId="49" xfId="1" applyNumberFormat="1" applyFont="1" applyFill="1" applyBorder="1"/>
    <xf numFmtId="0" fontId="11" fillId="63" borderId="41" xfId="75" applyFill="1" applyBorder="1"/>
    <xf numFmtId="0" fontId="11" fillId="63" borderId="43" xfId="75" applyFill="1" applyBorder="1"/>
    <xf numFmtId="0" fontId="11" fillId="63" borderId="49" xfId="75" applyFill="1" applyBorder="1" applyAlignment="1">
      <alignment horizontal="right"/>
    </xf>
    <xf numFmtId="172" fontId="11" fillId="63" borderId="49" xfId="1" applyNumberFormat="1" applyFill="1" applyBorder="1"/>
    <xf numFmtId="0" fontId="11" fillId="63" borderId="30" xfId="75" applyFill="1" applyBorder="1" applyAlignment="1">
      <alignment horizontal="right"/>
    </xf>
    <xf numFmtId="0" fontId="14" fillId="63" borderId="4" xfId="75" applyFont="1" applyFill="1" applyBorder="1" applyAlignment="1">
      <alignment horizontal="right"/>
    </xf>
    <xf numFmtId="0" fontId="14" fillId="63" borderId="49" xfId="75" applyFont="1" applyFill="1" applyBorder="1" applyAlignment="1">
      <alignment horizontal="right"/>
    </xf>
    <xf numFmtId="172" fontId="14" fillId="63" borderId="49" xfId="75" applyNumberFormat="1" applyFont="1" applyFill="1" applyBorder="1"/>
    <xf numFmtId="172" fontId="14" fillId="63" borderId="4" xfId="75" applyNumberFormat="1" applyFont="1" applyFill="1" applyBorder="1"/>
    <xf numFmtId="172" fontId="14" fillId="63" borderId="4" xfId="620" applyNumberFormat="1" applyFont="1" applyFill="1" applyBorder="1"/>
    <xf numFmtId="3" fontId="12" fillId="71" borderId="1" xfId="0" applyNumberFormat="1" applyFont="1" applyFill="1" applyBorder="1" applyAlignment="1">
      <alignment horizontal="center"/>
    </xf>
    <xf numFmtId="0" fontId="84" fillId="67" borderId="1" xfId="1524" applyFont="1" applyFill="1" applyBorder="1" applyAlignment="1">
      <alignment vertical="center"/>
    </xf>
    <xf numFmtId="43" fontId="11" fillId="0" borderId="0" xfId="1" applyFont="1"/>
    <xf numFmtId="2" fontId="11" fillId="0" borderId="0" xfId="736" applyNumberFormat="1" applyFont="1"/>
    <xf numFmtId="172" fontId="11" fillId="65" borderId="32" xfId="1" applyNumberFormat="1" applyFont="1" applyFill="1" applyBorder="1" applyAlignment="1">
      <alignment horizontal="center"/>
    </xf>
    <xf numFmtId="17" fontId="11" fillId="0" borderId="49" xfId="1526" applyNumberFormat="1" applyFont="1" applyBorder="1" applyAlignment="1">
      <alignment horizontal="left"/>
    </xf>
    <xf numFmtId="0" fontId="14" fillId="0" borderId="49" xfId="1526" applyFont="1" applyBorder="1" applyAlignment="1">
      <alignment horizontal="center"/>
    </xf>
    <xf numFmtId="1" fontId="11" fillId="65" borderId="62" xfId="1526" applyNumberFormat="1" applyFont="1" applyFill="1" applyBorder="1" applyAlignment="1">
      <alignment horizontal="center"/>
    </xf>
    <xf numFmtId="1" fontId="11" fillId="65" borderId="63" xfId="1527" applyNumberFormat="1" applyFont="1" applyFill="1" applyBorder="1" applyAlignment="1">
      <alignment horizontal="center"/>
    </xf>
    <xf numFmtId="1" fontId="11" fillId="65" borderId="49" xfId="1526" applyNumberFormat="1" applyFont="1" applyFill="1" applyBorder="1" applyAlignment="1">
      <alignment horizontal="center"/>
    </xf>
    <xf numFmtId="1" fontId="11" fillId="64" borderId="49" xfId="1526" applyNumberFormat="1" applyFont="1" applyFill="1" applyBorder="1" applyAlignment="1">
      <alignment horizontal="center"/>
    </xf>
    <xf numFmtId="1" fontId="11" fillId="64" borderId="62" xfId="1526" applyNumberFormat="1" applyFont="1" applyFill="1" applyBorder="1" applyAlignment="1">
      <alignment horizontal="center"/>
    </xf>
    <xf numFmtId="1" fontId="11" fillId="64" borderId="63" xfId="1527" applyNumberFormat="1" applyFont="1" applyFill="1" applyBorder="1" applyAlignment="1">
      <alignment horizontal="center"/>
    </xf>
    <xf numFmtId="172" fontId="11" fillId="64" borderId="32" xfId="1" applyNumberFormat="1" applyFont="1" applyFill="1" applyBorder="1" applyAlignment="1">
      <alignment horizontal="center"/>
    </xf>
    <xf numFmtId="1" fontId="18" fillId="65" borderId="33" xfId="1526" applyNumberFormat="1" applyFont="1" applyFill="1" applyBorder="1" applyAlignment="1">
      <alignment horizontal="center"/>
    </xf>
    <xf numFmtId="43" fontId="11" fillId="0" borderId="0" xfId="736" applyNumberFormat="1" applyFont="1"/>
    <xf numFmtId="1" fontId="11" fillId="64" borderId="32" xfId="1" applyNumberFormat="1" applyFont="1" applyFill="1" applyBorder="1" applyAlignment="1">
      <alignment horizontal="center"/>
    </xf>
    <xf numFmtId="43" fontId="14" fillId="0" borderId="0" xfId="1" applyFont="1"/>
    <xf numFmtId="2" fontId="11" fillId="65" borderId="62" xfId="1526" applyNumberFormat="1" applyFont="1" applyFill="1" applyBorder="1" applyAlignment="1">
      <alignment horizontal="center"/>
    </xf>
    <xf numFmtId="43" fontId="35" fillId="0" borderId="0" xfId="1654" applyNumberFormat="1" applyFill="1"/>
    <xf numFmtId="2" fontId="11" fillId="64" borderId="62" xfId="1526" applyNumberFormat="1" applyFont="1" applyFill="1" applyBorder="1" applyAlignment="1">
      <alignment horizontal="center"/>
    </xf>
    <xf numFmtId="0" fontId="78" fillId="68" borderId="30" xfId="1655" applyFont="1" applyFill="1" applyBorder="1" applyAlignment="1">
      <alignment horizontal="center" vertical="center" wrapText="1"/>
    </xf>
    <xf numFmtId="0" fontId="78" fillId="68" borderId="28" xfId="1655" applyFont="1" applyFill="1" applyBorder="1" applyAlignment="1">
      <alignment horizontal="center" vertical="center" wrapText="1"/>
    </xf>
    <xf numFmtId="0" fontId="78" fillId="68" borderId="27" xfId="1655" applyFont="1" applyFill="1" applyBorder="1" applyAlignment="1">
      <alignment horizontal="center" vertical="center" wrapText="1"/>
    </xf>
    <xf numFmtId="0" fontId="78" fillId="68" borderId="29" xfId="1655" applyFont="1" applyFill="1" applyBorder="1" applyAlignment="1">
      <alignment horizontal="center" vertical="center" wrapText="1"/>
    </xf>
    <xf numFmtId="0" fontId="84" fillId="67" borderId="49" xfId="1655" applyFont="1" applyFill="1" applyBorder="1" applyAlignment="1">
      <alignment vertical="center" wrapText="1"/>
    </xf>
    <xf numFmtId="37" fontId="11" fillId="4" borderId="37" xfId="0" applyNumberFormat="1" applyFont="1" applyFill="1" applyBorder="1" applyAlignment="1">
      <alignment horizontal="center"/>
    </xf>
    <xf numFmtId="37" fontId="11" fillId="0" borderId="37" xfId="0" applyNumberFormat="1" applyFont="1" applyBorder="1" applyAlignment="1">
      <alignment horizontal="center"/>
    </xf>
    <xf numFmtId="0" fontId="0" fillId="0" borderId="0" xfId="0" applyAlignment="1">
      <alignment wrapText="1"/>
    </xf>
    <xf numFmtId="0" fontId="13" fillId="0" borderId="0" xfId="0" applyFont="1" applyAlignment="1">
      <alignment horizontal="center" wrapText="1"/>
    </xf>
    <xf numFmtId="3" fontId="13" fillId="3" borderId="0" xfId="0" applyNumberFormat="1" applyFont="1" applyFill="1" applyAlignment="1">
      <alignment horizontal="center" wrapText="1"/>
    </xf>
    <xf numFmtId="1" fontId="0" fillId="0" borderId="37" xfId="0" applyNumberFormat="1" applyBorder="1" applyAlignment="1">
      <alignment horizontal="center"/>
    </xf>
    <xf numFmtId="3" fontId="0" fillId="66" borderId="37" xfId="0" applyNumberFormat="1" applyFill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0" fillId="72" borderId="0" xfId="0" applyFill="1" applyAlignment="1">
      <alignment horizontal="center"/>
    </xf>
    <xf numFmtId="167" fontId="0" fillId="3" borderId="0" xfId="0" applyNumberFormat="1" applyFill="1" applyAlignment="1">
      <alignment horizontal="center"/>
    </xf>
    <xf numFmtId="3" fontId="11" fillId="0" borderId="0" xfId="0" applyNumberFormat="1" applyFont="1" applyAlignment="1">
      <alignment horizontal="left"/>
    </xf>
    <xf numFmtId="0" fontId="14" fillId="4" borderId="0" xfId="0" applyFont="1" applyFill="1" applyAlignment="1">
      <alignment horizontal="right"/>
    </xf>
    <xf numFmtId="3" fontId="14" fillId="4" borderId="0" xfId="0" applyNumberFormat="1" applyFont="1" applyFill="1"/>
    <xf numFmtId="0" fontId="13" fillId="0" borderId="37" xfId="0" applyFont="1" applyBorder="1" applyAlignment="1">
      <alignment horizontal="center" vertical="center" wrapText="1"/>
    </xf>
    <xf numFmtId="2" fontId="0" fillId="0" borderId="37" xfId="0" applyNumberFormat="1" applyBorder="1" applyAlignment="1">
      <alignment horizontal="center"/>
    </xf>
    <xf numFmtId="2" fontId="0" fillId="4" borderId="37" xfId="0" applyNumberFormat="1" applyFill="1" applyBorder="1" applyAlignment="1">
      <alignment horizontal="center"/>
    </xf>
    <xf numFmtId="37" fontId="12" fillId="4" borderId="1" xfId="0" applyNumberFormat="1" applyFont="1" applyFill="1" applyBorder="1" applyAlignment="1">
      <alignment horizontal="center"/>
    </xf>
    <xf numFmtId="0" fontId="14" fillId="0" borderId="0" xfId="0" applyFont="1" applyAlignment="1">
      <alignment horizontal="center"/>
    </xf>
    <xf numFmtId="3" fontId="0" fillId="4" borderId="1" xfId="0" applyNumberFormat="1" applyFill="1" applyBorder="1" applyAlignment="1">
      <alignment horizontal="center"/>
    </xf>
    <xf numFmtId="188" fontId="0" fillId="0" borderId="0" xfId="0" applyNumberFormat="1" applyAlignment="1">
      <alignment horizontal="center"/>
    </xf>
    <xf numFmtId="0" fontId="14" fillId="63" borderId="44" xfId="75" applyFont="1" applyFill="1" applyBorder="1" applyAlignment="1">
      <alignment horizontal="left" vertical="center" wrapText="1"/>
    </xf>
    <xf numFmtId="3" fontId="14" fillId="63" borderId="44" xfId="75" applyNumberFormat="1" applyFont="1" applyFill="1" applyBorder="1" applyAlignment="1">
      <alignment horizontal="center" vertical="center" wrapText="1"/>
    </xf>
    <xf numFmtId="0" fontId="11" fillId="63" borderId="4" xfId="75" applyFill="1" applyBorder="1" applyAlignment="1">
      <alignment horizontal="left" vertical="center"/>
    </xf>
    <xf numFmtId="174" fontId="11" fillId="63" borderId="4" xfId="1532" applyNumberFormat="1" applyFill="1" applyBorder="1" applyAlignment="1">
      <alignment horizontal="center" vertical="center"/>
    </xf>
    <xf numFmtId="0" fontId="14" fillId="63" borderId="62" xfId="75" applyFont="1" applyFill="1" applyBorder="1" applyAlignment="1">
      <alignment wrapText="1"/>
    </xf>
    <xf numFmtId="0" fontId="14" fillId="63" borderId="63" xfId="75" applyFont="1" applyFill="1" applyBorder="1" applyAlignment="1">
      <alignment wrapText="1"/>
    </xf>
    <xf numFmtId="0" fontId="11" fillId="63" borderId="44" xfId="75" applyFill="1" applyBorder="1" applyAlignment="1">
      <alignment horizontal="left" vertical="center"/>
    </xf>
    <xf numFmtId="174" fontId="11" fillId="63" borderId="44" xfId="1532" applyNumberFormat="1" applyFill="1" applyBorder="1" applyAlignment="1">
      <alignment horizontal="center" vertical="center"/>
    </xf>
    <xf numFmtId="0" fontId="14" fillId="63" borderId="67" xfId="75" applyFont="1" applyFill="1" applyBorder="1" applyAlignment="1">
      <alignment horizontal="left"/>
    </xf>
    <xf numFmtId="0" fontId="14" fillId="63" borderId="67" xfId="75" applyFont="1" applyFill="1" applyBorder="1"/>
    <xf numFmtId="0" fontId="11" fillId="63" borderId="67" xfId="75" applyFill="1" applyBorder="1" applyAlignment="1">
      <alignment horizontal="left" wrapText="1"/>
    </xf>
    <xf numFmtId="0" fontId="11" fillId="63" borderId="62" xfId="75" applyFill="1" applyBorder="1" applyAlignment="1">
      <alignment horizontal="left" wrapText="1"/>
    </xf>
    <xf numFmtId="0" fontId="11" fillId="63" borderId="63" xfId="75" applyFill="1" applyBorder="1" applyAlignment="1">
      <alignment horizontal="left" wrapText="1"/>
    </xf>
    <xf numFmtId="0" fontId="14" fillId="63" borderId="67" xfId="75" applyFont="1" applyFill="1" applyBorder="1" applyAlignment="1">
      <alignment vertical="center"/>
    </xf>
    <xf numFmtId="0" fontId="14" fillId="63" borderId="63" xfId="75" applyFont="1" applyFill="1" applyBorder="1" applyAlignment="1">
      <alignment vertical="center"/>
    </xf>
    <xf numFmtId="0" fontId="14" fillId="0" borderId="31" xfId="75" applyFont="1" applyBorder="1" applyAlignment="1">
      <alignment vertical="center" wrapText="1"/>
    </xf>
    <xf numFmtId="0" fontId="11" fillId="63" borderId="67" xfId="75" applyFill="1" applyBorder="1" applyAlignment="1">
      <alignment vertical="center"/>
    </xf>
    <xf numFmtId="171" fontId="11" fillId="63" borderId="63" xfId="2" applyNumberFormat="1" applyFont="1" applyFill="1" applyBorder="1" applyAlignment="1">
      <alignment horizontal="center" vertical="center"/>
    </xf>
    <xf numFmtId="170" fontId="11" fillId="0" borderId="0" xfId="1532" applyNumberFormat="1" applyAlignment="1">
      <alignment horizontal="center" vertical="center"/>
    </xf>
    <xf numFmtId="37" fontId="11" fillId="0" borderId="37" xfId="0" applyNumberFormat="1" applyFont="1" applyBorder="1" applyAlignment="1">
      <alignment horizontal="center" vertical="center"/>
    </xf>
    <xf numFmtId="3" fontId="11" fillId="0" borderId="37" xfId="0" applyNumberFormat="1" applyFont="1" applyBorder="1" applyAlignment="1">
      <alignment horizontal="center" vertical="center"/>
    </xf>
    <xf numFmtId="167" fontId="14" fillId="63" borderId="4" xfId="2" applyNumberFormat="1" applyFont="1" applyFill="1" applyBorder="1"/>
    <xf numFmtId="172" fontId="14" fillId="63" borderId="4" xfId="1" applyNumberFormat="1" applyFont="1" applyFill="1" applyBorder="1"/>
    <xf numFmtId="187" fontId="11" fillId="0" borderId="67" xfId="1689" applyNumberFormat="1" applyFont="1" applyFill="1" applyBorder="1" applyProtection="1">
      <protection locked="0"/>
    </xf>
    <xf numFmtId="0" fontId="13" fillId="0" borderId="62" xfId="0" applyFont="1" applyBorder="1" applyAlignment="1">
      <alignment horizontal="center" vertical="center" wrapText="1"/>
    </xf>
    <xf numFmtId="0" fontId="13" fillId="0" borderId="49" xfId="0" applyFont="1" applyBorder="1" applyAlignment="1">
      <alignment horizontal="center" vertical="center" wrapText="1"/>
    </xf>
    <xf numFmtId="0" fontId="13" fillId="0" borderId="67" xfId="0" applyFont="1" applyBorder="1" applyAlignment="1">
      <alignment horizontal="center" vertical="center" wrapText="1"/>
    </xf>
    <xf numFmtId="37" fontId="11" fillId="0" borderId="0" xfId="0" applyNumberFormat="1" applyFont="1" applyAlignment="1">
      <alignment horizontal="center"/>
    </xf>
    <xf numFmtId="37" fontId="0" fillId="0" borderId="0" xfId="0" applyNumberFormat="1"/>
    <xf numFmtId="169" fontId="0" fillId="0" borderId="0" xfId="0" applyNumberFormat="1"/>
    <xf numFmtId="189" fontId="11" fillId="63" borderId="44" xfId="1" applyNumberFormat="1" applyFill="1" applyBorder="1"/>
    <xf numFmtId="0" fontId="14" fillId="63" borderId="49" xfId="75" applyFont="1" applyFill="1" applyBorder="1" applyAlignment="1">
      <alignment horizontal="left" vertical="center" wrapText="1"/>
    </xf>
    <xf numFmtId="0" fontId="14" fillId="63" borderId="49" xfId="75" applyFont="1" applyFill="1" applyBorder="1" applyAlignment="1">
      <alignment horizontal="center" vertical="center" wrapText="1"/>
    </xf>
    <xf numFmtId="0" fontId="11" fillId="63" borderId="49" xfId="75" applyFill="1" applyBorder="1" applyAlignment="1">
      <alignment horizontal="center"/>
    </xf>
    <xf numFmtId="3" fontId="11" fillId="0" borderId="49" xfId="1532" applyNumberFormat="1" applyBorder="1" applyAlignment="1">
      <alignment horizontal="center" vertical="center"/>
    </xf>
    <xf numFmtId="0" fontId="11" fillId="63" borderId="49" xfId="75" applyFill="1" applyBorder="1" applyAlignment="1">
      <alignment horizontal="left" vertical="center"/>
    </xf>
    <xf numFmtId="3" fontId="11" fillId="63" borderId="49" xfId="1532" applyNumberFormat="1" applyFill="1" applyBorder="1" applyAlignment="1">
      <alignment horizontal="center" vertical="center"/>
    </xf>
    <xf numFmtId="0" fontId="11" fillId="63" borderId="49" xfId="75" applyFill="1" applyBorder="1" applyAlignment="1">
      <alignment horizontal="left" vertical="center" wrapText="1"/>
    </xf>
    <xf numFmtId="3" fontId="11" fillId="63" borderId="49" xfId="75" applyNumberFormat="1" applyFill="1" applyBorder="1" applyAlignment="1">
      <alignment horizontal="center" vertical="center"/>
    </xf>
    <xf numFmtId="0" fontId="14" fillId="63" borderId="38" xfId="75" applyFont="1" applyFill="1" applyBorder="1" applyAlignment="1">
      <alignment vertical="center"/>
    </xf>
    <xf numFmtId="0" fontId="14" fillId="63" borderId="39" xfId="75" applyFont="1" applyFill="1" applyBorder="1" applyAlignment="1">
      <alignment vertical="center"/>
    </xf>
    <xf numFmtId="0" fontId="14" fillId="63" borderId="40" xfId="75" applyFont="1" applyFill="1" applyBorder="1" applyAlignment="1">
      <alignment vertical="center"/>
    </xf>
    <xf numFmtId="0" fontId="14" fillId="69" borderId="0" xfId="736" applyFont="1" applyFill="1" applyAlignment="1">
      <alignment horizontal="center"/>
    </xf>
    <xf numFmtId="1" fontId="11" fillId="63" borderId="0" xfId="736" applyNumberFormat="1" applyFont="1" applyFill="1" applyAlignment="1">
      <alignment horizontal="center"/>
    </xf>
    <xf numFmtId="0" fontId="0" fillId="0" borderId="2" xfId="0" applyBorder="1"/>
    <xf numFmtId="37" fontId="11" fillId="63" borderId="37" xfId="0" applyNumberFormat="1" applyFont="1" applyFill="1" applyBorder="1" applyAlignment="1">
      <alignment horizontal="center"/>
    </xf>
    <xf numFmtId="172" fontId="11" fillId="64" borderId="32" xfId="1652" applyNumberFormat="1" applyFont="1" applyFill="1" applyBorder="1" applyAlignment="1">
      <alignment horizontal="center"/>
    </xf>
    <xf numFmtId="172" fontId="11" fillId="65" borderId="32" xfId="1652" applyNumberFormat="1" applyFont="1" applyFill="1" applyBorder="1" applyAlignment="1">
      <alignment horizontal="center"/>
    </xf>
    <xf numFmtId="0" fontId="0" fillId="0" borderId="62" xfId="0" applyBorder="1"/>
    <xf numFmtId="0" fontId="0" fillId="0" borderId="70" xfId="0" applyBorder="1"/>
    <xf numFmtId="0" fontId="11" fillId="65" borderId="62" xfId="1526" applyFont="1" applyFill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6" fillId="0" borderId="3" xfId="0" applyFont="1" applyBorder="1" applyAlignment="1">
      <alignment horizontal="centerContinuous"/>
    </xf>
    <xf numFmtId="167" fontId="0" fillId="0" borderId="0" xfId="2" applyNumberFormat="1" applyFont="1" applyFill="1" applyBorder="1" applyAlignment="1"/>
    <xf numFmtId="43" fontId="0" fillId="0" borderId="0" xfId="1" applyFont="1" applyAlignment="1">
      <alignment horizontal="center"/>
    </xf>
    <xf numFmtId="2" fontId="0" fillId="0" borderId="0" xfId="0" applyNumberFormat="1"/>
    <xf numFmtId="0" fontId="14" fillId="70" borderId="52" xfId="620" applyFont="1" applyFill="1" applyBorder="1" applyAlignment="1">
      <alignment horizontal="center" vertical="center"/>
    </xf>
    <xf numFmtId="0" fontId="14" fillId="70" borderId="32" xfId="620" applyFont="1" applyFill="1" applyBorder="1" applyAlignment="1">
      <alignment horizontal="center" vertical="center"/>
    </xf>
    <xf numFmtId="0" fontId="14" fillId="70" borderId="51" xfId="620" applyFont="1" applyFill="1" applyBorder="1" applyAlignment="1">
      <alignment horizontal="center" vertical="center"/>
    </xf>
    <xf numFmtId="0" fontId="14" fillId="70" borderId="37" xfId="620" applyFont="1" applyFill="1" applyBorder="1" applyAlignment="1">
      <alignment horizontal="center" vertical="center"/>
    </xf>
    <xf numFmtId="0" fontId="14" fillId="70" borderId="51" xfId="620" applyFont="1" applyFill="1" applyBorder="1" applyAlignment="1">
      <alignment horizontal="center" vertical="center" wrapText="1"/>
    </xf>
    <xf numFmtId="0" fontId="14" fillId="70" borderId="57" xfId="620" applyFont="1" applyFill="1" applyBorder="1" applyAlignment="1">
      <alignment horizontal="center" vertical="center" wrapText="1"/>
    </xf>
    <xf numFmtId="0" fontId="14" fillId="0" borderId="42" xfId="4" applyFont="1" applyBorder="1" applyAlignment="1">
      <alignment horizontal="left" vertical="center"/>
    </xf>
    <xf numFmtId="0" fontId="14" fillId="0" borderId="31" xfId="4" applyFont="1" applyBorder="1" applyAlignment="1">
      <alignment horizontal="left" vertical="center"/>
    </xf>
    <xf numFmtId="0" fontId="14" fillId="63" borderId="49" xfId="4" applyFont="1" applyFill="1" applyBorder="1" applyAlignment="1">
      <alignment horizontal="left" vertical="center"/>
    </xf>
    <xf numFmtId="0" fontId="14" fillId="0" borderId="67" xfId="75" applyFont="1" applyBorder="1" applyAlignment="1">
      <alignment horizontal="left" vertical="center"/>
    </xf>
    <xf numFmtId="0" fontId="14" fillId="0" borderId="62" xfId="75" applyFont="1" applyBorder="1" applyAlignment="1">
      <alignment horizontal="left" vertical="center"/>
    </xf>
    <xf numFmtId="0" fontId="14" fillId="63" borderId="67" xfId="75" applyFont="1" applyFill="1" applyBorder="1" applyAlignment="1">
      <alignment horizontal="left" vertical="center"/>
    </xf>
    <xf numFmtId="0" fontId="14" fillId="63" borderId="62" xfId="75" applyFont="1" applyFill="1" applyBorder="1" applyAlignment="1">
      <alignment horizontal="left" vertical="center"/>
    </xf>
    <xf numFmtId="0" fontId="14" fillId="63" borderId="63" xfId="75" applyFont="1" applyFill="1" applyBorder="1" applyAlignment="1">
      <alignment horizontal="left" vertical="center"/>
    </xf>
    <xf numFmtId="0" fontId="14" fillId="63" borderId="49" xfId="75" applyFont="1" applyFill="1" applyBorder="1" applyAlignment="1">
      <alignment horizontal="left" vertical="center"/>
    </xf>
    <xf numFmtId="0" fontId="14" fillId="63" borderId="38" xfId="75" applyFont="1" applyFill="1" applyBorder="1" applyAlignment="1">
      <alignment horizontal="left" vertical="center"/>
    </xf>
    <xf numFmtId="0" fontId="14" fillId="63" borderId="39" xfId="75" applyFont="1" applyFill="1" applyBorder="1" applyAlignment="1">
      <alignment horizontal="left" vertical="center"/>
    </xf>
    <xf numFmtId="0" fontId="14" fillId="63" borderId="40" xfId="75" applyFont="1" applyFill="1" applyBorder="1" applyAlignment="1">
      <alignment horizontal="left" vertical="center"/>
    </xf>
    <xf numFmtId="0" fontId="14" fillId="63" borderId="31" xfId="75" applyFont="1" applyFill="1" applyBorder="1" applyAlignment="1">
      <alignment horizontal="left" vertical="center"/>
    </xf>
    <xf numFmtId="0" fontId="14" fillId="63" borderId="37" xfId="75" applyFont="1" applyFill="1" applyBorder="1" applyAlignment="1">
      <alignment horizontal="left" vertical="center"/>
    </xf>
    <xf numFmtId="0" fontId="14" fillId="63" borderId="67" xfId="4" applyFont="1" applyFill="1" applyBorder="1" applyAlignment="1">
      <alignment horizontal="left" vertical="center"/>
    </xf>
    <xf numFmtId="0" fontId="14" fillId="63" borderId="62" xfId="4" applyFont="1" applyFill="1" applyBorder="1" applyAlignment="1">
      <alignment horizontal="left" vertical="center"/>
    </xf>
    <xf numFmtId="0" fontId="14" fillId="0" borderId="31" xfId="75" applyFont="1" applyBorder="1" applyAlignment="1">
      <alignment horizontal="left" vertical="center"/>
    </xf>
    <xf numFmtId="0" fontId="14" fillId="0" borderId="31" xfId="75" applyFont="1" applyBorder="1" applyAlignment="1">
      <alignment horizontal="left"/>
    </xf>
    <xf numFmtId="0" fontId="11" fillId="63" borderId="49" xfId="75" applyFill="1" applyBorder="1" applyAlignment="1">
      <alignment horizontal="center"/>
    </xf>
    <xf numFmtId="0" fontId="11" fillId="63" borderId="49" xfId="75" applyFill="1" applyBorder="1" applyAlignment="1">
      <alignment horizontal="left"/>
    </xf>
    <xf numFmtId="0" fontId="87" fillId="63" borderId="49" xfId="4" applyFont="1" applyFill="1" applyBorder="1" applyAlignment="1">
      <alignment horizontal="left" vertical="center"/>
    </xf>
    <xf numFmtId="0" fontId="14" fillId="0" borderId="42" xfId="75" applyFont="1" applyBorder="1" applyAlignment="1">
      <alignment horizontal="left" vertical="center"/>
    </xf>
    <xf numFmtId="0" fontId="78" fillId="68" borderId="65" xfId="1655" applyFont="1" applyFill="1" applyBorder="1" applyAlignment="1">
      <alignment horizontal="center" vertical="center" wrapText="1"/>
    </xf>
    <xf numFmtId="0" fontId="78" fillId="68" borderId="62" xfId="1655" applyFont="1" applyFill="1" applyBorder="1" applyAlignment="1">
      <alignment horizontal="center" vertical="center" wrapText="1"/>
    </xf>
    <xf numFmtId="0" fontId="78" fillId="68" borderId="64" xfId="1655" applyFont="1" applyFill="1" applyBorder="1" applyAlignment="1">
      <alignment horizontal="center" vertical="center" wrapText="1"/>
    </xf>
    <xf numFmtId="0" fontId="78" fillId="68" borderId="62" xfId="1655" applyFont="1" applyFill="1" applyBorder="1" applyAlignment="1">
      <alignment horizontal="center" vertical="center"/>
    </xf>
    <xf numFmtId="0" fontId="78" fillId="68" borderId="64" xfId="1655" applyFont="1" applyFill="1" applyBorder="1" applyAlignment="1">
      <alignment horizontal="center" vertical="center"/>
    </xf>
    <xf numFmtId="0" fontId="84" fillId="67" borderId="67" xfId="1655" applyFont="1" applyFill="1" applyBorder="1" applyAlignment="1">
      <alignment horizontal="center" vertical="center" wrapText="1"/>
    </xf>
    <xf numFmtId="0" fontId="84" fillId="67" borderId="62" xfId="1655" applyFont="1" applyFill="1" applyBorder="1" applyAlignment="1">
      <alignment horizontal="center" vertical="center" wrapText="1"/>
    </xf>
    <xf numFmtId="0" fontId="84" fillId="67" borderId="63" xfId="1655" applyFont="1" applyFill="1" applyBorder="1" applyAlignment="1">
      <alignment horizontal="center" vertical="center" wrapText="1"/>
    </xf>
    <xf numFmtId="0" fontId="84" fillId="67" borderId="49" xfId="1655" applyFont="1" applyFill="1" applyBorder="1" applyAlignment="1">
      <alignment horizontal="center" vertical="center" wrapText="1"/>
    </xf>
    <xf numFmtId="0" fontId="78" fillId="68" borderId="31" xfId="1655" applyFont="1" applyFill="1" applyBorder="1" applyAlignment="1">
      <alignment horizontal="center" vertical="center" wrapText="1"/>
    </xf>
    <xf numFmtId="0" fontId="78" fillId="68" borderId="35" xfId="1655" applyFont="1" applyFill="1" applyBorder="1" applyAlignment="1">
      <alignment horizontal="center" vertical="center" wrapText="1"/>
    </xf>
    <xf numFmtId="0" fontId="78" fillId="68" borderId="36" xfId="1655" applyFont="1" applyFill="1" applyBorder="1" applyAlignment="1">
      <alignment horizontal="center" vertical="center" wrapText="1"/>
    </xf>
    <xf numFmtId="0" fontId="78" fillId="68" borderId="66" xfId="1655" applyFont="1" applyFill="1" applyBorder="1" applyAlignment="1">
      <alignment horizontal="center" vertical="center" wrapText="1"/>
    </xf>
    <xf numFmtId="0" fontId="78" fillId="68" borderId="55" xfId="1655" applyFont="1" applyFill="1" applyBorder="1" applyAlignment="1">
      <alignment horizontal="center" vertical="center" wrapText="1"/>
    </xf>
    <xf numFmtId="0" fontId="0" fillId="39" borderId="0" xfId="0" applyFill="1" applyAlignment="1">
      <alignment horizontal="center"/>
    </xf>
    <xf numFmtId="3" fontId="11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83" fillId="0" borderId="0" xfId="0" applyFont="1" applyAlignment="1">
      <alignment horizontal="center"/>
    </xf>
  </cellXfs>
  <cellStyles count="1721">
    <cellStyle name="$" xfId="14" xr:uid="{00000000-0005-0000-0000-000000000000}"/>
    <cellStyle name="$.00" xfId="15" xr:uid="{00000000-0005-0000-0000-000001000000}"/>
    <cellStyle name="$_9. Rev2Cost_GDPIPI" xfId="16" xr:uid="{00000000-0005-0000-0000-000002000000}"/>
    <cellStyle name="$_lists" xfId="17" xr:uid="{00000000-0005-0000-0000-000003000000}"/>
    <cellStyle name="$_lists_4. Current Monthly Fixed Charge" xfId="18" xr:uid="{00000000-0005-0000-0000-000004000000}"/>
    <cellStyle name="$_Sheet4" xfId="19" xr:uid="{00000000-0005-0000-0000-000005000000}"/>
    <cellStyle name="$M" xfId="20" xr:uid="{00000000-0005-0000-0000-000006000000}"/>
    <cellStyle name="$M.00" xfId="21" xr:uid="{00000000-0005-0000-0000-000007000000}"/>
    <cellStyle name="$M_9. Rev2Cost_GDPIPI" xfId="22" xr:uid="{00000000-0005-0000-0000-000008000000}"/>
    <cellStyle name="20% - Accent1 10" xfId="104" xr:uid="{3FA1FFCA-BE3F-41A7-8993-95B3F773BA7C}"/>
    <cellStyle name="20% - Accent1 11" xfId="105" xr:uid="{5649297F-154B-4C02-A181-973285B19D7D}"/>
    <cellStyle name="20% - Accent1 12" xfId="106" xr:uid="{E383FC1D-9847-4DFF-966B-4A3C321502F6}"/>
    <cellStyle name="20% - Accent1 13" xfId="107" xr:uid="{1217E4AB-7DED-403D-A5CC-F233870FFAD1}"/>
    <cellStyle name="20% - Accent1 14" xfId="108" xr:uid="{94913466-AC2B-4CA2-A0C2-791B5ABBC469}"/>
    <cellStyle name="20% - Accent1 15" xfId="109" xr:uid="{8AB6D119-F782-40E6-9646-B552CB37096B}"/>
    <cellStyle name="20% - Accent1 16" xfId="769" xr:uid="{45FBF829-0047-4ADB-BC05-C028DF6644DA}"/>
    <cellStyle name="20% - Accent1 2" xfId="23" xr:uid="{00000000-0005-0000-0000-000009000000}"/>
    <cellStyle name="20% - Accent1 2 2" xfId="815" xr:uid="{1EAF84D8-4755-4733-849D-1BFF4F73BD94}"/>
    <cellStyle name="20% - Accent1 2 2 2" xfId="1587" xr:uid="{7089DDAD-30FE-43D1-A6B6-6696F1921C22}"/>
    <cellStyle name="20% - Accent1 2 3" xfId="110" xr:uid="{4A647E3F-96F3-4D22-89D1-F5D064BBDC62}"/>
    <cellStyle name="20% - Accent1 2 3 2" xfId="1620" xr:uid="{54F2DDC7-871E-4AAE-A9C8-03C7FEFF7255}"/>
    <cellStyle name="20% - Accent1 2 4" xfId="1551" xr:uid="{6498D3B7-D895-4F43-ACAE-CBC25968B0C0}"/>
    <cellStyle name="20% - Accent1 2 5" xfId="1661" xr:uid="{30B37C2D-ACB9-465F-B55E-45B89DA94E19}"/>
    <cellStyle name="20% - Accent1 2 6" xfId="1694" xr:uid="{A54A5C3F-0C3B-43E3-86E0-47F7E7A58E51}"/>
    <cellStyle name="20% - Accent1 3" xfId="111" xr:uid="{BBBC7D0B-BD48-4D03-AA8A-2C01413CC7B2}"/>
    <cellStyle name="20% - Accent1 4" xfId="112" xr:uid="{967EE2E3-4945-4801-8E05-BC4B5DE50086}"/>
    <cellStyle name="20% - Accent1 5" xfId="113" xr:uid="{7E251424-5435-4D56-B08E-62A05FE87F7E}"/>
    <cellStyle name="20% - Accent1 6" xfId="114" xr:uid="{376DAE87-F0AA-4C7C-9983-5B8780A7A441}"/>
    <cellStyle name="20% - Accent1 7" xfId="115" xr:uid="{443E02D2-0543-42C4-875F-F2E9B3167F6C}"/>
    <cellStyle name="20% - Accent1 8" xfId="116" xr:uid="{E2A56F3A-271E-4A07-8608-251A3D42C601}"/>
    <cellStyle name="20% - Accent1 9" xfId="117" xr:uid="{2CB79A3F-4E62-4EAE-9F90-44BF93F1D182}"/>
    <cellStyle name="20% - Accent2 10" xfId="118" xr:uid="{6C190751-8BFA-4BAD-AFD5-DC099043E3FC}"/>
    <cellStyle name="20% - Accent2 11" xfId="119" xr:uid="{A10CC3DB-1218-4CDC-9E9D-72567D40C1B9}"/>
    <cellStyle name="20% - Accent2 12" xfId="120" xr:uid="{1EB12AEB-951A-4D60-87C9-8A7E59E24A01}"/>
    <cellStyle name="20% - Accent2 13" xfId="121" xr:uid="{473F8E8B-6183-4F6C-B892-4BD1091F10E0}"/>
    <cellStyle name="20% - Accent2 14" xfId="122" xr:uid="{13696E75-2D2C-4621-955F-23F7900D4AAA}"/>
    <cellStyle name="20% - Accent2 15" xfId="123" xr:uid="{F0E2D41A-B837-46EC-BBEA-2CAE487D301E}"/>
    <cellStyle name="20% - Accent2 16" xfId="770" xr:uid="{D6013404-A408-4AAB-80F1-09258BC9B437}"/>
    <cellStyle name="20% - Accent2 2" xfId="24" xr:uid="{00000000-0005-0000-0000-00000A000000}"/>
    <cellStyle name="20% - Accent2 2 2" xfId="819" xr:uid="{88E9716D-ED26-4B0C-B13D-E8B8E843EB65}"/>
    <cellStyle name="20% - Accent2 2 2 2" xfId="1589" xr:uid="{A07D000B-63F8-4381-8F55-D2158DEAC585}"/>
    <cellStyle name="20% - Accent2 2 3" xfId="124" xr:uid="{9A2CCDBD-6CEB-439D-8ED1-7C033D7D4909}"/>
    <cellStyle name="20% - Accent2 2 3 2" xfId="1622" xr:uid="{76DE2459-9BEA-46E7-BF77-DBCF127487BC}"/>
    <cellStyle name="20% - Accent2 2 4" xfId="1553" xr:uid="{E01A7A15-6DB9-43B1-8D8A-36D88C34E8CA}"/>
    <cellStyle name="20% - Accent2 2 5" xfId="1662" xr:uid="{D4A52884-DE77-4D85-B00E-4FBF8A086466}"/>
    <cellStyle name="20% - Accent2 2 6" xfId="1695" xr:uid="{44060555-C4FC-4EA2-BE8E-77F64875C032}"/>
    <cellStyle name="20% - Accent2 3" xfId="125" xr:uid="{55000463-8A6F-4E5F-895F-1D6836E3F798}"/>
    <cellStyle name="20% - Accent2 4" xfId="126" xr:uid="{AF859086-CC51-40A1-9C3C-6366AA79F1FF}"/>
    <cellStyle name="20% - Accent2 5" xfId="127" xr:uid="{832429B3-E619-4DDA-B4A3-64363250CB45}"/>
    <cellStyle name="20% - Accent2 6" xfId="128" xr:uid="{B89B8E96-1DD4-4C95-A573-00A44AE3E0E0}"/>
    <cellStyle name="20% - Accent2 7" xfId="129" xr:uid="{7EE69995-BB3B-41D4-8136-EBAEC511BB7C}"/>
    <cellStyle name="20% - Accent2 8" xfId="130" xr:uid="{2725C661-C278-4344-B0A1-619B40DB1CEF}"/>
    <cellStyle name="20% - Accent2 9" xfId="131" xr:uid="{48AAB1AD-A964-4460-92AD-A040CBF8F10D}"/>
    <cellStyle name="20% - Accent3 10" xfId="132" xr:uid="{7ACE94B7-11FE-4305-941E-C0B5D6C40E5D}"/>
    <cellStyle name="20% - Accent3 11" xfId="133" xr:uid="{238C467B-9463-4905-866D-FE45FF0EE60B}"/>
    <cellStyle name="20% - Accent3 12" xfId="134" xr:uid="{442C9A86-B726-436B-A8EE-CBE9AFDBF4D7}"/>
    <cellStyle name="20% - Accent3 13" xfId="135" xr:uid="{2CD00547-C846-4ECE-B078-3A0B79C7A7F7}"/>
    <cellStyle name="20% - Accent3 14" xfId="136" xr:uid="{223898B6-3510-4569-AEE2-C0DBD9EC9E21}"/>
    <cellStyle name="20% - Accent3 15" xfId="137" xr:uid="{ECFD3754-2839-443F-93D6-2988AB81F926}"/>
    <cellStyle name="20% - Accent3 16" xfId="771" xr:uid="{12D4EFAA-CEF6-43E3-AECD-3B0EF030DC19}"/>
    <cellStyle name="20% - Accent3 2" xfId="25" xr:uid="{00000000-0005-0000-0000-00000B000000}"/>
    <cellStyle name="20% - Accent3 2 2" xfId="823" xr:uid="{BC8980A8-10CB-4C9B-80DC-B668AC15844F}"/>
    <cellStyle name="20% - Accent3 2 2 2" xfId="1591" xr:uid="{08C4068D-4012-4C4F-A4FE-0129FE1B9182}"/>
    <cellStyle name="20% - Accent3 2 3" xfId="138" xr:uid="{0A9F25B4-70CA-4082-AB6C-473346FA893F}"/>
    <cellStyle name="20% - Accent3 2 3 2" xfId="1624" xr:uid="{6D9E4497-9EB6-4B97-91BE-D818E8C0AFF1}"/>
    <cellStyle name="20% - Accent3 2 4" xfId="1555" xr:uid="{DA771738-C36E-41D2-A2E4-894437A3D247}"/>
    <cellStyle name="20% - Accent3 2 5" xfId="1663" xr:uid="{A49C0AC4-5D6C-4159-956F-5B9055A6D3B1}"/>
    <cellStyle name="20% - Accent3 2 6" xfId="1696" xr:uid="{86F74486-FF70-4939-834D-BF09F889B621}"/>
    <cellStyle name="20% - Accent3 3" xfId="139" xr:uid="{FC3BB4A7-30D5-4C60-A940-C9F97270670D}"/>
    <cellStyle name="20% - Accent3 4" xfId="140" xr:uid="{9BFF5A1D-111E-40A5-846A-74F9CC4C6F78}"/>
    <cellStyle name="20% - Accent3 5" xfId="141" xr:uid="{6ED29ED2-D5FA-4F82-8DDE-AC56B37D1B7B}"/>
    <cellStyle name="20% - Accent3 6" xfId="142" xr:uid="{2EE88B77-B4ED-4224-8F5A-1F5F717E398A}"/>
    <cellStyle name="20% - Accent3 7" xfId="143" xr:uid="{7FE3F72A-B20C-4FA5-8174-BF46E31A47FA}"/>
    <cellStyle name="20% - Accent3 8" xfId="144" xr:uid="{26BDBDB6-96C4-4DE8-8498-1D3EDB6B5361}"/>
    <cellStyle name="20% - Accent3 9" xfId="145" xr:uid="{58ACF6E2-883C-4F05-A549-358FF04DE678}"/>
    <cellStyle name="20% - Accent4 10" xfId="146" xr:uid="{91A615A8-05D8-4E89-9B9D-40BB1EBF12DF}"/>
    <cellStyle name="20% - Accent4 11" xfId="147" xr:uid="{4BF0B27D-D287-4453-B607-E298CBF863AC}"/>
    <cellStyle name="20% - Accent4 12" xfId="148" xr:uid="{7B996A7E-4836-4E27-8B5A-D813B5202EE1}"/>
    <cellStyle name="20% - Accent4 13" xfId="149" xr:uid="{37B53B62-2DCD-4744-95D8-F12FA4004CB2}"/>
    <cellStyle name="20% - Accent4 14" xfId="150" xr:uid="{E09126FA-9152-4B23-9983-B1F228217BF6}"/>
    <cellStyle name="20% - Accent4 15" xfId="151" xr:uid="{2FAAE852-EEC6-4346-A0B9-174305E14DEC}"/>
    <cellStyle name="20% - Accent4 16" xfId="772" xr:uid="{85D136F8-EEB5-44EA-BB38-A6FEF4273F13}"/>
    <cellStyle name="20% - Accent4 2" xfId="26" xr:uid="{00000000-0005-0000-0000-00000C000000}"/>
    <cellStyle name="20% - Accent4 2 2" xfId="827" xr:uid="{D06E2F48-0918-4986-B898-28978AD07AFD}"/>
    <cellStyle name="20% - Accent4 2 2 2" xfId="1593" xr:uid="{BABAB920-5CE9-4824-B9B7-8C254707DBA8}"/>
    <cellStyle name="20% - Accent4 2 3" xfId="152" xr:uid="{628FC5C7-725D-4262-97F4-6C2D4880CC12}"/>
    <cellStyle name="20% - Accent4 2 3 2" xfId="1626" xr:uid="{1F438915-B1D6-4253-A49A-73B79C77A3E6}"/>
    <cellStyle name="20% - Accent4 2 4" xfId="1557" xr:uid="{89CF9E7C-B510-4722-919E-C2D754DA4997}"/>
    <cellStyle name="20% - Accent4 2 5" xfId="1664" xr:uid="{4376C401-584A-408C-A0B2-25941F538B89}"/>
    <cellStyle name="20% - Accent4 2 6" xfId="1697" xr:uid="{7EBADE5A-AAB3-4240-9904-DF09410B625C}"/>
    <cellStyle name="20% - Accent4 3" xfId="153" xr:uid="{67E18104-DDA9-43A1-8F21-8E27D7C24A4F}"/>
    <cellStyle name="20% - Accent4 4" xfId="154" xr:uid="{53918B96-84C3-4AA2-ABA4-AFB5DA482B70}"/>
    <cellStyle name="20% - Accent4 5" xfId="155" xr:uid="{03FA5905-9E5F-405E-AEB8-80E98202F63F}"/>
    <cellStyle name="20% - Accent4 6" xfId="156" xr:uid="{34A83AA0-64AF-4F94-A503-6B66AF786291}"/>
    <cellStyle name="20% - Accent4 7" xfId="157" xr:uid="{F133B68C-37B6-4046-B43A-51FDE6B78839}"/>
    <cellStyle name="20% - Accent4 8" xfId="158" xr:uid="{C6135576-4E9B-4065-8B00-004EF1FCA6D1}"/>
    <cellStyle name="20% - Accent4 9" xfId="159" xr:uid="{40EED231-805A-4BF5-97A3-F43A32E53F31}"/>
    <cellStyle name="20% - Accent5 10" xfId="160" xr:uid="{556A4AC5-934D-4EE2-937B-B4B7DFF7734B}"/>
    <cellStyle name="20% - Accent5 11" xfId="161" xr:uid="{A6203A92-BE82-4D71-B8FB-C8951C6F6557}"/>
    <cellStyle name="20% - Accent5 12" xfId="162" xr:uid="{B3C0FFAB-84FF-4C68-A0EA-EE0C344E5FE2}"/>
    <cellStyle name="20% - Accent5 13" xfId="163" xr:uid="{3EBDDB24-F2EE-474D-B752-BE8BE3DE5A38}"/>
    <cellStyle name="20% - Accent5 14" xfId="164" xr:uid="{27F55098-EFEC-46E3-BDA7-4277FDD475BC}"/>
    <cellStyle name="20% - Accent5 15" xfId="165" xr:uid="{04EFEFEB-0B30-4830-805D-7D5774D404E0}"/>
    <cellStyle name="20% - Accent5 16" xfId="773" xr:uid="{B58B696C-1AD8-4BE3-AD63-BCF4319CEA5A}"/>
    <cellStyle name="20% - Accent5 2" xfId="27" xr:uid="{00000000-0005-0000-0000-00000D000000}"/>
    <cellStyle name="20% - Accent5 2 2" xfId="831" xr:uid="{652E9BFD-81A6-4A19-BEF1-E7BFF3FAB0F1}"/>
    <cellStyle name="20% - Accent5 2 2 2" xfId="1595" xr:uid="{4AE6DEF4-F3EC-425B-8CDA-F19E7D3532C2}"/>
    <cellStyle name="20% - Accent5 2 3" xfId="166" xr:uid="{23D49ADB-2FF4-4148-9B22-B3C738EA11E9}"/>
    <cellStyle name="20% - Accent5 2 3 2" xfId="1628" xr:uid="{BD299D98-DE77-4417-8E64-941CAEE74941}"/>
    <cellStyle name="20% - Accent5 2 4" xfId="1560" xr:uid="{7F06C8FB-B421-4555-BD2B-9E1A2A0046C0}"/>
    <cellStyle name="20% - Accent5 2 5" xfId="1665" xr:uid="{AEEE1474-224E-4C8E-9F10-2C6AF07AE8D1}"/>
    <cellStyle name="20% - Accent5 2 6" xfId="1698" xr:uid="{573B5E3C-FDFB-40DD-85F6-3507666660D7}"/>
    <cellStyle name="20% - Accent5 3" xfId="167" xr:uid="{E98098AD-5A8D-48A7-8DE0-9ADC2266105D}"/>
    <cellStyle name="20% - Accent5 4" xfId="168" xr:uid="{1C1E91C7-7042-429F-B1C5-411ACF9CBBCF}"/>
    <cellStyle name="20% - Accent5 5" xfId="169" xr:uid="{422A26CC-E4B4-4336-AA0F-8359A04D7B83}"/>
    <cellStyle name="20% - Accent5 6" xfId="170" xr:uid="{1B4D09BC-54C5-442E-ADA7-412AA2DFD1A5}"/>
    <cellStyle name="20% - Accent5 7" xfId="171" xr:uid="{B4CFA23B-E802-4FB4-AB99-BD62BDE3BEB2}"/>
    <cellStyle name="20% - Accent5 8" xfId="172" xr:uid="{5B8A6E2A-2E41-4FF2-AEC8-5756A286555C}"/>
    <cellStyle name="20% - Accent5 9" xfId="173" xr:uid="{FF94B448-1F47-4F55-9AD1-ABAD8D916933}"/>
    <cellStyle name="20% - Accent6 10" xfId="174" xr:uid="{B0B014D6-3453-46F5-B2FE-B2959DF45DFB}"/>
    <cellStyle name="20% - Accent6 11" xfId="175" xr:uid="{AC3EC00E-9E37-44DC-9918-23252D168BF2}"/>
    <cellStyle name="20% - Accent6 12" xfId="176" xr:uid="{58693F19-3FFD-4B09-A291-A5F2514A84CD}"/>
    <cellStyle name="20% - Accent6 13" xfId="177" xr:uid="{3198F183-ADFC-4503-9E1D-F891D7E566AF}"/>
    <cellStyle name="20% - Accent6 14" xfId="178" xr:uid="{B60C7443-327B-4F8E-9518-15019205241A}"/>
    <cellStyle name="20% - Accent6 15" xfId="179" xr:uid="{45E4AECC-F318-4938-BD9F-65DC08E5D592}"/>
    <cellStyle name="20% - Accent6 16" xfId="774" xr:uid="{4F2E5720-5564-4734-A561-D6DED9723019}"/>
    <cellStyle name="20% - Accent6 2" xfId="28" xr:uid="{00000000-0005-0000-0000-00000E000000}"/>
    <cellStyle name="20% - Accent6 2 2" xfId="835" xr:uid="{E1ACEB4D-35CF-439A-A936-4E9FAADC3D97}"/>
    <cellStyle name="20% - Accent6 2 2 2" xfId="1597" xr:uid="{3075ADD5-0903-4333-B0D3-9D0A3F295BD3}"/>
    <cellStyle name="20% - Accent6 2 3" xfId="180" xr:uid="{23858E14-2CB1-44A7-B23D-E19C6229B1E9}"/>
    <cellStyle name="20% - Accent6 2 3 2" xfId="1630" xr:uid="{B0CF4784-D695-4E5F-9DB8-004F80EE0D0F}"/>
    <cellStyle name="20% - Accent6 2 4" xfId="1562" xr:uid="{704C47E1-284A-4BB6-BEBE-CAAE08985FEB}"/>
    <cellStyle name="20% - Accent6 2 5" xfId="1666" xr:uid="{F51015BD-3E65-45D6-8506-B2E79048B273}"/>
    <cellStyle name="20% - Accent6 2 6" xfId="1699" xr:uid="{C11DCDAF-FA88-4A06-995B-D8B9A74C9638}"/>
    <cellStyle name="20% - Accent6 3" xfId="181" xr:uid="{C954C1DA-9CC4-4F08-ADE4-65A5EFF632AE}"/>
    <cellStyle name="20% - Accent6 4" xfId="182" xr:uid="{D27369D7-1364-455F-97A9-5A80947173E2}"/>
    <cellStyle name="20% - Accent6 5" xfId="183" xr:uid="{66135377-1C7B-48AD-BBEB-E351F4E0F924}"/>
    <cellStyle name="20% - Accent6 6" xfId="184" xr:uid="{4389F928-9B8B-4D54-BEC3-08B3FBDA9B3F}"/>
    <cellStyle name="20% - Accent6 7" xfId="185" xr:uid="{C2867C10-48D2-4372-BA82-BD0E35CB215A}"/>
    <cellStyle name="20% - Accent6 8" xfId="186" xr:uid="{D841A974-F1F2-4713-A333-1804D458F962}"/>
    <cellStyle name="20% - Accent6 9" xfId="187" xr:uid="{6025B705-C6CF-44DA-AB4D-B4DE7650F5E3}"/>
    <cellStyle name="40% - Accent1 10" xfId="188" xr:uid="{B0E83834-BEB3-4CE3-97BF-242EE57722C5}"/>
    <cellStyle name="40% - Accent1 11" xfId="189" xr:uid="{B4A2DA17-1254-4028-8D4F-31196E952D02}"/>
    <cellStyle name="40% - Accent1 12" xfId="190" xr:uid="{5A5E40CA-9493-4F17-9194-C528CF9B1274}"/>
    <cellStyle name="40% - Accent1 13" xfId="191" xr:uid="{DFBCE186-3B79-43D4-9BFB-7D3DA7941470}"/>
    <cellStyle name="40% - Accent1 14" xfId="192" xr:uid="{AD3BC8B0-7404-4C7A-AD16-9753D6A66FD7}"/>
    <cellStyle name="40% - Accent1 15" xfId="193" xr:uid="{09743533-13AB-44D0-BB58-9017799A680D}"/>
    <cellStyle name="40% - Accent1 16" xfId="775" xr:uid="{3A388316-DEF4-42F9-ABDC-31C94B0C904F}"/>
    <cellStyle name="40% - Accent1 2" xfId="29" xr:uid="{00000000-0005-0000-0000-00000F000000}"/>
    <cellStyle name="40% - Accent1 2 2" xfId="816" xr:uid="{D5E74BFD-9148-4EE4-B593-8994D85408E0}"/>
    <cellStyle name="40% - Accent1 2 2 2" xfId="1588" xr:uid="{FDFCD76F-69D7-4CCF-8E96-F74921059EAF}"/>
    <cellStyle name="40% - Accent1 2 3" xfId="194" xr:uid="{452896B4-C918-4AB8-BF14-9E16F99BDB5A}"/>
    <cellStyle name="40% - Accent1 2 3 2" xfId="1621" xr:uid="{49E61076-1FAB-43BD-BDBC-ADD837D50EEF}"/>
    <cellStyle name="40% - Accent1 2 4" xfId="1552" xr:uid="{8A17BEDC-C7CC-45C2-A6C8-08155751422E}"/>
    <cellStyle name="40% - Accent1 2 5" xfId="1667" xr:uid="{C121E862-FFE1-44C5-8D3F-78E3573CC063}"/>
    <cellStyle name="40% - Accent1 2 6" xfId="1700" xr:uid="{0A8619F4-6968-40BD-8884-2936D83A03D0}"/>
    <cellStyle name="40% - Accent1 3" xfId="195" xr:uid="{FBDA3C72-C9BF-4515-B12A-B99BEA22797E}"/>
    <cellStyle name="40% - Accent1 4" xfId="196" xr:uid="{7B5C1FE6-1EB8-4FDE-823F-5809E39BB777}"/>
    <cellStyle name="40% - Accent1 5" xfId="197" xr:uid="{EA059D40-C3A0-47F2-AA34-92AF78C5112C}"/>
    <cellStyle name="40% - Accent1 6" xfId="198" xr:uid="{18438076-76AD-4E68-A52D-25EFD9FD58CB}"/>
    <cellStyle name="40% - Accent1 7" xfId="199" xr:uid="{877D8177-7E96-445E-930E-4EAF5ACB4BC6}"/>
    <cellStyle name="40% - Accent1 8" xfId="200" xr:uid="{45082CB2-B4D3-45AF-8A37-0A1A6BBA137C}"/>
    <cellStyle name="40% - Accent1 9" xfId="201" xr:uid="{FD82306A-7FF0-4AD6-9E20-BB1960E1B9E5}"/>
    <cellStyle name="40% - Accent2 10" xfId="202" xr:uid="{DC766658-E04E-4781-9B3D-9FCA499DF540}"/>
    <cellStyle name="40% - Accent2 11" xfId="203" xr:uid="{6EE2C881-3B9E-4BFE-8D6B-74F958F42483}"/>
    <cellStyle name="40% - Accent2 12" xfId="204" xr:uid="{3A4FEACD-1098-4C34-8887-ED7EFF12A8C3}"/>
    <cellStyle name="40% - Accent2 13" xfId="205" xr:uid="{78FD4142-783D-47E9-961D-AD9F53A84A47}"/>
    <cellStyle name="40% - Accent2 14" xfId="206" xr:uid="{F3905C11-5C6E-407F-9FE4-C2BE4ED27FC1}"/>
    <cellStyle name="40% - Accent2 15" xfId="207" xr:uid="{275C7196-9270-4E11-819A-71265121EB4A}"/>
    <cellStyle name="40% - Accent2 16" xfId="776" xr:uid="{98D98272-F30D-416F-8B22-8ADB03B6A6FD}"/>
    <cellStyle name="40% - Accent2 2" xfId="30" xr:uid="{00000000-0005-0000-0000-000010000000}"/>
    <cellStyle name="40% - Accent2 2 2" xfId="820" xr:uid="{C2D10E15-E426-4108-B85B-6C7DE3C1A0B1}"/>
    <cellStyle name="40% - Accent2 2 2 2" xfId="1590" xr:uid="{188FA989-C024-4A9A-8007-A4C2294F2D65}"/>
    <cellStyle name="40% - Accent2 2 3" xfId="208" xr:uid="{AE931783-BF8A-406C-9218-F3BDF4370B32}"/>
    <cellStyle name="40% - Accent2 2 3 2" xfId="1623" xr:uid="{7432BC28-DB2D-42BF-BE7F-02BAE911AAEE}"/>
    <cellStyle name="40% - Accent2 2 4" xfId="1554" xr:uid="{D499B9C5-DE17-44A5-83B0-047E3D21F36B}"/>
    <cellStyle name="40% - Accent2 2 5" xfId="1668" xr:uid="{374F2D11-2974-4D4D-A888-32F951CA9700}"/>
    <cellStyle name="40% - Accent2 2 6" xfId="1701" xr:uid="{C2ADB080-3D3C-4B46-9DD7-935D1BA865E6}"/>
    <cellStyle name="40% - Accent2 3" xfId="209" xr:uid="{AE954E18-8794-49A9-9415-299F014F3527}"/>
    <cellStyle name="40% - Accent2 4" xfId="210" xr:uid="{19745F1D-242C-4B9C-B9F3-916AFB931858}"/>
    <cellStyle name="40% - Accent2 5" xfId="211" xr:uid="{09233828-006D-4D7D-9EDF-A94417D6147F}"/>
    <cellStyle name="40% - Accent2 6" xfId="212" xr:uid="{04B1B4C5-A88C-4470-82AA-4DF8A01568D5}"/>
    <cellStyle name="40% - Accent2 7" xfId="213" xr:uid="{231EEF1F-0300-4BE4-85CE-ABBF696D4616}"/>
    <cellStyle name="40% - Accent2 8" xfId="214" xr:uid="{4D602BFD-5C21-4733-931F-D2C7D845F201}"/>
    <cellStyle name="40% - Accent2 9" xfId="215" xr:uid="{202359F1-545B-4030-8153-D7B0A55D1230}"/>
    <cellStyle name="40% - Accent3 10" xfId="216" xr:uid="{5878F044-561C-41C6-9C91-123ABCFDB6F3}"/>
    <cellStyle name="40% - Accent3 11" xfId="217" xr:uid="{0E1C3A02-FACD-48C2-B8F2-CBEDA32FEA63}"/>
    <cellStyle name="40% - Accent3 12" xfId="218" xr:uid="{205049EA-A559-4F65-9A9F-92C97EDD3397}"/>
    <cellStyle name="40% - Accent3 13" xfId="219" xr:uid="{A076CB8B-D8B6-4B16-86C2-8BDE586D8BF9}"/>
    <cellStyle name="40% - Accent3 14" xfId="220" xr:uid="{6E255168-72C6-47AA-AAE6-7EC8F79CB76F}"/>
    <cellStyle name="40% - Accent3 15" xfId="221" xr:uid="{3933DF1D-A360-4D2B-AE67-695AA53DA308}"/>
    <cellStyle name="40% - Accent3 16" xfId="777" xr:uid="{D2E2E13A-FC2E-4B8B-A8C3-A662CCA596DB}"/>
    <cellStyle name="40% - Accent3 2" xfId="31" xr:uid="{00000000-0005-0000-0000-000011000000}"/>
    <cellStyle name="40% - Accent3 2 2" xfId="824" xr:uid="{3FFE699D-FF22-4CD8-8F49-961EC3463774}"/>
    <cellStyle name="40% - Accent3 2 2 2" xfId="1592" xr:uid="{DE6EA67E-539E-4BFE-B115-3CAF6927CF67}"/>
    <cellStyle name="40% - Accent3 2 3" xfId="222" xr:uid="{CA5F1453-1410-43C5-A45C-F86291F2E44F}"/>
    <cellStyle name="40% - Accent3 2 3 2" xfId="1625" xr:uid="{3C60E394-618C-4F51-A5AC-31F4FDAF3678}"/>
    <cellStyle name="40% - Accent3 2 4" xfId="1556" xr:uid="{FF22FCF6-3DFD-469F-A56C-D7B00378EFF6}"/>
    <cellStyle name="40% - Accent3 2 5" xfId="1669" xr:uid="{6E522E8F-AE6F-4186-9EC2-8095318B1B1F}"/>
    <cellStyle name="40% - Accent3 2 6" xfId="1702" xr:uid="{897111A8-5A6E-4749-9956-ECA3D5E5460F}"/>
    <cellStyle name="40% - Accent3 3" xfId="223" xr:uid="{00545917-E985-4949-A135-C0069F2F5964}"/>
    <cellStyle name="40% - Accent3 4" xfId="224" xr:uid="{373FD863-FF50-420B-A6A3-4C553869201B}"/>
    <cellStyle name="40% - Accent3 5" xfId="225" xr:uid="{7B0301B7-EBBE-4B25-9875-AB0F581B3909}"/>
    <cellStyle name="40% - Accent3 6" xfId="226" xr:uid="{C97DF1CF-8857-464C-BF5B-4571AF10A22A}"/>
    <cellStyle name="40% - Accent3 7" xfId="227" xr:uid="{9ED2E067-CF4B-41D8-8695-210DD1ED4E22}"/>
    <cellStyle name="40% - Accent3 8" xfId="228" xr:uid="{D9516C01-C1C0-4BEA-AF36-6AC586D99DD9}"/>
    <cellStyle name="40% - Accent3 9" xfId="229" xr:uid="{1557B7B0-3521-4375-A1F2-1FCE64DA907E}"/>
    <cellStyle name="40% - Accent4 10" xfId="230" xr:uid="{FCC8DAE6-7C6C-4C69-83C0-E6494C8B087E}"/>
    <cellStyle name="40% - Accent4 11" xfId="231" xr:uid="{710562A4-BDAA-474B-8C7A-E4207F04BDF2}"/>
    <cellStyle name="40% - Accent4 12" xfId="232" xr:uid="{A8FC7048-3047-4266-997A-9AC419A602D4}"/>
    <cellStyle name="40% - Accent4 13" xfId="233" xr:uid="{2840B729-B5EE-4D9B-BDD5-DA990CC2D323}"/>
    <cellStyle name="40% - Accent4 14" xfId="234" xr:uid="{E21DA2E5-CA4F-4300-8540-BD274395AB98}"/>
    <cellStyle name="40% - Accent4 15" xfId="235" xr:uid="{5F076097-3A67-4408-A0B3-27E99AED263A}"/>
    <cellStyle name="40% - Accent4 16" xfId="778" xr:uid="{9C7A0D89-12CC-4951-A852-99B7293D9A6E}"/>
    <cellStyle name="40% - Accent4 2" xfId="32" xr:uid="{00000000-0005-0000-0000-000012000000}"/>
    <cellStyle name="40% - Accent4 2 2" xfId="828" xr:uid="{DE96DD59-C572-4829-9421-70ACC85D81E7}"/>
    <cellStyle name="40% - Accent4 2 2 2" xfId="1594" xr:uid="{8E8CEB07-B999-4ABE-A31A-BA8F1D368004}"/>
    <cellStyle name="40% - Accent4 2 3" xfId="236" xr:uid="{5FB646AB-A516-4BDF-BFE6-9741474BEB55}"/>
    <cellStyle name="40% - Accent4 2 3 2" xfId="1627" xr:uid="{303559DD-BB15-4F0D-9F93-71F277BF63D0}"/>
    <cellStyle name="40% - Accent4 2 4" xfId="1558" xr:uid="{5F637F9F-4AC8-48B4-9B58-68E4B0E18EC9}"/>
    <cellStyle name="40% - Accent4 2 5" xfId="1670" xr:uid="{B2151EF1-A768-4EB8-B070-E2E3117A3D03}"/>
    <cellStyle name="40% - Accent4 2 6" xfId="1703" xr:uid="{9383B554-BDA3-422E-AD53-10D998EB0A56}"/>
    <cellStyle name="40% - Accent4 3" xfId="237" xr:uid="{447B0CD2-53AC-46E0-9B9A-0E0BB08CFE6A}"/>
    <cellStyle name="40% - Accent4 4" xfId="238" xr:uid="{3B7BF122-F8C8-49C7-B305-63AE385C82DE}"/>
    <cellStyle name="40% - Accent4 5" xfId="239" xr:uid="{C4F3B33C-40F7-4211-86F9-2A5435ABE83C}"/>
    <cellStyle name="40% - Accent4 6" xfId="240" xr:uid="{3C1C6561-A7F6-422A-B8D6-2AE50DA1EF28}"/>
    <cellStyle name="40% - Accent4 7" xfId="241" xr:uid="{9F58035A-5FDA-42DA-AD9E-4290B130CD8D}"/>
    <cellStyle name="40% - Accent4 8" xfId="242" xr:uid="{F8347329-2424-479F-B0FB-36BB9B9677F2}"/>
    <cellStyle name="40% - Accent4 9" xfId="243" xr:uid="{A7A92B1F-77C3-466D-ADF9-21AFB314A7BB}"/>
    <cellStyle name="40% - Accent5 10" xfId="244" xr:uid="{81D1D75A-6C36-43A8-9C12-2A10964CFFB6}"/>
    <cellStyle name="40% - Accent5 11" xfId="245" xr:uid="{AB6006B8-9245-460E-9CFC-248A22873C75}"/>
    <cellStyle name="40% - Accent5 12" xfId="246" xr:uid="{39A08134-1E5A-4F3F-9E4C-749CA259A973}"/>
    <cellStyle name="40% - Accent5 13" xfId="247" xr:uid="{D157AAF2-DB8C-469C-BDED-CF9D6A27508D}"/>
    <cellStyle name="40% - Accent5 14" xfId="248" xr:uid="{E27E1984-D386-4E38-A113-807A7FC56898}"/>
    <cellStyle name="40% - Accent5 15" xfId="249" xr:uid="{36634722-E327-4BC0-9113-C77D84A48DC0}"/>
    <cellStyle name="40% - Accent5 16" xfId="779" xr:uid="{E29A45F4-D81A-4E2B-8C48-738596DD8264}"/>
    <cellStyle name="40% - Accent5 2" xfId="33" xr:uid="{00000000-0005-0000-0000-000013000000}"/>
    <cellStyle name="40% - Accent5 2 2" xfId="832" xr:uid="{3A0664EE-7C38-43B4-B8FD-5C6C0FC3BDE3}"/>
    <cellStyle name="40% - Accent5 2 2 2" xfId="1596" xr:uid="{7FF59556-460A-4210-94B8-13AE8C7EA909}"/>
    <cellStyle name="40% - Accent5 2 3" xfId="250" xr:uid="{F82C0BC5-6E74-4D55-9F8B-18ADB943D5E2}"/>
    <cellStyle name="40% - Accent5 2 3 2" xfId="1629" xr:uid="{CD8D4BD0-6AB3-4F96-BDA4-3DF56BB6BDE6}"/>
    <cellStyle name="40% - Accent5 2 4" xfId="1561" xr:uid="{23DDFA9C-3BAD-4889-81B1-1ADB24ACB357}"/>
    <cellStyle name="40% - Accent5 2 5" xfId="1671" xr:uid="{09993A85-B640-43EC-8D0D-7156FF0D6EE6}"/>
    <cellStyle name="40% - Accent5 2 6" xfId="1704" xr:uid="{DD731465-6D4E-4828-A946-410B49B48560}"/>
    <cellStyle name="40% - Accent5 3" xfId="251" xr:uid="{BED4D3FC-DB10-446F-9B58-67F7BB355728}"/>
    <cellStyle name="40% - Accent5 4" xfId="252" xr:uid="{146C250D-9876-48CC-A43A-80CCE03EAF69}"/>
    <cellStyle name="40% - Accent5 5" xfId="253" xr:uid="{2E069F66-4FD1-485F-812E-2D334075FE3F}"/>
    <cellStyle name="40% - Accent5 6" xfId="254" xr:uid="{A67D1C26-A7E1-4249-8F0A-B74EE22C90FC}"/>
    <cellStyle name="40% - Accent5 7" xfId="255" xr:uid="{BB2E3FCE-8470-4A39-B0B0-06985E6FAF0C}"/>
    <cellStyle name="40% - Accent5 8" xfId="256" xr:uid="{CF48EE0B-3D9A-4E8D-BA4B-93DCA00AC744}"/>
    <cellStyle name="40% - Accent5 9" xfId="257" xr:uid="{EE2A0F91-D9F0-402D-A570-F1F403F262AD}"/>
    <cellStyle name="40% - Accent6 10" xfId="258" xr:uid="{063FF286-593A-43F4-A6A4-C5FAF1B7496C}"/>
    <cellStyle name="40% - Accent6 11" xfId="259" xr:uid="{3A0D6BD3-2517-47F4-ACF6-063BCFEA6422}"/>
    <cellStyle name="40% - Accent6 12" xfId="260" xr:uid="{AFAEDE9C-9F9B-4894-8747-392B027FD40C}"/>
    <cellStyle name="40% - Accent6 13" xfId="261" xr:uid="{66721FAF-ACD8-4D7A-ACA0-DE12C31F562A}"/>
    <cellStyle name="40% - Accent6 14" xfId="262" xr:uid="{24DC32D0-C8F7-4E3B-8854-2AA9EEB4903D}"/>
    <cellStyle name="40% - Accent6 15" xfId="263" xr:uid="{5D979095-49EC-40DE-9D27-4F2C3CF8FC56}"/>
    <cellStyle name="40% - Accent6 16" xfId="780" xr:uid="{D226C986-725A-4430-BB2E-923F5DB35BE0}"/>
    <cellStyle name="40% - Accent6 2" xfId="34" xr:uid="{00000000-0005-0000-0000-000014000000}"/>
    <cellStyle name="40% - Accent6 2 2" xfId="836" xr:uid="{55D6C8D3-8343-4C9B-AF9D-E057025C2BCB}"/>
    <cellStyle name="40% - Accent6 2 2 2" xfId="1598" xr:uid="{C49DF089-6320-497B-8554-472A9BDCE42F}"/>
    <cellStyle name="40% - Accent6 2 3" xfId="264" xr:uid="{66A8F444-729A-480D-91B8-2A2A0AEADE80}"/>
    <cellStyle name="40% - Accent6 2 3 2" xfId="1631" xr:uid="{068EBA13-23E2-42BC-B850-48EE2CA1B17F}"/>
    <cellStyle name="40% - Accent6 2 4" xfId="1563" xr:uid="{94B5F9E4-8293-4E34-BF06-542E69FD43F8}"/>
    <cellStyle name="40% - Accent6 2 5" xfId="1672" xr:uid="{F3EF64B4-95B8-4C3E-A46D-09C61510B1B5}"/>
    <cellStyle name="40% - Accent6 2 6" xfId="1705" xr:uid="{99D57E78-9712-4E25-96A7-E337DABED61A}"/>
    <cellStyle name="40% - Accent6 3" xfId="265" xr:uid="{30099454-2072-4D8D-A920-2C35B492A4D9}"/>
    <cellStyle name="40% - Accent6 4" xfId="266" xr:uid="{CF27A3A7-120B-4E2B-8CD6-64D7A7BC6399}"/>
    <cellStyle name="40% - Accent6 5" xfId="267" xr:uid="{A557B3E1-5E14-4490-9399-C90860D40BF4}"/>
    <cellStyle name="40% - Accent6 6" xfId="268" xr:uid="{DF3145FD-ABB6-4AD0-A84E-8B8FE4DE779A}"/>
    <cellStyle name="40% - Accent6 7" xfId="269" xr:uid="{EBA005D8-ACE1-451A-98F8-07DA1AA4DB1D}"/>
    <cellStyle name="40% - Accent6 8" xfId="270" xr:uid="{4CB26E9C-9ECA-4043-A3A1-22AA5784988E}"/>
    <cellStyle name="40% - Accent6 9" xfId="271" xr:uid="{4CCF379F-2F25-4939-A225-C4B8453ECE3A}"/>
    <cellStyle name="60% - Accent1 10" xfId="272" xr:uid="{121D0AB9-CE72-4784-9393-8E3D367A5FC1}"/>
    <cellStyle name="60% - Accent1 11" xfId="273" xr:uid="{B7F2F6D3-662C-4B06-81D7-AA81CDFFE44C}"/>
    <cellStyle name="60% - Accent1 12" xfId="274" xr:uid="{CF0770D2-01E8-4E33-BAF7-91F084A95505}"/>
    <cellStyle name="60% - Accent1 13" xfId="275" xr:uid="{7CEC125A-2191-4C31-8E75-FA3AA08AF528}"/>
    <cellStyle name="60% - Accent1 14" xfId="276" xr:uid="{4F76651C-E0C6-4828-8638-CCE7CBEF79BC}"/>
    <cellStyle name="60% - Accent1 15" xfId="277" xr:uid="{8CA670D0-8B0E-4D89-B2A5-E65A4631E0D0}"/>
    <cellStyle name="60% - Accent1 16" xfId="781" xr:uid="{EE15427E-4B7D-46C4-A810-A0149D768BE3}"/>
    <cellStyle name="60% - Accent1 2" xfId="35" xr:uid="{00000000-0005-0000-0000-000015000000}"/>
    <cellStyle name="60% - Accent1 2 2" xfId="817" xr:uid="{DA53280A-48A4-4C8D-B351-917BE633AA11}"/>
    <cellStyle name="60% - Accent1 2 3" xfId="278" xr:uid="{B22BB10A-14FF-4849-A0B3-5F4CFF0AD886}"/>
    <cellStyle name="60% - Accent1 3" xfId="279" xr:uid="{F081065D-FB71-4871-914C-CE127F402382}"/>
    <cellStyle name="60% - Accent1 4" xfId="280" xr:uid="{B2DAFC0D-440B-4325-81DF-8AACD2800598}"/>
    <cellStyle name="60% - Accent1 5" xfId="281" xr:uid="{DC694C4B-078D-4F35-B8DF-EF8AD1F9CBB4}"/>
    <cellStyle name="60% - Accent1 6" xfId="282" xr:uid="{73B8B9D5-1E27-4E10-ADCD-1AB4364307CA}"/>
    <cellStyle name="60% - Accent1 7" xfId="283" xr:uid="{04916911-431D-4FD8-AEB9-9527C7EA90A5}"/>
    <cellStyle name="60% - Accent1 8" xfId="284" xr:uid="{BEC5E216-0D73-4287-B87E-A081C003DB91}"/>
    <cellStyle name="60% - Accent1 9" xfId="285" xr:uid="{6EC31DE2-92E7-4685-8893-10EC7B245FFB}"/>
    <cellStyle name="60% - Accent2 10" xfId="286" xr:uid="{5A4C17A8-4857-4C00-BAD5-907895B2A795}"/>
    <cellStyle name="60% - Accent2 11" xfId="287" xr:uid="{AAAB4EF6-1227-4703-935B-E1144856CDEB}"/>
    <cellStyle name="60% - Accent2 12" xfId="288" xr:uid="{C8E65D39-1F04-4C71-BC79-C3FD8B4C739D}"/>
    <cellStyle name="60% - Accent2 13" xfId="289" xr:uid="{75D766B4-751F-4E61-937A-B29967B28276}"/>
    <cellStyle name="60% - Accent2 14" xfId="290" xr:uid="{B6CBCFDE-2995-4D82-A44C-9F34B0AC89A7}"/>
    <cellStyle name="60% - Accent2 15" xfId="291" xr:uid="{FCB55BF2-48F1-4DF2-B95F-AE5172C28027}"/>
    <cellStyle name="60% - Accent2 16" xfId="782" xr:uid="{77D578A0-FD5A-49D6-94E0-3A5E3FFC73D9}"/>
    <cellStyle name="60% - Accent2 2" xfId="36" xr:uid="{00000000-0005-0000-0000-000016000000}"/>
    <cellStyle name="60% - Accent2 2 2" xfId="821" xr:uid="{0000B17A-C06A-4F22-907A-3FF328F00F86}"/>
    <cellStyle name="60% - Accent2 2 3" xfId="292" xr:uid="{958FB846-B3E0-48B1-98D9-EA000ED18435}"/>
    <cellStyle name="60% - Accent2 3" xfId="293" xr:uid="{1E6A68D4-E7D6-45D5-8321-239EECB71DBD}"/>
    <cellStyle name="60% - Accent2 4" xfId="294" xr:uid="{1AB2AFBD-AA6A-41C7-8244-42E5F5D3FD1C}"/>
    <cellStyle name="60% - Accent2 5" xfId="295" xr:uid="{1C19E159-F86C-42A9-ABE1-591CDBC84F90}"/>
    <cellStyle name="60% - Accent2 6" xfId="296" xr:uid="{9EE756B7-D35D-45CE-8233-30596E37DD24}"/>
    <cellStyle name="60% - Accent2 7" xfId="297" xr:uid="{4C09B745-4F30-4B03-BF81-47729DB3CF3A}"/>
    <cellStyle name="60% - Accent2 8" xfId="298" xr:uid="{B94AA458-577F-4CDE-9BE3-2EC500D97A78}"/>
    <cellStyle name="60% - Accent2 9" xfId="299" xr:uid="{669F84EE-6D47-4B43-95F9-E73081B36D62}"/>
    <cellStyle name="60% - Accent3 10" xfId="300" xr:uid="{E004A4EC-F1DD-46A4-B225-11995009ACD1}"/>
    <cellStyle name="60% - Accent3 11" xfId="301" xr:uid="{39BED4F6-819E-4365-8C8B-40178C8674D1}"/>
    <cellStyle name="60% - Accent3 12" xfId="302" xr:uid="{49B92048-6C3F-4A6B-B81F-749B819D0DE2}"/>
    <cellStyle name="60% - Accent3 13" xfId="303" xr:uid="{89E54486-4DB7-4A0E-807A-CC52AEC1AE84}"/>
    <cellStyle name="60% - Accent3 14" xfId="304" xr:uid="{3729815D-C0C0-44FE-B70F-512CB7FC63E9}"/>
    <cellStyle name="60% - Accent3 15" xfId="305" xr:uid="{E3BCEA63-A2DB-4B83-AC76-8977550F608C}"/>
    <cellStyle name="60% - Accent3 16" xfId="783" xr:uid="{CB624445-18FF-43B8-971E-E4297F509989}"/>
    <cellStyle name="60% - Accent3 2" xfId="37" xr:uid="{00000000-0005-0000-0000-000017000000}"/>
    <cellStyle name="60% - Accent3 2 2" xfId="825" xr:uid="{44DD17FD-58C8-4F15-8A99-9B8CF79411B3}"/>
    <cellStyle name="60% - Accent3 2 3" xfId="306" xr:uid="{D6AF060B-685D-4A0E-ADAF-C6E5982631E4}"/>
    <cellStyle name="60% - Accent3 3" xfId="307" xr:uid="{066235C4-8112-4190-9BB8-40460448C492}"/>
    <cellStyle name="60% - Accent3 4" xfId="308" xr:uid="{FB275DE9-577B-4B6B-B7EB-0300703382DB}"/>
    <cellStyle name="60% - Accent3 5" xfId="309" xr:uid="{21626179-22AF-4425-B3E3-D323B8D89A3B}"/>
    <cellStyle name="60% - Accent3 6" xfId="310" xr:uid="{F2DDA026-78E1-4C8D-A288-3C57E26AD150}"/>
    <cellStyle name="60% - Accent3 7" xfId="311" xr:uid="{83E38BA6-8E54-4ABC-91A3-3ED49925CD9D}"/>
    <cellStyle name="60% - Accent3 8" xfId="312" xr:uid="{26390211-D61D-45BF-BBC5-7FE49861737C}"/>
    <cellStyle name="60% - Accent3 9" xfId="313" xr:uid="{B612C642-70BE-4649-930A-BBD649C8A156}"/>
    <cellStyle name="60% - Accent4 10" xfId="314" xr:uid="{AAF16347-5166-4508-BA3F-D490E39D1490}"/>
    <cellStyle name="60% - Accent4 11" xfId="315" xr:uid="{EB04CC85-EF0F-448E-B94C-16E0F738326D}"/>
    <cellStyle name="60% - Accent4 12" xfId="316" xr:uid="{87018657-7442-4BF1-A854-F7EF377F7D05}"/>
    <cellStyle name="60% - Accent4 13" xfId="317" xr:uid="{9F1F49B9-CB22-4964-8A30-06E5D0B30654}"/>
    <cellStyle name="60% - Accent4 14" xfId="318" xr:uid="{AD06B357-9DA6-4627-8EC8-A5220D680CE6}"/>
    <cellStyle name="60% - Accent4 15" xfId="319" xr:uid="{361052E9-8026-4A4E-A7FB-42F9CB6ED48F}"/>
    <cellStyle name="60% - Accent4 16" xfId="784" xr:uid="{47C94269-E3DE-4187-8087-4B76933C7F34}"/>
    <cellStyle name="60% - Accent4 2" xfId="38" xr:uid="{00000000-0005-0000-0000-000018000000}"/>
    <cellStyle name="60% - Accent4 2 2" xfId="829" xr:uid="{9A15E3F0-3BDC-4AE9-A088-651919D69ED0}"/>
    <cellStyle name="60% - Accent4 2 3" xfId="320" xr:uid="{72D010D9-7502-45D0-B05F-B92BABA26233}"/>
    <cellStyle name="60% - Accent4 3" xfId="321" xr:uid="{ADFC752E-942C-43E0-BF1D-F592C797999E}"/>
    <cellStyle name="60% - Accent4 4" xfId="322" xr:uid="{55B6F08B-7D92-4A8E-B30C-65C9C70CD56A}"/>
    <cellStyle name="60% - Accent4 5" xfId="323" xr:uid="{62F88DA3-F11D-4E51-9969-77F5BDD6C53F}"/>
    <cellStyle name="60% - Accent4 6" xfId="324" xr:uid="{7155239E-D1BE-44CB-8A50-536C5CC3A744}"/>
    <cellStyle name="60% - Accent4 7" xfId="325" xr:uid="{D393407F-B740-4E6D-B506-76010AAD788B}"/>
    <cellStyle name="60% - Accent4 8" xfId="326" xr:uid="{66A852E5-31EB-4F6D-8728-E8A2B5CE781F}"/>
    <cellStyle name="60% - Accent4 9" xfId="327" xr:uid="{BA84BE9B-99F1-4CD6-9C7E-856F335BE3C2}"/>
    <cellStyle name="60% - Accent5 10" xfId="328" xr:uid="{A963E034-9E64-4E89-B8F0-F115F5AAA65A}"/>
    <cellStyle name="60% - Accent5 11" xfId="329" xr:uid="{904852EA-FFB1-47CB-AE94-51F5FBF89AAD}"/>
    <cellStyle name="60% - Accent5 12" xfId="330" xr:uid="{50A01703-8CA0-48E6-98FA-415610CB0F41}"/>
    <cellStyle name="60% - Accent5 13" xfId="331" xr:uid="{E0836346-B2E1-46BA-BA3D-166D1B4193B2}"/>
    <cellStyle name="60% - Accent5 14" xfId="332" xr:uid="{31B79357-0BC4-418C-8617-8F732A50488E}"/>
    <cellStyle name="60% - Accent5 15" xfId="333" xr:uid="{4561D9AC-BAD1-4061-9A9F-6F4CC6D8E7BC}"/>
    <cellStyle name="60% - Accent5 16" xfId="785" xr:uid="{62921C0F-003F-4EB3-82B7-62379FA6FA2F}"/>
    <cellStyle name="60% - Accent5 2" xfId="39" xr:uid="{00000000-0005-0000-0000-000019000000}"/>
    <cellStyle name="60% - Accent5 2 2" xfId="833" xr:uid="{81D9616E-F32A-4263-8427-204776A10764}"/>
    <cellStyle name="60% - Accent5 2 3" xfId="334" xr:uid="{2B160FDD-523E-44FA-BBF2-A885ABBFA819}"/>
    <cellStyle name="60% - Accent5 3" xfId="335" xr:uid="{228875CA-4A37-4DD6-B065-693F85C8A0B2}"/>
    <cellStyle name="60% - Accent5 4" xfId="336" xr:uid="{03B501A0-8915-47F7-989C-079DCC58520A}"/>
    <cellStyle name="60% - Accent5 5" xfId="337" xr:uid="{DBBAEAE6-E755-4C0F-8909-F7E95E331556}"/>
    <cellStyle name="60% - Accent5 6" xfId="338" xr:uid="{6CBDED8D-5F78-4A1E-8FDF-5124269990F2}"/>
    <cellStyle name="60% - Accent5 7" xfId="339" xr:uid="{BA493134-E102-4C9E-BCA2-4E827A30352D}"/>
    <cellStyle name="60% - Accent5 8" xfId="340" xr:uid="{E5CCAB94-2F4B-4054-831E-E7E2F9CD2073}"/>
    <cellStyle name="60% - Accent5 9" xfId="341" xr:uid="{3B976BA8-CF6A-4E3E-8FE9-9FE1A613DF8A}"/>
    <cellStyle name="60% - Accent6 10" xfId="342" xr:uid="{DC2C7613-3F0A-49D1-AD17-3285665FC348}"/>
    <cellStyle name="60% - Accent6 11" xfId="343" xr:uid="{8EB07F71-F72B-44EE-A412-CA0C9E9CCEB9}"/>
    <cellStyle name="60% - Accent6 12" xfId="344" xr:uid="{CEA9548B-BB37-42BD-8290-27DFFFF7464D}"/>
    <cellStyle name="60% - Accent6 13" xfId="345" xr:uid="{05E0F87D-45F8-4B63-A506-191888AD78D6}"/>
    <cellStyle name="60% - Accent6 14" xfId="346" xr:uid="{EDB37D45-0450-4071-AD0E-5EF631CD35AC}"/>
    <cellStyle name="60% - Accent6 15" xfId="347" xr:uid="{6C7DF8D5-D93F-4C3F-8A1B-B840732D2150}"/>
    <cellStyle name="60% - Accent6 16" xfId="786" xr:uid="{AC620523-7C15-4129-8994-447C11F011E2}"/>
    <cellStyle name="60% - Accent6 2" xfId="40" xr:uid="{00000000-0005-0000-0000-00001A000000}"/>
    <cellStyle name="60% - Accent6 2 2" xfId="837" xr:uid="{C211F60E-4F1E-462D-90B1-D1C59A7CA834}"/>
    <cellStyle name="60% - Accent6 2 3" xfId="348" xr:uid="{8FEDC37A-83AA-453F-B9D4-61E8375107AA}"/>
    <cellStyle name="60% - Accent6 3" xfId="349" xr:uid="{A63D4885-BA94-4853-A7BD-AFFFAC1920B8}"/>
    <cellStyle name="60% - Accent6 4" xfId="350" xr:uid="{8A3CFC16-1705-4DF2-8A6F-AA9875D68BA0}"/>
    <cellStyle name="60% - Accent6 5" xfId="351" xr:uid="{DB292F6C-AB35-4BEF-B436-04DCF7815BDF}"/>
    <cellStyle name="60% - Accent6 6" xfId="352" xr:uid="{5024521E-5F69-4CDE-8085-03959B8B9E73}"/>
    <cellStyle name="60% - Accent6 7" xfId="353" xr:uid="{A2573E77-FB71-4184-9A07-0F342EA9BCFD}"/>
    <cellStyle name="60% - Accent6 8" xfId="354" xr:uid="{FF57B009-A40C-4C40-AD15-1BD3894F9A34}"/>
    <cellStyle name="60% - Accent6 9" xfId="355" xr:uid="{7F460525-0B9B-431B-AC5C-1E2EE8771FBF}"/>
    <cellStyle name="Accent1 10" xfId="356" xr:uid="{5D702F71-5298-448D-95F3-3C43CD194A53}"/>
    <cellStyle name="Accent1 11" xfId="357" xr:uid="{85567DA3-A5FA-4720-9124-13817F6F24CF}"/>
    <cellStyle name="Accent1 12" xfId="358" xr:uid="{9F8CB846-DD76-474F-9C05-DE4B0B7C6A62}"/>
    <cellStyle name="Accent1 13" xfId="359" xr:uid="{D44710D6-FEB4-4B8E-AA73-202B4284C3C8}"/>
    <cellStyle name="Accent1 14" xfId="360" xr:uid="{422053BA-6D94-4F2E-A1B1-ABAC4525B803}"/>
    <cellStyle name="Accent1 15" xfId="361" xr:uid="{A1875704-5ECE-4612-9772-19904B18B858}"/>
    <cellStyle name="Accent1 16" xfId="787" xr:uid="{A97D7B3B-83A4-460F-AF58-77C7E8A85F3B}"/>
    <cellStyle name="Accent1 2" xfId="41" xr:uid="{00000000-0005-0000-0000-00001B000000}"/>
    <cellStyle name="Accent1 2 2" xfId="814" xr:uid="{D8C6A5BA-9C94-42E7-B238-00124BC1E5B7}"/>
    <cellStyle name="Accent1 2 3" xfId="362" xr:uid="{A8C6951A-18E5-4626-BFDA-A274AA07EA64}"/>
    <cellStyle name="Accent1 3" xfId="363" xr:uid="{A7AD30D4-1F8B-4798-A5E8-B007655B61F5}"/>
    <cellStyle name="Accent1 4" xfId="364" xr:uid="{F70D2A21-5E75-427B-9A49-C7879FEFE499}"/>
    <cellStyle name="Accent1 5" xfId="365" xr:uid="{195574B9-FA2C-4D0E-80EC-E9D2B3E99470}"/>
    <cellStyle name="Accent1 6" xfId="366" xr:uid="{35A9CE23-BAE9-4556-9CF8-319451A6CC0B}"/>
    <cellStyle name="Accent1 7" xfId="367" xr:uid="{A92F728B-D892-42C5-9F6B-7F264DED586E}"/>
    <cellStyle name="Accent1 8" xfId="368" xr:uid="{C2C70A46-7D76-4ED2-BEF2-B25DB1E2677B}"/>
    <cellStyle name="Accent1 9" xfId="369" xr:uid="{294B5A8D-A5E3-4272-8D09-3F68D8E68C21}"/>
    <cellStyle name="Accent2 10" xfId="370" xr:uid="{84FF7D4D-1E1C-4BE7-8B9F-039C2BC638A9}"/>
    <cellStyle name="Accent2 11" xfId="371" xr:uid="{843D242C-4647-4C9E-90FD-AE74BE489C3A}"/>
    <cellStyle name="Accent2 12" xfId="372" xr:uid="{603FEADC-D8F0-43D7-89C7-CC59CBF7E923}"/>
    <cellStyle name="Accent2 13" xfId="373" xr:uid="{4B6FC0B0-2125-4593-A694-6D0F2E126E5F}"/>
    <cellStyle name="Accent2 14" xfId="374" xr:uid="{B6DC7C0E-30F8-402E-BF60-5FCEC289BFE8}"/>
    <cellStyle name="Accent2 15" xfId="375" xr:uid="{89B64ED2-BDD2-4F72-A4CB-9C8121043CEC}"/>
    <cellStyle name="Accent2 16" xfId="788" xr:uid="{0F01D3EA-A884-46AF-AF28-8FBCB7DB4F43}"/>
    <cellStyle name="Accent2 2" xfId="42" xr:uid="{00000000-0005-0000-0000-00001C000000}"/>
    <cellStyle name="Accent2 2 2" xfId="818" xr:uid="{F4A32345-D18B-422B-9E95-E9D6BCBFA8DE}"/>
    <cellStyle name="Accent2 2 3" xfId="376" xr:uid="{658ACFBF-F8A5-46A6-A4A8-BB00CA5F6D24}"/>
    <cellStyle name="Accent2 3" xfId="377" xr:uid="{0E04D4DB-0043-4EF3-B1DE-89D122024744}"/>
    <cellStyle name="Accent2 4" xfId="378" xr:uid="{ABEA153E-575F-4599-8F2D-CDDDE8620568}"/>
    <cellStyle name="Accent2 5" xfId="379" xr:uid="{B6F33499-F77A-45F7-88AF-FED3701ABE51}"/>
    <cellStyle name="Accent2 6" xfId="380" xr:uid="{3C76C1D3-42D0-4088-9FDA-A18118ACC297}"/>
    <cellStyle name="Accent2 7" xfId="381" xr:uid="{FEC8E6FD-689B-4A71-A528-6A8837063972}"/>
    <cellStyle name="Accent2 8" xfId="382" xr:uid="{A356D243-8855-4D71-ADEC-7D7F568976C0}"/>
    <cellStyle name="Accent2 9" xfId="383" xr:uid="{505F449A-057A-4060-B5A3-641E3DC0385C}"/>
    <cellStyle name="Accent3 10" xfId="384" xr:uid="{45E2612A-F1E5-49CF-9998-716AE4C7E2F0}"/>
    <cellStyle name="Accent3 11" xfId="385" xr:uid="{951959F2-B7B1-44C7-9976-25CD33D5BCBE}"/>
    <cellStyle name="Accent3 12" xfId="386" xr:uid="{0CF52F73-80A2-426A-AD4F-B3553621461F}"/>
    <cellStyle name="Accent3 13" xfId="387" xr:uid="{31A39ED5-FA8D-421D-9FFA-5B9ACD37FF6B}"/>
    <cellStyle name="Accent3 14" xfId="388" xr:uid="{A947A20A-8F2B-4C56-BF86-4257791EADE9}"/>
    <cellStyle name="Accent3 15" xfId="389" xr:uid="{D41435EB-6E64-4382-8481-BF9E91CBCF12}"/>
    <cellStyle name="Accent3 16" xfId="789" xr:uid="{C8733DC0-B5E6-4232-9A49-46F93C0D4E4F}"/>
    <cellStyle name="Accent3 2" xfId="43" xr:uid="{00000000-0005-0000-0000-00001D000000}"/>
    <cellStyle name="Accent3 2 2" xfId="822" xr:uid="{B60E2D03-5380-4C79-985E-C82533A9F749}"/>
    <cellStyle name="Accent3 2 3" xfId="390" xr:uid="{2CBCA5EE-BE77-4470-897F-E80E0D5DF163}"/>
    <cellStyle name="Accent3 3" xfId="391" xr:uid="{7E5E41E5-0AAC-4B04-8490-B57402A0F4BA}"/>
    <cellStyle name="Accent3 4" xfId="392" xr:uid="{F95D2CCE-8F67-4454-A2EA-427DF7044C56}"/>
    <cellStyle name="Accent3 5" xfId="393" xr:uid="{904401F1-D588-4BF1-8332-30B44D2882A5}"/>
    <cellStyle name="Accent3 6" xfId="394" xr:uid="{51445725-488F-4395-9089-4CD2E9935CCB}"/>
    <cellStyle name="Accent3 7" xfId="395" xr:uid="{87034619-7FBA-4BB6-9FD6-0BA43CF303E0}"/>
    <cellStyle name="Accent3 8" xfId="396" xr:uid="{95F92697-F1BE-4802-8AD6-BB4B4CC0E381}"/>
    <cellStyle name="Accent3 9" xfId="397" xr:uid="{1DC0A8BC-6398-46E9-BA7D-385A0F1E2629}"/>
    <cellStyle name="Accent4 10" xfId="398" xr:uid="{0846C6B3-8DC3-40E9-B253-B876D99D423F}"/>
    <cellStyle name="Accent4 11" xfId="399" xr:uid="{AA8A6EFE-68D5-4939-8663-F4C12ECA1874}"/>
    <cellStyle name="Accent4 12" xfId="400" xr:uid="{BCCE4523-5EAE-4B0A-A908-B2BEF07910AA}"/>
    <cellStyle name="Accent4 13" xfId="401" xr:uid="{BE8BA843-2C3B-498E-AA84-AF0EEA4A9D08}"/>
    <cellStyle name="Accent4 14" xfId="402" xr:uid="{2942FC04-1DCE-4A87-932C-CDFCD7D8C80D}"/>
    <cellStyle name="Accent4 15" xfId="403" xr:uid="{CA723D49-D18A-40A2-B08B-E9563211ABCA}"/>
    <cellStyle name="Accent4 16" xfId="871" xr:uid="{A6928AFA-45D5-4ECE-B72F-01121C16BFEF}"/>
    <cellStyle name="Accent4 2" xfId="44" xr:uid="{00000000-0005-0000-0000-00001E000000}"/>
    <cellStyle name="Accent4 2 2" xfId="826" xr:uid="{46F873C4-B866-4F77-AF9B-F232FFBB5B98}"/>
    <cellStyle name="Accent4 2 3" xfId="404" xr:uid="{975A9701-FA0E-4A13-B8DD-CDF2819CD5A2}"/>
    <cellStyle name="Accent4 3" xfId="405" xr:uid="{5B4974FB-59DB-46B5-BB8E-1D441665E735}"/>
    <cellStyle name="Accent4 4" xfId="406" xr:uid="{F373D766-E62C-4E35-B388-048F69949A2A}"/>
    <cellStyle name="Accent4 5" xfId="407" xr:uid="{2737E294-DCBF-46EF-86B0-FE5C12C02CAA}"/>
    <cellStyle name="Accent4 6" xfId="408" xr:uid="{107DD55B-0855-48BB-8177-89B07261A147}"/>
    <cellStyle name="Accent4 7" xfId="409" xr:uid="{0B450E02-87F3-46FC-ABCF-14FF49675432}"/>
    <cellStyle name="Accent4 8" xfId="410" xr:uid="{FA4F0027-AB48-4607-A2C9-2F6DFA011570}"/>
    <cellStyle name="Accent4 9" xfId="411" xr:uid="{8B350769-DEE4-4AA9-9969-CF5914B7C43B}"/>
    <cellStyle name="Accent5 10" xfId="412" xr:uid="{64E3DEE8-54E1-4E9F-815B-D01BC9343BE8}"/>
    <cellStyle name="Accent5 11" xfId="413" xr:uid="{A1144569-983B-49D4-97FA-47DD60DF1F94}"/>
    <cellStyle name="Accent5 12" xfId="414" xr:uid="{562878AE-DB2E-4827-8199-027B77329B98}"/>
    <cellStyle name="Accent5 13" xfId="415" xr:uid="{EE017235-1C02-41B2-8D9B-E1885733A643}"/>
    <cellStyle name="Accent5 14" xfId="416" xr:uid="{B350A851-0856-4638-8406-23D404FCD8BF}"/>
    <cellStyle name="Accent5 15" xfId="417" xr:uid="{00914131-44F1-47F6-A633-AF50C11D9247}"/>
    <cellStyle name="Accent5 16" xfId="866" xr:uid="{6554CF10-4167-4B33-BF47-88337BEAA272}"/>
    <cellStyle name="Accent5 2" xfId="45" xr:uid="{00000000-0005-0000-0000-00001F000000}"/>
    <cellStyle name="Accent5 2 2" xfId="830" xr:uid="{7569D6EC-EB2F-4158-AB54-D4F60CF9ED0B}"/>
    <cellStyle name="Accent5 2 3" xfId="418" xr:uid="{5179EA49-A272-41FC-993B-E4F55677CBC9}"/>
    <cellStyle name="Accent5 3" xfId="419" xr:uid="{2D1C5A73-024B-4C15-B18B-3D645AB7F0C1}"/>
    <cellStyle name="Accent5 4" xfId="420" xr:uid="{6800D9EF-155D-4AE6-942B-0EED17109F2A}"/>
    <cellStyle name="Accent5 5" xfId="421" xr:uid="{7270F192-3905-4544-A9C9-2686AF21939D}"/>
    <cellStyle name="Accent5 6" xfId="422" xr:uid="{55C18A12-D324-472C-9022-BE401BF33F42}"/>
    <cellStyle name="Accent5 7" xfId="423" xr:uid="{671DBB28-BAA0-4308-95F0-4DE0137BDC9E}"/>
    <cellStyle name="Accent5 8" xfId="424" xr:uid="{6679B65E-5BFB-4FE7-8ADE-052325510415}"/>
    <cellStyle name="Accent5 9" xfId="425" xr:uid="{12E34B9E-05B6-4F21-A899-0C0A36736E6C}"/>
    <cellStyle name="Accent6" xfId="1654" builtinId="49"/>
    <cellStyle name="Accent6 10" xfId="426" xr:uid="{5732E225-880B-4B24-BD7E-92655A9BE055}"/>
    <cellStyle name="Accent6 11" xfId="427" xr:uid="{FE1FB0D1-F152-4328-9B56-1AAF63E4E7EC}"/>
    <cellStyle name="Accent6 12" xfId="428" xr:uid="{9F90447A-26B8-4B1E-9139-D9E47F0344C5}"/>
    <cellStyle name="Accent6 13" xfId="429" xr:uid="{A7359480-AD64-405B-8B54-22F2CDC03D6B}"/>
    <cellStyle name="Accent6 14" xfId="430" xr:uid="{5DADB6C9-F700-4288-B5EE-846044C5E251}"/>
    <cellStyle name="Accent6 15" xfId="431" xr:uid="{2F5D5605-A8B0-44BB-AFAB-DEE06114F71F}"/>
    <cellStyle name="Accent6 16" xfId="870" xr:uid="{DC8A7880-3A36-41A4-A73A-F9DB1A061A43}"/>
    <cellStyle name="Accent6 2" xfId="46" xr:uid="{00000000-0005-0000-0000-000020000000}"/>
    <cellStyle name="Accent6 2 2" xfId="834" xr:uid="{3B96CDD7-EE3D-42E0-BFB4-03DD4B8BBD24}"/>
    <cellStyle name="Accent6 2 3" xfId="432" xr:uid="{A6EF0BCD-1951-4469-A103-C10605D9C201}"/>
    <cellStyle name="Accent6 3" xfId="433" xr:uid="{937A6A4B-0827-42B7-94E1-ED48F95052E5}"/>
    <cellStyle name="Accent6 4" xfId="434" xr:uid="{02437E66-BCE1-4A90-A9A2-DA098689900A}"/>
    <cellStyle name="Accent6 5" xfId="435" xr:uid="{577460C7-DC19-4713-88DB-4CA0D0F9C622}"/>
    <cellStyle name="Accent6 6" xfId="436" xr:uid="{D59A24A9-41A8-46BF-B9B3-6D69CD3561C7}"/>
    <cellStyle name="Accent6 7" xfId="437" xr:uid="{8CBEE71B-01B1-4BCD-B271-33421739FAFD}"/>
    <cellStyle name="Accent6 8" xfId="438" xr:uid="{B7D34C19-695B-432D-910D-448C2F6E7189}"/>
    <cellStyle name="Accent6 9" xfId="439" xr:uid="{9FD4DBF2-7929-4247-B3EE-5DBD075A23D5}"/>
    <cellStyle name="Bad 10" xfId="440" xr:uid="{566576D2-7204-4BE5-8BDC-957672F81708}"/>
    <cellStyle name="Bad 11" xfId="441" xr:uid="{559A247D-7B62-4A49-9CF0-FBF489CDC04A}"/>
    <cellStyle name="Bad 12" xfId="442" xr:uid="{BF16EEDD-25D2-4EA4-8E63-E658C7170B27}"/>
    <cellStyle name="Bad 13" xfId="443" xr:uid="{98093839-534A-40C9-93AC-6ED13E1668EA}"/>
    <cellStyle name="Bad 14" xfId="444" xr:uid="{BBFC7792-30AF-4045-8C74-F38D575C7A15}"/>
    <cellStyle name="Bad 15" xfId="445" xr:uid="{4C1240DB-66C6-4BAB-8C54-D3C7417CC4C7}"/>
    <cellStyle name="Bad 16" xfId="855" xr:uid="{B7F14968-FE81-46C2-9311-818578C2F573}"/>
    <cellStyle name="Bad 2" xfId="47" xr:uid="{00000000-0005-0000-0000-000021000000}"/>
    <cellStyle name="Bad 2 2" xfId="803" xr:uid="{74E993D3-BC7E-4377-88D7-775701107076}"/>
    <cellStyle name="Bad 2 3" xfId="446" xr:uid="{41A6028F-ABDC-42B2-A98C-558E769DDBB8}"/>
    <cellStyle name="Bad 3" xfId="447" xr:uid="{D76F6138-44C3-441E-875B-A4F2C607CE4C}"/>
    <cellStyle name="Bad 4" xfId="448" xr:uid="{85042327-E6F6-4E0C-A834-E27C1FB2195B}"/>
    <cellStyle name="Bad 5" xfId="449" xr:uid="{71EA3BCB-4953-42EF-A94D-10BF71005792}"/>
    <cellStyle name="Bad 6" xfId="450" xr:uid="{EBC9A3A2-CE6B-425B-A05F-6EAEE22CBFDA}"/>
    <cellStyle name="Bad 7" xfId="451" xr:uid="{0243F4B2-A7ED-47C9-8377-E8C0C97F2BB8}"/>
    <cellStyle name="Bad 8" xfId="452" xr:uid="{5A3E1F77-EF22-4CCE-BC13-7D962668A6D2}"/>
    <cellStyle name="Bad 9" xfId="453" xr:uid="{E5DAD6C6-2824-45DA-A0AF-07DD62140BD5}"/>
    <cellStyle name="Calculation 10" xfId="454" xr:uid="{B082A5D2-CBF8-447D-9EFD-F50F2FC0995D}"/>
    <cellStyle name="Calculation 11" xfId="455" xr:uid="{47971860-E666-4C29-97F9-161A08A9FF1E}"/>
    <cellStyle name="Calculation 12" xfId="456" xr:uid="{2FC89415-36AF-4353-B5B7-78192B53DA51}"/>
    <cellStyle name="Calculation 13" xfId="457" xr:uid="{726743D5-765F-4053-A7B0-CF1E385961A9}"/>
    <cellStyle name="Calculation 14" xfId="458" xr:uid="{E82CFC78-EA29-42A0-8624-BC3BB0C4CF1B}"/>
    <cellStyle name="Calculation 15" xfId="459" xr:uid="{599CDEE9-E7D5-4FCC-9B2A-54F4711FE356}"/>
    <cellStyle name="Calculation 16" xfId="790" xr:uid="{712A35D0-6342-4FA3-89E2-CC72CF61E961}"/>
    <cellStyle name="Calculation 17" xfId="1538" xr:uid="{2EDE4944-FD14-46AE-8D88-08C84DBAA993}"/>
    <cellStyle name="Calculation 18" xfId="1541" xr:uid="{B43EC870-A144-4BBF-BFA9-B9480390D328}"/>
    <cellStyle name="Calculation 2" xfId="48" xr:uid="{00000000-0005-0000-0000-000022000000}"/>
    <cellStyle name="Calculation 2 2" xfId="807" xr:uid="{B42AAE89-5EA0-4B4D-BAFF-47773D7B4CFD}"/>
    <cellStyle name="Calculation 2 3" xfId="460" xr:uid="{C4C74B5B-8AE0-4EC3-9C78-1196B7B6FD0D}"/>
    <cellStyle name="Calculation 3" xfId="461" xr:uid="{1F8CEF80-6E40-44C7-B96B-7343048F4087}"/>
    <cellStyle name="Calculation 4" xfId="462" xr:uid="{701D28DE-684A-499C-A8BF-54C60C03DEAE}"/>
    <cellStyle name="Calculation 5" xfId="463" xr:uid="{408654D6-6674-41DB-91CE-F0969FF2081D}"/>
    <cellStyle name="Calculation 6" xfId="464" xr:uid="{5D482EDF-5266-43FF-9B1C-CBC5E37E3E6E}"/>
    <cellStyle name="Calculation 7" xfId="465" xr:uid="{083EBA3B-C5DE-464E-A820-DEC2E0B9B615}"/>
    <cellStyle name="Calculation 8" xfId="466" xr:uid="{B78FAE0F-4228-4CAA-8791-909755D8B289}"/>
    <cellStyle name="Calculation 9" xfId="467" xr:uid="{51BC4678-9144-4C80-A553-F021F0AAEB43}"/>
    <cellStyle name="Check Cell 10" xfId="468" xr:uid="{997FE835-F944-429F-9F23-526FFEECE3BE}"/>
    <cellStyle name="Check Cell 11" xfId="469" xr:uid="{DF114F21-C2B3-403B-B0D3-2CC3E61E0EE8}"/>
    <cellStyle name="Check Cell 12" xfId="470" xr:uid="{339E30AC-96AA-4CBD-A482-6CC6FCE29AC4}"/>
    <cellStyle name="Check Cell 13" xfId="471" xr:uid="{76D427B1-8257-473F-9191-F6852C679A79}"/>
    <cellStyle name="Check Cell 14" xfId="472" xr:uid="{3EBAAF24-5E78-4BDD-AFFE-0605609C6746}"/>
    <cellStyle name="Check Cell 15" xfId="473" xr:uid="{E29C7AF3-6982-4C26-A85C-9CC17498033A}"/>
    <cellStyle name="Check Cell 16" xfId="851" xr:uid="{DA86EF6C-96DC-4468-A9D7-A2B132A5CBC6}"/>
    <cellStyle name="Check Cell 2" xfId="49" xr:uid="{00000000-0005-0000-0000-000023000000}"/>
    <cellStyle name="Check Cell 2 2" xfId="809" xr:uid="{0834D282-C2F0-4E40-9F46-AC121EABF6EC}"/>
    <cellStyle name="Check Cell 2 3" xfId="474" xr:uid="{BBE0D81B-B04F-47B8-B9D9-7E418AE7ADCE}"/>
    <cellStyle name="Check Cell 3" xfId="475" xr:uid="{DC684159-56B1-431F-9DF0-56BB473ACBA0}"/>
    <cellStyle name="Check Cell 4" xfId="476" xr:uid="{F67AF96B-4B3A-4B61-B6F6-814D18FE2440}"/>
    <cellStyle name="Check Cell 5" xfId="477" xr:uid="{CB29AD73-0E65-4DA4-A542-081E7B0B7621}"/>
    <cellStyle name="Check Cell 6" xfId="478" xr:uid="{ABEDE31E-2C1B-4954-8E7C-7236B4512FFA}"/>
    <cellStyle name="Check Cell 7" xfId="479" xr:uid="{991EF724-160F-4B20-A41E-4A1F071082EB}"/>
    <cellStyle name="Check Cell 8" xfId="480" xr:uid="{6A1F5257-F00B-4E36-AD85-EBEF8E88730A}"/>
    <cellStyle name="Check Cell 9" xfId="481" xr:uid="{6B69CF47-0A5A-46F4-9DAF-FB4BA3D27483}"/>
    <cellStyle name="Comma" xfId="1" builtinId="3"/>
    <cellStyle name="Comma 10" xfId="482" xr:uid="{8FECAEF1-0324-4522-B12C-14CA6AF8D6F9}"/>
    <cellStyle name="Comma 11" xfId="1652" xr:uid="{25298E4D-5B35-4152-AA0C-B58ED9EED0BE}"/>
    <cellStyle name="Comma 2" xfId="5" xr:uid="{00000000-0005-0000-0000-000025000000}"/>
    <cellStyle name="Comma 2 10" xfId="1527" xr:uid="{0BC537A4-BE34-44C8-AA9F-9D29E2B272D0}"/>
    <cellStyle name="Comma 2 2" xfId="696" xr:uid="{5C884EC2-A2E8-4501-80D2-1AD62416BE05}"/>
    <cellStyle name="Comma 2 2 2" xfId="695" xr:uid="{45356556-BBB8-4BAC-AD32-6D82C625287D}"/>
    <cellStyle name="Comma 2 2 3" xfId="1600" xr:uid="{6B31B1F2-0BE4-40C6-9AA7-6AC72AA3B3EE}"/>
    <cellStyle name="Comma 2 3" xfId="734" xr:uid="{27F51AD3-0C7D-4B0F-B4B0-08BB7C60AE6D}"/>
    <cellStyle name="Comma 2 3 2" xfId="1633" xr:uid="{97BACC60-7486-4E1C-9DEF-041ACF924BB4}"/>
    <cellStyle name="Comma 2 4" xfId="839" xr:uid="{51C41699-2F14-4740-B30A-17757AFCA611}"/>
    <cellStyle name="Comma 2 5" xfId="1529" xr:uid="{D042C698-5BF5-4C4E-A832-9FA411884923}"/>
    <cellStyle name="Comma 2 6" xfId="1565" xr:uid="{711DB856-27D7-4708-B216-B536633DE10D}"/>
    <cellStyle name="Comma 2 7" xfId="1656" xr:uid="{59460D49-49FC-4A16-A3FA-3B10E0E31AEC}"/>
    <cellStyle name="Comma 3" xfId="6" xr:uid="{00000000-0005-0000-0000-000026000000}"/>
    <cellStyle name="Comma 3 2" xfId="50" xr:uid="{00000000-0005-0000-0000-000027000000}"/>
    <cellStyle name="Comma 3 2 2" xfId="845" xr:uid="{06F33135-4716-4593-9B2D-3B6B69144D17}"/>
    <cellStyle name="Comma 3 2 2 2" xfId="1613" xr:uid="{9D697535-BF40-42F1-B8DA-2257CEB21307}"/>
    <cellStyle name="Comma 3 2 3" xfId="697" xr:uid="{2385347A-A18A-44FB-B93F-BA54E6114382}"/>
    <cellStyle name="Comma 3 2 3 2" xfId="1643" xr:uid="{768B1C9F-FA1F-4427-A789-A0C74DA40ECD}"/>
    <cellStyle name="Comma 3 2 4" xfId="1578" xr:uid="{3138837E-8DD2-4EA7-9C15-583C8E21D09D}"/>
    <cellStyle name="Comma 3 2 5" xfId="98" xr:uid="{00000000-0005-0000-0000-000028000000}"/>
    <cellStyle name="Comma 3 2 6" xfId="1659" xr:uid="{6B50C6CC-EAA1-4F06-A635-B32CEF59F132}"/>
    <cellStyle name="Comma 3 2 7" xfId="1692" xr:uid="{0D2256CB-4146-4633-B0DB-22287781B35F}"/>
    <cellStyle name="Comma 3 3" xfId="841" xr:uid="{6F3B3E26-3FC8-4A18-8614-A92B20C5AF9B}"/>
    <cellStyle name="Comma 3 3 2" xfId="1603" xr:uid="{AA3C8A3C-D478-4AA2-8E24-619BEA3F7829}"/>
    <cellStyle name="Comma 3 4" xfId="1013" xr:uid="{93DBB256-1BC0-48FF-9C75-641FCC229582}"/>
    <cellStyle name="Comma 3 4 2" xfId="1636" xr:uid="{C034EDFB-859B-4BB2-BD5F-1B572BB2EDDF}"/>
    <cellStyle name="Comma 3 5" xfId="483" xr:uid="{F7718869-6A96-4AF3-81D7-69A99B2C7D27}"/>
    <cellStyle name="Comma 3 6" xfId="1568" xr:uid="{0341A5C9-6337-4E00-8AD0-91A483843BFF}"/>
    <cellStyle name="Comma 3 7" xfId="1657" xr:uid="{CA35A448-D0EB-42DE-974C-53D710B6FF90}"/>
    <cellStyle name="Comma 36" xfId="1689" xr:uid="{6E9E124B-DCAE-46CC-A203-F351E9F95452}"/>
    <cellStyle name="Comma 4" xfId="13" xr:uid="{00000000-0005-0000-0000-000029000000}"/>
    <cellStyle name="Comma 4 10" xfId="1573" xr:uid="{59A05CAD-A77A-404C-9BCA-17D6F7F90762}"/>
    <cellStyle name="Comma 4 11" xfId="1673" xr:uid="{93ABFCB0-D108-445B-A505-AFB28CA5C638}"/>
    <cellStyle name="Comma 4 12" xfId="1706" xr:uid="{FD01D235-50BD-4853-A6C6-A364EED3A9C8}"/>
    <cellStyle name="Comma 4 2" xfId="718" xr:uid="{D0DD6974-E7F0-4910-AA4F-6BBA504B5857}"/>
    <cellStyle name="Comma 4 2 2" xfId="755" xr:uid="{F6DD45F6-AA08-4067-8760-3140FB1C46EE}"/>
    <cellStyle name="Comma 4 2 2 2" xfId="910" xr:uid="{AB3D9A1D-98A3-4322-A683-8C09853113F7}"/>
    <cellStyle name="Comma 4 2 2 2 2" xfId="1241" xr:uid="{AA2F7961-ECF3-4EBC-90A1-9D7D8B40F223}"/>
    <cellStyle name="Comma 4 2 2 2 2 2" xfId="1474" xr:uid="{21270ADF-E7D8-464A-BC26-DE8E50AFECD9}"/>
    <cellStyle name="Comma 4 2 2 2 3" xfId="1358" xr:uid="{BA5C24C9-1D6A-4368-8680-4AE2FCDC3F8B}"/>
    <cellStyle name="Comma 4 2 2 2 4" xfId="1122" xr:uid="{10FB19E0-5D9C-41C7-8B76-8FD8F1367963}"/>
    <cellStyle name="Comma 4 2 2 3" xfId="980" xr:uid="{124C35C6-121E-48BC-B4E2-4A86CAACA293}"/>
    <cellStyle name="Comma 4 2 2 3 2" xfId="1418" xr:uid="{E9D209CB-A116-47DC-82B1-A39F9EE0AFEE}"/>
    <cellStyle name="Comma 4 2 2 3 3" xfId="1185" xr:uid="{0326AC30-ABE8-4986-8663-1F0E856C12E3}"/>
    <cellStyle name="Comma 4 2 2 4" xfId="1302" xr:uid="{D8140800-B9AD-48FE-A30D-80226EB45111}"/>
    <cellStyle name="Comma 4 2 2 5" xfId="1065" xr:uid="{CD31EEDF-D1FF-431C-9685-02F421699DC0}"/>
    <cellStyle name="Comma 4 2 3" xfId="877" xr:uid="{911F8651-F3EA-4CE8-8564-FEF8B0403898}"/>
    <cellStyle name="Comma 4 2 3 2" xfId="1211" xr:uid="{DA551323-8739-4FD7-A3C1-37A7F4683952}"/>
    <cellStyle name="Comma 4 2 3 2 2" xfId="1444" xr:uid="{6D689856-4D13-4705-A1DF-6BA472F4AF93}"/>
    <cellStyle name="Comma 4 2 3 3" xfId="1328" xr:uid="{2664CE71-23FD-4C73-97D7-14BF4346EA3D}"/>
    <cellStyle name="Comma 4 2 3 4" xfId="1092" xr:uid="{F1050FED-08FE-46E5-A0B9-3619004886D2}"/>
    <cellStyle name="Comma 4 2 4" xfId="950" xr:uid="{537C12F2-00D3-490C-B1C6-0FF5719159D3}"/>
    <cellStyle name="Comma 4 2 4 2" xfId="1392" xr:uid="{C7AF5BEC-A755-4741-8E3C-C34268932174}"/>
    <cellStyle name="Comma 4 2 4 3" xfId="1159" xr:uid="{212B962E-FEA4-4A3E-9652-0DDE300E3E39}"/>
    <cellStyle name="Comma 4 2 5" xfId="1276" xr:uid="{D5CAA9EF-8912-4D00-BF61-F9BC7A4772B2}"/>
    <cellStyle name="Comma 4 2 6" xfId="1039" xr:uid="{CE49E489-05BC-4A71-8EC3-FD661246633E}"/>
    <cellStyle name="Comma 4 2 7" xfId="1609" xr:uid="{4E30939D-2574-440C-8B14-B830349B47A9}"/>
    <cellStyle name="Comma 4 3" xfId="726" xr:uid="{67127201-94F5-40AA-8AE2-FB81460347C4}"/>
    <cellStyle name="Comma 4 3 2" xfId="763" xr:uid="{5B7EC4E5-ECF7-4B15-A09D-23B645B4F88C}"/>
    <cellStyle name="Comma 4 3 2 2" xfId="918" xr:uid="{E658FB33-1557-4651-8E1C-BA142126A1E8}"/>
    <cellStyle name="Comma 4 3 2 2 2" xfId="1249" xr:uid="{C596C76D-ECDE-4A0D-9747-26845C136FB2}"/>
    <cellStyle name="Comma 4 3 2 2 2 2" xfId="1482" xr:uid="{92D06D19-0813-437A-80F1-ED18C108F715}"/>
    <cellStyle name="Comma 4 3 2 2 3" xfId="1366" xr:uid="{A7B0B188-956E-4DBD-99A4-E5758BECC5FE}"/>
    <cellStyle name="Comma 4 3 2 2 4" xfId="1130" xr:uid="{8A0EEEAE-AE6C-4963-BBA5-59EDC018D60A}"/>
    <cellStyle name="Comma 4 3 2 3" xfId="988" xr:uid="{C03078A6-19C3-4289-81C7-E8AA019F220E}"/>
    <cellStyle name="Comma 4 3 2 3 2" xfId="1426" xr:uid="{FFEE48A5-F665-4DF0-B7B7-4E37A8A4A939}"/>
    <cellStyle name="Comma 4 3 2 3 3" xfId="1193" xr:uid="{09AAF5DC-B974-42A4-AF2D-32BD1EC925FE}"/>
    <cellStyle name="Comma 4 3 2 4" xfId="1310" xr:uid="{AF59D94F-F15B-48EA-B21F-AC432AC23454}"/>
    <cellStyle name="Comma 4 3 2 5" xfId="1073" xr:uid="{26067BA4-3E55-4DA0-8E34-9551523DB588}"/>
    <cellStyle name="Comma 4 3 3" xfId="885" xr:uid="{8A87DA2E-AA61-4561-B5E8-4813CC7D4658}"/>
    <cellStyle name="Comma 4 3 3 2" xfId="1219" xr:uid="{575DA251-2CA0-401E-B426-9076F102FB9E}"/>
    <cellStyle name="Comma 4 3 3 2 2" xfId="1452" xr:uid="{4E9F9CAD-E96D-4636-92B0-707D07BC2F48}"/>
    <cellStyle name="Comma 4 3 3 3" xfId="1336" xr:uid="{30E8549D-535B-4380-B876-0EE75E63C991}"/>
    <cellStyle name="Comma 4 3 3 4" xfId="1100" xr:uid="{047C5DE1-2659-45EB-A103-18F7B40CFCE4}"/>
    <cellStyle name="Comma 4 3 4" xfId="958" xr:uid="{85799808-3E9F-42A6-BF19-48433923D002}"/>
    <cellStyle name="Comma 4 3 4 2" xfId="1400" xr:uid="{0550F9F1-B02D-454E-94D7-589ACB208F92}"/>
    <cellStyle name="Comma 4 3 4 3" xfId="1167" xr:uid="{1C29E861-3E06-47A1-94E3-8AF606845AC6}"/>
    <cellStyle name="Comma 4 3 5" xfId="1284" xr:uid="{CF437CAC-360E-4884-AF60-368B11CB6458}"/>
    <cellStyle name="Comma 4 3 6" xfId="1047" xr:uid="{C0A5D906-73E8-49A9-A601-A6CE3F8B5C5D}"/>
    <cellStyle name="Comma 4 3 7" xfId="1641" xr:uid="{161C6614-5553-4531-A455-85DD98A38AB3}"/>
    <cellStyle name="Comma 4 4" xfId="747" xr:uid="{0B9BCA44-DFFA-4CC3-A75B-421218FEFFE8}"/>
    <cellStyle name="Comma 4 4 2" xfId="902" xr:uid="{C8BDA6AB-74B3-4D08-A410-54F4E97BF3FC}"/>
    <cellStyle name="Comma 4 4 2 2" xfId="1233" xr:uid="{E77F1A97-F579-4335-A04C-D57E5835BC85}"/>
    <cellStyle name="Comma 4 4 2 2 2" xfId="1466" xr:uid="{A4D9D4A8-EF3C-496E-9E8D-C9F187AF6641}"/>
    <cellStyle name="Comma 4 4 2 3" xfId="1350" xr:uid="{19A4DDEC-1099-4BCC-BFB7-B0554E937F32}"/>
    <cellStyle name="Comma 4 4 2 4" xfId="1114" xr:uid="{215A50F9-63DE-436F-ABB5-D560B8641C69}"/>
    <cellStyle name="Comma 4 4 3" xfId="972" xr:uid="{01CD0DAF-2A1A-45AC-A428-611E56F68FA8}"/>
    <cellStyle name="Comma 4 4 3 2" xfId="1410" xr:uid="{451E20B6-7523-4933-83F0-6F2A8A63B3C5}"/>
    <cellStyle name="Comma 4 4 3 3" xfId="1177" xr:uid="{01ED00B4-BAD8-4B65-B432-748338A35FA0}"/>
    <cellStyle name="Comma 4 4 4" xfId="1294" xr:uid="{D2908565-DD96-4CD4-A8F9-F79AF8BDE1F7}"/>
    <cellStyle name="Comma 4 4 5" xfId="1057" xr:uid="{E0EAB927-C99B-4228-BC3E-8F0B521DA070}"/>
    <cellStyle name="Comma 4 5" xfId="863" xr:uid="{3EFD697D-D6C4-4CA7-B04E-B6412980BE8E}"/>
    <cellStyle name="Comma 4 5 2" xfId="1203" xr:uid="{AF133694-6241-4138-ABAC-4AB6FC6ECA78}"/>
    <cellStyle name="Comma 4 5 2 2" xfId="1436" xr:uid="{A37C04A3-570D-4FE6-BD1A-17C18A9E005E}"/>
    <cellStyle name="Comma 4 5 3" xfId="1320" xr:uid="{B197301A-741B-4433-973F-5E1E0E023447}"/>
    <cellStyle name="Comma 4 5 4" xfId="1084" xr:uid="{1EE9568E-58C4-415B-AF12-B388F50F8338}"/>
    <cellStyle name="Comma 4 6" xfId="942" xr:uid="{61C3D071-B490-470C-976E-9FEA44632C71}"/>
    <cellStyle name="Comma 4 6 2" xfId="1384" xr:uid="{2AE5B1D2-6D68-4937-9D3D-0CD5365CB6DC}"/>
    <cellStyle name="Comma 4 6 3" xfId="1151" xr:uid="{05EEA04F-4961-47B1-9E84-9A4BFDCDDA3D}"/>
    <cellStyle name="Comma 4 7" xfId="1268" xr:uid="{7F0F30CE-4CA9-4A1E-9660-386E4D681100}"/>
    <cellStyle name="Comma 4 8" xfId="1031" xr:uid="{1C1658A9-D38B-4BE5-916F-FA668E383A19}"/>
    <cellStyle name="Comma 4 9" xfId="698" xr:uid="{403C2BF1-19F8-4B11-8FB8-2357CD776909}"/>
    <cellStyle name="Comma 5" xfId="51" xr:uid="{00000000-0005-0000-0000-00002A000000}"/>
    <cellStyle name="Comma 5 2" xfId="741" xr:uid="{D478268A-DF0C-4B5B-BBEF-00FA1734E830}"/>
    <cellStyle name="Comma 5 3" xfId="1674" xr:uid="{4B301C7C-F3C5-46D6-8D78-5A269F48FF28}"/>
    <cellStyle name="Comma 6" xfId="52" xr:uid="{00000000-0005-0000-0000-00002B000000}"/>
    <cellStyle name="Comma 6 2" xfId="895" xr:uid="{F255B425-0280-4CF8-89B6-EBB2DEB02552}"/>
    <cellStyle name="Comma 6 2 2" xfId="1255" xr:uid="{704A244E-5A2F-4111-8E9C-2B938158BD5D}"/>
    <cellStyle name="Comma 6 2 2 2" xfId="1488" xr:uid="{9297EA6E-2CCB-4112-AF77-09EC4E4C5152}"/>
    <cellStyle name="Comma 6 2 3" xfId="1372" xr:uid="{7E23E9E1-6CEE-4A2F-8C5E-CE28F4FE14D3}"/>
    <cellStyle name="Comma 6 2 4" xfId="1136" xr:uid="{350B5B09-4779-4312-8758-D4340CF22AA9}"/>
    <cellStyle name="Comma 6 3" xfId="966" xr:uid="{6A26894F-FD4A-4F90-BFB9-AE902B473A5C}"/>
    <cellStyle name="Comma 6 3 2" xfId="1460" xr:uid="{39475F79-9885-4357-B4C1-05F47188DE1B}"/>
    <cellStyle name="Comma 6 3 3" xfId="1227" xr:uid="{18FF843B-5F8B-4F38-B119-D2C05ADBC0D3}"/>
    <cellStyle name="Comma 6 4" xfId="1344" xr:uid="{DBD9FCEF-F0D2-4017-9B9B-19883A39E7D5}"/>
    <cellStyle name="Comma 6 5" xfId="1108" xr:uid="{F50B1894-6A6C-4E4A-AB3F-58439678ADF2}"/>
    <cellStyle name="Comma 6 6" xfId="738" xr:uid="{A9251E0A-8C2F-49D9-A754-368AFE55B188}"/>
    <cellStyle name="Comma 6 7" xfId="1687" xr:uid="{27BF2C85-18BB-4F3D-B71A-489F5A9A30D0}"/>
    <cellStyle name="Comma 7" xfId="102" xr:uid="{D5206E47-2A95-4FF1-9589-DA112C04A81A}"/>
    <cellStyle name="Comma 7 2" xfId="1139" xr:uid="{59452356-5177-4B48-872B-45F54E602F39}"/>
    <cellStyle name="Comma 7 3" xfId="872" xr:uid="{E7864F6D-C031-4AC2-9E32-1C2D4D8E89CF}"/>
    <cellStyle name="Comma 7 4" xfId="1528" xr:uid="{9114E8B8-6A58-43C1-A5B1-35829673A44E}"/>
    <cellStyle name="Comma 8" xfId="1143" xr:uid="{0FD88E57-14A1-40FC-9477-C96E25492CE0}"/>
    <cellStyle name="Comma 8 2" xfId="1373" xr:uid="{0BB19685-7025-45A9-8241-45B89BCC565C}"/>
    <cellStyle name="Comma 9" xfId="1257" xr:uid="{971631FA-90B2-4CD7-93DD-3F784E81F85A}"/>
    <cellStyle name="Comma0" xfId="7" xr:uid="{00000000-0005-0000-0000-00002D000000}"/>
    <cellStyle name="Currency 2" xfId="12" xr:uid="{00000000-0005-0000-0000-00002F000000}"/>
    <cellStyle name="Currency 2 2" xfId="699" xr:uid="{CCB3356E-8847-428F-9561-B52CF2B5D2E2}"/>
    <cellStyle name="Currency 2 2 2" xfId="1608" xr:uid="{208E9C23-43B5-4F69-8B65-01537819225E}"/>
    <cellStyle name="Currency 2 3" xfId="690" xr:uid="{9C4D7435-CAEA-4E1C-AF51-D7C33A5A362E}"/>
    <cellStyle name="Currency 2 3 2" xfId="1640" xr:uid="{69C8B5FF-9F26-4822-879B-C9763D573929}"/>
    <cellStyle name="Currency 2 4" xfId="865" xr:uid="{8C3B8BBD-B628-4F2B-8D55-97666F333DE1}"/>
    <cellStyle name="Currency 2 5" xfId="1012" xr:uid="{2B08C812-A7E7-4016-93C8-C0DB4CB6968D}"/>
    <cellStyle name="Currency 2 6" xfId="484" xr:uid="{85D9DD75-2F9D-4F20-9400-0DF1B67F12D8}"/>
    <cellStyle name="Currency 2 7" xfId="1572" xr:uid="{F70DAD11-0C4F-4AEC-8C4F-9D99939DBE4C}"/>
    <cellStyle name="Currency 2 8" xfId="1675" xr:uid="{08E55008-A2B1-4FDA-B20F-E24AA7E138AB}"/>
    <cellStyle name="Currency 2 9" xfId="1707" xr:uid="{52D5D091-A498-404C-B845-99382659D41C}"/>
    <cellStyle name="Currency 3" xfId="53" xr:uid="{00000000-0005-0000-0000-000030000000}"/>
    <cellStyle name="Currency 3 2" xfId="700" xr:uid="{F12677A6-4868-46D1-8874-DF53244EE9F2}"/>
    <cellStyle name="Currency 3 3" xfId="691" xr:uid="{8C0C9F5B-7CBC-4E61-B5B1-D7F321083EB5}"/>
    <cellStyle name="Currency 3 4" xfId="847" xr:uid="{A9840730-335F-4017-8C21-E00A0D19E2FE}"/>
    <cellStyle name="Currency 4" xfId="54" xr:uid="{00000000-0005-0000-0000-000031000000}"/>
    <cellStyle name="Currency 4 2" xfId="1024" xr:uid="{C7D9E384-5727-432F-96D9-82CF94516DD6}"/>
    <cellStyle name="Currency 4 3" xfId="1676" xr:uid="{0190E267-553C-42E6-A6C1-58ADD02C5C7E}"/>
    <cellStyle name="Currency 5" xfId="485" xr:uid="{C7B28150-23F3-45C8-963D-555E5B2F35A2}"/>
    <cellStyle name="Currency 6" xfId="1653" xr:uid="{1D36D290-9B8D-4366-9EA3-7B24D5CEBF63}"/>
    <cellStyle name="Currency0" xfId="8" xr:uid="{00000000-0005-0000-0000-000032000000}"/>
    <cellStyle name="Currency0 2" xfId="1574" xr:uid="{A67DA7F1-FDCC-4193-82F7-5AAABD13B541}"/>
    <cellStyle name="Date" xfId="9" xr:uid="{00000000-0005-0000-0000-000033000000}"/>
    <cellStyle name="Explanatory Text 10" xfId="486" xr:uid="{3F568998-35F7-44A2-9AEC-A813F95A59CE}"/>
    <cellStyle name="Explanatory Text 11" xfId="487" xr:uid="{5FC0FBBC-85B9-45FD-8B6D-CA82D2F1478C}"/>
    <cellStyle name="Explanatory Text 12" xfId="488" xr:uid="{444080BA-CCBC-47B4-82A2-112260A77878}"/>
    <cellStyle name="Explanatory Text 13" xfId="489" xr:uid="{2C2D7632-5C19-4DCD-98DD-F85174427DE2}"/>
    <cellStyle name="Explanatory Text 14" xfId="490" xr:uid="{09616D64-CBE4-4F8D-B345-186D66FA5AFB}"/>
    <cellStyle name="Explanatory Text 15" xfId="491" xr:uid="{C1D71F60-2F1B-47F4-A1FF-22279A29821E}"/>
    <cellStyle name="Explanatory Text 16" xfId="858" xr:uid="{5E0802C2-FAC0-4F40-B18D-7EDA62AA95A1}"/>
    <cellStyle name="Explanatory Text 2" xfId="55" xr:uid="{00000000-0005-0000-0000-000034000000}"/>
    <cellStyle name="Explanatory Text 2 2" xfId="812" xr:uid="{0AC47521-27F7-42DA-B27B-6855D64DA743}"/>
    <cellStyle name="Explanatory Text 2 3" xfId="492" xr:uid="{B8CAF406-178C-404F-AE8E-50A5F2C419F4}"/>
    <cellStyle name="Explanatory Text 3" xfId="493" xr:uid="{3DE7E739-A21D-4074-8DD5-9A974430DDFB}"/>
    <cellStyle name="Explanatory Text 4" xfId="494" xr:uid="{156BF659-3287-4DEB-BCA8-8C04E0893A73}"/>
    <cellStyle name="Explanatory Text 5" xfId="495" xr:uid="{48106F97-63CD-40B9-9462-C458763860F2}"/>
    <cellStyle name="Explanatory Text 6" xfId="496" xr:uid="{EE422B80-A024-477E-8C69-0FAAC5D0CFAC}"/>
    <cellStyle name="Explanatory Text 7" xfId="497" xr:uid="{AFDE6411-3EEE-44AC-B8BF-FA204E5051BF}"/>
    <cellStyle name="Explanatory Text 8" xfId="498" xr:uid="{7BB4893F-B03E-4570-9C80-D4AA4418FA3D}"/>
    <cellStyle name="Explanatory Text 9" xfId="499" xr:uid="{F05F9865-3553-41D8-830A-071B8A90EE20}"/>
    <cellStyle name="Fixed" xfId="10" xr:uid="{00000000-0005-0000-0000-000035000000}"/>
    <cellStyle name="Good 10" xfId="500" xr:uid="{C451AD54-ABF5-4565-B12E-1F6E359DC56B}"/>
    <cellStyle name="Good 11" xfId="501" xr:uid="{477B308C-2A42-4289-8388-841D4F3C01F2}"/>
    <cellStyle name="Good 12" xfId="502" xr:uid="{EED55874-ACA9-43D4-B0F8-9F8CFA3B7EBB}"/>
    <cellStyle name="Good 13" xfId="503" xr:uid="{06738BA4-B842-4E0D-8F29-E7AABAC7C2D0}"/>
    <cellStyle name="Good 14" xfId="504" xr:uid="{F6D303B6-E67A-47E9-8A88-DA7D3C546EB6}"/>
    <cellStyle name="Good 15" xfId="505" xr:uid="{07A1B848-DAF0-4DF4-A5A8-C1DA38F2899A}"/>
    <cellStyle name="Good 16" xfId="854" xr:uid="{99305D87-F9C9-4A92-A870-2CE2C13B233B}"/>
    <cellStyle name="Good 2" xfId="56" xr:uid="{00000000-0005-0000-0000-000036000000}"/>
    <cellStyle name="Good 2 2" xfId="802" xr:uid="{C8062E05-3AC3-4A7D-B3D2-A8C659F209A7}"/>
    <cellStyle name="Good 2 3" xfId="506" xr:uid="{E6E0D2CD-8100-4FCE-A179-F74656B8C726}"/>
    <cellStyle name="Good 3" xfId="507" xr:uid="{D412163F-CAF5-4F3E-B5D9-154CD32B3649}"/>
    <cellStyle name="Good 4" xfId="508" xr:uid="{5163F374-85F1-45C6-A3BF-73D9F4281B84}"/>
    <cellStyle name="Good 5" xfId="509" xr:uid="{E41196D2-18A9-4FAB-A024-99F795C3A322}"/>
    <cellStyle name="Good 6" xfId="510" xr:uid="{686E4C23-FE4E-424C-86B5-FF2A3875654A}"/>
    <cellStyle name="Good 7" xfId="511" xr:uid="{DDFE59F5-E3FE-489A-A546-D535A98225B7}"/>
    <cellStyle name="Good 8" xfId="512" xr:uid="{1D6A403A-D8BE-4EE0-AF00-FBA64FF55CB2}"/>
    <cellStyle name="Good 9" xfId="513" xr:uid="{BCA1139F-F4D8-4CFA-B409-BE5FF150E196}"/>
    <cellStyle name="Grey" xfId="57" xr:uid="{00000000-0005-0000-0000-000037000000}"/>
    <cellStyle name="Grey 2" xfId="58" xr:uid="{00000000-0005-0000-0000-000038000000}"/>
    <cellStyle name="Heading 1 10" xfId="514" xr:uid="{9E624CDE-0423-440C-A4ED-02BA57126B0A}"/>
    <cellStyle name="Heading 1 11" xfId="515" xr:uid="{420CD4AA-C500-43DA-857C-C54649CDD88B}"/>
    <cellStyle name="Heading 1 12" xfId="516" xr:uid="{ED610558-97CF-4C75-8634-AC453831E2A7}"/>
    <cellStyle name="Heading 1 13" xfId="517" xr:uid="{DF3CBB7A-DAC3-43DE-9208-7E0509BE0979}"/>
    <cellStyle name="Heading 1 14" xfId="518" xr:uid="{E35E3306-7E01-4D7E-A942-2DA12E860C2B}"/>
    <cellStyle name="Heading 1 15" xfId="519" xr:uid="{8A590370-8506-4CB7-9C25-363C8FC5ADB6}"/>
    <cellStyle name="Heading 1 16" xfId="859" xr:uid="{F31F6FF6-09B3-4267-84F6-6FFB2F75E5BE}"/>
    <cellStyle name="Heading 1 2" xfId="59" xr:uid="{00000000-0005-0000-0000-000039000000}"/>
    <cellStyle name="Heading 1 2 2" xfId="798" xr:uid="{42114794-85CD-4DC9-9E32-AF5DC4D513C5}"/>
    <cellStyle name="Heading 1 2 3" xfId="520" xr:uid="{442B69F2-4020-4257-9FF0-33B86FEEF72F}"/>
    <cellStyle name="Heading 1 3" xfId="521" xr:uid="{B734E738-71C1-413E-BBE8-89B6B36CE6B8}"/>
    <cellStyle name="Heading 1 4" xfId="522" xr:uid="{F7EF0496-19E7-4393-998C-58E5A1034A4D}"/>
    <cellStyle name="Heading 1 5" xfId="523" xr:uid="{56A7BF5C-A8A0-425C-95B1-EA1F23847572}"/>
    <cellStyle name="Heading 1 6" xfId="524" xr:uid="{C2B4BA43-BB9D-4D8F-B5DA-134E183331EF}"/>
    <cellStyle name="Heading 1 7" xfId="525" xr:uid="{9F6A45B5-23B9-47B1-AEB6-7E721373A1AC}"/>
    <cellStyle name="Heading 1 8" xfId="526" xr:uid="{798AA96D-96A8-4B59-802A-BA99B94902A4}"/>
    <cellStyle name="Heading 1 9" xfId="527" xr:uid="{EF77EB25-2DAB-4D59-921C-0131F9D0B75F}"/>
    <cellStyle name="Heading 2 10" xfId="528" xr:uid="{B5AA27F0-304F-4E99-B21C-8B8712FA4165}"/>
    <cellStyle name="Heading 2 11" xfId="529" xr:uid="{A1D4FE1F-312F-43DB-8CFD-F201869E9B3C}"/>
    <cellStyle name="Heading 2 12" xfId="530" xr:uid="{4007DB4B-D3E9-426D-A7FA-ED0A696AAAF6}"/>
    <cellStyle name="Heading 2 13" xfId="531" xr:uid="{B28FA389-45DF-4AB1-8897-277C23CC3FA7}"/>
    <cellStyle name="Heading 2 14" xfId="532" xr:uid="{5A8C742C-DB19-4EC4-835D-AFC511F93C94}"/>
    <cellStyle name="Heading 2 15" xfId="533" xr:uid="{FA6DE6E7-A037-4E73-AA35-579E61882E7D}"/>
    <cellStyle name="Heading 2 16" xfId="857" xr:uid="{BAC56A11-6A84-4DC7-8A7C-A95273358D05}"/>
    <cellStyle name="Heading 2 2" xfId="60" xr:uid="{00000000-0005-0000-0000-00003A000000}"/>
    <cellStyle name="Heading 2 2 2" xfId="797" xr:uid="{1EC90361-A88E-41E1-B673-8AE5818ECE13}"/>
    <cellStyle name="Heading 2 2 3" xfId="534" xr:uid="{7FC0C457-DBDB-41AD-BEED-45FB73286358}"/>
    <cellStyle name="Heading 2 3" xfId="535" xr:uid="{CB578845-A402-4794-8ECA-F4A5BC80A61C}"/>
    <cellStyle name="Heading 2 4" xfId="536" xr:uid="{DC34F801-A50C-4B02-8269-B1A07F547300}"/>
    <cellStyle name="Heading 2 5" xfId="537" xr:uid="{E412664C-4AC0-4537-9FDD-E07EFCA87B1B}"/>
    <cellStyle name="Heading 2 6" xfId="538" xr:uid="{D4DB2174-C562-4ADE-9FA7-0FEE935AAAB7}"/>
    <cellStyle name="Heading 2 7" xfId="539" xr:uid="{DEDC2B60-1B69-4826-9336-1B2BC2A3B799}"/>
    <cellStyle name="Heading 2 8" xfId="540" xr:uid="{ECA80A98-A669-4991-B231-3FF18FE8AE11}"/>
    <cellStyle name="Heading 2 9" xfId="541" xr:uid="{74B44C0C-BC2A-46CE-879D-E71314F03F44}"/>
    <cellStyle name="Heading 3 10" xfId="542" xr:uid="{0056499D-0B1B-48E3-AFF7-E47A76DDBBFE}"/>
    <cellStyle name="Heading 3 11" xfId="543" xr:uid="{CC48EB8F-6D56-4FAF-95CE-0BFFDB329924}"/>
    <cellStyle name="Heading 3 12" xfId="544" xr:uid="{ED196745-9F63-4C62-9954-D54724F889B3}"/>
    <cellStyle name="Heading 3 13" xfId="545" xr:uid="{2ADA19A8-28E1-4633-BE46-D04DCBD133BE}"/>
    <cellStyle name="Heading 3 14" xfId="546" xr:uid="{D269FC63-B8A0-4224-A885-4DFBDC82C17F}"/>
    <cellStyle name="Heading 3 15" xfId="547" xr:uid="{5C574794-0860-4AF0-805D-7059BDDF9022}"/>
    <cellStyle name="Heading 3 16" xfId="856" xr:uid="{F9DBED36-4DDE-44EA-B350-14A3ED9668CA}"/>
    <cellStyle name="Heading 3 2" xfId="61" xr:uid="{00000000-0005-0000-0000-00003B000000}"/>
    <cellStyle name="Heading 3 2 2" xfId="800" xr:uid="{E3A44095-41C1-4888-B770-A3C44C563613}"/>
    <cellStyle name="Heading 3 2 3" xfId="548" xr:uid="{CD0C936A-A37F-45B3-A551-1CCD5983472B}"/>
    <cellStyle name="Heading 3 3" xfId="549" xr:uid="{4B632B50-B86A-4BD6-B70A-410C94453E8F}"/>
    <cellStyle name="Heading 3 4" xfId="550" xr:uid="{A35712B7-3017-47E0-81A2-4EB9F398CD91}"/>
    <cellStyle name="Heading 3 5" xfId="551" xr:uid="{14F4B2F7-EA1B-4CD7-8338-A3B55E765F77}"/>
    <cellStyle name="Heading 3 6" xfId="552" xr:uid="{642493DE-887B-4A06-A06A-6297B3FF8999}"/>
    <cellStyle name="Heading 3 7" xfId="553" xr:uid="{6E4F8E46-5828-4BAE-A973-606B191C211D}"/>
    <cellStyle name="Heading 3 8" xfId="554" xr:uid="{DB0E6BED-7A26-4E75-B093-BD43156578FD}"/>
    <cellStyle name="Heading 3 9" xfId="555" xr:uid="{358BCA0B-38E7-4986-A011-02C672C2C349}"/>
    <cellStyle name="Heading 4 10" xfId="556" xr:uid="{8B115146-7BB8-4B81-861F-32A38D1DBE13}"/>
    <cellStyle name="Heading 4 11" xfId="557" xr:uid="{BA5FBD86-1D09-487F-B698-4D3B26279FC9}"/>
    <cellStyle name="Heading 4 12" xfId="558" xr:uid="{AE6058B7-193F-4532-A06B-9F23221B3D5D}"/>
    <cellStyle name="Heading 4 13" xfId="559" xr:uid="{7A980230-E901-4F9D-816D-5ACD164F95CD}"/>
    <cellStyle name="Heading 4 14" xfId="560" xr:uid="{F1EC93E7-7A54-45EF-B8C6-A9AACB5D888E}"/>
    <cellStyle name="Heading 4 15" xfId="561" xr:uid="{8AAD284E-8998-43F6-A97F-9397F17CCAAE}"/>
    <cellStyle name="Heading 4 16" xfId="899" xr:uid="{7CF9C2C5-5603-43A8-932A-DF6B5880F72B}"/>
    <cellStyle name="Heading 4 2" xfId="62" xr:uid="{00000000-0005-0000-0000-00003C000000}"/>
    <cellStyle name="Heading 4 2 2" xfId="801" xr:uid="{AF5481CE-3F5B-4067-AC2F-59C876B89B71}"/>
    <cellStyle name="Heading 4 2 3" xfId="562" xr:uid="{4DBCF3A6-B5C3-4771-885C-DA6694A7F581}"/>
    <cellStyle name="Heading 4 3" xfId="563" xr:uid="{53D5D40A-B907-4F0D-BBC7-B9A14AD06670}"/>
    <cellStyle name="Heading 4 4" xfId="564" xr:uid="{F6074E72-6FB2-42ED-8CA7-1E28CCAA9BD5}"/>
    <cellStyle name="Heading 4 5" xfId="565" xr:uid="{DDA30D74-ADE2-4D38-ADB8-C2E6CF93F16A}"/>
    <cellStyle name="Heading 4 6" xfId="566" xr:uid="{76AC7961-3DBE-4A30-871C-01E62F713E82}"/>
    <cellStyle name="Heading 4 7" xfId="567" xr:uid="{4974BFD7-F728-4875-9874-91F45EDDA4BB}"/>
    <cellStyle name="Heading 4 8" xfId="568" xr:uid="{BB57A0B3-EE28-4776-BAEF-6376EF2FAFC8}"/>
    <cellStyle name="Heading 4 9" xfId="569" xr:uid="{BFED68BB-B5AF-46C2-8CBF-5080D92E4AFB}"/>
    <cellStyle name="Hyperlink 2" xfId="860" xr:uid="{19815D14-47F1-4C40-8908-1673DE960848}"/>
    <cellStyle name="Hyperlink 2 2" xfId="1079" xr:uid="{B7941911-38B4-4FE7-BACD-288A82ABB0C8}"/>
    <cellStyle name="Hyperlink 3" xfId="791" xr:uid="{7A09522E-D196-42F7-B014-32412D80B9F6}"/>
    <cellStyle name="Hyperlink 4" xfId="1523" xr:uid="{235BE327-B228-457D-94C2-FC138186B686}"/>
    <cellStyle name="Hyperlink 5" xfId="1530" xr:uid="{91A199C1-5D5B-498A-9C86-73CB2DB0B42E}"/>
    <cellStyle name="Input [yellow]" xfId="63" xr:uid="{00000000-0005-0000-0000-00003D000000}"/>
    <cellStyle name="Input [yellow] 2" xfId="64" xr:uid="{00000000-0005-0000-0000-00003E000000}"/>
    <cellStyle name="Input [yellow] 2 2" xfId="1677" xr:uid="{5CBFF44D-5D78-4A9C-880A-4FD424D11D0E}"/>
    <cellStyle name="Input [yellow] 3" xfId="1575" xr:uid="{D16E7B25-5563-4B06-ACDF-0D7B628DC97A}"/>
    <cellStyle name="Input [yellow] 4" xfId="1646" xr:uid="{35359276-7EED-4A9F-A48F-A426D1C05BF9}"/>
    <cellStyle name="Input 10" xfId="570" xr:uid="{069DF234-84A1-4E00-A14F-7863896AA320}"/>
    <cellStyle name="Input 11" xfId="571" xr:uid="{CE6A837F-79AF-4FC5-9784-7ED9953EC354}"/>
    <cellStyle name="Input 12" xfId="572" xr:uid="{18AB055D-95D5-40A6-B334-75565775AAAA}"/>
    <cellStyle name="Input 13" xfId="573" xr:uid="{E9EDB48C-7B77-456C-8AAE-14670AEFC864}"/>
    <cellStyle name="Input 14" xfId="574" xr:uid="{373C56A7-1B4E-4846-9B18-50CE4B182894}"/>
    <cellStyle name="Input 15" xfId="575" xr:uid="{EB3C41C1-EA4C-4F90-B9E4-615EC0280012}"/>
    <cellStyle name="Input 16" xfId="852" xr:uid="{AA092E4D-9BD3-4E34-9B51-C1A7AB92F3D9}"/>
    <cellStyle name="Input 17" xfId="928" xr:uid="{A5FC5402-8443-4CFE-B8BB-04E05BF3122A}"/>
    <cellStyle name="Input 18" xfId="927" xr:uid="{5DD1FDA6-9E91-44BF-9711-D61B26D3FD88}"/>
    <cellStyle name="Input 19" xfId="926" xr:uid="{3BB892ED-CF61-4FBA-B3DD-F8D4B74AE053}"/>
    <cellStyle name="Input 2" xfId="65" xr:uid="{00000000-0005-0000-0000-00003F000000}"/>
    <cellStyle name="Input 2 2" xfId="805" xr:uid="{E3715E8F-709E-4A08-AEF7-D54EB62A7FD8}"/>
    <cellStyle name="Input 2 3" xfId="576" xr:uid="{D34BDCDB-1998-43C6-BC40-5E036E8649E0}"/>
    <cellStyle name="Input 20" xfId="934" xr:uid="{38FAA33F-2AF3-476E-B1B1-E5248307639C}"/>
    <cellStyle name="Input 21" xfId="1542" xr:uid="{48F8FE0A-D177-44BC-AC5D-C6B1B009C84D}"/>
    <cellStyle name="Input 22" xfId="1540" xr:uid="{7AC07D71-37BC-48AF-95B4-5171B3D34CD9}"/>
    <cellStyle name="Input 23" xfId="1648" xr:uid="{C4E14F13-BFA4-45FE-9BC7-1AE1E056399D}"/>
    <cellStyle name="Input 24" xfId="1645" xr:uid="{1842796D-12E1-43C2-8712-D61AC4CD2DEA}"/>
    <cellStyle name="Input 25" xfId="1548" xr:uid="{6DFEB0B4-0CAA-48EE-B83F-B3AD170702E4}"/>
    <cellStyle name="Input 26" xfId="1559" xr:uid="{3FA2D9F5-E587-4AEA-9A78-8B0C129D5290}"/>
    <cellStyle name="Input 3" xfId="577" xr:uid="{F53E2F5D-33EB-4FE2-AF79-C2A1FAA86F0E}"/>
    <cellStyle name="Input 4" xfId="578" xr:uid="{49058892-9165-4E66-8EEA-2AFA430B8DEC}"/>
    <cellStyle name="Input 5" xfId="579" xr:uid="{A312C826-AEF1-48B7-AA47-DF7CA0243D79}"/>
    <cellStyle name="Input 6" xfId="580" xr:uid="{7D67E213-7EB0-4F3E-91C3-FA387B1DEDF1}"/>
    <cellStyle name="Input 7" xfId="581" xr:uid="{ECEB7560-00DD-4419-BBFD-1D266401279E}"/>
    <cellStyle name="Input 8" xfId="582" xr:uid="{E9882AD8-260E-4025-B4A7-6164E193ADA4}"/>
    <cellStyle name="Input 9" xfId="583" xr:uid="{A42343CE-E863-4020-9ACF-21FF6F93DA8F}"/>
    <cellStyle name="Linked Cell 10" xfId="584" xr:uid="{B21F4A40-B749-4006-BA69-DD93F4F95645}"/>
    <cellStyle name="Linked Cell 11" xfId="585" xr:uid="{7C5E111D-2754-40AF-85CF-BD920860561D}"/>
    <cellStyle name="Linked Cell 12" xfId="586" xr:uid="{67355B33-B838-4142-A59A-DA682EDD41CA}"/>
    <cellStyle name="Linked Cell 13" xfId="587" xr:uid="{C24ABC20-0F0E-42C9-A66D-46C1DF61572A}"/>
    <cellStyle name="Linked Cell 14" xfId="588" xr:uid="{7BAC505C-1347-47BB-94C1-4BF5F93D8489}"/>
    <cellStyle name="Linked Cell 15" xfId="589" xr:uid="{F2314CE8-4249-40BB-9A62-8E163E0150B8}"/>
    <cellStyle name="Linked Cell 16" xfId="893" xr:uid="{83678AE8-03BC-4101-8573-36E493C3A34D}"/>
    <cellStyle name="Linked Cell 2" xfId="66" xr:uid="{00000000-0005-0000-0000-000040000000}"/>
    <cellStyle name="Linked Cell 2 2" xfId="808" xr:uid="{CFF4BC8D-A982-40A0-B526-0EA910458D3B}"/>
    <cellStyle name="Linked Cell 2 3" xfId="590" xr:uid="{49F0270A-FD95-4073-B548-2A0E4E22E41C}"/>
    <cellStyle name="Linked Cell 3" xfId="591" xr:uid="{A4ABCC8F-849D-4690-826F-522012C9B1E0}"/>
    <cellStyle name="Linked Cell 4" xfId="592" xr:uid="{F5055E08-3357-44CC-8CA5-30AAE9D24F9C}"/>
    <cellStyle name="Linked Cell 5" xfId="593" xr:uid="{D07BE249-6F9C-440A-9641-503066FDD0F7}"/>
    <cellStyle name="Linked Cell 6" xfId="594" xr:uid="{39D6E0B0-9681-4C5A-87A3-87A5B4900297}"/>
    <cellStyle name="Linked Cell 7" xfId="595" xr:uid="{ECFB7E7E-23BD-4786-921E-428DFD12CEC7}"/>
    <cellStyle name="Linked Cell 8" xfId="596" xr:uid="{A13B6203-94E6-465B-88C0-8333B7EFF1CB}"/>
    <cellStyle name="Linked Cell 9" xfId="597" xr:uid="{814C020F-504A-49DB-B60F-40E62953FEEF}"/>
    <cellStyle name="M" xfId="67" xr:uid="{00000000-0005-0000-0000-000041000000}"/>
    <cellStyle name="M.00" xfId="68" xr:uid="{00000000-0005-0000-0000-000042000000}"/>
    <cellStyle name="M_9. Rev2Cost_GDPIPI" xfId="69" xr:uid="{00000000-0005-0000-0000-000043000000}"/>
    <cellStyle name="M_lists" xfId="70" xr:uid="{00000000-0005-0000-0000-000044000000}"/>
    <cellStyle name="M_lists_4. Current Monthly Fixed Charge" xfId="71" xr:uid="{00000000-0005-0000-0000-000045000000}"/>
    <cellStyle name="M_Sheet4" xfId="72" xr:uid="{00000000-0005-0000-0000-000046000000}"/>
    <cellStyle name="Neutral 10" xfId="598" xr:uid="{6F95EAEC-D219-47AA-818A-6412A59B782E}"/>
    <cellStyle name="Neutral 11" xfId="599" xr:uid="{AB5A434D-7685-4E7B-B984-3B12A50B68C8}"/>
    <cellStyle name="Neutral 12" xfId="600" xr:uid="{F94ACB22-8D04-4F3E-98E2-E51863D5BA55}"/>
    <cellStyle name="Neutral 13" xfId="601" xr:uid="{A23CA9BD-6F4B-4D44-82A7-D0BFD3375E7E}"/>
    <cellStyle name="Neutral 14" xfId="602" xr:uid="{4FD47164-5B43-454C-9A4A-9FDC9E9FEA35}"/>
    <cellStyle name="Neutral 15" xfId="603" xr:uid="{66C52A4E-60B4-4372-B326-1C34BBB46852}"/>
    <cellStyle name="Neutral 16" xfId="792" xr:uid="{E81E74C4-7F10-4522-AC98-50BD1DACA006}"/>
    <cellStyle name="Neutral 2" xfId="73" xr:uid="{00000000-0005-0000-0000-000047000000}"/>
    <cellStyle name="Neutral 2 2" xfId="804" xr:uid="{0A0FF0D2-A479-4191-A737-74B8277B8933}"/>
    <cellStyle name="Neutral 2 3" xfId="604" xr:uid="{94DE363B-90BE-4EC8-B725-DBD4849CAC16}"/>
    <cellStyle name="Neutral 3" xfId="605" xr:uid="{F6D2C34F-C9FB-4B15-884C-D3923FF3B004}"/>
    <cellStyle name="Neutral 4" xfId="606" xr:uid="{FB913938-7725-4FCF-B496-056091105E82}"/>
    <cellStyle name="Neutral 5" xfId="607" xr:uid="{5C7C171D-5911-4DC5-A06C-8C9929ECE242}"/>
    <cellStyle name="Neutral 6" xfId="608" xr:uid="{9FAE97F8-66CD-4CC8-BAD3-EC4497EF96E6}"/>
    <cellStyle name="Neutral 7" xfId="609" xr:uid="{8B9C3F4B-0AE1-4039-AE99-0B371EA450AC}"/>
    <cellStyle name="Neutral 8" xfId="610" xr:uid="{EBF9C081-925B-4056-AB2C-324936527996}"/>
    <cellStyle name="Neutral 9" xfId="611" xr:uid="{690673FD-C651-44D2-AAFE-9267319BA234}"/>
    <cellStyle name="Normal" xfId="0" builtinId="0"/>
    <cellStyle name="Normal - Style1" xfId="74" xr:uid="{00000000-0005-0000-0000-000049000000}"/>
    <cellStyle name="Normal 10" xfId="612" xr:uid="{352B99B7-E791-44FE-A409-3B6B22DBC66D}"/>
    <cellStyle name="Normal 10 2" xfId="1616" xr:uid="{9FDA585C-C9A8-49A2-ACEA-42CFE0957DE8}"/>
    <cellStyle name="Normal 11" xfId="613" xr:uid="{893E931D-4E9C-4905-A23B-BFF0440FB9E0}"/>
    <cellStyle name="Normal 11 2" xfId="1611" xr:uid="{DE524E45-84B4-466E-9A9E-98FAF53DA18C}"/>
    <cellStyle name="Normal 12" xfId="614" xr:uid="{8AE0198E-883C-4F6F-97E3-9C75B3AE60CE}"/>
    <cellStyle name="Normal 12 2" xfId="1615" xr:uid="{5B537B38-FD59-4F6C-B84A-A1E356E858B8}"/>
    <cellStyle name="Normal 13" xfId="615" xr:uid="{643DD5FB-F07D-4293-A038-42E059C88DDB}"/>
    <cellStyle name="Normal 13 2" xfId="1610" xr:uid="{BC588223-551B-491E-B4FF-F4EDD1F4A6AB}"/>
    <cellStyle name="Normal 14" xfId="616" xr:uid="{985BC5CD-E9C0-45ED-A7A9-F3178E7A8ACE}"/>
    <cellStyle name="Normal 14 2" xfId="1581" xr:uid="{00C23F26-461F-45C3-ACBC-06EEDF191C88}"/>
    <cellStyle name="Normal 15" xfId="617" xr:uid="{746CEED5-D31C-4B5E-B01C-999F254D400E}"/>
    <cellStyle name="Normal 15 2" xfId="1580" xr:uid="{E4793A64-8823-4FC0-806B-9DBBD0F66E99}"/>
    <cellStyle name="Normal 16" xfId="618" xr:uid="{8DB39564-67F8-484F-B1B0-00D66C338C64}"/>
    <cellStyle name="Normal 16 10" xfId="1259" xr:uid="{D11C47E5-D4E7-45C3-BB82-0A752B1F0015}"/>
    <cellStyle name="Normal 16 11" xfId="1015" xr:uid="{57D040D4-503F-40A1-90CD-1615B5E01440}"/>
    <cellStyle name="Normal 16 12" xfId="1525" xr:uid="{A8C1394D-571A-4DF2-9A7A-F3A896CB1989}"/>
    <cellStyle name="Normal 16 13" xfId="1605" xr:uid="{7393DD1E-A530-4689-AEE2-1C96D163242C}"/>
    <cellStyle name="Normal 16 2" xfId="702" xr:uid="{B5CB81A1-FB5B-4416-AC23-B698BDCF35B9}"/>
    <cellStyle name="Normal 16 2 2" xfId="719" xr:uid="{5B176D0D-6DDB-4F20-AC89-9B6D4F4B0722}"/>
    <cellStyle name="Normal 16 2 2 2" xfId="756" xr:uid="{CCED57E6-7CA4-42AD-800A-C43BD096FC98}"/>
    <cellStyle name="Normal 16 2 2 2 2" xfId="911" xr:uid="{EE8A9668-9D87-4B4A-BE05-070C101A8FA1}"/>
    <cellStyle name="Normal 16 2 2 2 2 2" xfId="1242" xr:uid="{8D2422FC-6AEF-4678-A368-A8C1CFEFEE16}"/>
    <cellStyle name="Normal 16 2 2 2 2 2 2" xfId="1475" xr:uid="{4298163A-3ADA-4F1D-AC69-9D98741656A0}"/>
    <cellStyle name="Normal 16 2 2 2 2 3" xfId="1359" xr:uid="{2E131CCB-E43A-4F00-BA88-6385D22F28ED}"/>
    <cellStyle name="Normal 16 2 2 2 2 4" xfId="1123" xr:uid="{37527739-35E6-4706-BBB9-48C6880812AD}"/>
    <cellStyle name="Normal 16 2 2 2 3" xfId="981" xr:uid="{8BCD1CF9-8159-48C3-A165-AB962B87DDD7}"/>
    <cellStyle name="Normal 16 2 2 2 3 2" xfId="1419" xr:uid="{2E9F9722-3CA5-438D-8D6D-7738B0984467}"/>
    <cellStyle name="Normal 16 2 2 2 3 3" xfId="1186" xr:uid="{0E503507-8660-44E0-94C7-F4E10870FF0B}"/>
    <cellStyle name="Normal 16 2 2 2 4" xfId="1303" xr:uid="{979F8276-91F2-47BD-99EF-32588E3605B6}"/>
    <cellStyle name="Normal 16 2 2 2 5" xfId="1066" xr:uid="{86B17F5B-CA6B-4804-949E-F7C2D7ECC56E}"/>
    <cellStyle name="Normal 16 2 2 3" xfId="878" xr:uid="{6FAF650D-7924-4E92-A807-3B59CA51A462}"/>
    <cellStyle name="Normal 16 2 2 3 2" xfId="1212" xr:uid="{BB7F1923-A612-4363-8D4D-F99B8D66B336}"/>
    <cellStyle name="Normal 16 2 2 3 2 2" xfId="1445" xr:uid="{C0CB804A-C941-42EF-8135-ACB20316F4A0}"/>
    <cellStyle name="Normal 16 2 2 3 3" xfId="1329" xr:uid="{026C5EC5-B00A-428E-B16E-AF795C02B991}"/>
    <cellStyle name="Normal 16 2 2 3 4" xfId="1093" xr:uid="{4214FC4B-0897-4487-97F8-6039ABE03C3E}"/>
    <cellStyle name="Normal 16 2 2 4" xfId="951" xr:uid="{89A58685-58FB-4DDC-81B9-B8F938BFE0FA}"/>
    <cellStyle name="Normal 16 2 2 4 2" xfId="1393" xr:uid="{1005D80C-7C29-4324-AE76-4D671E24769A}"/>
    <cellStyle name="Normal 16 2 2 4 3" xfId="1160" xr:uid="{06DDA56E-8B4F-42F1-ABFE-7C780EBB1C9A}"/>
    <cellStyle name="Normal 16 2 2 5" xfId="1277" xr:uid="{EDBECFEE-4A06-4E5F-AB9B-FDDD8FB34AA6}"/>
    <cellStyle name="Normal 16 2 2 6" xfId="1040" xr:uid="{7A69416D-089B-4BE5-8DA8-8A862B132B79}"/>
    <cellStyle name="Normal 16 2 3" xfId="727" xr:uid="{8181242A-1029-403B-A479-2C6824647F65}"/>
    <cellStyle name="Normal 16 2 3 2" xfId="764" xr:uid="{78E809B7-D6B6-4C18-A303-F0AA97DDBDF7}"/>
    <cellStyle name="Normal 16 2 3 2 2" xfId="919" xr:uid="{357A0A9F-B97F-4B6F-9EBD-E523BC482569}"/>
    <cellStyle name="Normal 16 2 3 2 2 2" xfId="1250" xr:uid="{D598DA34-F80F-4574-BBC9-6E38E030DE9C}"/>
    <cellStyle name="Normal 16 2 3 2 2 2 2" xfId="1483" xr:uid="{D252604A-7F20-4973-8D31-A5183EB044BD}"/>
    <cellStyle name="Normal 16 2 3 2 2 3" xfId="1367" xr:uid="{872C178D-A946-4E4A-A209-F681FC201A68}"/>
    <cellStyle name="Normal 16 2 3 2 2 4" xfId="1131" xr:uid="{4F94F7D6-5F4C-4C58-A10F-3D93FB5A55EC}"/>
    <cellStyle name="Normal 16 2 3 2 3" xfId="989" xr:uid="{1480CC62-9DAF-46C4-AD79-E2B7813983F4}"/>
    <cellStyle name="Normal 16 2 3 2 3 2" xfId="1427" xr:uid="{EEA6FC4A-320C-474D-9ACF-041CAE492F1E}"/>
    <cellStyle name="Normal 16 2 3 2 3 3" xfId="1194" xr:uid="{5FB7FA9C-C8C8-42E6-AE95-C79E305A6BA6}"/>
    <cellStyle name="Normal 16 2 3 2 4" xfId="1311" xr:uid="{1D1584EB-8D99-4475-80BF-CA938E0FF133}"/>
    <cellStyle name="Normal 16 2 3 2 5" xfId="1074" xr:uid="{8CE72E2A-58BB-4597-B672-E5D5D011747D}"/>
    <cellStyle name="Normal 16 2 3 3" xfId="886" xr:uid="{5DA7AE01-DF8F-4A33-A683-FA46AF0BB6FF}"/>
    <cellStyle name="Normal 16 2 3 3 2" xfId="1220" xr:uid="{83029381-99CF-447A-9F99-46DD7D22EBF4}"/>
    <cellStyle name="Normal 16 2 3 3 2 2" xfId="1453" xr:uid="{C29BBBF3-C86B-464A-8894-7BD0B0CE222E}"/>
    <cellStyle name="Normal 16 2 3 3 3" xfId="1337" xr:uid="{FC98BCE8-3FCF-4A57-A930-2B978B575E32}"/>
    <cellStyle name="Normal 16 2 3 3 4" xfId="1101" xr:uid="{7C7F496A-2C9B-4DB1-9C43-F623F0CB6591}"/>
    <cellStyle name="Normal 16 2 3 4" xfId="959" xr:uid="{FDA52B70-09C9-4EA2-A9AE-07EF412D60B4}"/>
    <cellStyle name="Normal 16 2 3 4 2" xfId="1401" xr:uid="{B01EF6BA-5909-47FB-94D8-990C9F7ABCE2}"/>
    <cellStyle name="Normal 16 2 3 4 3" xfId="1168" xr:uid="{87AAA9C8-38FB-4BA1-B6D4-52E6F91A1C4C}"/>
    <cellStyle name="Normal 16 2 3 5" xfId="1285" xr:uid="{97EE116A-7435-49E1-9080-E3B0765CF90B}"/>
    <cellStyle name="Normal 16 2 3 6" xfId="1048" xr:uid="{F1C4B3D3-061F-4A83-9412-5A316539AC10}"/>
    <cellStyle name="Normal 16 2 4" xfId="748" xr:uid="{003B8D2F-52A8-48F4-9228-654CB9468373}"/>
    <cellStyle name="Normal 16 2 4 2" xfId="903" xr:uid="{72E27FE8-97D9-4F89-AE82-E538AEEA42F2}"/>
    <cellStyle name="Normal 16 2 4 2 2" xfId="1234" xr:uid="{E797BDCF-554C-47DF-99C3-F7811DA4E312}"/>
    <cellStyle name="Normal 16 2 4 2 2 2" xfId="1467" xr:uid="{8A537419-5CB5-4956-B41F-351C1B7B1E04}"/>
    <cellStyle name="Normal 16 2 4 2 3" xfId="1351" xr:uid="{4B24532C-C426-4608-99ED-8DE66DB46408}"/>
    <cellStyle name="Normal 16 2 4 2 4" xfId="1115" xr:uid="{F96E555E-18E3-48D0-A7CF-EDFFCF8B6C48}"/>
    <cellStyle name="Normal 16 2 4 3" xfId="973" xr:uid="{80BE72E1-5B95-4FF6-81A6-5C3E36BA1281}"/>
    <cellStyle name="Normal 16 2 4 3 2" xfId="1385" xr:uid="{E1836667-345E-4348-AB82-6807F54570EB}"/>
    <cellStyle name="Normal 16 2 4 3 3" xfId="1152" xr:uid="{48A3CDD0-4359-4D55-A277-EF0A326D1B73}"/>
    <cellStyle name="Normal 16 2 4 4" xfId="1269" xr:uid="{25BE4342-2353-4828-9B45-469672BDA3F8}"/>
    <cellStyle name="Normal 16 2 4 5" xfId="1032" xr:uid="{D8FEFC3C-03C0-436A-B6F0-54ABB8426012}"/>
    <cellStyle name="Normal 16 2 5" xfId="867" xr:uid="{94397E37-06A9-4C98-8C7A-3F080653F666}"/>
    <cellStyle name="Normal 16 2 5 2" xfId="1178" xr:uid="{36857F4C-D30B-45F2-A807-D90702A26108}"/>
    <cellStyle name="Normal 16 2 5 2 2" xfId="1411" xr:uid="{57D3B334-254F-4A04-B084-BF45905564AB}"/>
    <cellStyle name="Normal 16 2 5 3" xfId="1295" xr:uid="{2EB076AC-55BB-4FAD-B567-D01CF76CD668}"/>
    <cellStyle name="Normal 16 2 5 4" xfId="1058" xr:uid="{701C20DC-C784-4E88-BCFC-3A954897E3D8}"/>
    <cellStyle name="Normal 16 2 6" xfId="943" xr:uid="{EB8BF13E-CA49-442A-A21B-491C54C4EF03}"/>
    <cellStyle name="Normal 16 2 6 2" xfId="1204" xr:uid="{6CBAC271-C332-4BB7-9C98-A5674A9D977F}"/>
    <cellStyle name="Normal 16 2 6 2 2" xfId="1437" xr:uid="{58294802-60FB-4308-8041-E761EAD08C59}"/>
    <cellStyle name="Normal 16 2 6 3" xfId="1321" xr:uid="{6AB800DB-38E9-406C-A358-173ABD9F97E2}"/>
    <cellStyle name="Normal 16 2 6 4" xfId="1085" xr:uid="{0800CD92-0CED-44DA-87C1-D87CB2577BE9}"/>
    <cellStyle name="Normal 16 2 7" xfId="1145" xr:uid="{5BEA8471-93C4-4F4A-B01A-D3C2D15F52F8}"/>
    <cellStyle name="Normal 16 2 7 2" xfId="1378" xr:uid="{E286ACE1-416B-4AE7-A618-A2950CA5912D}"/>
    <cellStyle name="Normal 16 2 8" xfId="1262" xr:uid="{9667BC3C-4D98-4C69-85D7-DF0356E78227}"/>
    <cellStyle name="Normal 16 2 9" xfId="1025" xr:uid="{F6FA6B5F-B0B8-4489-A2DF-9B1AA05F7B3E}"/>
    <cellStyle name="Normal 16 3" xfId="692" xr:uid="{75AFC1AB-C96C-4A7A-B1F8-1CBE54E53C8B}"/>
    <cellStyle name="Normal 16 3 2" xfId="745" xr:uid="{7ACC2397-C183-488E-BAB0-A35AF22A0232}"/>
    <cellStyle name="Normal 16 3 2 2" xfId="900" xr:uid="{CC56C255-3000-4976-B11A-C22C6006C2BD}"/>
    <cellStyle name="Normal 16 3 2 2 2" xfId="1231" xr:uid="{9102B0EE-CEED-4C5B-85B3-5CD58E587B30}"/>
    <cellStyle name="Normal 16 3 2 2 2 2" xfId="1464" xr:uid="{FAF5085B-5263-435D-A101-F7DA350026F5}"/>
    <cellStyle name="Normal 16 3 2 2 3" xfId="1348" xr:uid="{7A3F7C50-18E7-4F81-A568-30789E504B05}"/>
    <cellStyle name="Normal 16 3 2 2 4" xfId="1112" xr:uid="{33033AB1-B54C-4D0E-A57A-B5F4EAF19085}"/>
    <cellStyle name="Normal 16 3 2 3" xfId="970" xr:uid="{592E2029-CE45-42F4-A5F0-68CB25F990C5}"/>
    <cellStyle name="Normal 16 3 2 3 2" xfId="1408" xr:uid="{D0BB00D9-8E74-4835-8172-2500BF090980}"/>
    <cellStyle name="Normal 16 3 2 3 3" xfId="1175" xr:uid="{555F11FC-0FFA-4D50-B298-0B2BD0EC417C}"/>
    <cellStyle name="Normal 16 3 2 4" xfId="1292" xr:uid="{9EB1F452-8282-42A8-A521-AED9E558438D}"/>
    <cellStyle name="Normal 16 3 2 5" xfId="1055" xr:uid="{1ECE2BC0-98B3-4C95-9627-9350827B8964}"/>
    <cellStyle name="Normal 16 3 3" xfId="861" xr:uid="{AA74D108-1E6D-4538-BBBF-22C23DEA3B92}"/>
    <cellStyle name="Normal 16 3 3 2" xfId="1201" xr:uid="{3F2079A9-ADA6-474F-8A80-5ABBBFA141E3}"/>
    <cellStyle name="Normal 16 3 3 2 2" xfId="1434" xr:uid="{3610F4DB-46A2-4A87-9212-45C779594343}"/>
    <cellStyle name="Normal 16 3 3 3" xfId="1318" xr:uid="{40650D26-9659-4451-94DE-50DDC58FA0FC}"/>
    <cellStyle name="Normal 16 3 3 4" xfId="1082" xr:uid="{112FBEDC-618C-4338-9BE5-A0890D22D505}"/>
    <cellStyle name="Normal 16 3 4" xfId="940" xr:uid="{DF1E51C7-A3C3-441D-8D06-72D100FFB01E}"/>
    <cellStyle name="Normal 16 3 4 2" xfId="1382" xr:uid="{E5702181-C0C8-4BA9-A193-592F6C671E0E}"/>
    <cellStyle name="Normal 16 3 4 3" xfId="1149" xr:uid="{2596E483-19F4-47AA-BA41-34E801339111}"/>
    <cellStyle name="Normal 16 3 5" xfId="1266" xr:uid="{D9CE3EBE-49F0-4D58-ABE3-0F7215A9BC85}"/>
    <cellStyle name="Normal 16 3 6" xfId="1029" xr:uid="{EE401F4A-9970-4582-83DC-88A28DD98B3C}"/>
    <cellStyle name="Normal 16 4" xfId="716" xr:uid="{F94CDDB1-AC0E-45C9-9E5D-42E8F8937EC7}"/>
    <cellStyle name="Normal 16 4 2" xfId="753" xr:uid="{0F30F6BB-A628-408F-AFF4-147C9727888A}"/>
    <cellStyle name="Normal 16 4 2 2" xfId="908" xr:uid="{C2B5C1E4-D43C-48E5-B24E-A5FE2C7ADE62}"/>
    <cellStyle name="Normal 16 4 2 2 2" xfId="1239" xr:uid="{CDB9DCED-6BC2-47C6-AC63-504FA1793D4C}"/>
    <cellStyle name="Normal 16 4 2 2 2 2" xfId="1472" xr:uid="{29CD4C29-E0CA-4058-A84D-BB1FE7C39A66}"/>
    <cellStyle name="Normal 16 4 2 2 3" xfId="1356" xr:uid="{22F798B6-306F-4DF2-9EDF-C39A69EF75F7}"/>
    <cellStyle name="Normal 16 4 2 2 4" xfId="1120" xr:uid="{918BAB90-6D29-492C-8E36-770CE13C6185}"/>
    <cellStyle name="Normal 16 4 2 3" xfId="978" xr:uid="{C743BE88-30B7-4A77-BFDE-0D65DA21EDF9}"/>
    <cellStyle name="Normal 16 4 2 3 2" xfId="1416" xr:uid="{07469379-CAD4-46AD-913C-9C8844F80971}"/>
    <cellStyle name="Normal 16 4 2 3 3" xfId="1183" xr:uid="{CE51430F-DE24-4741-BF15-4356FEC478DC}"/>
    <cellStyle name="Normal 16 4 2 4" xfId="1300" xr:uid="{13188033-950F-4035-9540-8F761AB2F1BB}"/>
    <cellStyle name="Normal 16 4 2 5" xfId="1063" xr:uid="{E71989F3-B066-4A3D-9A41-D6457AA038F5}"/>
    <cellStyle name="Normal 16 4 3" xfId="875" xr:uid="{6B1972C1-3BDC-4BC2-9C6C-BE908A3AFF67}"/>
    <cellStyle name="Normal 16 4 3 2" xfId="1209" xr:uid="{C2B55D3C-6699-41B9-AB15-5A45144CEFF1}"/>
    <cellStyle name="Normal 16 4 3 2 2" xfId="1442" xr:uid="{1E535E8F-931B-40A4-B39E-B787ECC9506A}"/>
    <cellStyle name="Normal 16 4 3 3" xfId="1326" xr:uid="{BE5C968D-05EC-447B-B945-E2F3CC2206BC}"/>
    <cellStyle name="Normal 16 4 3 4" xfId="1090" xr:uid="{11A2E6CB-F2E4-4E5B-928C-62F98322B322}"/>
    <cellStyle name="Normal 16 4 4" xfId="948" xr:uid="{9B328873-1806-4082-B064-C7A23B75314F}"/>
    <cellStyle name="Normal 16 4 4 2" xfId="1390" xr:uid="{7AEB1605-5FD2-4024-91D9-891CD1546843}"/>
    <cellStyle name="Normal 16 4 4 3" xfId="1157" xr:uid="{0D92C57B-0246-46A8-A079-53C6CB3C8803}"/>
    <cellStyle name="Normal 16 4 5" xfId="1274" xr:uid="{BB64F024-BAC7-44C7-B8F7-13A1FAEC51DD}"/>
    <cellStyle name="Normal 16 4 6" xfId="1037" xr:uid="{A4933E40-6FC5-405E-A940-AA6D0C52D173}"/>
    <cellStyle name="Normal 16 5" xfId="724" xr:uid="{7ABCE511-FB84-43D8-8AFF-E536CB54C775}"/>
    <cellStyle name="Normal 16 5 2" xfId="761" xr:uid="{66781CC8-3178-4CC0-9384-C80324B91394}"/>
    <cellStyle name="Normal 16 5 2 2" xfId="916" xr:uid="{3D47E10A-E3FA-4933-AF77-389A88B36C62}"/>
    <cellStyle name="Normal 16 5 2 2 2" xfId="1247" xr:uid="{9EEE97D1-8904-4026-AFCB-1AE58CA518B4}"/>
    <cellStyle name="Normal 16 5 2 2 2 2" xfId="1480" xr:uid="{65162FBC-5C17-4D71-883C-7E26DC4617E8}"/>
    <cellStyle name="Normal 16 5 2 2 3" xfId="1364" xr:uid="{ECBD7176-25D0-4351-82B7-A206A0C35428}"/>
    <cellStyle name="Normal 16 5 2 2 4" xfId="1128" xr:uid="{B0005392-6A58-4646-9B1C-DB806894FBC0}"/>
    <cellStyle name="Normal 16 5 2 3" xfId="986" xr:uid="{2E26093C-AB4E-4760-B265-60BE2F318FB5}"/>
    <cellStyle name="Normal 16 5 2 3 2" xfId="1424" xr:uid="{1C563250-2DE2-49D5-A64A-CDC7D41AE731}"/>
    <cellStyle name="Normal 16 5 2 3 3" xfId="1191" xr:uid="{81C1BDF8-F98F-4459-AC5A-02C501FB301C}"/>
    <cellStyle name="Normal 16 5 2 4" xfId="1308" xr:uid="{34855590-3299-46E8-8AEF-DB5FAFD98962}"/>
    <cellStyle name="Normal 16 5 2 5" xfId="1071" xr:uid="{9B94545B-F5F1-4BA5-87C1-5BD7763A2A19}"/>
    <cellStyle name="Normal 16 5 3" xfId="883" xr:uid="{C7BEDDA9-3EA0-4519-8044-963237B8C57F}"/>
    <cellStyle name="Normal 16 5 3 2" xfId="1217" xr:uid="{6FD1A33E-7A6D-437F-BAAE-78F5BF240666}"/>
    <cellStyle name="Normal 16 5 3 2 2" xfId="1450" xr:uid="{6A67D5BC-98E4-4E92-A4C5-4B37B80254D6}"/>
    <cellStyle name="Normal 16 5 3 3" xfId="1334" xr:uid="{1C2E214E-6433-4C88-B51A-FCCF7270D323}"/>
    <cellStyle name="Normal 16 5 3 4" xfId="1098" xr:uid="{944A7916-B300-4BE8-92A0-56F7A459E40A}"/>
    <cellStyle name="Normal 16 5 4" xfId="956" xr:uid="{0BF55E71-56B9-4AED-B999-3F4BAD64225C}"/>
    <cellStyle name="Normal 16 5 4 2" xfId="1398" xr:uid="{9372F4C0-4C76-48A7-82FA-4E4DC2B6579C}"/>
    <cellStyle name="Normal 16 5 4 3" xfId="1165" xr:uid="{B6D83829-DBBE-44A9-A070-F40F3B710B59}"/>
    <cellStyle name="Normal 16 5 5" xfId="1282" xr:uid="{C2A1EC7C-8B6D-4FB3-8405-87E4108A8508}"/>
    <cellStyle name="Normal 16 5 6" xfId="1045" xr:uid="{7F9190FF-B1C3-4A13-AC17-4E3DCC037934}"/>
    <cellStyle name="Normal 16 6" xfId="742" xr:uid="{7C4D855B-77D0-4FD9-84A4-C646DB9A1136}"/>
    <cellStyle name="Normal 16 6 2" xfId="897" xr:uid="{92B84C2B-CD15-4FAE-ABCB-7F82DE028B7F}"/>
    <cellStyle name="Normal 16 6 2 2" xfId="1229" xr:uid="{3525B0DE-9753-4275-97BD-E94095C42BDD}"/>
    <cellStyle name="Normal 16 6 2 2 2" xfId="1462" xr:uid="{483AADAC-EDAA-4729-A915-4CFD2899E48B}"/>
    <cellStyle name="Normal 16 6 2 3" xfId="1346" xr:uid="{5E032A8D-DFE9-4B53-81BB-D6592597D222}"/>
    <cellStyle name="Normal 16 6 2 4" xfId="1110" xr:uid="{ED2CFEC9-EF56-4378-9B0A-9239B876CA55}"/>
    <cellStyle name="Normal 16 6 3" xfId="968" xr:uid="{E638FDF6-C53D-4113-883F-5F6B8E25A712}"/>
    <cellStyle name="Normal 16 6 3 2" xfId="1380" xr:uid="{5B87E875-39C3-4476-BC67-131E3C1BCF5D}"/>
    <cellStyle name="Normal 16 6 3 3" xfId="1147" xr:uid="{31A7468B-9D98-4F5A-9CFD-7A85237A6C52}"/>
    <cellStyle name="Normal 16 6 4" xfId="1264" xr:uid="{9031939C-395B-46CA-AC12-69BC813952AD}"/>
    <cellStyle name="Normal 16 6 5" xfId="1027" xr:uid="{E279AB78-14E9-4C44-882F-410D7439A979}"/>
    <cellStyle name="Normal 16 7" xfId="848" xr:uid="{E5C65F03-6086-43BE-9428-3E10061B96C8}"/>
    <cellStyle name="Normal 16 7 2" xfId="1173" xr:uid="{DF7B8223-8079-4A11-AA14-B842A1AB986C}"/>
    <cellStyle name="Normal 16 7 2 2" xfId="1406" xr:uid="{5BD90DF6-C9EE-4E63-B7B5-4243D1A33C2C}"/>
    <cellStyle name="Normal 16 7 3" xfId="1290" xr:uid="{1BB29B83-1557-44DD-829F-12EC44F3FB73}"/>
    <cellStyle name="Normal 16 7 4" xfId="1053" xr:uid="{1FD5B3C2-B6E5-42B2-B381-84051E674AED}"/>
    <cellStyle name="Normal 16 8" xfId="937" xr:uid="{DF0E4876-8E87-423C-BC2F-71A503FB00BC}"/>
    <cellStyle name="Normal 16 8 2" xfId="1199" xr:uid="{E4D6D739-EACB-4E1F-94EC-CA8554E496DF}"/>
    <cellStyle name="Normal 16 8 2 2" xfId="1432" xr:uid="{39ECDD55-84A6-4955-825C-E5B06481C532}"/>
    <cellStyle name="Normal 16 8 3" xfId="1316" xr:uid="{88801C65-8F38-43C1-AA37-1BE4356B18A7}"/>
    <cellStyle name="Normal 16 8 4" xfId="1080" xr:uid="{3D817D99-C614-4377-AB8D-D9735607212A}"/>
    <cellStyle name="Normal 16 9" xfId="1140" xr:uid="{8534E94A-8D28-48DF-973A-AC8924C02445}"/>
    <cellStyle name="Normal 16 9 2" xfId="1375" xr:uid="{7EAD7DFC-98F1-4BD8-8F03-C79EDBB3DB4C}"/>
    <cellStyle name="Normal 17" xfId="619" xr:uid="{0C8ADA19-BD56-4582-8D5B-93133CD00AB2}"/>
    <cellStyle name="Normal 17 10" xfId="1260" xr:uid="{9D0FD28E-A9D9-4E0F-9A5D-B2697CB29779}"/>
    <cellStyle name="Normal 17 11" xfId="1016" xr:uid="{0E12EE3F-6CC6-4ABA-9011-C6505CBD1CB3}"/>
    <cellStyle name="Normal 17 12" xfId="1617" xr:uid="{94E3AD69-6DC5-4B2F-A52C-BADDE5888D4E}"/>
    <cellStyle name="Normal 17 2" xfId="703" xr:uid="{CFA2D5BB-9ED6-4529-AC96-8FE18C873E09}"/>
    <cellStyle name="Normal 17 2 2" xfId="720" xr:uid="{1EBE8604-2098-4E49-B17A-54E83EAC3E11}"/>
    <cellStyle name="Normal 17 2 2 2" xfId="757" xr:uid="{3DAF6FA3-C3EF-4D1F-8BE1-3263E59AC999}"/>
    <cellStyle name="Normal 17 2 2 2 2" xfId="912" xr:uid="{ACD4999E-093B-4FE1-8F29-4A2660D07D12}"/>
    <cellStyle name="Normal 17 2 2 2 2 2" xfId="1243" xr:uid="{502652A6-FAEA-4566-9776-309606FBB2D8}"/>
    <cellStyle name="Normal 17 2 2 2 2 2 2" xfId="1476" xr:uid="{75EE7E14-43D6-4A1A-BC47-72F4E2D9CE68}"/>
    <cellStyle name="Normal 17 2 2 2 2 3" xfId="1360" xr:uid="{BE93CB78-B43F-4E69-9AB5-8A9DFD95F185}"/>
    <cellStyle name="Normal 17 2 2 2 2 4" xfId="1124" xr:uid="{2DB3CD64-076E-4A80-82B3-EF8884AFB89D}"/>
    <cellStyle name="Normal 17 2 2 2 3" xfId="982" xr:uid="{B6605F7C-8B2F-4700-BB67-4306C9A47B08}"/>
    <cellStyle name="Normal 17 2 2 2 3 2" xfId="1420" xr:uid="{B79E8AF8-9E4C-4800-B097-E2D7638853F3}"/>
    <cellStyle name="Normal 17 2 2 2 3 3" xfId="1187" xr:uid="{FD380C7F-5973-4C40-8322-842654ED9E0B}"/>
    <cellStyle name="Normal 17 2 2 2 4" xfId="1304" xr:uid="{1E2B48F7-05F7-429B-9AE4-A67EB43A46A8}"/>
    <cellStyle name="Normal 17 2 2 2 5" xfId="1067" xr:uid="{402E278B-6047-48DA-A4F6-EE347BD0179D}"/>
    <cellStyle name="Normal 17 2 2 3" xfId="879" xr:uid="{05EEBCB2-86EC-4B17-83C9-DE3E35814002}"/>
    <cellStyle name="Normal 17 2 2 3 2" xfId="1213" xr:uid="{B3E7D3E9-7A9F-4382-8FB5-B95996F878C3}"/>
    <cellStyle name="Normal 17 2 2 3 2 2" xfId="1446" xr:uid="{D5A0F440-E2C1-42C3-AA08-F8C78AF7C7DD}"/>
    <cellStyle name="Normal 17 2 2 3 3" xfId="1330" xr:uid="{EFB53BCB-A63D-4239-9B75-96911782A9D1}"/>
    <cellStyle name="Normal 17 2 2 3 4" xfId="1094" xr:uid="{09291D5B-5481-449F-8581-C71B007BA015}"/>
    <cellStyle name="Normal 17 2 2 4" xfId="952" xr:uid="{8F89E512-C697-4EB4-87D5-E20F9B8BE6C5}"/>
    <cellStyle name="Normal 17 2 2 4 2" xfId="1394" xr:uid="{62905811-7623-43EC-AF28-3997FF25E1B7}"/>
    <cellStyle name="Normal 17 2 2 4 3" xfId="1161" xr:uid="{3AE1D3FA-E391-429C-90E3-243DA4DA4CD5}"/>
    <cellStyle name="Normal 17 2 2 5" xfId="1278" xr:uid="{A06D7E4B-18CC-401C-AEF8-F55BE35F20AC}"/>
    <cellStyle name="Normal 17 2 2 6" xfId="1041" xr:uid="{B0335D1D-3383-4AB6-96D4-2C6755759FB6}"/>
    <cellStyle name="Normal 17 2 3" xfId="728" xr:uid="{A5C8C1FC-D8A5-4ABB-8CDB-365D53932044}"/>
    <cellStyle name="Normal 17 2 3 2" xfId="765" xr:uid="{13DD6223-EC1E-44C1-BE8B-37BF2213068C}"/>
    <cellStyle name="Normal 17 2 3 2 2" xfId="920" xr:uid="{337F0F65-7E7A-4069-9F28-F9B76104CDC2}"/>
    <cellStyle name="Normal 17 2 3 2 2 2" xfId="1251" xr:uid="{353A8B5D-C86D-4FD6-A322-69D8086D1BFB}"/>
    <cellStyle name="Normal 17 2 3 2 2 2 2" xfId="1484" xr:uid="{E73AC069-ADB5-42A5-8BED-1D1260F38E0E}"/>
    <cellStyle name="Normal 17 2 3 2 2 3" xfId="1368" xr:uid="{6756039F-96D3-4FF1-9D9A-6916EF4C2BC6}"/>
    <cellStyle name="Normal 17 2 3 2 2 4" xfId="1132" xr:uid="{4456BF40-DE8B-4B1C-8F07-6B5E8CFBFEF9}"/>
    <cellStyle name="Normal 17 2 3 2 3" xfId="990" xr:uid="{4B4725F8-97A7-4550-A7FD-7674EE55DECC}"/>
    <cellStyle name="Normal 17 2 3 2 3 2" xfId="1428" xr:uid="{2FBD4D6E-89E2-432B-AA58-37C443125F2A}"/>
    <cellStyle name="Normal 17 2 3 2 3 3" xfId="1195" xr:uid="{F2302B83-FA35-49F4-B655-6E419E2C146C}"/>
    <cellStyle name="Normal 17 2 3 2 4" xfId="1312" xr:uid="{03BBE647-9889-45E6-8EDE-22D34B532DF4}"/>
    <cellStyle name="Normal 17 2 3 2 5" xfId="1075" xr:uid="{37D26FD2-B030-409E-BC75-B9C9BE9031CB}"/>
    <cellStyle name="Normal 17 2 3 3" xfId="887" xr:uid="{E04AE7F0-ABAA-4296-B02E-E4974C8BF1BA}"/>
    <cellStyle name="Normal 17 2 3 3 2" xfId="1221" xr:uid="{C7C0A8C4-46E2-437A-A238-16A07BA036ED}"/>
    <cellStyle name="Normal 17 2 3 3 2 2" xfId="1454" xr:uid="{610FF6C8-6014-406B-BC99-69F61A1BBAE7}"/>
    <cellStyle name="Normal 17 2 3 3 3" xfId="1338" xr:uid="{24C071E4-3A93-46B3-94AF-F09564D638C2}"/>
    <cellStyle name="Normal 17 2 3 3 4" xfId="1102" xr:uid="{6BCB2BAD-477D-4DBB-9EE6-BE5C5ED5802B}"/>
    <cellStyle name="Normal 17 2 3 4" xfId="960" xr:uid="{FB8C2E85-0E24-45B3-B267-1EEC5CA239CF}"/>
    <cellStyle name="Normal 17 2 3 4 2" xfId="1402" xr:uid="{BD38EF6A-752D-400D-BC68-CCF1F161F409}"/>
    <cellStyle name="Normal 17 2 3 4 3" xfId="1169" xr:uid="{5893B61A-AAF4-43D7-817D-BAAFB720A6EC}"/>
    <cellStyle name="Normal 17 2 3 5" xfId="1286" xr:uid="{014A2F42-A31D-488D-BC4B-F5406149A7EA}"/>
    <cellStyle name="Normal 17 2 3 6" xfId="1049" xr:uid="{88F855C4-35BA-403E-B11A-3CE533AF9D05}"/>
    <cellStyle name="Normal 17 2 4" xfId="749" xr:uid="{3620A05B-98C5-43C6-9109-9F78263B8D89}"/>
    <cellStyle name="Normal 17 2 4 2" xfId="904" xr:uid="{8FA468AB-59EE-4DBE-9073-AB6ACC11F80F}"/>
    <cellStyle name="Normal 17 2 4 2 2" xfId="1235" xr:uid="{FFC613AE-E90A-408D-AC26-98D373A92CF0}"/>
    <cellStyle name="Normal 17 2 4 2 2 2" xfId="1468" xr:uid="{F4A75714-AC0B-4520-B5EF-338128CCE0F1}"/>
    <cellStyle name="Normal 17 2 4 2 3" xfId="1352" xr:uid="{6F86C44D-248C-47A5-BF71-384E7AB9F270}"/>
    <cellStyle name="Normal 17 2 4 2 4" xfId="1116" xr:uid="{C0A56955-4A7A-43FE-A985-1A486B07AA09}"/>
    <cellStyle name="Normal 17 2 4 3" xfId="974" xr:uid="{E07C0DBA-0A41-4290-8C7D-0005CEEF785B}"/>
    <cellStyle name="Normal 17 2 4 3 2" xfId="1386" xr:uid="{BCC36A8E-574A-469C-801E-52339ADF5917}"/>
    <cellStyle name="Normal 17 2 4 3 3" xfId="1153" xr:uid="{F0987453-FE76-41F8-B449-6AAD9F2CD659}"/>
    <cellStyle name="Normal 17 2 4 4" xfId="1270" xr:uid="{9FEBB37E-357F-455A-BEF0-719929976BF5}"/>
    <cellStyle name="Normal 17 2 4 5" xfId="1033" xr:uid="{4615AA88-DC6E-4468-A058-078599A32863}"/>
    <cellStyle name="Normal 17 2 5" xfId="868" xr:uid="{DD595C49-348E-40B5-AF66-7185CB735A47}"/>
    <cellStyle name="Normal 17 2 5 2" xfId="1179" xr:uid="{85575C0E-CFFB-44B5-B935-E86718699990}"/>
    <cellStyle name="Normal 17 2 5 2 2" xfId="1412" xr:uid="{5667843E-41FE-4245-BBAC-FC7BF7B4AFB1}"/>
    <cellStyle name="Normal 17 2 5 3" xfId="1296" xr:uid="{157B2810-8A51-4642-8977-37F15DA19DEF}"/>
    <cellStyle name="Normal 17 2 5 4" xfId="1059" xr:uid="{20F594DB-88CD-46CD-BEA6-662207481C20}"/>
    <cellStyle name="Normal 17 2 6" xfId="944" xr:uid="{AA5B70BC-C7AB-4483-8E85-6EF4B06EDA7D}"/>
    <cellStyle name="Normal 17 2 6 2" xfId="1205" xr:uid="{A522744E-6128-4326-ABDE-67EDC8A47D64}"/>
    <cellStyle name="Normal 17 2 6 2 2" xfId="1438" xr:uid="{52E2928F-B969-4ECA-975A-E325E67F422E}"/>
    <cellStyle name="Normal 17 2 6 3" xfId="1322" xr:uid="{CE4E576F-6AC8-406F-AD31-EBBC5BDF9071}"/>
    <cellStyle name="Normal 17 2 6 4" xfId="1086" xr:uid="{9D5AA504-4ECE-4186-B183-083996743460}"/>
    <cellStyle name="Normal 17 2 7" xfId="1146" xr:uid="{D3EBE66E-40A4-4180-8BA8-68688CEA24BE}"/>
    <cellStyle name="Normal 17 2 7 2" xfId="1379" xr:uid="{7256A73C-A3E1-4713-8FAF-A9C3A42D5B6D}"/>
    <cellStyle name="Normal 17 2 8" xfId="1263" xr:uid="{1F819A75-CA1B-48DC-8079-05677AE1A6E4}"/>
    <cellStyle name="Normal 17 2 9" xfId="1026" xr:uid="{8F222D93-5250-4C15-A997-2EF0D52B852C}"/>
    <cellStyle name="Normal 17 3" xfId="693" xr:uid="{68935E0D-1D5C-4414-8497-28224F03542D}"/>
    <cellStyle name="Normal 17 3 2" xfId="746" xr:uid="{206CDE47-5A3E-423C-A9C3-7B81011D390F}"/>
    <cellStyle name="Normal 17 3 2 2" xfId="901" xr:uid="{4C8DF936-1C1D-4E51-B2E9-F0007B05ACA8}"/>
    <cellStyle name="Normal 17 3 2 2 2" xfId="1232" xr:uid="{8DB694D3-9CD5-4F14-AEB9-FD83367C156C}"/>
    <cellStyle name="Normal 17 3 2 2 2 2" xfId="1465" xr:uid="{42B57218-640D-48F4-975D-DBA82F606C0C}"/>
    <cellStyle name="Normal 17 3 2 2 3" xfId="1349" xr:uid="{08C15CB4-F96C-44B2-BA2F-F254F0255E97}"/>
    <cellStyle name="Normal 17 3 2 2 4" xfId="1113" xr:uid="{698B24CD-66FD-4E57-A84E-E77E663D8542}"/>
    <cellStyle name="Normal 17 3 2 3" xfId="971" xr:uid="{16E6F15B-4210-41DB-B163-B7A34BD63DEB}"/>
    <cellStyle name="Normal 17 3 2 3 2" xfId="1409" xr:uid="{B452BCB9-47C5-459F-A327-3EA043FEA36B}"/>
    <cellStyle name="Normal 17 3 2 3 3" xfId="1176" xr:uid="{ADC19205-746F-4D16-90D9-8DCF15CFD2D9}"/>
    <cellStyle name="Normal 17 3 2 4" xfId="1293" xr:uid="{847C85AA-4340-4C83-B5FC-2DC2B5EF0FBA}"/>
    <cellStyle name="Normal 17 3 2 5" xfId="1056" xr:uid="{59588DBB-D53C-422A-86E6-D973A2EFC67D}"/>
    <cellStyle name="Normal 17 3 3" xfId="862" xr:uid="{E821CCC4-2ED2-48AF-9BE5-9DEDE9BBAA13}"/>
    <cellStyle name="Normal 17 3 3 2" xfId="1202" xr:uid="{88B82FD4-9A99-49FD-B21F-689F1DF79D8C}"/>
    <cellStyle name="Normal 17 3 3 2 2" xfId="1435" xr:uid="{EF2E9229-CECC-4276-BAEE-8672D79758B7}"/>
    <cellStyle name="Normal 17 3 3 3" xfId="1319" xr:uid="{9C8A78C1-845A-4F29-AF1D-56911F602A99}"/>
    <cellStyle name="Normal 17 3 3 4" xfId="1083" xr:uid="{FB019EEA-7D0A-469F-BC6A-1285D612795D}"/>
    <cellStyle name="Normal 17 3 4" xfId="941" xr:uid="{52867957-FFF7-48B6-9B17-A989E6C8A0B2}"/>
    <cellStyle name="Normal 17 3 4 2" xfId="1383" xr:uid="{C48C4861-227D-4B95-85DE-E4C0370B926D}"/>
    <cellStyle name="Normal 17 3 4 3" xfId="1150" xr:uid="{5EFD09B4-E4D0-46F5-90C6-E375600417DC}"/>
    <cellStyle name="Normal 17 3 5" xfId="1267" xr:uid="{62979EED-BD06-46FB-9101-F36E293C0670}"/>
    <cellStyle name="Normal 17 3 6" xfId="1030" xr:uid="{6F40A419-61CA-4C7F-95CA-044B2716B425}"/>
    <cellStyle name="Normal 17 4" xfId="717" xr:uid="{35F0E75A-F324-441A-B6E2-1D0F2335A49B}"/>
    <cellStyle name="Normal 17 4 2" xfId="754" xr:uid="{25264894-6F5F-4DDE-B8F2-8D17C95AA2E7}"/>
    <cellStyle name="Normal 17 4 2 2" xfId="909" xr:uid="{8EEB88AF-EFBC-4D1C-9C5D-E3D185023C8E}"/>
    <cellStyle name="Normal 17 4 2 2 2" xfId="1240" xr:uid="{6F9D1665-4F6D-4EA6-A822-014B836AA3C7}"/>
    <cellStyle name="Normal 17 4 2 2 2 2" xfId="1473" xr:uid="{CD23C841-4A82-4FC3-803B-E1D1DAB2CD2B}"/>
    <cellStyle name="Normal 17 4 2 2 3" xfId="1357" xr:uid="{220BA773-23DF-433E-922E-C9B85B8C8E05}"/>
    <cellStyle name="Normal 17 4 2 2 4" xfId="1121" xr:uid="{865E67F9-CBCC-42D3-9CAF-E63504F7A099}"/>
    <cellStyle name="Normal 17 4 2 3" xfId="979" xr:uid="{8E203D50-73A4-4CF3-8509-EADCB9D4FC31}"/>
    <cellStyle name="Normal 17 4 2 3 2" xfId="1417" xr:uid="{86509580-1F4F-4EAE-9176-4D556341A209}"/>
    <cellStyle name="Normal 17 4 2 3 3" xfId="1184" xr:uid="{E0474D88-2F72-4786-A49E-55F57A32B388}"/>
    <cellStyle name="Normal 17 4 2 4" xfId="1301" xr:uid="{5324FA6F-2DB8-4E3B-BC31-CEEF42E0E3CB}"/>
    <cellStyle name="Normal 17 4 2 5" xfId="1064" xr:uid="{6C4E3330-023B-4453-91BA-B4B6E22DC740}"/>
    <cellStyle name="Normal 17 4 3" xfId="876" xr:uid="{1592777B-A6B4-4F98-8804-6D326395896C}"/>
    <cellStyle name="Normal 17 4 3 2" xfId="1210" xr:uid="{2FD04ACF-6506-4C5D-89DD-748D25DD653A}"/>
    <cellStyle name="Normal 17 4 3 2 2" xfId="1443" xr:uid="{2F2BCFFD-A177-4BBA-AE1F-484628EE067D}"/>
    <cellStyle name="Normal 17 4 3 3" xfId="1327" xr:uid="{42995D10-73E0-49A5-9C20-F37A7928C69F}"/>
    <cellStyle name="Normal 17 4 3 4" xfId="1091" xr:uid="{177943BF-07D7-4559-97FC-3BA18A03138C}"/>
    <cellStyle name="Normal 17 4 4" xfId="949" xr:uid="{DFC7FAE4-3643-41C2-94B8-F090B0519A05}"/>
    <cellStyle name="Normal 17 4 4 2" xfId="1391" xr:uid="{CC7678E2-BDF9-468F-BB28-05D2134E690B}"/>
    <cellStyle name="Normal 17 4 4 3" xfId="1158" xr:uid="{4F1766F4-C329-4FBB-A0C1-7155F5D19FE0}"/>
    <cellStyle name="Normal 17 4 5" xfId="1275" xr:uid="{C8534591-2672-4F75-B65B-7DD9E55B5E39}"/>
    <cellStyle name="Normal 17 4 6" xfId="1038" xr:uid="{77F65398-7BD2-4D4F-BF5A-58102FBB3652}"/>
    <cellStyle name="Normal 17 5" xfId="725" xr:uid="{A24DFF2F-6B8A-4767-997E-88A4AFDD2B85}"/>
    <cellStyle name="Normal 17 5 2" xfId="762" xr:uid="{75CF2383-B76B-4F21-8C17-A0D363E7C3DF}"/>
    <cellStyle name="Normal 17 5 2 2" xfId="917" xr:uid="{ADEBF3E4-E659-4346-8FAE-A828D31F6B43}"/>
    <cellStyle name="Normal 17 5 2 2 2" xfId="1248" xr:uid="{F57928BE-4B83-4A2E-98F1-DB72774D2E88}"/>
    <cellStyle name="Normal 17 5 2 2 2 2" xfId="1481" xr:uid="{2FAD08A2-5C61-45BE-A519-528B62B00B02}"/>
    <cellStyle name="Normal 17 5 2 2 3" xfId="1365" xr:uid="{8B81E238-58EE-45FC-87B8-4D04211DF775}"/>
    <cellStyle name="Normal 17 5 2 2 4" xfId="1129" xr:uid="{97879DD8-2561-4A7A-B6EB-E2414F87926A}"/>
    <cellStyle name="Normal 17 5 2 3" xfId="987" xr:uid="{11F9E366-F13C-4D97-AB0F-D9FB3F32ABC9}"/>
    <cellStyle name="Normal 17 5 2 3 2" xfId="1425" xr:uid="{3E928DE1-B53B-48EF-BA4E-E7A6DD4D737F}"/>
    <cellStyle name="Normal 17 5 2 3 3" xfId="1192" xr:uid="{9FEA8468-90DD-4247-89AA-16FEA54D859D}"/>
    <cellStyle name="Normal 17 5 2 4" xfId="1309" xr:uid="{B43775D6-0ED0-41A4-99D6-150F2F2CC7CB}"/>
    <cellStyle name="Normal 17 5 2 5" xfId="1072" xr:uid="{3F5DC931-95AF-40DD-91E6-BA2EDC3555A9}"/>
    <cellStyle name="Normal 17 5 3" xfId="884" xr:uid="{163864C0-9935-40BE-A215-A01A44F0F7B6}"/>
    <cellStyle name="Normal 17 5 3 2" xfId="1218" xr:uid="{5FB9DEAE-FFF5-4FD2-BAAA-4B6F35C26FE0}"/>
    <cellStyle name="Normal 17 5 3 2 2" xfId="1451" xr:uid="{DE1A967D-9801-4126-AA85-5C8D923D3368}"/>
    <cellStyle name="Normal 17 5 3 3" xfId="1335" xr:uid="{5782A3BC-0B11-47DB-A211-BA8AD8F7FA2C}"/>
    <cellStyle name="Normal 17 5 3 4" xfId="1099" xr:uid="{B7E96E4C-FB8D-4B95-A3B1-62B343EDACF1}"/>
    <cellStyle name="Normal 17 5 4" xfId="957" xr:uid="{EC4AF60B-D2FC-4643-95C3-FEDD34ED0D2F}"/>
    <cellStyle name="Normal 17 5 4 2" xfId="1399" xr:uid="{92A4151B-4D7B-4769-8D96-4EB63D0EA207}"/>
    <cellStyle name="Normal 17 5 4 3" xfId="1166" xr:uid="{067C92E1-A9CF-43C1-BD13-690C7944B320}"/>
    <cellStyle name="Normal 17 5 5" xfId="1283" xr:uid="{065AFA6A-A4F8-464A-9C88-74A22307F767}"/>
    <cellStyle name="Normal 17 5 6" xfId="1046" xr:uid="{4700386D-A247-4FD2-B19D-0B1EA4B0E255}"/>
    <cellStyle name="Normal 17 6" xfId="743" xr:uid="{A4540657-B022-4F85-AFC4-A340C870A792}"/>
    <cellStyle name="Normal 17 6 2" xfId="898" xr:uid="{7A42F428-6670-4A18-BB59-CAFEFAE0DE1A}"/>
    <cellStyle name="Normal 17 6 2 2" xfId="1230" xr:uid="{67370C1E-DAD0-487F-B6E6-B41F8D1B508C}"/>
    <cellStyle name="Normal 17 6 2 2 2" xfId="1463" xr:uid="{0CF29D3F-9D6B-4765-B508-332F6BEE3D7D}"/>
    <cellStyle name="Normal 17 6 2 3" xfId="1347" xr:uid="{1E92CFAF-5D1E-43E9-9250-8BA75DEB512A}"/>
    <cellStyle name="Normal 17 6 2 4" xfId="1111" xr:uid="{4D229EF9-1901-4FC3-865F-ABAFD90C1AA5}"/>
    <cellStyle name="Normal 17 6 3" xfId="969" xr:uid="{EE84494F-BDA9-4741-98DD-9C7ED8C29EF0}"/>
    <cellStyle name="Normal 17 6 3 2" xfId="1381" xr:uid="{5D7C942F-AA4C-4336-B1FD-810FF7D084B2}"/>
    <cellStyle name="Normal 17 6 3 3" xfId="1148" xr:uid="{42620923-1847-4C00-9464-5952F4800321}"/>
    <cellStyle name="Normal 17 6 4" xfId="1265" xr:uid="{B873A1EC-0097-40D5-83B2-AF5FC909A94A}"/>
    <cellStyle name="Normal 17 6 5" xfId="1028" xr:uid="{AC834ABA-6672-425E-9FA4-10EBC7E2196A}"/>
    <cellStyle name="Normal 17 7" xfId="849" xr:uid="{34B84DEA-A298-4EA0-A7A7-95D392CD29F1}"/>
    <cellStyle name="Normal 17 7 2" xfId="1174" xr:uid="{04B7D608-EB86-4A13-9654-42CD872B979A}"/>
    <cellStyle name="Normal 17 7 2 2" xfId="1407" xr:uid="{1956920F-67E2-4BC9-B803-A34B5EA324CA}"/>
    <cellStyle name="Normal 17 7 3" xfId="1291" xr:uid="{B5DCE034-9942-40F8-98A6-73AEE4016414}"/>
    <cellStyle name="Normal 17 7 4" xfId="1054" xr:uid="{26FCC237-0C2F-4CB3-891B-D0324D0D6621}"/>
    <cellStyle name="Normal 17 8" xfId="938" xr:uid="{863D58B4-67A7-46A3-BE9F-33041A17C191}"/>
    <cellStyle name="Normal 17 8 2" xfId="1200" xr:uid="{90782097-25FB-4664-8A77-EEB7A3B6145A}"/>
    <cellStyle name="Normal 17 8 2 2" xfId="1433" xr:uid="{1119AC7F-CA67-43C1-9456-F7C030F2D556}"/>
    <cellStyle name="Normal 17 8 3" xfId="1317" xr:uid="{C5BD4232-BB8B-4895-BB9E-4F56BDC4CF17}"/>
    <cellStyle name="Normal 17 8 4" xfId="1081" xr:uid="{3D464836-DDE2-40A4-9965-B5AB95DD4544}"/>
    <cellStyle name="Normal 17 9" xfId="1141" xr:uid="{27FF594B-3426-4334-AC30-72A95E6ED509}"/>
    <cellStyle name="Normal 17 9 2" xfId="1376" xr:uid="{B677D755-B870-4A19-9DF0-7951320D29DD}"/>
    <cellStyle name="Normal 18" xfId="620" xr:uid="{09A9475D-00B9-41C7-B868-A5CF0338B76F}"/>
    <cellStyle name="Normal 19" xfId="621" xr:uid="{B973DB66-FA23-46B4-9FF6-CA79D11B2E33}"/>
    <cellStyle name="Normal 19 2" xfId="704" xr:uid="{225131FA-D994-4E42-B7C9-15F0E63BA725}"/>
    <cellStyle name="Normal 19 3" xfId="694" xr:uid="{36CABFBA-090E-429A-8EB8-9CF02AE4E5D3}"/>
    <cellStyle name="Normal 2" xfId="4" xr:uid="{00000000-0005-0000-0000-00004A000000}"/>
    <cellStyle name="Normal 2 2" xfId="75" xr:uid="{00000000-0005-0000-0000-00004B000000}"/>
    <cellStyle name="Normal 2 2 10" xfId="705" xr:uid="{CA1BBAB5-9838-44F4-A3C7-C547B1B82236}"/>
    <cellStyle name="Normal 2 2 11" xfId="1526" xr:uid="{57271AA0-5F05-42AE-B8D2-D414B40CCC90}"/>
    <cellStyle name="Normal 2 2 2" xfId="721" xr:uid="{81119045-5A70-4725-8384-9E5E44ABD044}"/>
    <cellStyle name="Normal 2 2 2 2" xfId="758" xr:uid="{72174117-546D-4704-8FF4-6D5F2A81DA61}"/>
    <cellStyle name="Normal 2 2 2 2 2" xfId="913" xr:uid="{0C582D7A-694B-42A9-9C38-109820C7D571}"/>
    <cellStyle name="Normal 2 2 2 2 2 2" xfId="1244" xr:uid="{077F67D4-A6C7-4473-A2D1-2FA00BAB1F66}"/>
    <cellStyle name="Normal 2 2 2 2 2 2 2" xfId="1477" xr:uid="{F38D73C5-9CB3-46AE-8555-C3D428026777}"/>
    <cellStyle name="Normal 2 2 2 2 2 3" xfId="1361" xr:uid="{4BBE02DC-4C8E-41F1-9740-627396D6E249}"/>
    <cellStyle name="Normal 2 2 2 2 2 4" xfId="1125" xr:uid="{022ABC52-05D5-4556-9219-79815A02FCBB}"/>
    <cellStyle name="Normal 2 2 2 2 3" xfId="983" xr:uid="{8BE6A34C-EAF3-4C95-A4BD-FE3EF66F6588}"/>
    <cellStyle name="Normal 2 2 2 2 3 2" xfId="1421" xr:uid="{1C613E25-3945-4ED8-AF2F-7A5E9BEF855D}"/>
    <cellStyle name="Normal 2 2 2 2 3 3" xfId="1188" xr:uid="{5EABED71-0C03-45DF-9FAE-79C064ED7440}"/>
    <cellStyle name="Normal 2 2 2 2 4" xfId="1305" xr:uid="{6EE571EA-39CF-4979-8AF0-2B337C76DAFD}"/>
    <cellStyle name="Normal 2 2 2 2 5" xfId="1068" xr:uid="{A2199429-685F-4F4C-AA7D-FC1057DD5885}"/>
    <cellStyle name="Normal 2 2 2 3" xfId="880" xr:uid="{6AA8A082-7AFA-4A11-A3F6-3B5FC3B71A4F}"/>
    <cellStyle name="Normal 2 2 2 3 2" xfId="1214" xr:uid="{FAFDC8D5-1C87-419B-9E9A-E03BF6995A88}"/>
    <cellStyle name="Normal 2 2 2 3 2 2" xfId="1447" xr:uid="{7655CE8C-3B8C-44AF-9C50-EEE8829E1B66}"/>
    <cellStyle name="Normal 2 2 2 3 3" xfId="1331" xr:uid="{4674F0CB-21D6-41E7-8B82-7F0E14278A38}"/>
    <cellStyle name="Normal 2 2 2 3 4" xfId="1095" xr:uid="{DD327DFF-F19A-4E2E-BE46-8FAC7FE49EC6}"/>
    <cellStyle name="Normal 2 2 2 4" xfId="953" xr:uid="{9DBE9E37-E803-4CBA-8F1B-10E7C19DBADD}"/>
    <cellStyle name="Normal 2 2 2 4 2" xfId="1395" xr:uid="{E70F19D2-AB14-451B-B5CD-82C50138C78F}"/>
    <cellStyle name="Normal 2 2 2 4 3" xfId="1162" xr:uid="{75E2EDE9-F4BD-4E39-AD96-7762D6DB71DB}"/>
    <cellStyle name="Normal 2 2 2 5" xfId="1279" xr:uid="{3E25AA25-8913-46C9-B689-C4FA6F331DFA}"/>
    <cellStyle name="Normal 2 2 2 6" xfId="1042" xr:uid="{5916A03E-A346-4288-B952-171E8A3E873C}"/>
    <cellStyle name="Normal 2 2 3" xfId="729" xr:uid="{5BDCD611-EE52-4191-A0FF-979F64C33CE7}"/>
    <cellStyle name="Normal 2 2 3 2" xfId="766" xr:uid="{7DB5C444-4376-462B-A22B-49898CA5BAA2}"/>
    <cellStyle name="Normal 2 2 3 2 2" xfId="921" xr:uid="{971C25AF-0870-44E1-B9CD-91DB230146E1}"/>
    <cellStyle name="Normal 2 2 3 2 2 2" xfId="1252" xr:uid="{47E5B946-CB13-4F41-89B4-499E5B9ED1CB}"/>
    <cellStyle name="Normal 2 2 3 2 2 2 2" xfId="1485" xr:uid="{B39FC8D3-28A8-4C73-BE1C-E8F278F86545}"/>
    <cellStyle name="Normal 2 2 3 2 2 3" xfId="1369" xr:uid="{5A436301-99CA-4528-962C-32004EB383A5}"/>
    <cellStyle name="Normal 2 2 3 2 2 4" xfId="1133" xr:uid="{CC378B41-ECE0-4D32-A8FF-732A3010345A}"/>
    <cellStyle name="Normal 2 2 3 2 3" xfId="991" xr:uid="{3300C1A9-2DD4-45B9-933F-C71F262FEE86}"/>
    <cellStyle name="Normal 2 2 3 2 3 2" xfId="1429" xr:uid="{EFBCE65B-5044-4357-A2EE-474FF6DD7698}"/>
    <cellStyle name="Normal 2 2 3 2 3 3" xfId="1196" xr:uid="{C9E52917-7157-4F83-AC0F-2D69E873B98D}"/>
    <cellStyle name="Normal 2 2 3 2 4" xfId="1313" xr:uid="{F83E3E6B-7162-427D-A2AF-256B98FFFFD0}"/>
    <cellStyle name="Normal 2 2 3 2 5" xfId="1076" xr:uid="{89D981D5-1E03-4E3B-B829-5FD43A7CE54D}"/>
    <cellStyle name="Normal 2 2 3 3" xfId="888" xr:uid="{5C137E0E-2634-4791-A619-089A80E8A734}"/>
    <cellStyle name="Normal 2 2 3 3 2" xfId="1222" xr:uid="{D575FA7D-06C1-4407-BED9-A03937FF2D5B}"/>
    <cellStyle name="Normal 2 2 3 3 2 2" xfId="1455" xr:uid="{952CCB6E-E946-4D79-8B84-B40AE0449FB9}"/>
    <cellStyle name="Normal 2 2 3 3 3" xfId="1339" xr:uid="{98994242-29FA-4237-9FD3-6393E280C930}"/>
    <cellStyle name="Normal 2 2 3 3 4" xfId="1103" xr:uid="{D2BEC730-BEAA-4F5F-B460-7B29AB48361E}"/>
    <cellStyle name="Normal 2 2 3 4" xfId="961" xr:uid="{491A03AB-82B4-422B-88B9-9A915CD6F0FF}"/>
    <cellStyle name="Normal 2 2 3 4 2" xfId="1403" xr:uid="{852C08CE-94B0-4E50-A4F5-0ACBDFEF0CFD}"/>
    <cellStyle name="Normal 2 2 3 4 3" xfId="1170" xr:uid="{9C3885E1-066A-4562-845E-5718110E0644}"/>
    <cellStyle name="Normal 2 2 3 5" xfId="1287" xr:uid="{76B3816F-B917-4295-8E8B-EBBEDBDFF6A2}"/>
    <cellStyle name="Normal 2 2 3 6" xfId="1050" xr:uid="{8DC77C8C-D4A5-48D2-8A41-7AB28EE08B4A}"/>
    <cellStyle name="Normal 2 2 4" xfId="750" xr:uid="{D441E215-E076-49B4-AE91-D71CE69118C7}"/>
    <cellStyle name="Normal 2 2 4 2" xfId="905" xr:uid="{B4BF33B0-A35D-41DB-88A4-A40A227B8128}"/>
    <cellStyle name="Normal 2 2 4 2 2" xfId="1236" xr:uid="{FF85D3D6-7CAC-4208-AEBA-605FC2700B14}"/>
    <cellStyle name="Normal 2 2 4 2 2 2" xfId="1469" xr:uid="{94AF6012-0CEF-41C2-8823-47C2F8676E27}"/>
    <cellStyle name="Normal 2 2 4 2 3" xfId="1353" xr:uid="{F68652A5-901F-4AAF-B36B-2B435ABC6F44}"/>
    <cellStyle name="Normal 2 2 4 2 4" xfId="1117" xr:uid="{763C6FE0-4B52-4C7A-A409-5FC2C65A5ED3}"/>
    <cellStyle name="Normal 2 2 4 3" xfId="975" xr:uid="{4EFB6F37-6FD4-4E78-AF45-8E51BA63D988}"/>
    <cellStyle name="Normal 2 2 4 3 2" xfId="1387" xr:uid="{3E3AB025-2811-4579-A30B-19E844F49AC5}"/>
    <cellStyle name="Normal 2 2 4 3 3" xfId="1154" xr:uid="{049912C6-3E80-4E6B-A150-8056E204EEFB}"/>
    <cellStyle name="Normal 2 2 4 4" xfId="1271" xr:uid="{3D78D77E-9A2F-4340-999B-9F401326FC1E}"/>
    <cellStyle name="Normal 2 2 4 5" xfId="1034" xr:uid="{648A0206-8C15-4EFC-A860-CFF636B8FC17}"/>
    <cellStyle name="Normal 2 2 5" xfId="869" xr:uid="{66A3480A-78C5-453B-9F10-540DBC43B4DF}"/>
    <cellStyle name="Normal 2 2 5 2" xfId="1180" xr:uid="{9ED73892-E0E0-4EB3-8700-F0A516FF5823}"/>
    <cellStyle name="Normal 2 2 5 2 2" xfId="1413" xr:uid="{2DCDB3B5-3B99-4F1C-82C1-7DC98D0CF14D}"/>
    <cellStyle name="Normal 2 2 5 3" xfId="1297" xr:uid="{5A0D06E8-8ACC-4875-9CE9-F2268D6C6651}"/>
    <cellStyle name="Normal 2 2 5 4" xfId="1060" xr:uid="{78493F0E-4902-4231-BB33-339A7026B37C}"/>
    <cellStyle name="Normal 2 2 6" xfId="945" xr:uid="{7F6590EE-9E2B-4222-8306-2E71B8A640C0}"/>
    <cellStyle name="Normal 2 2 6 2" xfId="1206" xr:uid="{03152B51-C091-49BC-B213-1F867D9BB45F}"/>
    <cellStyle name="Normal 2 2 6 2 2" xfId="1439" xr:uid="{BD8F962C-6F0B-42C4-818A-17AEBC707021}"/>
    <cellStyle name="Normal 2 2 6 3" xfId="1323" xr:uid="{3DA4F678-1861-4B1A-A97F-1A38C0D4D346}"/>
    <cellStyle name="Normal 2 2 6 4" xfId="1087" xr:uid="{0FD44BDA-0617-474B-980A-FC4115BFCA1F}"/>
    <cellStyle name="Normal 2 2 7" xfId="1144" xr:uid="{732CB926-CA48-43D8-8ED5-1EAEEFE07A55}"/>
    <cellStyle name="Normal 2 2 7 2" xfId="1377" xr:uid="{B4B0F0D8-9DD0-4FE8-B284-B03C330BE379}"/>
    <cellStyle name="Normal 2 2 8" xfId="1261" xr:uid="{C4A2DAD3-271A-4F32-8D36-F70E6A130CDD}"/>
    <cellStyle name="Normal 2 2 9" xfId="1023" xr:uid="{5C46BC3A-8350-4893-8274-380D32A67AD3}"/>
    <cellStyle name="Normal 2 3" xfId="736" xr:uid="{5D999D92-2638-4729-98F0-A4C5158AB11A}"/>
    <cellStyle name="Normal 2 4" xfId="796" xr:uid="{2F3DBAA9-94D0-4A22-BC64-D62E21FD8832}"/>
    <cellStyle name="Normal 2 5" xfId="622" xr:uid="{52236977-69EE-43CE-978C-781C2B31DF6B}"/>
    <cellStyle name="Normal 20" xfId="623" xr:uid="{8B19251C-5490-410D-B5FC-05DDFDB381FB}"/>
    <cellStyle name="Normal 21" xfId="706" xr:uid="{73936943-F6B4-4180-94F4-96D1E1525801}"/>
    <cellStyle name="Normal 22" xfId="732" xr:uid="{ECE93BD4-AAB9-4E01-9BC8-E553EAD11CA6}"/>
    <cellStyle name="Normal 22 2" xfId="740" xr:uid="{2C19312B-F0BD-48A8-AD4A-DCE66515DB63}"/>
    <cellStyle name="Normal 22 3" xfId="891" xr:uid="{848E9D7F-F877-40AE-A485-C2398A2606A8}"/>
    <cellStyle name="Normal 22 3 2" xfId="1458" xr:uid="{C37F1FC4-C87A-445C-AFAF-EEEC874C963F}"/>
    <cellStyle name="Normal 22 3 3" xfId="1225" xr:uid="{BBAB6D9F-8302-4C91-B202-8DB48F373F08}"/>
    <cellStyle name="Normal 22 4" xfId="964" xr:uid="{E8690419-9D5D-45F4-AA2F-45398A042D5B}"/>
    <cellStyle name="Normal 22 4 2" xfId="1342" xr:uid="{557109F6-5A9B-47CC-AC61-D1B850FF4E70}"/>
    <cellStyle name="Normal 22 5" xfId="1106" xr:uid="{8760330B-4CB1-4B35-A979-FFC0CB19D8CB}"/>
    <cellStyle name="Normal 23" xfId="737" xr:uid="{D262FC73-2B79-43E0-A9A3-3B4A1830FC31}"/>
    <cellStyle name="Normal 23 2" xfId="894" xr:uid="{29E72DC0-12C2-4E8E-8A71-1B9C79159BF4}"/>
    <cellStyle name="Normal 23 2 2" xfId="1459" xr:uid="{29B7CA17-14DB-4D2A-84CD-C618F9CB2038}"/>
    <cellStyle name="Normal 23 2 3" xfId="1226" xr:uid="{065EE220-D577-49E6-BE90-5A71E2BF8A48}"/>
    <cellStyle name="Normal 23 3" xfId="965" xr:uid="{B39082DB-010D-4A23-8DE1-FBA352901F86}"/>
    <cellStyle name="Normal 23 3 2" xfId="1343" xr:uid="{B0E63C77-E165-4CE6-876C-E9C1E79155CD}"/>
    <cellStyle name="Normal 23 4" xfId="1107" xr:uid="{ACA2EA91-9CEE-4C60-A69A-050B08813299}"/>
    <cellStyle name="Normal 24" xfId="924" xr:uid="{31235064-FEE9-42F1-A8CD-4379E59DAE0B}"/>
    <cellStyle name="Normal 24 2" xfId="1138" xr:uid="{D501E2FD-CD72-4412-88EE-8F087D437134}"/>
    <cellStyle name="Normal 25" xfId="935" xr:uid="{139ABBEC-6429-4E74-9965-C58CC1601E8E}"/>
    <cellStyle name="Normal 25 2" xfId="1374" xr:uid="{A53E9708-A192-44B2-8E94-ABB8A267ED5C}"/>
    <cellStyle name="Normal 25 3" xfId="1137" xr:uid="{15A61BF5-5478-48F7-B307-4B6226F7FDED}"/>
    <cellStyle name="Normal 26" xfId="925" xr:uid="{8F86AA81-1B5B-4B8B-B2BD-5B9D903B78F6}"/>
    <cellStyle name="Normal 26 2" xfId="1256" xr:uid="{4B7D146E-FD15-47E7-BE08-3499F7960DD7}"/>
    <cellStyle name="Normal 27" xfId="931" xr:uid="{84BFC054-4661-4393-B984-77DB8F0E82AF}"/>
    <cellStyle name="Normal 28" xfId="936" xr:uid="{C800E3AB-A60F-47CA-9833-7A49F9B65DCA}"/>
    <cellStyle name="Normal 29" xfId="1006" xr:uid="{44E895C8-637A-4FCB-BE03-C15F1784E928}"/>
    <cellStyle name="Normal 3" xfId="11" xr:uid="{00000000-0005-0000-0000-00004C000000}"/>
    <cellStyle name="Normal 3 10" xfId="1709" xr:uid="{39F524B4-5867-411E-9067-841B0DD91587}"/>
    <cellStyle name="Normal 3 2" xfId="707" xr:uid="{D65206B1-1563-4F4F-BEFA-71E190E67CD7}"/>
    <cellStyle name="Normal 3 2 2" xfId="1585" xr:uid="{43BC6A37-160F-4BD3-98F8-B4D62D851E8F}"/>
    <cellStyle name="Normal 3 3" xfId="708" xr:uid="{9864E9AE-E37B-4FF2-A146-6D85B6CDD8FE}"/>
    <cellStyle name="Normal 3 3 2" xfId="701" xr:uid="{1D66177E-6151-41F7-B2EE-7C5EDFE1CB71}"/>
    <cellStyle name="Normal 3 3 3" xfId="1618" xr:uid="{5CF45649-4C77-457D-B31A-7562F865F1E5}"/>
    <cellStyle name="Normal 3 4" xfId="733" xr:uid="{A7A7F0F3-8B89-4D5B-99DB-883CFA1B0AB8}"/>
    <cellStyle name="Normal 3 4 2" xfId="892" xr:uid="{DE4A5A07-29E1-4A94-BFB4-D1D13D27A01E}"/>
    <cellStyle name="Normal 3 5" xfId="799" xr:uid="{D84FD27D-4F8D-4E1F-872A-4A3BD1D16E5B}"/>
    <cellStyle name="Normal 3 6" xfId="999" xr:uid="{8202992F-BAF8-44F3-8D2C-7901D2C69288}"/>
    <cellStyle name="Normal 3 7" xfId="624" xr:uid="{CCA486E0-110F-48D0-96E3-E1B5723E5A1E}"/>
    <cellStyle name="Normal 3 8" xfId="1547" xr:uid="{BB944EB7-6483-49E9-85DA-D9C3F57A3E78}"/>
    <cellStyle name="Normal 3 9" xfId="1678" xr:uid="{C7B0D64C-ACFF-408F-A9F3-241F4EC06B87}"/>
    <cellStyle name="Normal 30" xfId="1002" xr:uid="{D71AAE61-B41E-4E2E-8C79-22AC7024A045}"/>
    <cellStyle name="Normal 31" xfId="1489" xr:uid="{DDBCD9E8-0303-4EEC-9B9E-5EFF33963772}"/>
    <cellStyle name="Normal 32" xfId="1000" xr:uid="{C56C40F9-D546-4507-B411-55FF0568CD46}"/>
    <cellStyle name="Normal 33" xfId="1004" xr:uid="{27E7B7E6-176C-4087-A1AF-4428A5A31B76}"/>
    <cellStyle name="Normal 34" xfId="1014" xr:uid="{D5BF7374-D31F-4352-B495-27C26D6F44DF}"/>
    <cellStyle name="Normal 35" xfId="1498" xr:uid="{64B2E403-9017-4256-8729-C5DC6166F9E7}"/>
    <cellStyle name="Normal 36" xfId="1500" xr:uid="{36AD661F-D9FA-431A-B1C6-8F3411C2B1FB}"/>
    <cellStyle name="Normal 37" xfId="1502" xr:uid="{0CDBD015-684B-4EA7-BC9C-7C9A9885E122}"/>
    <cellStyle name="Normal 38" xfId="1504" xr:uid="{A30F1ED4-9DAE-4847-AC49-35B7B94C492E}"/>
    <cellStyle name="Normal 39" xfId="1506" xr:uid="{96FFF111-080E-4963-B1EE-62224FE61868}"/>
    <cellStyle name="Normal 4" xfId="76" xr:uid="{00000000-0005-0000-0000-00004D000000}"/>
    <cellStyle name="Normal 4 2" xfId="709" xr:uid="{81E4A1C3-85D5-4122-8A76-9BB54D819642}"/>
    <cellStyle name="Normal 4 2 2" xfId="1599" xr:uid="{3D9CD546-22F8-46AE-906A-A052E50C9D65}"/>
    <cellStyle name="Normal 4 3" xfId="838" xr:uid="{F8577DCA-F3CC-455B-9CE2-FD746A551677}"/>
    <cellStyle name="Normal 4 3 2" xfId="1632" xr:uid="{59696BD0-08BF-4A00-9DE8-DAA3A1EE4D44}"/>
    <cellStyle name="Normal 4 4" xfId="625" xr:uid="{8D21A86B-11FF-4EC6-BA39-8F59D63C9E59}"/>
    <cellStyle name="Normal 4 5" xfId="1533" xr:uid="{31923F63-10F6-4C0A-AD6B-45FE62E25968}"/>
    <cellStyle name="Normal 4 6" xfId="1564" xr:uid="{3E8CC19A-597F-4F2C-A14C-222ED5FED6F2}"/>
    <cellStyle name="Normal 4 7" xfId="1679" xr:uid="{2B4A2D2C-FA46-40AB-A57D-A4BFD7EBCEFD}"/>
    <cellStyle name="Normal 4 8" xfId="1710" xr:uid="{5192BA3C-6093-4953-9E1E-9A4A5C2C3C97}"/>
    <cellStyle name="Normal 40" xfId="1508" xr:uid="{0678ED52-D772-40A4-A050-8422512AC453}"/>
    <cellStyle name="Normal 41" xfId="1510" xr:uid="{7DE8DAF9-80C6-450A-904E-7A79ED52CED1}"/>
    <cellStyle name="Normal 42" xfId="1512" xr:uid="{74D01AFB-BE4F-4FEF-9279-C38C89CBA31C}"/>
    <cellStyle name="Normal 43" xfId="1514" xr:uid="{F8035CA1-C432-45B1-B491-68C37027D628}"/>
    <cellStyle name="Normal 44" xfId="1516" xr:uid="{2A029B41-DE16-46A8-9636-243F012740C6}"/>
    <cellStyle name="Normal 45" xfId="1518" xr:uid="{6146693A-C26D-48DB-ABFB-A6180A76ED26}"/>
    <cellStyle name="Normal 46" xfId="1520" xr:uid="{6D70D31A-3CE0-457F-9352-EAD798906D71}"/>
    <cellStyle name="Normal 47" xfId="103" xr:uid="{07BB6707-B6DD-4770-B647-F614C56E2EBA}"/>
    <cellStyle name="Normal 48" xfId="1524" xr:uid="{0CF4069A-DC85-425D-9C92-AEC24AB13F57}"/>
    <cellStyle name="Normal 48 2" xfId="1655" xr:uid="{CC287660-B1B9-4A6D-94AB-196EB86043D8}"/>
    <cellStyle name="Normal 49" xfId="1535" xr:uid="{C9EAF9DB-3F77-4EE8-A0F3-CB71506A42D0}"/>
    <cellStyle name="Normal 5" xfId="77" xr:uid="{00000000-0005-0000-0000-00004E000000}"/>
    <cellStyle name="Normal 5 2" xfId="78" xr:uid="{00000000-0005-0000-0000-00004F000000}"/>
    <cellStyle name="Normal 5 2 2" xfId="1522" xr:uid="{4F6B48E3-82A2-4FB2-A4DA-88FF8A3F24DE}"/>
    <cellStyle name="Normal 5 2 2 2" xfId="1612" xr:uid="{0B6A2321-A1FC-4A78-BCD5-BD5A0CE7EB51}"/>
    <cellStyle name="Normal 5 2 3" xfId="79" xr:uid="{00000000-0005-0000-0000-000050000000}"/>
    <cellStyle name="Normal 5 2 3 2" xfId="97" xr:uid="{00000000-0005-0000-0000-000051000000}"/>
    <cellStyle name="Normal 5 2 3 3" xfId="100" xr:uid="{00000000-0005-0000-0000-000052000000}"/>
    <cellStyle name="Normal 5 2 3 3 2" xfId="1534" xr:uid="{EDE8BB89-AB18-479F-A06D-10BB1D3F4B85}"/>
    <cellStyle name="Normal 5 2 3 4" xfId="1642" xr:uid="{2E54A4A0-3ED7-4892-9BC9-153D4262FD89}"/>
    <cellStyle name="Normal 5 2 3 5" xfId="1688" xr:uid="{8B6BC2A6-035B-4627-9636-B5E9B9167B18}"/>
    <cellStyle name="Normal 5 2 3 6" xfId="1718" xr:uid="{55141BF3-4F24-4153-8B18-EB95F1B727E1}"/>
    <cellStyle name="Normal 5 2 4" xfId="844" xr:uid="{E5ED4AF3-FB2C-445E-AD98-836387592AA0}"/>
    <cellStyle name="Normal 5 2 5" xfId="1577" xr:uid="{342AFFB9-C072-4776-8B05-33A2D52D4255}"/>
    <cellStyle name="Normal 5 2 6" xfId="1658" xr:uid="{C7237865-E86B-47CA-B60B-C712178AC4B1}"/>
    <cellStyle name="Normal 5 2 7" xfId="1691" xr:uid="{93F60522-D333-4345-90EC-C7086D03E499}"/>
    <cellStyle name="Normal 5 3" xfId="840" xr:uid="{6F900A40-2CC6-4DF6-9E52-39DACFBB9333}"/>
    <cellStyle name="Normal 5 3 2" xfId="1602" xr:uid="{016B417D-6BE7-42EE-AB41-64CF17C581FC}"/>
    <cellStyle name="Normal 5 4" xfId="626" xr:uid="{1FAB166A-B1F1-49B7-9742-8EEB87263E54}"/>
    <cellStyle name="Normal 5 4 2" xfId="1635" xr:uid="{1AEFD97D-EB08-4369-87C3-D361F9435454}"/>
    <cellStyle name="Normal 5 5" xfId="1567" xr:uid="{62BBE788-3710-4EB5-8310-379D4C8E96D6}"/>
    <cellStyle name="Normal 5 6" xfId="1680" xr:uid="{9D70E6D3-411E-4025-8621-9E1EEA813F3D}"/>
    <cellStyle name="Normal 5 7" xfId="1711" xr:uid="{5CB8A4FA-2297-498F-8066-C4EBB5CE31F0}"/>
    <cellStyle name="Normal 50" xfId="1546" xr:uid="{7A973A52-FCB0-4512-B9DE-39384F1B1582}"/>
    <cellStyle name="Normal 51" xfId="1536" xr:uid="{971FB22C-377F-4E25-A099-3FC4D9A3E693}"/>
    <cellStyle name="Normal 52" xfId="1647" xr:uid="{C8DF7F4F-3DE3-44FA-98D5-0ABB0D889318}"/>
    <cellStyle name="Normal 53" xfId="1576" xr:uid="{9C6B2AEF-42CA-44CB-A0D1-6FBFAFB60886}"/>
    <cellStyle name="Normal 54" xfId="1650" xr:uid="{B323E6AB-6F97-433F-AEB2-47F72AEB8590}"/>
    <cellStyle name="Normal 55" xfId="1651" xr:uid="{21C5970C-140A-4642-A9F6-D50D9071FC30}"/>
    <cellStyle name="Normal 56" xfId="1717" xr:uid="{99827E8B-79DA-4F52-A296-973E89D08279}"/>
    <cellStyle name="Normal 57" xfId="1720" xr:uid="{EAA0F3CC-17BF-4F8C-9E01-77FE8C38C61F}"/>
    <cellStyle name="Normal 58" xfId="1708" xr:uid="{E90AE355-61ED-4EF2-BFAF-90E74FD5DCC7}"/>
    <cellStyle name="Normal 59" xfId="1719" xr:uid="{B8AF5B5E-8DC0-459E-A907-7E5DA2103A27}"/>
    <cellStyle name="Normal 6" xfId="80" xr:uid="{00000000-0005-0000-0000-000053000000}"/>
    <cellStyle name="Normal 6 2" xfId="843" xr:uid="{213AA290-D736-4DDA-A4D4-2EF27A647389}"/>
    <cellStyle name="Normal 6 2 2" xfId="1606" xr:uid="{981C84C6-DE44-4C20-92CF-FB2392451696}"/>
    <cellStyle name="Normal 6 3" xfId="627" xr:uid="{4A26A58B-7FCB-41A0-981C-8E1A21369BCB}"/>
    <cellStyle name="Normal 6 3 2" xfId="1638" xr:uid="{BBBB43E1-0D6C-404F-AE2D-BEB135A28257}"/>
    <cellStyle name="Normal 6 4" xfId="1570" xr:uid="{55488A95-04F8-42C5-A919-531BF6ADDF6F}"/>
    <cellStyle name="Normal 6 5" xfId="1681" xr:uid="{D20C65AE-58FF-4752-916B-04771B939692}"/>
    <cellStyle name="Normal 6 6" xfId="1712" xr:uid="{D86BBDE1-0369-4122-AE40-31C1BAEB3429}"/>
    <cellStyle name="Normal 7" xfId="81" xr:uid="{00000000-0005-0000-0000-000054000000}"/>
    <cellStyle name="Normal 7 2" xfId="628" xr:uid="{13E091AF-29C3-4863-8FB8-0E8A765159CD}"/>
    <cellStyle name="Normal 8" xfId="101" xr:uid="{947A62E7-9B13-4125-8F42-56423315674A}"/>
    <cellStyle name="Normal 8 2" xfId="629" xr:uid="{6582A769-8B2B-4D65-B887-379AD44BDFA1}"/>
    <cellStyle name="Normal 8 3" xfId="1584" xr:uid="{73F06497-77A8-4349-9DEC-CF3147FE8E4B}"/>
    <cellStyle name="Normal 9" xfId="630" xr:uid="{1308C8C4-F275-4DBD-A9E8-E228AB03DA1C}"/>
    <cellStyle name="Normal 9 2" xfId="1582" xr:uid="{A92C3FE1-8FE0-4539-A9E7-A59774DD92C3}"/>
    <cellStyle name="Normal_OEB Trial Balance - Regulatory-July24-07" xfId="1532" xr:uid="{B1C094EE-7CC0-45F9-BC8D-EC6A7C6391A3}"/>
    <cellStyle name="Normal_Sheet2" xfId="1531" xr:uid="{A8E5E958-6B7A-43CF-A86F-E29608D46716}"/>
    <cellStyle name="Note 10" xfId="631" xr:uid="{35EB5A95-A177-4B20-9CA8-FDBCC671FD84}"/>
    <cellStyle name="Note 11" xfId="632" xr:uid="{DD8908E4-84DE-45EA-B7BC-C557752625C8}"/>
    <cellStyle name="Note 12" xfId="633" xr:uid="{68F04D36-2740-4F78-83FA-8F74E024A676}"/>
    <cellStyle name="Note 13" xfId="634" xr:uid="{5D21E44C-0A5A-42B8-93C2-5BF90A920C88}"/>
    <cellStyle name="Note 14" xfId="635" xr:uid="{647CC37C-98B8-4CEF-BCF8-D50D5CDAC4E6}"/>
    <cellStyle name="Note 15" xfId="636" xr:uid="{CADABAD8-6058-424E-B810-088BEF2266A5}"/>
    <cellStyle name="Note 16" xfId="853" xr:uid="{F0178167-BA7F-43D7-A57C-AB12C251AE24}"/>
    <cellStyle name="Note 17" xfId="1543" xr:uid="{E1653CB8-264D-4A32-8DCE-5DF1C782DAE8}"/>
    <cellStyle name="Note 18" xfId="1549" xr:uid="{DEA9A86E-F245-43FF-81DB-721FD600E8AB}"/>
    <cellStyle name="Note 2" xfId="82" xr:uid="{00000000-0005-0000-0000-000055000000}"/>
    <cellStyle name="Note 2 2" xfId="811" xr:uid="{88EE9475-8459-4E92-B64E-E25ACC6A51C7}"/>
    <cellStyle name="Note 2 2 2" xfId="1586" xr:uid="{1F85A3D8-AD6E-4049-AA4B-E30F2D26ED10}"/>
    <cellStyle name="Note 2 3" xfId="637" xr:uid="{CF50727E-2C77-407C-AC31-2D4DB5D30CFE}"/>
    <cellStyle name="Note 2 3 2" xfId="1619" xr:uid="{358680A1-CE85-4911-AF8D-F2668E0509D9}"/>
    <cellStyle name="Note 2 4" xfId="1550" xr:uid="{C93E4656-5D6E-461E-9195-344D5ED1B639}"/>
    <cellStyle name="Note 2 5" xfId="1682" xr:uid="{E1F5A296-6C07-4CBA-B988-316C0D6C45B7}"/>
    <cellStyle name="Note 2 6" xfId="1713" xr:uid="{28985070-025F-4340-A799-8704B4A6373F}"/>
    <cellStyle name="Note 3" xfId="638" xr:uid="{19CEE5A5-BE22-42FF-910F-F069B3250C44}"/>
    <cellStyle name="Note 3 2" xfId="1583" xr:uid="{9E9807CA-B7C2-43A0-A5FA-A97763CD76DE}"/>
    <cellStyle name="Note 3 3" xfId="1649" xr:uid="{E633B5F4-851F-4DFA-94F4-BB0394006E03}"/>
    <cellStyle name="Note 4" xfId="639" xr:uid="{7AAED23A-34C0-4215-94F7-C4B1D21960EC}"/>
    <cellStyle name="Note 5" xfId="640" xr:uid="{3103A930-B420-44AE-8895-D819302C9BDA}"/>
    <cellStyle name="Note 6" xfId="641" xr:uid="{C572E38B-6B5D-494E-8559-22C9EAB31C47}"/>
    <cellStyle name="Note 7" xfId="642" xr:uid="{3E7F198A-42F7-4B61-99ED-E2D3DCC08E12}"/>
    <cellStyle name="Note 8" xfId="643" xr:uid="{25454A26-39A3-4DBB-88AA-CA12323CA64D}"/>
    <cellStyle name="Note 9" xfId="644" xr:uid="{00A3A72B-FBB4-4FAD-806E-3FCEF69DB47B}"/>
    <cellStyle name="Output 10" xfId="645" xr:uid="{948DCE6F-F3AD-49C7-90BE-C0A77BA0A473}"/>
    <cellStyle name="Output 11" xfId="646" xr:uid="{41BB4598-CBAA-49B3-BCA1-F91656EA7BA5}"/>
    <cellStyle name="Output 12" xfId="647" xr:uid="{D44A6A04-6B8C-4AC3-8451-ACF4F4536437}"/>
    <cellStyle name="Output 13" xfId="648" xr:uid="{A1C840EB-126E-476B-9DB7-9F9FD513C45C}"/>
    <cellStyle name="Output 14" xfId="649" xr:uid="{209CA6CB-EBC5-4833-A448-26231E2C1D8F}"/>
    <cellStyle name="Output 15" xfId="650" xr:uid="{E30BF09A-1449-4208-A811-33F74229B6CB}"/>
    <cellStyle name="Output 16" xfId="850" xr:uid="{09A8C6D2-A18C-40CA-ADA3-B844F231D36B}"/>
    <cellStyle name="Output 17" xfId="1544" xr:uid="{64AB2EF3-E341-4D11-9281-8032EB7008D0}"/>
    <cellStyle name="Output 18" xfId="1539" xr:uid="{C9E53BC3-C0FE-4A2A-82A1-60E937FF9C47}"/>
    <cellStyle name="Output 2" xfId="83" xr:uid="{00000000-0005-0000-0000-000056000000}"/>
    <cellStyle name="Output 2 2" xfId="806" xr:uid="{868B9F9B-667E-4F4E-AC42-FC4F489CB68D}"/>
    <cellStyle name="Output 2 3" xfId="651" xr:uid="{B5A3D20B-4584-4D4F-B9C7-E8488A6C23BE}"/>
    <cellStyle name="Output 3" xfId="652" xr:uid="{06436D1D-8BB7-4628-9EA9-12D6FC22BB0A}"/>
    <cellStyle name="Output 4" xfId="653" xr:uid="{6FD8334D-DB5B-4630-81A8-BD868D298189}"/>
    <cellStyle name="Output 5" xfId="654" xr:uid="{1D3CCAC3-AAD0-459B-B647-1D3C3BE34F01}"/>
    <cellStyle name="Output 6" xfId="655" xr:uid="{26FD6B34-F510-4192-9020-53C7C8AA0209}"/>
    <cellStyle name="Output 7" xfId="656" xr:uid="{E462345A-6513-4121-9711-FF362BF6DCF1}"/>
    <cellStyle name="Output 8" xfId="657" xr:uid="{94957617-06E5-49AE-AB00-F8F922E700A8}"/>
    <cellStyle name="Output 9" xfId="658" xr:uid="{9DC6D9F4-C9EC-4F7E-B76A-0C28FDD3DEC9}"/>
    <cellStyle name="Percent" xfId="2" builtinId="5"/>
    <cellStyle name="Percent [2]" xfId="84" xr:uid="{00000000-0005-0000-0000-000058000000}"/>
    <cellStyle name="Percent 10" xfId="932" xr:uid="{FB1570F1-7578-4FAD-BB88-C18527592552}"/>
    <cellStyle name="Percent 11" xfId="939" xr:uid="{7AE6E81E-F411-42C0-A1D6-589223235D82}"/>
    <cellStyle name="Percent 12" xfId="1017" xr:uid="{13BBC6A7-4A41-4785-B24C-CEC1AD4782DA}"/>
    <cellStyle name="Percent 13" xfId="1001" xr:uid="{11B89A78-EBF2-4925-A9DD-72416425FF84}"/>
    <cellStyle name="Percent 14" xfId="1005" xr:uid="{315724E4-062B-4765-9C10-C07216F846DA}"/>
    <cellStyle name="Percent 15" xfId="994" xr:uid="{7DB09506-9926-4C30-A23C-6154A44DC063}"/>
    <cellStyle name="Percent 16" xfId="1490" xr:uid="{C4D6394C-3D02-4661-9E8C-77AA478929E7}"/>
    <cellStyle name="Percent 17" xfId="1010" xr:uid="{1F9FB357-76B2-48C6-9E1F-444336BFB2C0}"/>
    <cellStyle name="Percent 18" xfId="1019" xr:uid="{276BE303-10C9-4C7C-AD95-CCB0C7BDCA45}"/>
    <cellStyle name="Percent 19" xfId="996" xr:uid="{5CEBFF43-1967-4B66-A658-E098DB32EC52}"/>
    <cellStyle name="Percent 2" xfId="85" xr:uid="{00000000-0005-0000-0000-000059000000}"/>
    <cellStyle name="Percent 2 2" xfId="710" xr:uid="{5F566A33-788D-4491-BA80-85773E6ABBA7}"/>
    <cellStyle name="Percent 2 2 2" xfId="722" xr:uid="{BDD03D9D-A05C-45DE-B7D8-9F969CC45511}"/>
    <cellStyle name="Percent 2 2 2 2" xfId="759" xr:uid="{7D0A15BA-9EB9-4B73-89D5-75F2F55338A9}"/>
    <cellStyle name="Percent 2 2 2 2 2" xfId="914" xr:uid="{99B3F488-4664-4E01-BFAB-C0FABD9C30A8}"/>
    <cellStyle name="Percent 2 2 2 2 2 2" xfId="1245" xr:uid="{41688BAB-4B30-4E89-969D-FD0B5B4D6AEB}"/>
    <cellStyle name="Percent 2 2 2 2 2 2 2" xfId="1478" xr:uid="{AAD5EAEB-A357-42D6-86FB-6D478523F5C3}"/>
    <cellStyle name="Percent 2 2 2 2 2 3" xfId="1362" xr:uid="{0FB9F9BB-5D75-4020-82D7-2C4364DA421F}"/>
    <cellStyle name="Percent 2 2 2 2 2 4" xfId="1126" xr:uid="{EF1AA621-7718-46D6-AC53-D2FB3F60416D}"/>
    <cellStyle name="Percent 2 2 2 2 3" xfId="984" xr:uid="{B1F05F6C-B390-40EA-B343-C566D8DD604C}"/>
    <cellStyle name="Percent 2 2 2 2 3 2" xfId="1422" xr:uid="{BBD119E7-0FC4-4E68-B34A-A90D652EEE0C}"/>
    <cellStyle name="Percent 2 2 2 2 3 3" xfId="1189" xr:uid="{6C317745-1C34-4BBA-82D2-4F24D0D8C069}"/>
    <cellStyle name="Percent 2 2 2 2 4" xfId="1306" xr:uid="{8A14BC25-43A7-47D0-8C1C-78F2081802AB}"/>
    <cellStyle name="Percent 2 2 2 2 5" xfId="1069" xr:uid="{CB0CE082-3FD8-4C7A-BC45-D657324A4C73}"/>
    <cellStyle name="Percent 2 2 2 3" xfId="881" xr:uid="{79E3FAC0-D3ED-4B7C-8C40-AAF91A32B3F2}"/>
    <cellStyle name="Percent 2 2 2 3 2" xfId="1215" xr:uid="{16D41656-864B-4625-85C3-899CC98BD310}"/>
    <cellStyle name="Percent 2 2 2 3 2 2" xfId="1448" xr:uid="{E1453BE3-5FF1-4B5C-887E-F8C2872DC576}"/>
    <cellStyle name="Percent 2 2 2 3 3" xfId="1332" xr:uid="{C36D18BC-0C1A-4676-B3D9-8FEFF81F12E3}"/>
    <cellStyle name="Percent 2 2 2 3 4" xfId="1096" xr:uid="{E9D05171-8549-4045-95DE-D2677DB08E9D}"/>
    <cellStyle name="Percent 2 2 2 4" xfId="954" xr:uid="{2BC70880-FB56-4C6D-B3C1-D1D222A4FF4B}"/>
    <cellStyle name="Percent 2 2 2 4 2" xfId="1396" xr:uid="{DE582128-E9D5-4F43-923A-E3CD7F05F6D4}"/>
    <cellStyle name="Percent 2 2 2 4 3" xfId="1163" xr:uid="{FFC31374-59B4-461A-B16A-6A38C5AF4DCB}"/>
    <cellStyle name="Percent 2 2 2 5" xfId="1280" xr:uid="{BDB68D74-C350-4EDC-A83C-9006A8FA1F85}"/>
    <cellStyle name="Percent 2 2 2 6" xfId="1043" xr:uid="{F79B9E8B-24CA-419A-A2E1-D4C5134BA55B}"/>
    <cellStyle name="Percent 2 2 3" xfId="730" xr:uid="{F32A737C-2306-44ED-9157-B3D163846A14}"/>
    <cellStyle name="Percent 2 2 3 2" xfId="767" xr:uid="{E657F6D9-E0AA-4D8B-92C4-EABED89B476E}"/>
    <cellStyle name="Percent 2 2 3 2 2" xfId="922" xr:uid="{BC6D34E9-33EF-433C-902A-20A87DE028F5}"/>
    <cellStyle name="Percent 2 2 3 2 2 2" xfId="1253" xr:uid="{DC2D2E41-3FC5-4180-B6BA-4B927EA723B8}"/>
    <cellStyle name="Percent 2 2 3 2 2 2 2" xfId="1486" xr:uid="{4B7EA963-8402-4E59-8139-012705EA26BE}"/>
    <cellStyle name="Percent 2 2 3 2 2 3" xfId="1370" xr:uid="{A1B37527-05B3-46E3-A0A4-DAC5ABBF2FBF}"/>
    <cellStyle name="Percent 2 2 3 2 2 4" xfId="1134" xr:uid="{77B232BD-EF62-4D0A-B9C3-B0DF78598044}"/>
    <cellStyle name="Percent 2 2 3 2 3" xfId="992" xr:uid="{B690CDB8-EDC9-44D9-8D4E-39F1E9A35023}"/>
    <cellStyle name="Percent 2 2 3 2 3 2" xfId="1430" xr:uid="{08EEE802-44F5-4F43-96F8-92A9476EE4D6}"/>
    <cellStyle name="Percent 2 2 3 2 3 3" xfId="1197" xr:uid="{5C1C04E1-7084-4333-910C-D20285CC2BE5}"/>
    <cellStyle name="Percent 2 2 3 2 4" xfId="1314" xr:uid="{D823029D-21EE-41FC-B92C-38976A279C31}"/>
    <cellStyle name="Percent 2 2 3 2 5" xfId="1077" xr:uid="{955D8B21-0F5E-4361-8715-390646E07FE5}"/>
    <cellStyle name="Percent 2 2 3 3" xfId="889" xr:uid="{9EF5348F-4454-449B-89AE-C2C15C4F53A9}"/>
    <cellStyle name="Percent 2 2 3 3 2" xfId="1223" xr:uid="{558A92A8-DE44-42E9-911A-14AA6455D021}"/>
    <cellStyle name="Percent 2 2 3 3 2 2" xfId="1456" xr:uid="{B97C0724-5A35-409F-846A-809D6DF8C35E}"/>
    <cellStyle name="Percent 2 2 3 3 3" xfId="1340" xr:uid="{DC1F1817-3C6B-4CEC-A655-7E63A634A07D}"/>
    <cellStyle name="Percent 2 2 3 3 4" xfId="1104" xr:uid="{D1860A29-6BD6-451F-A9B3-CEF347F16220}"/>
    <cellStyle name="Percent 2 2 3 4" xfId="962" xr:uid="{95D78603-66E8-4024-A783-3BEEEFD9FEC0}"/>
    <cellStyle name="Percent 2 2 3 4 2" xfId="1404" xr:uid="{3EAB58BA-5BA4-44A8-B4EE-E6301138CFFF}"/>
    <cellStyle name="Percent 2 2 3 4 3" xfId="1171" xr:uid="{F500D14E-AF25-4979-8E0F-8A6D777664FF}"/>
    <cellStyle name="Percent 2 2 3 5" xfId="1288" xr:uid="{6B444173-8074-4761-BC65-0A84B7BA2D3D}"/>
    <cellStyle name="Percent 2 2 3 6" xfId="1051" xr:uid="{61119096-C3F9-47C9-872A-BABE34AA5001}"/>
    <cellStyle name="Percent 2 2 4" xfId="751" xr:uid="{67C08EE6-CC85-474D-9333-46CD53D7D965}"/>
    <cellStyle name="Percent 2 2 4 2" xfId="906" xr:uid="{78D525A1-AB0A-4D6B-A580-B5C2B6A2642F}"/>
    <cellStyle name="Percent 2 2 4 2 2" xfId="1237" xr:uid="{AD0C68EA-2396-4546-802F-535480E3F6A7}"/>
    <cellStyle name="Percent 2 2 4 2 2 2" xfId="1470" xr:uid="{E39EABB1-29B7-43EA-ABBE-7A912A3DA402}"/>
    <cellStyle name="Percent 2 2 4 2 3" xfId="1354" xr:uid="{7EF0AEBC-96D9-464F-91AE-11582A21A53C}"/>
    <cellStyle name="Percent 2 2 4 2 4" xfId="1118" xr:uid="{FEA682B3-D045-43DA-8BE3-B1C208A16ED9}"/>
    <cellStyle name="Percent 2 2 4 3" xfId="976" xr:uid="{E82A8719-362B-4533-8AE7-243A3A10BCEB}"/>
    <cellStyle name="Percent 2 2 4 3 2" xfId="1414" xr:uid="{0D65EABF-9039-4F52-AAD7-86DA9F5E03E7}"/>
    <cellStyle name="Percent 2 2 4 3 3" xfId="1181" xr:uid="{2027761D-7285-42B4-8E52-FD7608B4230C}"/>
    <cellStyle name="Percent 2 2 4 4" xfId="1298" xr:uid="{3B1A5A77-BF21-48C5-B3F7-88AFD7439F34}"/>
    <cellStyle name="Percent 2 2 4 5" xfId="1061" xr:uid="{9C590336-6991-43C1-88EC-9D1707BC96EC}"/>
    <cellStyle name="Percent 2 2 5" xfId="873" xr:uid="{67F12982-8CCE-43D4-8570-78EB238B02D4}"/>
    <cellStyle name="Percent 2 2 5 2" xfId="1207" xr:uid="{24FBBF85-8E4B-4274-9838-CE4688F9E7F0}"/>
    <cellStyle name="Percent 2 2 5 2 2" xfId="1440" xr:uid="{1B8C678E-AC22-4A1F-B582-54F3A8909F73}"/>
    <cellStyle name="Percent 2 2 5 3" xfId="1324" xr:uid="{DCC78229-2BE3-40E8-84E4-1CBCF46CBB87}"/>
    <cellStyle name="Percent 2 2 5 4" xfId="1088" xr:uid="{CCBEFCB9-7912-450F-A502-47923A3928A2}"/>
    <cellStyle name="Percent 2 2 6" xfId="946" xr:uid="{9C4479DA-E787-427F-85A9-A4F58C5AAED7}"/>
    <cellStyle name="Percent 2 2 6 2" xfId="1388" xr:uid="{0668FD38-92E8-479D-86DA-C347453AA5FC}"/>
    <cellStyle name="Percent 2 2 6 3" xfId="1155" xr:uid="{C3634280-881D-4D54-AFF1-030BE9D03180}"/>
    <cellStyle name="Percent 2 2 7" xfId="1272" xr:uid="{EDC9D8FF-2B90-40E7-A280-8190504072A1}"/>
    <cellStyle name="Percent 2 2 8" xfId="1035" xr:uid="{F1CC9E9A-C24E-4D2A-AF01-744365E7B526}"/>
    <cellStyle name="Percent 2 2 9" xfId="1601" xr:uid="{11076CA7-C845-40CF-A3DC-D75A2058016F}"/>
    <cellStyle name="Percent 2 3" xfId="715" xr:uid="{957618BB-BB17-4599-B407-40F2504A0070}"/>
    <cellStyle name="Percent 2 3 2" xfId="723" xr:uid="{C334603A-CB93-4693-802B-1C5DE4FBA56B}"/>
    <cellStyle name="Percent 2 3 2 2" xfId="760" xr:uid="{3D0EB092-A6B4-4128-AF1C-12541BBD9A4F}"/>
    <cellStyle name="Percent 2 3 2 2 2" xfId="915" xr:uid="{3F02A74B-E453-40FC-9FB3-EC91A9EC293C}"/>
    <cellStyle name="Percent 2 3 2 2 2 2" xfId="1246" xr:uid="{ADE6962A-0F5E-4A0E-8526-21507C0C1CE2}"/>
    <cellStyle name="Percent 2 3 2 2 2 2 2" xfId="1479" xr:uid="{20AC5FD3-EE33-4452-B98E-610C5F113420}"/>
    <cellStyle name="Percent 2 3 2 2 2 3" xfId="1363" xr:uid="{8D03E115-34CE-4D64-93FD-487BF1B13253}"/>
    <cellStyle name="Percent 2 3 2 2 2 4" xfId="1127" xr:uid="{2FDBD90E-2E53-432D-97D4-96D689759883}"/>
    <cellStyle name="Percent 2 3 2 2 3" xfId="985" xr:uid="{BB0FB4EE-AE37-4CB9-B3E3-60A6A3E7CA87}"/>
    <cellStyle name="Percent 2 3 2 2 3 2" xfId="1423" xr:uid="{F64ED0DD-0205-438D-B588-ECE37A6A79A6}"/>
    <cellStyle name="Percent 2 3 2 2 3 3" xfId="1190" xr:uid="{45DA7050-7CA6-4E37-883F-A7FA850BCBAA}"/>
    <cellStyle name="Percent 2 3 2 2 4" xfId="1307" xr:uid="{85CC6D77-C8BF-4997-856A-36C792984BC9}"/>
    <cellStyle name="Percent 2 3 2 2 5" xfId="1070" xr:uid="{01CD960F-60E3-4B38-A068-DBECC530CCCB}"/>
    <cellStyle name="Percent 2 3 2 3" xfId="882" xr:uid="{1A56FA07-B24A-4458-ABB7-6A359A1EDDCC}"/>
    <cellStyle name="Percent 2 3 2 3 2" xfId="1216" xr:uid="{9B1E6F73-4710-4375-BD5A-EFF527D46207}"/>
    <cellStyle name="Percent 2 3 2 3 2 2" xfId="1449" xr:uid="{505B5699-6BE1-4703-A3B8-85EACD8AC3DF}"/>
    <cellStyle name="Percent 2 3 2 3 3" xfId="1333" xr:uid="{47773169-E417-4DD5-BE8E-B367EAAC66B7}"/>
    <cellStyle name="Percent 2 3 2 3 4" xfId="1097" xr:uid="{2F36AFF0-A868-453E-9820-59363BF4605B}"/>
    <cellStyle name="Percent 2 3 2 4" xfId="955" xr:uid="{85BACFE1-8D9D-4C9D-B21D-8006B00DF0A3}"/>
    <cellStyle name="Percent 2 3 2 4 2" xfId="1397" xr:uid="{DA623913-9CF7-4071-A1B8-267A5DDBF6F8}"/>
    <cellStyle name="Percent 2 3 2 4 3" xfId="1164" xr:uid="{C90ECF37-3C70-4B50-A8A5-16B86102142B}"/>
    <cellStyle name="Percent 2 3 2 5" xfId="1281" xr:uid="{7801F8DD-CD8B-4ECF-AEE1-D2B6A7D3CE61}"/>
    <cellStyle name="Percent 2 3 2 6" xfId="1044" xr:uid="{25644436-848F-4D06-8082-AC8096CEBBAB}"/>
    <cellStyle name="Percent 2 3 3" xfId="731" xr:uid="{8B53BB45-03F5-45F9-8DFF-41A7D01DF75F}"/>
    <cellStyle name="Percent 2 3 3 2" xfId="768" xr:uid="{B1C85827-EF7C-42A2-9763-9802B30DD390}"/>
    <cellStyle name="Percent 2 3 3 2 2" xfId="923" xr:uid="{484E0AE3-8EB5-4742-9CE6-D005770C2BEC}"/>
    <cellStyle name="Percent 2 3 3 2 2 2" xfId="1254" xr:uid="{5DB3A0DD-8A14-4585-A864-C6B49B4357DE}"/>
    <cellStyle name="Percent 2 3 3 2 2 2 2" xfId="1487" xr:uid="{2865ADB8-6236-479C-B012-F90D868943BE}"/>
    <cellStyle name="Percent 2 3 3 2 2 3" xfId="1371" xr:uid="{D30FF093-2737-41F8-8E8F-A19BC2F3774D}"/>
    <cellStyle name="Percent 2 3 3 2 2 4" xfId="1135" xr:uid="{CFAE250A-5ACB-45AE-800B-4ECD631A2251}"/>
    <cellStyle name="Percent 2 3 3 2 3" xfId="993" xr:uid="{1D9A29FE-9C6E-46DC-9A77-B89E3F3CBDAB}"/>
    <cellStyle name="Percent 2 3 3 2 3 2" xfId="1431" xr:uid="{010D03B1-4B47-44DA-A3AE-EB8FDDD30EC5}"/>
    <cellStyle name="Percent 2 3 3 2 3 3" xfId="1198" xr:uid="{41DCA3EF-8577-4C49-953F-C059C10267E5}"/>
    <cellStyle name="Percent 2 3 3 2 4" xfId="1315" xr:uid="{F63763CF-C887-48B4-A431-E5E833571B72}"/>
    <cellStyle name="Percent 2 3 3 2 5" xfId="1078" xr:uid="{748DDF15-5AF1-41A0-9367-3E4D45F8D759}"/>
    <cellStyle name="Percent 2 3 3 3" xfId="890" xr:uid="{1AB42011-F939-4163-8F76-49C89E7DB62C}"/>
    <cellStyle name="Percent 2 3 3 3 2" xfId="1224" xr:uid="{C677F1C4-0F2E-4219-8507-AB3DF04B2F87}"/>
    <cellStyle name="Percent 2 3 3 3 2 2" xfId="1457" xr:uid="{DCF1D279-FD00-4A7A-B071-A76E8D35B2AE}"/>
    <cellStyle name="Percent 2 3 3 3 3" xfId="1341" xr:uid="{4972E8A8-9A4C-4A17-BD8A-4949B375C5C0}"/>
    <cellStyle name="Percent 2 3 3 3 4" xfId="1105" xr:uid="{165CE284-A2FC-49C7-B2B5-59C4B3A90D7E}"/>
    <cellStyle name="Percent 2 3 3 4" xfId="963" xr:uid="{D211CE6A-38EE-4318-B1FA-11236953FD93}"/>
    <cellStyle name="Percent 2 3 3 4 2" xfId="1405" xr:uid="{1F8B2815-722A-4306-8EA5-152EC4C53F99}"/>
    <cellStyle name="Percent 2 3 3 4 3" xfId="1172" xr:uid="{9A17229A-0A23-42FB-A386-6025C0AF1AA0}"/>
    <cellStyle name="Percent 2 3 3 5" xfId="1289" xr:uid="{B69FA835-8DA6-4470-B8B5-4F2EC6C92574}"/>
    <cellStyle name="Percent 2 3 3 6" xfId="1052" xr:uid="{4229D542-344F-4FED-9745-1DCB82C2A25B}"/>
    <cellStyle name="Percent 2 3 4" xfId="752" xr:uid="{A06D54FA-1BE7-4EC7-A4CE-2E5ED86DC7F8}"/>
    <cellStyle name="Percent 2 3 4 2" xfId="907" xr:uid="{C9A63241-03B1-4A5F-B3A3-82EAB8F1E8B6}"/>
    <cellStyle name="Percent 2 3 4 2 2" xfId="1238" xr:uid="{06666921-8819-4BAD-BB2E-C28B6D172465}"/>
    <cellStyle name="Percent 2 3 4 2 2 2" xfId="1471" xr:uid="{75245791-C09F-4E64-90AF-4CC00FEAC8C5}"/>
    <cellStyle name="Percent 2 3 4 2 3" xfId="1355" xr:uid="{1753C37D-B412-4B6E-89EA-CA9A85CB8A9C}"/>
    <cellStyle name="Percent 2 3 4 2 4" xfId="1119" xr:uid="{FA2C178F-FECC-4FF1-B1CF-092C95D56237}"/>
    <cellStyle name="Percent 2 3 4 3" xfId="977" xr:uid="{15CDCB16-6A58-45E5-98A8-0FB701935A23}"/>
    <cellStyle name="Percent 2 3 4 3 2" xfId="1415" xr:uid="{40D3D8C4-31D1-4158-950F-E62F909951EC}"/>
    <cellStyle name="Percent 2 3 4 3 3" xfId="1182" xr:uid="{8BF9878D-6AD9-4640-86F8-6381C4488A5E}"/>
    <cellStyle name="Percent 2 3 4 4" xfId="1299" xr:uid="{EA845108-13B8-4213-8F1E-022A1DFBE373}"/>
    <cellStyle name="Percent 2 3 4 5" xfId="1062" xr:uid="{585185B1-1F12-41A8-8768-5FF189C2F07A}"/>
    <cellStyle name="Percent 2 3 5" xfId="874" xr:uid="{5E82E133-C67A-4986-A03F-CF24947BB3F0}"/>
    <cellStyle name="Percent 2 3 5 2" xfId="1208" xr:uid="{FD1FE9F1-D9B3-4F5A-98AC-8ABCD1A80B0C}"/>
    <cellStyle name="Percent 2 3 5 2 2" xfId="1441" xr:uid="{4382CE8D-E9E4-4259-8E9E-98D00809D4DE}"/>
    <cellStyle name="Percent 2 3 5 3" xfId="1325" xr:uid="{D6D89290-7914-4588-AA44-ED4448B728D9}"/>
    <cellStyle name="Percent 2 3 5 4" xfId="1089" xr:uid="{8F0C975D-EACE-4C08-A195-E228E14156E8}"/>
    <cellStyle name="Percent 2 3 6" xfId="947" xr:uid="{3B956D36-FB19-4557-8C02-9B43DC27B55B}"/>
    <cellStyle name="Percent 2 3 6 2" xfId="1389" xr:uid="{E2417F6D-06E6-4402-A2F3-3C36E3214CEE}"/>
    <cellStyle name="Percent 2 3 6 3" xfId="1156" xr:uid="{BD8B0B01-D36E-4B3B-BCF0-186DC0A359ED}"/>
    <cellStyle name="Percent 2 3 7" xfId="1273" xr:uid="{1E4F2552-9B0C-4E02-AD0B-3FA68BA722F5}"/>
    <cellStyle name="Percent 2 3 8" xfId="1036" xr:uid="{504F4993-2E2D-41CB-A02A-94ACD62B22AD}"/>
    <cellStyle name="Percent 2 3 9" xfId="1634" xr:uid="{328C826B-3EE9-4765-A4C9-86C8DA2B2B26}"/>
    <cellStyle name="Percent 2 4" xfId="1491" xr:uid="{63A4295F-CB30-4A18-B766-1E2FF7F4C0D1}"/>
    <cellStyle name="Percent 2 5" xfId="660" xr:uid="{4942AEF8-1E46-4CCB-B071-0521E2369A69}"/>
    <cellStyle name="Percent 2 6" xfId="1566" xr:uid="{ED940744-9E62-4A76-A09E-3BCDC8013F72}"/>
    <cellStyle name="Percent 2 7" xfId="1683" xr:uid="{076B510A-8A05-4E7A-932F-C9C7FEF3EBFB}"/>
    <cellStyle name="Percent 2 8" xfId="1714" xr:uid="{B759B01F-527D-425D-9693-DF92684B9A20}"/>
    <cellStyle name="Percent 20" xfId="995" xr:uid="{88286FDA-7BF1-4A87-994E-478ECAFFCA49}"/>
    <cellStyle name="Percent 21" xfId="997" xr:uid="{DF070F17-16A0-4CF6-8DC2-A1F7AEF91A35}"/>
    <cellStyle name="Percent 22" xfId="1008" xr:uid="{072A6A8E-01B0-4277-9BF1-06FF2876414E}"/>
    <cellStyle name="Percent 23" xfId="1492" xr:uid="{59092509-D486-4035-A998-EF1E88800E41}"/>
    <cellStyle name="Percent 24" xfId="1011" xr:uid="{E2BF0BF1-3FF5-4A5B-B1B1-5DE1DD784078}"/>
    <cellStyle name="Percent 25" xfId="1494" xr:uid="{0ADD595E-96F4-45BC-9CFA-23D5819380C5}"/>
    <cellStyle name="Percent 26" xfId="1021" xr:uid="{152B16FB-9AAC-47DA-BB25-B6E03715D3AB}"/>
    <cellStyle name="Percent 27" xfId="998" xr:uid="{B053958A-9854-45B4-932F-35BD075BE6CC}"/>
    <cellStyle name="Percent 28" xfId="1007" xr:uid="{CA176766-B462-4A0E-8185-4B333BBC4162}"/>
    <cellStyle name="Percent 29" xfId="1496" xr:uid="{E80A7E8B-47C6-4E4B-AF4D-7F99345B9FDD}"/>
    <cellStyle name="Percent 3" xfId="86" xr:uid="{00000000-0005-0000-0000-00005A000000}"/>
    <cellStyle name="Percent 3 2" xfId="87" xr:uid="{00000000-0005-0000-0000-00005B000000}"/>
    <cellStyle name="Percent 3 2 2" xfId="846" xr:uid="{3040551E-A83F-4526-9243-69DD6D01574C}"/>
    <cellStyle name="Percent 3 2 2 2" xfId="1614" xr:uid="{CE8721E5-7D04-4B51-A390-52D49BD5D2E9}"/>
    <cellStyle name="Percent 3 2 3" xfId="99" xr:uid="{00000000-0005-0000-0000-00005C000000}"/>
    <cellStyle name="Percent 3 2 3 2" xfId="1644" xr:uid="{C7B43141-A610-4E55-81D9-4A9C57B8E057}"/>
    <cellStyle name="Percent 3 2 4" xfId="711" xr:uid="{CFAB68E3-4DA1-4B36-806A-2EF59B608AF7}"/>
    <cellStyle name="Percent 3 2 5" xfId="1579" xr:uid="{9662C7D4-AD5C-4DD7-B4E7-A0AB5F3E568A}"/>
    <cellStyle name="Percent 3 2 6" xfId="1660" xr:uid="{59AF5553-A999-4DC0-B8A6-3EA7ED49FC98}"/>
    <cellStyle name="Percent 3 2 7" xfId="1693" xr:uid="{FC0AAE3A-4D92-4A72-A81E-1F359698B121}"/>
    <cellStyle name="Percent 3 3" xfId="735" xr:uid="{B1055DFC-E471-4EEA-9D50-1A88F26CD4BA}"/>
    <cellStyle name="Percent 3 3 2" xfId="1604" xr:uid="{57305F4D-EDB2-4D36-8225-FA5A165900D4}"/>
    <cellStyle name="Percent 3 4" xfId="842" xr:uid="{18429C23-B04A-4925-B20D-809EF7B2CD13}"/>
    <cellStyle name="Percent 3 4 2" xfId="1637" xr:uid="{1DDF8FEE-45D4-4CB0-AB31-1185FCC7F460}"/>
    <cellStyle name="Percent 3 5" xfId="661" xr:uid="{4A961E52-7858-4D07-90B6-5933D4465ABC}"/>
    <cellStyle name="Percent 3 6" xfId="1569" xr:uid="{70458123-3BD2-4E89-975D-DB9530A3D3BE}"/>
    <cellStyle name="Percent 3 7" xfId="1684" xr:uid="{1A2F7425-6BF6-40C0-AB46-1142BCD71679}"/>
    <cellStyle name="Percent 3 8" xfId="1715" xr:uid="{1BE08A40-9490-4FE4-82DE-A594B1D12E41}"/>
    <cellStyle name="Percent 30" xfId="1018" xr:uid="{F10D3621-BAA6-4330-8044-79E95329A343}"/>
    <cellStyle name="Percent 31" xfId="1020" xr:uid="{3E4921C8-B9E3-47DF-8C3B-46F7F146FFFC}"/>
    <cellStyle name="Percent 32" xfId="1009" xr:uid="{9617C96B-923A-46D2-BD6C-665997BF16C1}"/>
    <cellStyle name="Percent 33" xfId="1495" xr:uid="{BDCA4C26-8227-48E4-8115-35D488F4B99B}"/>
    <cellStyle name="Percent 34" xfId="1003" xr:uid="{60C11D62-61CC-45E3-9415-54E833E12B30}"/>
    <cellStyle name="Percent 35" xfId="1493" xr:uid="{DC2BAC89-00D5-4A3B-B29A-B39718E8F0C6}"/>
    <cellStyle name="Percent 36" xfId="1497" xr:uid="{02F7BAE4-5DEA-494F-9256-E9442B1864E3}"/>
    <cellStyle name="Percent 37" xfId="1499" xr:uid="{C81CE211-9D11-4567-9F40-51E90814147B}"/>
    <cellStyle name="Percent 38" xfId="1501" xr:uid="{68B9045E-FE4E-45DA-8A94-460D0B107C41}"/>
    <cellStyle name="Percent 39" xfId="1503" xr:uid="{BBB9BA4E-CEBE-4741-8055-9095E4630484}"/>
    <cellStyle name="Percent 4" xfId="88" xr:uid="{00000000-0005-0000-0000-00005D000000}"/>
    <cellStyle name="Percent 4 2" xfId="864" xr:uid="{C729B1F8-E543-471E-8920-B5EFAA934FCB}"/>
    <cellStyle name="Percent 4 2 2" xfId="1607" xr:uid="{FC82A935-AE04-4B1B-B96C-D26214972BFC}"/>
    <cellStyle name="Percent 4 3" xfId="712" xr:uid="{55D2CD74-19FC-40BE-B10B-80E3CC32F985}"/>
    <cellStyle name="Percent 4 3 2" xfId="1639" xr:uid="{E466A553-F57C-4915-B33E-AC2031F53E0C}"/>
    <cellStyle name="Percent 4 4" xfId="1571" xr:uid="{8C18DBF0-E732-42B7-98C6-0B0E42ADB1FD}"/>
    <cellStyle name="Percent 4 5" xfId="1685" xr:uid="{5971766C-2721-4BFD-95F2-9817BEBE738D}"/>
    <cellStyle name="Percent 4 6" xfId="1716" xr:uid="{F4ECA338-CD33-42D0-AAF1-CCB26BDAEAD1}"/>
    <cellStyle name="Percent 40" xfId="1505" xr:uid="{6186B9CC-7DF7-4DE1-B26B-37F54E2FE527}"/>
    <cellStyle name="Percent 41" xfId="1507" xr:uid="{C3FE416F-455E-427D-BF1E-166A567ACECC}"/>
    <cellStyle name="Percent 42" xfId="1509" xr:uid="{17975B7A-5585-4B35-AD6C-A95C737F6F36}"/>
    <cellStyle name="Percent 43" xfId="1511" xr:uid="{ED3CC2E2-376F-4E95-B580-3998411C884D}"/>
    <cellStyle name="Percent 44" xfId="1513" xr:uid="{7E48C945-A29D-45B4-8D15-6B4E5E396A36}"/>
    <cellStyle name="Percent 45" xfId="1515" xr:uid="{8AA11831-538B-4C4C-8842-9B72706654B5}"/>
    <cellStyle name="Percent 46" xfId="1517" xr:uid="{A02A0402-8161-4A49-9DC6-0D06618F876A}"/>
    <cellStyle name="Percent 47" xfId="1519" xr:uid="{A6709786-5F9B-4B09-B051-65D55B309133}"/>
    <cellStyle name="Percent 48" xfId="1521" xr:uid="{23263B67-DA48-4959-A266-D04B85B13A50}"/>
    <cellStyle name="Percent 49" xfId="659" xr:uid="{A9361BA9-887F-4091-9842-A632E38243DD}"/>
    <cellStyle name="Percent 5" xfId="89" xr:uid="{00000000-0005-0000-0000-00005E000000}"/>
    <cellStyle name="Percent 5 2" xfId="744" xr:uid="{C51EA53D-BD39-4949-B029-F588B38C9096}"/>
    <cellStyle name="Percent 6" xfId="739" xr:uid="{00E4EDF4-04AE-4A8A-A445-3F1770962B6D}"/>
    <cellStyle name="Percent 6 2" xfId="896" xr:uid="{133A4BC4-9BF1-4B85-9B40-BC456A15AB6C}"/>
    <cellStyle name="Percent 6 2 2" xfId="1461" xr:uid="{E3077FF0-236A-462E-A858-57FA2C3BC860}"/>
    <cellStyle name="Percent 6 2 3" xfId="1228" xr:uid="{A7EDCDC1-20D6-435E-870C-68C5F715E7C6}"/>
    <cellStyle name="Percent 6 3" xfId="967" xr:uid="{89B06886-1275-4116-8A5C-BAE4447F47F1}"/>
    <cellStyle name="Percent 6 3 2" xfId="1345" xr:uid="{D312287E-6135-4A4E-B1DC-83B1838D1694}"/>
    <cellStyle name="Percent 6 4" xfId="1109" xr:uid="{38ECC924-6877-4C16-8D0F-B18EF5D0A5CC}"/>
    <cellStyle name="Percent 7" xfId="929" xr:uid="{E3721F02-5F4C-4E9C-9734-E0FFFDC69449}"/>
    <cellStyle name="Percent 7 2" xfId="1142" xr:uid="{06CD519F-2993-4E2E-BEEC-92D8F5DA0F5F}"/>
    <cellStyle name="Percent 8" xfId="930" xr:uid="{B03B89C8-5F04-4F53-8156-073A14975EDC}"/>
    <cellStyle name="Percent 8 2" xfId="1258" xr:uid="{757B7B4C-F691-4D83-BEE6-CC035DAC7294}"/>
    <cellStyle name="Percent 9" xfId="933" xr:uid="{9A749FCD-075B-4097-874D-65B6CE283A39}"/>
    <cellStyle name="Style 23" xfId="3" xr:uid="{00000000-0005-0000-0000-00005F000000}"/>
    <cellStyle name="Style 23 2" xfId="714" xr:uid="{58BF3198-1938-4CE3-8788-C79370C43328}"/>
    <cellStyle name="Style 23 3" xfId="713" xr:uid="{7D65EC76-69C8-40B7-9320-37CD6834A8FC}"/>
    <cellStyle name="STYLE1" xfId="90" xr:uid="{00000000-0005-0000-0000-000060000000}"/>
    <cellStyle name="STYLE2" xfId="91" xr:uid="{00000000-0005-0000-0000-000061000000}"/>
    <cellStyle name="STYLE4" xfId="92" xr:uid="{00000000-0005-0000-0000-000062000000}"/>
    <cellStyle name="Subtotal" xfId="93" xr:uid="{00000000-0005-0000-0000-000063000000}"/>
    <cellStyle name="Subtotal 2" xfId="1686" xr:uid="{0E05C7CC-0DCF-4E74-8EBF-8CE184944813}"/>
    <cellStyle name="Subtotal 3" xfId="1690" xr:uid="{938A1770-821B-49A2-80D1-3550C667649B}"/>
    <cellStyle name="Title 2" xfId="94" xr:uid="{00000000-0005-0000-0000-000064000000}"/>
    <cellStyle name="Title 2 2" xfId="1022" xr:uid="{0CB3792D-C93A-46FD-BA8F-B2566CC7F30E}"/>
    <cellStyle name="Title 3" xfId="793" xr:uid="{00A40A86-F2D4-46E7-BC07-5190D5DAED0C}"/>
    <cellStyle name="Total 10" xfId="662" xr:uid="{B8C97E61-A9F6-4417-B045-67D836D6A9E9}"/>
    <cellStyle name="Total 11" xfId="663" xr:uid="{4AFD8423-901D-4C1F-9483-BFF2E575BAF2}"/>
    <cellStyle name="Total 12" xfId="664" xr:uid="{03F47C12-3FB6-4CC5-8599-93F0CE2E6212}"/>
    <cellStyle name="Total 13" xfId="665" xr:uid="{40376B34-1598-432D-849E-19D337D84FAB}"/>
    <cellStyle name="Total 14" xfId="666" xr:uid="{E0EC608F-D44D-4DA9-8508-F7B07A6D62C3}"/>
    <cellStyle name="Total 15" xfId="667" xr:uid="{47B510AC-5742-44FB-8E21-028FBFA1CE2D}"/>
    <cellStyle name="Total 16" xfId="794" xr:uid="{0AD3E2A5-2193-4C63-B928-834750545801}"/>
    <cellStyle name="Total 17" xfId="1545" xr:uid="{3EC4D3CD-718E-41FA-9386-6749F39F03AD}"/>
    <cellStyle name="Total 18" xfId="1537" xr:uid="{CF971472-34CA-4B8A-B909-EA590493A870}"/>
    <cellStyle name="Total 2" xfId="95" xr:uid="{00000000-0005-0000-0000-000065000000}"/>
    <cellStyle name="Total 2 2" xfId="813" xr:uid="{28FAF2D3-4A09-434B-BD0C-CA27F6C494BC}"/>
    <cellStyle name="Total 2 3" xfId="668" xr:uid="{EC04D9DC-5173-4E4A-A489-F66F37367CE0}"/>
    <cellStyle name="Total 3" xfId="669" xr:uid="{BD127B31-8186-4B6D-8D0E-706E3F42F845}"/>
    <cellStyle name="Total 4" xfId="670" xr:uid="{A4DD1224-D6AA-40BD-806E-86C4453F2752}"/>
    <cellStyle name="Total 5" xfId="671" xr:uid="{EAE319E5-2D49-4304-92BB-167E6B681D0C}"/>
    <cellStyle name="Total 6" xfId="672" xr:uid="{A15C169C-84D9-47ED-8D17-D0385D36B226}"/>
    <cellStyle name="Total 7" xfId="673" xr:uid="{001D1633-CA86-4CA9-A6F6-68C601CA5879}"/>
    <cellStyle name="Total 8" xfId="674" xr:uid="{218F9980-F3A4-458A-9A94-FAE3D15DAB05}"/>
    <cellStyle name="Total 9" xfId="675" xr:uid="{B0DC51FE-90E2-46C3-9684-9FBDAA24DFF5}"/>
    <cellStyle name="Warning Text 10" xfId="676" xr:uid="{9D27EA6C-1766-4A37-B121-CA1B3ECB5E10}"/>
    <cellStyle name="Warning Text 11" xfId="677" xr:uid="{96E5491B-6C27-43BA-8188-BF6514EAF449}"/>
    <cellStyle name="Warning Text 12" xfId="678" xr:uid="{B9487338-0B7E-406F-913B-9087095D8D55}"/>
    <cellStyle name="Warning Text 13" xfId="679" xr:uid="{C4D2BB42-FB9F-4845-8E8F-6C5172FFC117}"/>
    <cellStyle name="Warning Text 14" xfId="680" xr:uid="{61778BEC-7724-4B4C-87C2-D72F67BE4508}"/>
    <cellStyle name="Warning Text 15" xfId="681" xr:uid="{2851631C-9765-4B86-B376-AEA1567F9E81}"/>
    <cellStyle name="Warning Text 16" xfId="795" xr:uid="{733EE28F-3587-4E0F-8BFA-69D5A0401452}"/>
    <cellStyle name="Warning Text 2" xfId="96" xr:uid="{00000000-0005-0000-0000-000066000000}"/>
    <cellStyle name="Warning Text 2 2" xfId="810" xr:uid="{2B837EDB-828B-4983-B609-910661F9A201}"/>
    <cellStyle name="Warning Text 2 3" xfId="682" xr:uid="{5B3BC198-7405-44C4-9AC4-99FF46EBC9BD}"/>
    <cellStyle name="Warning Text 3" xfId="683" xr:uid="{A5BA6059-1DE1-47EF-A0D4-B76430AED1F7}"/>
    <cellStyle name="Warning Text 4" xfId="684" xr:uid="{7F31B44A-BE13-4D1F-85C8-5DFE23E7654B}"/>
    <cellStyle name="Warning Text 5" xfId="685" xr:uid="{968A673C-2DBC-4706-B115-EB4C7B1B7AF0}"/>
    <cellStyle name="Warning Text 6" xfId="686" xr:uid="{3B092DE0-F827-405B-90DE-31D01E1505C0}"/>
    <cellStyle name="Warning Text 7" xfId="687" xr:uid="{BDED9789-8E45-4E4A-AD10-EB0825BE44E9}"/>
    <cellStyle name="Warning Text 8" xfId="688" xr:uid="{0708A765-B026-48C5-AF8A-0EAAC65DA0A0}"/>
    <cellStyle name="Warning Text 9" xfId="689" xr:uid="{9C40819F-8CFD-4A5D-B22B-6FD37B9AECC8}"/>
  </cellStyles>
  <dxfs count="0"/>
  <tableStyles count="0" defaultTableStyle="TableStyleMedium2" defaultPivotStyle="PivotStyleLight16"/>
  <colors>
    <mruColors>
      <color rgb="FFCCFFCC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E48C7-0D84-45B0-AD93-DD34214F110A}">
  <dimension ref="A2:XEW607"/>
  <sheetViews>
    <sheetView topLeftCell="A324" zoomScale="85" zoomScaleNormal="85" workbookViewId="0">
      <selection activeCell="O369" sqref="O369"/>
    </sheetView>
  </sheetViews>
  <sheetFormatPr defaultRowHeight="12.75" x14ac:dyDescent="0.2"/>
  <cols>
    <col min="1" max="1" width="36.5703125" style="87" customWidth="1"/>
    <col min="2" max="12" width="12" style="87" customWidth="1"/>
    <col min="13" max="15" width="14.85546875" style="87" customWidth="1"/>
    <col min="16" max="16" width="37.5703125" style="87" customWidth="1"/>
    <col min="17" max="26" width="12.42578125" style="87" customWidth="1"/>
    <col min="27" max="27" width="30.85546875" style="87" customWidth="1"/>
    <col min="28" max="29" width="9.140625" style="87"/>
    <col min="30" max="30" width="6.140625" style="87" customWidth="1"/>
    <col min="31" max="31" width="11.28515625" style="87" customWidth="1"/>
    <col min="32" max="34" width="11.140625" style="87" bestFit="1" customWidth="1"/>
    <col min="35" max="35" width="9.5703125" style="87" customWidth="1"/>
    <col min="36" max="38" width="9" style="87" bestFit="1" customWidth="1"/>
    <col min="39" max="255" width="9.140625" style="87"/>
    <col min="256" max="256" width="26.85546875" style="87" customWidth="1"/>
    <col min="257" max="257" width="0" style="87" hidden="1" customWidth="1"/>
    <col min="258" max="258" width="12.42578125" style="87" customWidth="1"/>
    <col min="259" max="260" width="11.140625" style="87" customWidth="1"/>
    <col min="261" max="261" width="12.140625" style="87" customWidth="1"/>
    <col min="262" max="262" width="14" style="87" customWidth="1"/>
    <col min="263" max="263" width="12.5703125" style="87" customWidth="1"/>
    <col min="264" max="265" width="13.140625" style="87" customWidth="1"/>
    <col min="266" max="267" width="9.140625" style="87"/>
    <col min="268" max="268" width="11" style="87" customWidth="1"/>
    <col min="269" max="511" width="9.140625" style="87"/>
    <col min="512" max="512" width="26.85546875" style="87" customWidth="1"/>
    <col min="513" max="513" width="0" style="87" hidden="1" customWidth="1"/>
    <col min="514" max="514" width="12.42578125" style="87" customWidth="1"/>
    <col min="515" max="516" width="11.140625" style="87" customWidth="1"/>
    <col min="517" max="517" width="12.140625" style="87" customWidth="1"/>
    <col min="518" max="518" width="14" style="87" customWidth="1"/>
    <col min="519" max="519" width="12.5703125" style="87" customWidth="1"/>
    <col min="520" max="521" width="13.140625" style="87" customWidth="1"/>
    <col min="522" max="523" width="9.140625" style="87"/>
    <col min="524" max="524" width="11" style="87" customWidth="1"/>
    <col min="525" max="767" width="9.140625" style="87"/>
    <col min="768" max="768" width="26.85546875" style="87" customWidth="1"/>
    <col min="769" max="769" width="0" style="87" hidden="1" customWidth="1"/>
    <col min="770" max="770" width="12.42578125" style="87" customWidth="1"/>
    <col min="771" max="772" width="11.140625" style="87" customWidth="1"/>
    <col min="773" max="773" width="12.140625" style="87" customWidth="1"/>
    <col min="774" max="774" width="14" style="87" customWidth="1"/>
    <col min="775" max="775" width="12.5703125" style="87" customWidth="1"/>
    <col min="776" max="777" width="13.140625" style="87" customWidth="1"/>
    <col min="778" max="779" width="9.140625" style="87"/>
    <col min="780" max="780" width="11" style="87" customWidth="1"/>
    <col min="781" max="1023" width="9.140625" style="87"/>
    <col min="1024" max="1024" width="26.85546875" style="87" customWidth="1"/>
    <col min="1025" max="1025" width="0" style="87" hidden="1" customWidth="1"/>
    <col min="1026" max="1026" width="12.42578125" style="87" customWidth="1"/>
    <col min="1027" max="1028" width="11.140625" style="87" customWidth="1"/>
    <col min="1029" max="1029" width="12.140625" style="87" customWidth="1"/>
    <col min="1030" max="1030" width="14" style="87" customWidth="1"/>
    <col min="1031" max="1031" width="12.5703125" style="87" customWidth="1"/>
    <col min="1032" max="1033" width="13.140625" style="87" customWidth="1"/>
    <col min="1034" max="1035" width="9.140625" style="87"/>
    <col min="1036" max="1036" width="11" style="87" customWidth="1"/>
    <col min="1037" max="1279" width="9.140625" style="87"/>
    <col min="1280" max="1280" width="26.85546875" style="87" customWidth="1"/>
    <col min="1281" max="1281" width="0" style="87" hidden="1" customWidth="1"/>
    <col min="1282" max="1282" width="12.42578125" style="87" customWidth="1"/>
    <col min="1283" max="1284" width="11.140625" style="87" customWidth="1"/>
    <col min="1285" max="1285" width="12.140625" style="87" customWidth="1"/>
    <col min="1286" max="1286" width="14" style="87" customWidth="1"/>
    <col min="1287" max="1287" width="12.5703125" style="87" customWidth="1"/>
    <col min="1288" max="1289" width="13.140625" style="87" customWidth="1"/>
    <col min="1290" max="1291" width="9.140625" style="87"/>
    <col min="1292" max="1292" width="11" style="87" customWidth="1"/>
    <col min="1293" max="1535" width="9.140625" style="87"/>
    <col min="1536" max="1536" width="26.85546875" style="87" customWidth="1"/>
    <col min="1537" max="1537" width="0" style="87" hidden="1" customWidth="1"/>
    <col min="1538" max="1538" width="12.42578125" style="87" customWidth="1"/>
    <col min="1539" max="1540" width="11.140625" style="87" customWidth="1"/>
    <col min="1541" max="1541" width="12.140625" style="87" customWidth="1"/>
    <col min="1542" max="1542" width="14" style="87" customWidth="1"/>
    <col min="1543" max="1543" width="12.5703125" style="87" customWidth="1"/>
    <col min="1544" max="1545" width="13.140625" style="87" customWidth="1"/>
    <col min="1546" max="1547" width="9.140625" style="87"/>
    <col min="1548" max="1548" width="11" style="87" customWidth="1"/>
    <col min="1549" max="1791" width="9.140625" style="87"/>
    <col min="1792" max="1792" width="26.85546875" style="87" customWidth="1"/>
    <col min="1793" max="1793" width="0" style="87" hidden="1" customWidth="1"/>
    <col min="1794" max="1794" width="12.42578125" style="87" customWidth="1"/>
    <col min="1795" max="1796" width="11.140625" style="87" customWidth="1"/>
    <col min="1797" max="1797" width="12.140625" style="87" customWidth="1"/>
    <col min="1798" max="1798" width="14" style="87" customWidth="1"/>
    <col min="1799" max="1799" width="12.5703125" style="87" customWidth="1"/>
    <col min="1800" max="1801" width="13.140625" style="87" customWidth="1"/>
    <col min="1802" max="1803" width="9.140625" style="87"/>
    <col min="1804" max="1804" width="11" style="87" customWidth="1"/>
    <col min="1805" max="2047" width="9.140625" style="87"/>
    <col min="2048" max="2048" width="26.85546875" style="87" customWidth="1"/>
    <col min="2049" max="2049" width="0" style="87" hidden="1" customWidth="1"/>
    <col min="2050" max="2050" width="12.42578125" style="87" customWidth="1"/>
    <col min="2051" max="2052" width="11.140625" style="87" customWidth="1"/>
    <col min="2053" max="2053" width="12.140625" style="87" customWidth="1"/>
    <col min="2054" max="2054" width="14" style="87" customWidth="1"/>
    <col min="2055" max="2055" width="12.5703125" style="87" customWidth="1"/>
    <col min="2056" max="2057" width="13.140625" style="87" customWidth="1"/>
    <col min="2058" max="2059" width="9.140625" style="87"/>
    <col min="2060" max="2060" width="11" style="87" customWidth="1"/>
    <col min="2061" max="2303" width="9.140625" style="87"/>
    <col min="2304" max="2304" width="26.85546875" style="87" customWidth="1"/>
    <col min="2305" max="2305" width="0" style="87" hidden="1" customWidth="1"/>
    <col min="2306" max="2306" width="12.42578125" style="87" customWidth="1"/>
    <col min="2307" max="2308" width="11.140625" style="87" customWidth="1"/>
    <col min="2309" max="2309" width="12.140625" style="87" customWidth="1"/>
    <col min="2310" max="2310" width="14" style="87" customWidth="1"/>
    <col min="2311" max="2311" width="12.5703125" style="87" customWidth="1"/>
    <col min="2312" max="2313" width="13.140625" style="87" customWidth="1"/>
    <col min="2314" max="2315" width="9.140625" style="87"/>
    <col min="2316" max="2316" width="11" style="87" customWidth="1"/>
    <col min="2317" max="2559" width="9.140625" style="87"/>
    <col min="2560" max="2560" width="26.85546875" style="87" customWidth="1"/>
    <col min="2561" max="2561" width="0" style="87" hidden="1" customWidth="1"/>
    <col min="2562" max="2562" width="12.42578125" style="87" customWidth="1"/>
    <col min="2563" max="2564" width="11.140625" style="87" customWidth="1"/>
    <col min="2565" max="2565" width="12.140625" style="87" customWidth="1"/>
    <col min="2566" max="2566" width="14" style="87" customWidth="1"/>
    <col min="2567" max="2567" width="12.5703125" style="87" customWidth="1"/>
    <col min="2568" max="2569" width="13.140625" style="87" customWidth="1"/>
    <col min="2570" max="2571" width="9.140625" style="87"/>
    <col min="2572" max="2572" width="11" style="87" customWidth="1"/>
    <col min="2573" max="2815" width="9.140625" style="87"/>
    <col min="2816" max="2816" width="26.85546875" style="87" customWidth="1"/>
    <col min="2817" max="2817" width="0" style="87" hidden="1" customWidth="1"/>
    <col min="2818" max="2818" width="12.42578125" style="87" customWidth="1"/>
    <col min="2819" max="2820" width="11.140625" style="87" customWidth="1"/>
    <col min="2821" max="2821" width="12.140625" style="87" customWidth="1"/>
    <col min="2822" max="2822" width="14" style="87" customWidth="1"/>
    <col min="2823" max="2823" width="12.5703125" style="87" customWidth="1"/>
    <col min="2824" max="2825" width="13.140625" style="87" customWidth="1"/>
    <col min="2826" max="2827" width="9.140625" style="87"/>
    <col min="2828" max="2828" width="11" style="87" customWidth="1"/>
    <col min="2829" max="3071" width="9.140625" style="87"/>
    <col min="3072" max="3072" width="26.85546875" style="87" customWidth="1"/>
    <col min="3073" max="3073" width="0" style="87" hidden="1" customWidth="1"/>
    <col min="3074" max="3074" width="12.42578125" style="87" customWidth="1"/>
    <col min="3075" max="3076" width="11.140625" style="87" customWidth="1"/>
    <col min="3077" max="3077" width="12.140625" style="87" customWidth="1"/>
    <col min="3078" max="3078" width="14" style="87" customWidth="1"/>
    <col min="3079" max="3079" width="12.5703125" style="87" customWidth="1"/>
    <col min="3080" max="3081" width="13.140625" style="87" customWidth="1"/>
    <col min="3082" max="3083" width="9.140625" style="87"/>
    <col min="3084" max="3084" width="11" style="87" customWidth="1"/>
    <col min="3085" max="3327" width="9.140625" style="87"/>
    <col min="3328" max="3328" width="26.85546875" style="87" customWidth="1"/>
    <col min="3329" max="3329" width="0" style="87" hidden="1" customWidth="1"/>
    <col min="3330" max="3330" width="12.42578125" style="87" customWidth="1"/>
    <col min="3331" max="3332" width="11.140625" style="87" customWidth="1"/>
    <col min="3333" max="3333" width="12.140625" style="87" customWidth="1"/>
    <col min="3334" max="3334" width="14" style="87" customWidth="1"/>
    <col min="3335" max="3335" width="12.5703125" style="87" customWidth="1"/>
    <col min="3336" max="3337" width="13.140625" style="87" customWidth="1"/>
    <col min="3338" max="3339" width="9.140625" style="87"/>
    <col min="3340" max="3340" width="11" style="87" customWidth="1"/>
    <col min="3341" max="3583" width="9.140625" style="87"/>
    <col min="3584" max="3584" width="26.85546875" style="87" customWidth="1"/>
    <col min="3585" max="3585" width="0" style="87" hidden="1" customWidth="1"/>
    <col min="3586" max="3586" width="12.42578125" style="87" customWidth="1"/>
    <col min="3587" max="3588" width="11.140625" style="87" customWidth="1"/>
    <col min="3589" max="3589" width="12.140625" style="87" customWidth="1"/>
    <col min="3590" max="3590" width="14" style="87" customWidth="1"/>
    <col min="3591" max="3591" width="12.5703125" style="87" customWidth="1"/>
    <col min="3592" max="3593" width="13.140625" style="87" customWidth="1"/>
    <col min="3594" max="3595" width="9.140625" style="87"/>
    <col min="3596" max="3596" width="11" style="87" customWidth="1"/>
    <col min="3597" max="3839" width="9.140625" style="87"/>
    <col min="3840" max="3840" width="26.85546875" style="87" customWidth="1"/>
    <col min="3841" max="3841" width="0" style="87" hidden="1" customWidth="1"/>
    <col min="3842" max="3842" width="12.42578125" style="87" customWidth="1"/>
    <col min="3843" max="3844" width="11.140625" style="87" customWidth="1"/>
    <col min="3845" max="3845" width="12.140625" style="87" customWidth="1"/>
    <col min="3846" max="3846" width="14" style="87" customWidth="1"/>
    <col min="3847" max="3847" width="12.5703125" style="87" customWidth="1"/>
    <col min="3848" max="3849" width="13.140625" style="87" customWidth="1"/>
    <col min="3850" max="3851" width="9.140625" style="87"/>
    <col min="3852" max="3852" width="11" style="87" customWidth="1"/>
    <col min="3853" max="4095" width="9.140625" style="87"/>
    <col min="4096" max="4096" width="26.85546875" style="87" customWidth="1"/>
    <col min="4097" max="4097" width="0" style="87" hidden="1" customWidth="1"/>
    <col min="4098" max="4098" width="12.42578125" style="87" customWidth="1"/>
    <col min="4099" max="4100" width="11.140625" style="87" customWidth="1"/>
    <col min="4101" max="4101" width="12.140625" style="87" customWidth="1"/>
    <col min="4102" max="4102" width="14" style="87" customWidth="1"/>
    <col min="4103" max="4103" width="12.5703125" style="87" customWidth="1"/>
    <col min="4104" max="4105" width="13.140625" style="87" customWidth="1"/>
    <col min="4106" max="4107" width="9.140625" style="87"/>
    <col min="4108" max="4108" width="11" style="87" customWidth="1"/>
    <col min="4109" max="4351" width="9.140625" style="87"/>
    <col min="4352" max="4352" width="26.85546875" style="87" customWidth="1"/>
    <col min="4353" max="4353" width="0" style="87" hidden="1" customWidth="1"/>
    <col min="4354" max="4354" width="12.42578125" style="87" customWidth="1"/>
    <col min="4355" max="4356" width="11.140625" style="87" customWidth="1"/>
    <col min="4357" max="4357" width="12.140625" style="87" customWidth="1"/>
    <col min="4358" max="4358" width="14" style="87" customWidth="1"/>
    <col min="4359" max="4359" width="12.5703125" style="87" customWidth="1"/>
    <col min="4360" max="4361" width="13.140625" style="87" customWidth="1"/>
    <col min="4362" max="4363" width="9.140625" style="87"/>
    <col min="4364" max="4364" width="11" style="87" customWidth="1"/>
    <col min="4365" max="4607" width="9.140625" style="87"/>
    <col min="4608" max="4608" width="26.85546875" style="87" customWidth="1"/>
    <col min="4609" max="4609" width="0" style="87" hidden="1" customWidth="1"/>
    <col min="4610" max="4610" width="12.42578125" style="87" customWidth="1"/>
    <col min="4611" max="4612" width="11.140625" style="87" customWidth="1"/>
    <col min="4613" max="4613" width="12.140625" style="87" customWidth="1"/>
    <col min="4614" max="4614" width="14" style="87" customWidth="1"/>
    <col min="4615" max="4615" width="12.5703125" style="87" customWidth="1"/>
    <col min="4616" max="4617" width="13.140625" style="87" customWidth="1"/>
    <col min="4618" max="4619" width="9.140625" style="87"/>
    <col min="4620" max="4620" width="11" style="87" customWidth="1"/>
    <col min="4621" max="4863" width="9.140625" style="87"/>
    <col min="4864" max="4864" width="26.85546875" style="87" customWidth="1"/>
    <col min="4865" max="4865" width="0" style="87" hidden="1" customWidth="1"/>
    <col min="4866" max="4866" width="12.42578125" style="87" customWidth="1"/>
    <col min="4867" max="4868" width="11.140625" style="87" customWidth="1"/>
    <col min="4869" max="4869" width="12.140625" style="87" customWidth="1"/>
    <col min="4870" max="4870" width="14" style="87" customWidth="1"/>
    <col min="4871" max="4871" width="12.5703125" style="87" customWidth="1"/>
    <col min="4872" max="4873" width="13.140625" style="87" customWidth="1"/>
    <col min="4874" max="4875" width="9.140625" style="87"/>
    <col min="4876" max="4876" width="11" style="87" customWidth="1"/>
    <col min="4877" max="5119" width="9.140625" style="87"/>
    <col min="5120" max="5120" width="26.85546875" style="87" customWidth="1"/>
    <col min="5121" max="5121" width="0" style="87" hidden="1" customWidth="1"/>
    <col min="5122" max="5122" width="12.42578125" style="87" customWidth="1"/>
    <col min="5123" max="5124" width="11.140625" style="87" customWidth="1"/>
    <col min="5125" max="5125" width="12.140625" style="87" customWidth="1"/>
    <col min="5126" max="5126" width="14" style="87" customWidth="1"/>
    <col min="5127" max="5127" width="12.5703125" style="87" customWidth="1"/>
    <col min="5128" max="5129" width="13.140625" style="87" customWidth="1"/>
    <col min="5130" max="5131" width="9.140625" style="87"/>
    <col min="5132" max="5132" width="11" style="87" customWidth="1"/>
    <col min="5133" max="5375" width="9.140625" style="87"/>
    <col min="5376" max="5376" width="26.85546875" style="87" customWidth="1"/>
    <col min="5377" max="5377" width="0" style="87" hidden="1" customWidth="1"/>
    <col min="5378" max="5378" width="12.42578125" style="87" customWidth="1"/>
    <col min="5379" max="5380" width="11.140625" style="87" customWidth="1"/>
    <col min="5381" max="5381" width="12.140625" style="87" customWidth="1"/>
    <col min="5382" max="5382" width="14" style="87" customWidth="1"/>
    <col min="5383" max="5383" width="12.5703125" style="87" customWidth="1"/>
    <col min="5384" max="5385" width="13.140625" style="87" customWidth="1"/>
    <col min="5386" max="5387" width="9.140625" style="87"/>
    <col min="5388" max="5388" width="11" style="87" customWidth="1"/>
    <col min="5389" max="5631" width="9.140625" style="87"/>
    <col min="5632" max="5632" width="26.85546875" style="87" customWidth="1"/>
    <col min="5633" max="5633" width="0" style="87" hidden="1" customWidth="1"/>
    <col min="5634" max="5634" width="12.42578125" style="87" customWidth="1"/>
    <col min="5635" max="5636" width="11.140625" style="87" customWidth="1"/>
    <col min="5637" max="5637" width="12.140625" style="87" customWidth="1"/>
    <col min="5638" max="5638" width="14" style="87" customWidth="1"/>
    <col min="5639" max="5639" width="12.5703125" style="87" customWidth="1"/>
    <col min="5640" max="5641" width="13.140625" style="87" customWidth="1"/>
    <col min="5642" max="5643" width="9.140625" style="87"/>
    <col min="5644" max="5644" width="11" style="87" customWidth="1"/>
    <col min="5645" max="5887" width="9.140625" style="87"/>
    <col min="5888" max="5888" width="26.85546875" style="87" customWidth="1"/>
    <col min="5889" max="5889" width="0" style="87" hidden="1" customWidth="1"/>
    <col min="5890" max="5890" width="12.42578125" style="87" customWidth="1"/>
    <col min="5891" max="5892" width="11.140625" style="87" customWidth="1"/>
    <col min="5893" max="5893" width="12.140625" style="87" customWidth="1"/>
    <col min="5894" max="5894" width="14" style="87" customWidth="1"/>
    <col min="5895" max="5895" width="12.5703125" style="87" customWidth="1"/>
    <col min="5896" max="5897" width="13.140625" style="87" customWidth="1"/>
    <col min="5898" max="5899" width="9.140625" style="87"/>
    <col min="5900" max="5900" width="11" style="87" customWidth="1"/>
    <col min="5901" max="6143" width="9.140625" style="87"/>
    <col min="6144" max="6144" width="26.85546875" style="87" customWidth="1"/>
    <col min="6145" max="6145" width="0" style="87" hidden="1" customWidth="1"/>
    <col min="6146" max="6146" width="12.42578125" style="87" customWidth="1"/>
    <col min="6147" max="6148" width="11.140625" style="87" customWidth="1"/>
    <col min="6149" max="6149" width="12.140625" style="87" customWidth="1"/>
    <col min="6150" max="6150" width="14" style="87" customWidth="1"/>
    <col min="6151" max="6151" width="12.5703125" style="87" customWidth="1"/>
    <col min="6152" max="6153" width="13.140625" style="87" customWidth="1"/>
    <col min="6154" max="6155" width="9.140625" style="87"/>
    <col min="6156" max="6156" width="11" style="87" customWidth="1"/>
    <col min="6157" max="6399" width="9.140625" style="87"/>
    <col min="6400" max="6400" width="26.85546875" style="87" customWidth="1"/>
    <col min="6401" max="6401" width="0" style="87" hidden="1" customWidth="1"/>
    <col min="6402" max="6402" width="12.42578125" style="87" customWidth="1"/>
    <col min="6403" max="6404" width="11.140625" style="87" customWidth="1"/>
    <col min="6405" max="6405" width="12.140625" style="87" customWidth="1"/>
    <col min="6406" max="6406" width="14" style="87" customWidth="1"/>
    <col min="6407" max="6407" width="12.5703125" style="87" customWidth="1"/>
    <col min="6408" max="6409" width="13.140625" style="87" customWidth="1"/>
    <col min="6410" max="6411" width="9.140625" style="87"/>
    <col min="6412" max="6412" width="11" style="87" customWidth="1"/>
    <col min="6413" max="6655" width="9.140625" style="87"/>
    <col min="6656" max="6656" width="26.85546875" style="87" customWidth="1"/>
    <col min="6657" max="6657" width="0" style="87" hidden="1" customWidth="1"/>
    <col min="6658" max="6658" width="12.42578125" style="87" customWidth="1"/>
    <col min="6659" max="6660" width="11.140625" style="87" customWidth="1"/>
    <col min="6661" max="6661" width="12.140625" style="87" customWidth="1"/>
    <col min="6662" max="6662" width="14" style="87" customWidth="1"/>
    <col min="6663" max="6663" width="12.5703125" style="87" customWidth="1"/>
    <col min="6664" max="6665" width="13.140625" style="87" customWidth="1"/>
    <col min="6666" max="6667" width="9.140625" style="87"/>
    <col min="6668" max="6668" width="11" style="87" customWidth="1"/>
    <col min="6669" max="6911" width="9.140625" style="87"/>
    <col min="6912" max="6912" width="26.85546875" style="87" customWidth="1"/>
    <col min="6913" max="6913" width="0" style="87" hidden="1" customWidth="1"/>
    <col min="6914" max="6914" width="12.42578125" style="87" customWidth="1"/>
    <col min="6915" max="6916" width="11.140625" style="87" customWidth="1"/>
    <col min="6917" max="6917" width="12.140625" style="87" customWidth="1"/>
    <col min="6918" max="6918" width="14" style="87" customWidth="1"/>
    <col min="6919" max="6919" width="12.5703125" style="87" customWidth="1"/>
    <col min="6920" max="6921" width="13.140625" style="87" customWidth="1"/>
    <col min="6922" max="6923" width="9.140625" style="87"/>
    <col min="6924" max="6924" width="11" style="87" customWidth="1"/>
    <col min="6925" max="7167" width="9.140625" style="87"/>
    <col min="7168" max="7168" width="26.85546875" style="87" customWidth="1"/>
    <col min="7169" max="7169" width="0" style="87" hidden="1" customWidth="1"/>
    <col min="7170" max="7170" width="12.42578125" style="87" customWidth="1"/>
    <col min="7171" max="7172" width="11.140625" style="87" customWidth="1"/>
    <col min="7173" max="7173" width="12.140625" style="87" customWidth="1"/>
    <col min="7174" max="7174" width="14" style="87" customWidth="1"/>
    <col min="7175" max="7175" width="12.5703125" style="87" customWidth="1"/>
    <col min="7176" max="7177" width="13.140625" style="87" customWidth="1"/>
    <col min="7178" max="7179" width="9.140625" style="87"/>
    <col min="7180" max="7180" width="11" style="87" customWidth="1"/>
    <col min="7181" max="7423" width="9.140625" style="87"/>
    <col min="7424" max="7424" width="26.85546875" style="87" customWidth="1"/>
    <col min="7425" max="7425" width="0" style="87" hidden="1" customWidth="1"/>
    <col min="7426" max="7426" width="12.42578125" style="87" customWidth="1"/>
    <col min="7427" max="7428" width="11.140625" style="87" customWidth="1"/>
    <col min="7429" max="7429" width="12.140625" style="87" customWidth="1"/>
    <col min="7430" max="7430" width="14" style="87" customWidth="1"/>
    <col min="7431" max="7431" width="12.5703125" style="87" customWidth="1"/>
    <col min="7432" max="7433" width="13.140625" style="87" customWidth="1"/>
    <col min="7434" max="7435" width="9.140625" style="87"/>
    <col min="7436" max="7436" width="11" style="87" customWidth="1"/>
    <col min="7437" max="7679" width="9.140625" style="87"/>
    <col min="7680" max="7680" width="26.85546875" style="87" customWidth="1"/>
    <col min="7681" max="7681" width="0" style="87" hidden="1" customWidth="1"/>
    <col min="7682" max="7682" width="12.42578125" style="87" customWidth="1"/>
    <col min="7683" max="7684" width="11.140625" style="87" customWidth="1"/>
    <col min="7685" max="7685" width="12.140625" style="87" customWidth="1"/>
    <col min="7686" max="7686" width="14" style="87" customWidth="1"/>
    <col min="7687" max="7687" width="12.5703125" style="87" customWidth="1"/>
    <col min="7688" max="7689" width="13.140625" style="87" customWidth="1"/>
    <col min="7690" max="7691" width="9.140625" style="87"/>
    <col min="7692" max="7692" width="11" style="87" customWidth="1"/>
    <col min="7693" max="7935" width="9.140625" style="87"/>
    <col min="7936" max="7936" width="26.85546875" style="87" customWidth="1"/>
    <col min="7937" max="7937" width="0" style="87" hidden="1" customWidth="1"/>
    <col min="7938" max="7938" width="12.42578125" style="87" customWidth="1"/>
    <col min="7939" max="7940" width="11.140625" style="87" customWidth="1"/>
    <col min="7941" max="7941" width="12.140625" style="87" customWidth="1"/>
    <col min="7942" max="7942" width="14" style="87" customWidth="1"/>
    <col min="7943" max="7943" width="12.5703125" style="87" customWidth="1"/>
    <col min="7944" max="7945" width="13.140625" style="87" customWidth="1"/>
    <col min="7946" max="7947" width="9.140625" style="87"/>
    <col min="7948" max="7948" width="11" style="87" customWidth="1"/>
    <col min="7949" max="8191" width="9.140625" style="87"/>
    <col min="8192" max="8192" width="26.85546875" style="87" customWidth="1"/>
    <col min="8193" max="8193" width="0" style="87" hidden="1" customWidth="1"/>
    <col min="8194" max="8194" width="12.42578125" style="87" customWidth="1"/>
    <col min="8195" max="8196" width="11.140625" style="87" customWidth="1"/>
    <col min="8197" max="8197" width="12.140625" style="87" customWidth="1"/>
    <col min="8198" max="8198" width="14" style="87" customWidth="1"/>
    <col min="8199" max="8199" width="12.5703125" style="87" customWidth="1"/>
    <col min="8200" max="8201" width="13.140625" style="87" customWidth="1"/>
    <col min="8202" max="8203" width="9.140625" style="87"/>
    <col min="8204" max="8204" width="11" style="87" customWidth="1"/>
    <col min="8205" max="8447" width="9.140625" style="87"/>
    <col min="8448" max="8448" width="26.85546875" style="87" customWidth="1"/>
    <col min="8449" max="8449" width="0" style="87" hidden="1" customWidth="1"/>
    <col min="8450" max="8450" width="12.42578125" style="87" customWidth="1"/>
    <col min="8451" max="8452" width="11.140625" style="87" customWidth="1"/>
    <col min="8453" max="8453" width="12.140625" style="87" customWidth="1"/>
    <col min="8454" max="8454" width="14" style="87" customWidth="1"/>
    <col min="8455" max="8455" width="12.5703125" style="87" customWidth="1"/>
    <col min="8456" max="8457" width="13.140625" style="87" customWidth="1"/>
    <col min="8458" max="8459" width="9.140625" style="87"/>
    <col min="8460" max="8460" width="11" style="87" customWidth="1"/>
    <col min="8461" max="8703" width="9.140625" style="87"/>
    <col min="8704" max="8704" width="26.85546875" style="87" customWidth="1"/>
    <col min="8705" max="8705" width="0" style="87" hidden="1" customWidth="1"/>
    <col min="8706" max="8706" width="12.42578125" style="87" customWidth="1"/>
    <col min="8707" max="8708" width="11.140625" style="87" customWidth="1"/>
    <col min="8709" max="8709" width="12.140625" style="87" customWidth="1"/>
    <col min="8710" max="8710" width="14" style="87" customWidth="1"/>
    <col min="8711" max="8711" width="12.5703125" style="87" customWidth="1"/>
    <col min="8712" max="8713" width="13.140625" style="87" customWidth="1"/>
    <col min="8714" max="8715" width="9.140625" style="87"/>
    <col min="8716" max="8716" width="11" style="87" customWidth="1"/>
    <col min="8717" max="8959" width="9.140625" style="87"/>
    <col min="8960" max="8960" width="26.85546875" style="87" customWidth="1"/>
    <col min="8961" max="8961" width="0" style="87" hidden="1" customWidth="1"/>
    <col min="8962" max="8962" width="12.42578125" style="87" customWidth="1"/>
    <col min="8963" max="8964" width="11.140625" style="87" customWidth="1"/>
    <col min="8965" max="8965" width="12.140625" style="87" customWidth="1"/>
    <col min="8966" max="8966" width="14" style="87" customWidth="1"/>
    <col min="8967" max="8967" width="12.5703125" style="87" customWidth="1"/>
    <col min="8968" max="8969" width="13.140625" style="87" customWidth="1"/>
    <col min="8970" max="8971" width="9.140625" style="87"/>
    <col min="8972" max="8972" width="11" style="87" customWidth="1"/>
    <col min="8973" max="9215" width="9.140625" style="87"/>
    <col min="9216" max="9216" width="26.85546875" style="87" customWidth="1"/>
    <col min="9217" max="9217" width="0" style="87" hidden="1" customWidth="1"/>
    <col min="9218" max="9218" width="12.42578125" style="87" customWidth="1"/>
    <col min="9219" max="9220" width="11.140625" style="87" customWidth="1"/>
    <col min="9221" max="9221" width="12.140625" style="87" customWidth="1"/>
    <col min="9222" max="9222" width="14" style="87" customWidth="1"/>
    <col min="9223" max="9223" width="12.5703125" style="87" customWidth="1"/>
    <col min="9224" max="9225" width="13.140625" style="87" customWidth="1"/>
    <col min="9226" max="9227" width="9.140625" style="87"/>
    <col min="9228" max="9228" width="11" style="87" customWidth="1"/>
    <col min="9229" max="9471" width="9.140625" style="87"/>
    <col min="9472" max="9472" width="26.85546875" style="87" customWidth="1"/>
    <col min="9473" max="9473" width="0" style="87" hidden="1" customWidth="1"/>
    <col min="9474" max="9474" width="12.42578125" style="87" customWidth="1"/>
    <col min="9475" max="9476" width="11.140625" style="87" customWidth="1"/>
    <col min="9477" max="9477" width="12.140625" style="87" customWidth="1"/>
    <col min="9478" max="9478" width="14" style="87" customWidth="1"/>
    <col min="9479" max="9479" width="12.5703125" style="87" customWidth="1"/>
    <col min="9480" max="9481" width="13.140625" style="87" customWidth="1"/>
    <col min="9482" max="9483" width="9.140625" style="87"/>
    <col min="9484" max="9484" width="11" style="87" customWidth="1"/>
    <col min="9485" max="9727" width="9.140625" style="87"/>
    <col min="9728" max="9728" width="26.85546875" style="87" customWidth="1"/>
    <col min="9729" max="9729" width="0" style="87" hidden="1" customWidth="1"/>
    <col min="9730" max="9730" width="12.42578125" style="87" customWidth="1"/>
    <col min="9731" max="9732" width="11.140625" style="87" customWidth="1"/>
    <col min="9733" max="9733" width="12.140625" style="87" customWidth="1"/>
    <col min="9734" max="9734" width="14" style="87" customWidth="1"/>
    <col min="9735" max="9735" width="12.5703125" style="87" customWidth="1"/>
    <col min="9736" max="9737" width="13.140625" style="87" customWidth="1"/>
    <col min="9738" max="9739" width="9.140625" style="87"/>
    <col min="9740" max="9740" width="11" style="87" customWidth="1"/>
    <col min="9741" max="9983" width="9.140625" style="87"/>
    <col min="9984" max="9984" width="26.85546875" style="87" customWidth="1"/>
    <col min="9985" max="9985" width="0" style="87" hidden="1" customWidth="1"/>
    <col min="9986" max="9986" width="12.42578125" style="87" customWidth="1"/>
    <col min="9987" max="9988" width="11.140625" style="87" customWidth="1"/>
    <col min="9989" max="9989" width="12.140625" style="87" customWidth="1"/>
    <col min="9990" max="9990" width="14" style="87" customWidth="1"/>
    <col min="9991" max="9991" width="12.5703125" style="87" customWidth="1"/>
    <col min="9992" max="9993" width="13.140625" style="87" customWidth="1"/>
    <col min="9994" max="9995" width="9.140625" style="87"/>
    <col min="9996" max="9996" width="11" style="87" customWidth="1"/>
    <col min="9997" max="10239" width="9.140625" style="87"/>
    <col min="10240" max="10240" width="26.85546875" style="87" customWidth="1"/>
    <col min="10241" max="10241" width="0" style="87" hidden="1" customWidth="1"/>
    <col min="10242" max="10242" width="12.42578125" style="87" customWidth="1"/>
    <col min="10243" max="10244" width="11.140625" style="87" customWidth="1"/>
    <col min="10245" max="10245" width="12.140625" style="87" customWidth="1"/>
    <col min="10246" max="10246" width="14" style="87" customWidth="1"/>
    <col min="10247" max="10247" width="12.5703125" style="87" customWidth="1"/>
    <col min="10248" max="10249" width="13.140625" style="87" customWidth="1"/>
    <col min="10250" max="10251" width="9.140625" style="87"/>
    <col min="10252" max="10252" width="11" style="87" customWidth="1"/>
    <col min="10253" max="10495" width="9.140625" style="87"/>
    <col min="10496" max="10496" width="26.85546875" style="87" customWidth="1"/>
    <col min="10497" max="10497" width="0" style="87" hidden="1" customWidth="1"/>
    <col min="10498" max="10498" width="12.42578125" style="87" customWidth="1"/>
    <col min="10499" max="10500" width="11.140625" style="87" customWidth="1"/>
    <col min="10501" max="10501" width="12.140625" style="87" customWidth="1"/>
    <col min="10502" max="10502" width="14" style="87" customWidth="1"/>
    <col min="10503" max="10503" width="12.5703125" style="87" customWidth="1"/>
    <col min="10504" max="10505" width="13.140625" style="87" customWidth="1"/>
    <col min="10506" max="10507" width="9.140625" style="87"/>
    <col min="10508" max="10508" width="11" style="87" customWidth="1"/>
    <col min="10509" max="10751" width="9.140625" style="87"/>
    <col min="10752" max="10752" width="26.85546875" style="87" customWidth="1"/>
    <col min="10753" max="10753" width="0" style="87" hidden="1" customWidth="1"/>
    <col min="10754" max="10754" width="12.42578125" style="87" customWidth="1"/>
    <col min="10755" max="10756" width="11.140625" style="87" customWidth="1"/>
    <col min="10757" max="10757" width="12.140625" style="87" customWidth="1"/>
    <col min="10758" max="10758" width="14" style="87" customWidth="1"/>
    <col min="10759" max="10759" width="12.5703125" style="87" customWidth="1"/>
    <col min="10760" max="10761" width="13.140625" style="87" customWidth="1"/>
    <col min="10762" max="10763" width="9.140625" style="87"/>
    <col min="10764" max="10764" width="11" style="87" customWidth="1"/>
    <col min="10765" max="11007" width="9.140625" style="87"/>
    <col min="11008" max="11008" width="26.85546875" style="87" customWidth="1"/>
    <col min="11009" max="11009" width="0" style="87" hidden="1" customWidth="1"/>
    <col min="11010" max="11010" width="12.42578125" style="87" customWidth="1"/>
    <col min="11011" max="11012" width="11.140625" style="87" customWidth="1"/>
    <col min="11013" max="11013" width="12.140625" style="87" customWidth="1"/>
    <col min="11014" max="11014" width="14" style="87" customWidth="1"/>
    <col min="11015" max="11015" width="12.5703125" style="87" customWidth="1"/>
    <col min="11016" max="11017" width="13.140625" style="87" customWidth="1"/>
    <col min="11018" max="11019" width="9.140625" style="87"/>
    <col min="11020" max="11020" width="11" style="87" customWidth="1"/>
    <col min="11021" max="11263" width="9.140625" style="87"/>
    <col min="11264" max="11264" width="26.85546875" style="87" customWidth="1"/>
    <col min="11265" max="11265" width="0" style="87" hidden="1" customWidth="1"/>
    <col min="11266" max="11266" width="12.42578125" style="87" customWidth="1"/>
    <col min="11267" max="11268" width="11.140625" style="87" customWidth="1"/>
    <col min="11269" max="11269" width="12.140625" style="87" customWidth="1"/>
    <col min="11270" max="11270" width="14" style="87" customWidth="1"/>
    <col min="11271" max="11271" width="12.5703125" style="87" customWidth="1"/>
    <col min="11272" max="11273" width="13.140625" style="87" customWidth="1"/>
    <col min="11274" max="11275" width="9.140625" style="87"/>
    <col min="11276" max="11276" width="11" style="87" customWidth="1"/>
    <col min="11277" max="11519" width="9.140625" style="87"/>
    <col min="11520" max="11520" width="26.85546875" style="87" customWidth="1"/>
    <col min="11521" max="11521" width="0" style="87" hidden="1" customWidth="1"/>
    <col min="11522" max="11522" width="12.42578125" style="87" customWidth="1"/>
    <col min="11523" max="11524" width="11.140625" style="87" customWidth="1"/>
    <col min="11525" max="11525" width="12.140625" style="87" customWidth="1"/>
    <col min="11526" max="11526" width="14" style="87" customWidth="1"/>
    <col min="11527" max="11527" width="12.5703125" style="87" customWidth="1"/>
    <col min="11528" max="11529" width="13.140625" style="87" customWidth="1"/>
    <col min="11530" max="11531" width="9.140625" style="87"/>
    <col min="11532" max="11532" width="11" style="87" customWidth="1"/>
    <col min="11533" max="11775" width="9.140625" style="87"/>
    <col min="11776" max="11776" width="26.85546875" style="87" customWidth="1"/>
    <col min="11777" max="11777" width="0" style="87" hidden="1" customWidth="1"/>
    <col min="11778" max="11778" width="12.42578125" style="87" customWidth="1"/>
    <col min="11779" max="11780" width="11.140625" style="87" customWidth="1"/>
    <col min="11781" max="11781" width="12.140625" style="87" customWidth="1"/>
    <col min="11782" max="11782" width="14" style="87" customWidth="1"/>
    <col min="11783" max="11783" width="12.5703125" style="87" customWidth="1"/>
    <col min="11784" max="11785" width="13.140625" style="87" customWidth="1"/>
    <col min="11786" max="11787" width="9.140625" style="87"/>
    <col min="11788" max="11788" width="11" style="87" customWidth="1"/>
    <col min="11789" max="12031" width="9.140625" style="87"/>
    <col min="12032" max="12032" width="26.85546875" style="87" customWidth="1"/>
    <col min="12033" max="12033" width="0" style="87" hidden="1" customWidth="1"/>
    <col min="12034" max="12034" width="12.42578125" style="87" customWidth="1"/>
    <col min="12035" max="12036" width="11.140625" style="87" customWidth="1"/>
    <col min="12037" max="12037" width="12.140625" style="87" customWidth="1"/>
    <col min="12038" max="12038" width="14" style="87" customWidth="1"/>
    <col min="12039" max="12039" width="12.5703125" style="87" customWidth="1"/>
    <col min="12040" max="12041" width="13.140625" style="87" customWidth="1"/>
    <col min="12042" max="12043" width="9.140625" style="87"/>
    <col min="12044" max="12044" width="11" style="87" customWidth="1"/>
    <col min="12045" max="12287" width="9.140625" style="87"/>
    <col min="12288" max="12288" width="26.85546875" style="87" customWidth="1"/>
    <col min="12289" max="12289" width="0" style="87" hidden="1" customWidth="1"/>
    <col min="12290" max="12290" width="12.42578125" style="87" customWidth="1"/>
    <col min="12291" max="12292" width="11.140625" style="87" customWidth="1"/>
    <col min="12293" max="12293" width="12.140625" style="87" customWidth="1"/>
    <col min="12294" max="12294" width="14" style="87" customWidth="1"/>
    <col min="12295" max="12295" width="12.5703125" style="87" customWidth="1"/>
    <col min="12296" max="12297" width="13.140625" style="87" customWidth="1"/>
    <col min="12298" max="12299" width="9.140625" style="87"/>
    <col min="12300" max="12300" width="11" style="87" customWidth="1"/>
    <col min="12301" max="12543" width="9.140625" style="87"/>
    <col min="12544" max="12544" width="26.85546875" style="87" customWidth="1"/>
    <col min="12545" max="12545" width="0" style="87" hidden="1" customWidth="1"/>
    <col min="12546" max="12546" width="12.42578125" style="87" customWidth="1"/>
    <col min="12547" max="12548" width="11.140625" style="87" customWidth="1"/>
    <col min="12549" max="12549" width="12.140625" style="87" customWidth="1"/>
    <col min="12550" max="12550" width="14" style="87" customWidth="1"/>
    <col min="12551" max="12551" width="12.5703125" style="87" customWidth="1"/>
    <col min="12552" max="12553" width="13.140625" style="87" customWidth="1"/>
    <col min="12554" max="12555" width="9.140625" style="87"/>
    <col min="12556" max="12556" width="11" style="87" customWidth="1"/>
    <col min="12557" max="12799" width="9.140625" style="87"/>
    <col min="12800" max="12800" width="26.85546875" style="87" customWidth="1"/>
    <col min="12801" max="12801" width="0" style="87" hidden="1" customWidth="1"/>
    <col min="12802" max="12802" width="12.42578125" style="87" customWidth="1"/>
    <col min="12803" max="12804" width="11.140625" style="87" customWidth="1"/>
    <col min="12805" max="12805" width="12.140625" style="87" customWidth="1"/>
    <col min="12806" max="12806" width="14" style="87" customWidth="1"/>
    <col min="12807" max="12807" width="12.5703125" style="87" customWidth="1"/>
    <col min="12808" max="12809" width="13.140625" style="87" customWidth="1"/>
    <col min="12810" max="12811" width="9.140625" style="87"/>
    <col min="12812" max="12812" width="11" style="87" customWidth="1"/>
    <col min="12813" max="13055" width="9.140625" style="87"/>
    <col min="13056" max="13056" width="26.85546875" style="87" customWidth="1"/>
    <col min="13057" max="13057" width="0" style="87" hidden="1" customWidth="1"/>
    <col min="13058" max="13058" width="12.42578125" style="87" customWidth="1"/>
    <col min="13059" max="13060" width="11.140625" style="87" customWidth="1"/>
    <col min="13061" max="13061" width="12.140625" style="87" customWidth="1"/>
    <col min="13062" max="13062" width="14" style="87" customWidth="1"/>
    <col min="13063" max="13063" width="12.5703125" style="87" customWidth="1"/>
    <col min="13064" max="13065" width="13.140625" style="87" customWidth="1"/>
    <col min="13066" max="13067" width="9.140625" style="87"/>
    <col min="13068" max="13068" width="11" style="87" customWidth="1"/>
    <col min="13069" max="13311" width="9.140625" style="87"/>
    <col min="13312" max="13312" width="26.85546875" style="87" customWidth="1"/>
    <col min="13313" max="13313" width="0" style="87" hidden="1" customWidth="1"/>
    <col min="13314" max="13314" width="12.42578125" style="87" customWidth="1"/>
    <col min="13315" max="13316" width="11.140625" style="87" customWidth="1"/>
    <col min="13317" max="13317" width="12.140625" style="87" customWidth="1"/>
    <col min="13318" max="13318" width="14" style="87" customWidth="1"/>
    <col min="13319" max="13319" width="12.5703125" style="87" customWidth="1"/>
    <col min="13320" max="13321" width="13.140625" style="87" customWidth="1"/>
    <col min="13322" max="13323" width="9.140625" style="87"/>
    <col min="13324" max="13324" width="11" style="87" customWidth="1"/>
    <col min="13325" max="13567" width="9.140625" style="87"/>
    <col min="13568" max="13568" width="26.85546875" style="87" customWidth="1"/>
    <col min="13569" max="13569" width="0" style="87" hidden="1" customWidth="1"/>
    <col min="13570" max="13570" width="12.42578125" style="87" customWidth="1"/>
    <col min="13571" max="13572" width="11.140625" style="87" customWidth="1"/>
    <col min="13573" max="13573" width="12.140625" style="87" customWidth="1"/>
    <col min="13574" max="13574" width="14" style="87" customWidth="1"/>
    <col min="13575" max="13575" width="12.5703125" style="87" customWidth="1"/>
    <col min="13576" max="13577" width="13.140625" style="87" customWidth="1"/>
    <col min="13578" max="13579" width="9.140625" style="87"/>
    <col min="13580" max="13580" width="11" style="87" customWidth="1"/>
    <col min="13581" max="13823" width="9.140625" style="87"/>
    <col min="13824" max="13824" width="26.85546875" style="87" customWidth="1"/>
    <col min="13825" max="13825" width="0" style="87" hidden="1" customWidth="1"/>
    <col min="13826" max="13826" width="12.42578125" style="87" customWidth="1"/>
    <col min="13827" max="13828" width="11.140625" style="87" customWidth="1"/>
    <col min="13829" max="13829" width="12.140625" style="87" customWidth="1"/>
    <col min="13830" max="13830" width="14" style="87" customWidth="1"/>
    <col min="13831" max="13831" width="12.5703125" style="87" customWidth="1"/>
    <col min="13832" max="13833" width="13.140625" style="87" customWidth="1"/>
    <col min="13834" max="13835" width="9.140625" style="87"/>
    <col min="13836" max="13836" width="11" style="87" customWidth="1"/>
    <col min="13837" max="14079" width="9.140625" style="87"/>
    <col min="14080" max="14080" width="26.85546875" style="87" customWidth="1"/>
    <col min="14081" max="14081" width="0" style="87" hidden="1" customWidth="1"/>
    <col min="14082" max="14082" width="12.42578125" style="87" customWidth="1"/>
    <col min="14083" max="14084" width="11.140625" style="87" customWidth="1"/>
    <col min="14085" max="14085" width="12.140625" style="87" customWidth="1"/>
    <col min="14086" max="14086" width="14" style="87" customWidth="1"/>
    <col min="14087" max="14087" width="12.5703125" style="87" customWidth="1"/>
    <col min="14088" max="14089" width="13.140625" style="87" customWidth="1"/>
    <col min="14090" max="14091" width="9.140625" style="87"/>
    <col min="14092" max="14092" width="11" style="87" customWidth="1"/>
    <col min="14093" max="14335" width="9.140625" style="87"/>
    <col min="14336" max="14336" width="26.85546875" style="87" customWidth="1"/>
    <col min="14337" max="14337" width="0" style="87" hidden="1" customWidth="1"/>
    <col min="14338" max="14338" width="12.42578125" style="87" customWidth="1"/>
    <col min="14339" max="14340" width="11.140625" style="87" customWidth="1"/>
    <col min="14341" max="14341" width="12.140625" style="87" customWidth="1"/>
    <col min="14342" max="14342" width="14" style="87" customWidth="1"/>
    <col min="14343" max="14343" width="12.5703125" style="87" customWidth="1"/>
    <col min="14344" max="14345" width="13.140625" style="87" customWidth="1"/>
    <col min="14346" max="14347" width="9.140625" style="87"/>
    <col min="14348" max="14348" width="11" style="87" customWidth="1"/>
    <col min="14349" max="14591" width="9.140625" style="87"/>
    <col min="14592" max="14592" width="26.85546875" style="87" customWidth="1"/>
    <col min="14593" max="14593" width="0" style="87" hidden="1" customWidth="1"/>
    <col min="14594" max="14594" width="12.42578125" style="87" customWidth="1"/>
    <col min="14595" max="14596" width="11.140625" style="87" customWidth="1"/>
    <col min="14597" max="14597" width="12.140625" style="87" customWidth="1"/>
    <col min="14598" max="14598" width="14" style="87" customWidth="1"/>
    <col min="14599" max="14599" width="12.5703125" style="87" customWidth="1"/>
    <col min="14600" max="14601" width="13.140625" style="87" customWidth="1"/>
    <col min="14602" max="14603" width="9.140625" style="87"/>
    <col min="14604" max="14604" width="11" style="87" customWidth="1"/>
    <col min="14605" max="14847" width="9.140625" style="87"/>
    <col min="14848" max="14848" width="26.85546875" style="87" customWidth="1"/>
    <col min="14849" max="14849" width="0" style="87" hidden="1" customWidth="1"/>
    <col min="14850" max="14850" width="12.42578125" style="87" customWidth="1"/>
    <col min="14851" max="14852" width="11.140625" style="87" customWidth="1"/>
    <col min="14853" max="14853" width="12.140625" style="87" customWidth="1"/>
    <col min="14854" max="14854" width="14" style="87" customWidth="1"/>
    <col min="14855" max="14855" width="12.5703125" style="87" customWidth="1"/>
    <col min="14856" max="14857" width="13.140625" style="87" customWidth="1"/>
    <col min="14858" max="14859" width="9.140625" style="87"/>
    <col min="14860" max="14860" width="11" style="87" customWidth="1"/>
    <col min="14861" max="15103" width="9.140625" style="87"/>
    <col min="15104" max="15104" width="26.85546875" style="87" customWidth="1"/>
    <col min="15105" max="15105" width="0" style="87" hidden="1" customWidth="1"/>
    <col min="15106" max="15106" width="12.42578125" style="87" customWidth="1"/>
    <col min="15107" max="15108" width="11.140625" style="87" customWidth="1"/>
    <col min="15109" max="15109" width="12.140625" style="87" customWidth="1"/>
    <col min="15110" max="15110" width="14" style="87" customWidth="1"/>
    <col min="15111" max="15111" width="12.5703125" style="87" customWidth="1"/>
    <col min="15112" max="15113" width="13.140625" style="87" customWidth="1"/>
    <col min="15114" max="15115" width="9.140625" style="87"/>
    <col min="15116" max="15116" width="11" style="87" customWidth="1"/>
    <col min="15117" max="15359" width="9.140625" style="87"/>
    <col min="15360" max="15360" width="26.85546875" style="87" customWidth="1"/>
    <col min="15361" max="15361" width="0" style="87" hidden="1" customWidth="1"/>
    <col min="15362" max="15362" width="12.42578125" style="87" customWidth="1"/>
    <col min="15363" max="15364" width="11.140625" style="87" customWidth="1"/>
    <col min="15365" max="15365" width="12.140625" style="87" customWidth="1"/>
    <col min="15366" max="15366" width="14" style="87" customWidth="1"/>
    <col min="15367" max="15367" width="12.5703125" style="87" customWidth="1"/>
    <col min="15368" max="15369" width="13.140625" style="87" customWidth="1"/>
    <col min="15370" max="15371" width="9.140625" style="87"/>
    <col min="15372" max="15372" width="11" style="87" customWidth="1"/>
    <col min="15373" max="15615" width="9.140625" style="87"/>
    <col min="15616" max="15616" width="26.85546875" style="87" customWidth="1"/>
    <col min="15617" max="15617" width="0" style="87" hidden="1" customWidth="1"/>
    <col min="15618" max="15618" width="12.42578125" style="87" customWidth="1"/>
    <col min="15619" max="15620" width="11.140625" style="87" customWidth="1"/>
    <col min="15621" max="15621" width="12.140625" style="87" customWidth="1"/>
    <col min="15622" max="15622" width="14" style="87" customWidth="1"/>
    <col min="15623" max="15623" width="12.5703125" style="87" customWidth="1"/>
    <col min="15624" max="15625" width="13.140625" style="87" customWidth="1"/>
    <col min="15626" max="15627" width="9.140625" style="87"/>
    <col min="15628" max="15628" width="11" style="87" customWidth="1"/>
    <col min="15629" max="15871" width="9.140625" style="87"/>
    <col min="15872" max="15872" width="26.85546875" style="87" customWidth="1"/>
    <col min="15873" max="15873" width="0" style="87" hidden="1" customWidth="1"/>
    <col min="15874" max="15874" width="12.42578125" style="87" customWidth="1"/>
    <col min="15875" max="15876" width="11.140625" style="87" customWidth="1"/>
    <col min="15877" max="15877" width="12.140625" style="87" customWidth="1"/>
    <col min="15878" max="15878" width="14" style="87" customWidth="1"/>
    <col min="15879" max="15879" width="12.5703125" style="87" customWidth="1"/>
    <col min="15880" max="15881" width="13.140625" style="87" customWidth="1"/>
    <col min="15882" max="15883" width="9.140625" style="87"/>
    <col min="15884" max="15884" width="11" style="87" customWidth="1"/>
    <col min="15885" max="16127" width="9.140625" style="87"/>
    <col min="16128" max="16128" width="26.85546875" style="87" customWidth="1"/>
    <col min="16129" max="16129" width="0" style="87" hidden="1" customWidth="1"/>
    <col min="16130" max="16130" width="12.42578125" style="87" customWidth="1"/>
    <col min="16131" max="16132" width="11.140625" style="87" customWidth="1"/>
    <col min="16133" max="16133" width="12.140625" style="87" customWidth="1"/>
    <col min="16134" max="16134" width="14" style="87" customWidth="1"/>
    <col min="16135" max="16135" width="12.5703125" style="87" customWidth="1"/>
    <col min="16136" max="16137" width="13.140625" style="87" customWidth="1"/>
    <col min="16138" max="16139" width="9.140625" style="87"/>
    <col min="16140" max="16140" width="11" style="87" customWidth="1"/>
    <col min="16141" max="16384" width="9.140625" style="87"/>
  </cols>
  <sheetData>
    <row r="2" spans="1:12" s="90" customFormat="1" x14ac:dyDescent="0.2">
      <c r="A2" s="204" t="s">
        <v>175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</row>
    <row r="3" spans="1:12" s="90" customFormat="1" ht="42.75" customHeight="1" x14ac:dyDescent="0.2">
      <c r="A3" s="235" t="s">
        <v>145</v>
      </c>
      <c r="B3" s="235" t="s">
        <v>139</v>
      </c>
      <c r="C3" s="235" t="s">
        <v>146</v>
      </c>
      <c r="D3" s="235" t="s">
        <v>161</v>
      </c>
      <c r="E3" s="235" t="s">
        <v>164</v>
      </c>
      <c r="F3" s="235" t="s">
        <v>68</v>
      </c>
      <c r="G3" s="235" t="s">
        <v>69</v>
      </c>
      <c r="H3" s="235" t="s">
        <v>70</v>
      </c>
      <c r="I3" s="235" t="s">
        <v>222</v>
      </c>
      <c r="J3" s="235" t="s">
        <v>208</v>
      </c>
      <c r="K3" s="235" t="s">
        <v>245</v>
      </c>
      <c r="L3" s="235" t="s">
        <v>244</v>
      </c>
    </row>
    <row r="4" spans="1:12" s="90" customFormat="1" x14ac:dyDescent="0.2">
      <c r="A4" s="236" t="str">
        <f t="array" ref="A4:A7">TRANSPOSE(Inputs!B4:E4)</f>
        <v>Residential</v>
      </c>
      <c r="B4" s="237">
        <v>778100</v>
      </c>
      <c r="C4" s="237">
        <v>754760.43</v>
      </c>
      <c r="D4" s="237">
        <v>778620.72</v>
      </c>
      <c r="E4" s="237">
        <v>787730.11</v>
      </c>
      <c r="F4" s="237">
        <v>806169.16</v>
      </c>
      <c r="G4" s="237">
        <v>811842.98</v>
      </c>
      <c r="H4" s="237">
        <v>817902.5</v>
      </c>
      <c r="I4" s="237">
        <v>853864.46</v>
      </c>
      <c r="J4" s="237">
        <v>888945.76</v>
      </c>
      <c r="K4" s="237">
        <v>897788</v>
      </c>
      <c r="L4" s="237">
        <v>985347</v>
      </c>
    </row>
    <row r="5" spans="1:12" s="90" customFormat="1" ht="14.25" customHeight="1" x14ac:dyDescent="0.2">
      <c r="A5" s="236" t="str">
        <v>General Service &lt; 50 kW</v>
      </c>
      <c r="B5" s="237">
        <v>232745</v>
      </c>
      <c r="C5" s="237">
        <v>244268.61</v>
      </c>
      <c r="D5" s="237">
        <v>236800.99</v>
      </c>
      <c r="E5" s="237">
        <v>238814.01</v>
      </c>
      <c r="F5" s="237">
        <v>240388.78</v>
      </c>
      <c r="G5" s="237">
        <v>245963.35</v>
      </c>
      <c r="H5" s="237">
        <v>246694.83</v>
      </c>
      <c r="I5" s="237">
        <v>259661.78</v>
      </c>
      <c r="J5" s="237">
        <v>268458.17</v>
      </c>
      <c r="K5" s="237">
        <v>273470</v>
      </c>
      <c r="L5" s="237">
        <v>296561</v>
      </c>
    </row>
    <row r="6" spans="1:12" s="90" customFormat="1" ht="14.25" customHeight="1" x14ac:dyDescent="0.2">
      <c r="A6" s="236" t="str">
        <v>General Service &gt; 50 to 4999 kW</v>
      </c>
      <c r="B6" s="237">
        <v>268510.96000000002</v>
      </c>
      <c r="C6" s="237">
        <v>266075.86</v>
      </c>
      <c r="D6" s="237">
        <v>311390.46000000002</v>
      </c>
      <c r="E6" s="237">
        <v>282294.40000000002</v>
      </c>
      <c r="F6" s="237">
        <v>293036.64</v>
      </c>
      <c r="G6" s="237">
        <v>296245.13</v>
      </c>
      <c r="H6" s="237">
        <v>276275.03999999998</v>
      </c>
      <c r="I6" s="237">
        <v>308648.57</v>
      </c>
      <c r="J6" s="237">
        <v>313056.96000000002</v>
      </c>
      <c r="K6" s="237">
        <v>312248</v>
      </c>
      <c r="L6" s="237">
        <v>338614</v>
      </c>
    </row>
    <row r="7" spans="1:12" s="90" customFormat="1" x14ac:dyDescent="0.2">
      <c r="A7" s="236" t="str">
        <v>Street Lights</v>
      </c>
      <c r="B7" s="237">
        <v>122900</v>
      </c>
      <c r="C7" s="237">
        <v>119547.92</v>
      </c>
      <c r="D7" s="237">
        <v>122488.93</v>
      </c>
      <c r="E7" s="237">
        <v>123317.04</v>
      </c>
      <c r="F7" s="237">
        <v>125105.11</v>
      </c>
      <c r="G7" s="237">
        <v>126988.57</v>
      </c>
      <c r="H7" s="237">
        <v>128173.93</v>
      </c>
      <c r="I7" s="237">
        <v>132215.59</v>
      </c>
      <c r="J7" s="237">
        <v>137218.26</v>
      </c>
      <c r="K7" s="237">
        <v>139208</v>
      </c>
      <c r="L7" s="237">
        <v>139208</v>
      </c>
    </row>
    <row r="8" spans="1:12" s="90" customFormat="1" x14ac:dyDescent="0.2">
      <c r="A8" s="226" t="s">
        <v>169</v>
      </c>
      <c r="B8" s="247">
        <f>SUM(B4:B7)</f>
        <v>1402255.96</v>
      </c>
      <c r="C8" s="247">
        <f t="shared" ref="C8:G8" si="0">SUM(C4:C7)</f>
        <v>1384652.8199999998</v>
      </c>
      <c r="D8" s="247">
        <f t="shared" si="0"/>
        <v>1449301.0999999999</v>
      </c>
      <c r="E8" s="247">
        <f t="shared" si="0"/>
        <v>1432155.56</v>
      </c>
      <c r="F8" s="247">
        <f t="shared" si="0"/>
        <v>1464699.6900000002</v>
      </c>
      <c r="G8" s="247">
        <f t="shared" si="0"/>
        <v>1481040.03</v>
      </c>
      <c r="H8" s="247">
        <f>SUM(H4:H7)</f>
        <v>1469046.3</v>
      </c>
      <c r="I8" s="247">
        <f>SUM(I4:I7)</f>
        <v>1554390.4000000001</v>
      </c>
      <c r="J8" s="247">
        <f t="shared" ref="J8:L8" si="1">SUM(J4:J7)</f>
        <v>1607679.15</v>
      </c>
      <c r="K8" s="247">
        <f t="shared" si="1"/>
        <v>1622714</v>
      </c>
      <c r="L8" s="247">
        <f t="shared" si="1"/>
        <v>1759730</v>
      </c>
    </row>
    <row r="9" spans="1:12" x14ac:dyDescent="0.2">
      <c r="A9" s="238"/>
      <c r="B9" s="145"/>
      <c r="C9" s="145"/>
      <c r="D9" s="145"/>
      <c r="E9" s="145"/>
      <c r="F9" s="145"/>
      <c r="G9" s="145"/>
      <c r="H9" s="145"/>
      <c r="I9" s="145"/>
      <c r="J9" s="145"/>
      <c r="K9" s="239"/>
      <c r="L9" s="239"/>
    </row>
    <row r="10" spans="1:12" x14ac:dyDescent="0.2">
      <c r="A10" s="240" t="s">
        <v>170</v>
      </c>
      <c r="B10" s="241">
        <v>5885</v>
      </c>
      <c r="C10" s="241">
        <v>6252</v>
      </c>
      <c r="D10" s="241">
        <v>5435</v>
      </c>
      <c r="E10" s="241">
        <v>4446</v>
      </c>
      <c r="F10" s="241">
        <v>3935</v>
      </c>
      <c r="G10" s="241">
        <v>4045</v>
      </c>
      <c r="H10" s="241">
        <v>4490</v>
      </c>
      <c r="I10" s="241">
        <v>5499</v>
      </c>
      <c r="J10" s="241">
        <v>4872</v>
      </c>
      <c r="K10" s="241">
        <v>4872</v>
      </c>
      <c r="L10" s="241">
        <v>4872</v>
      </c>
    </row>
    <row r="11" spans="1:12" x14ac:dyDescent="0.2">
      <c r="A11" s="240" t="s">
        <v>171</v>
      </c>
      <c r="B11" s="241">
        <v>7543</v>
      </c>
      <c r="C11" s="241">
        <v>9253</v>
      </c>
      <c r="D11" s="241">
        <v>7948</v>
      </c>
      <c r="E11" s="241">
        <v>7073</v>
      </c>
      <c r="F11" s="241">
        <v>10782</v>
      </c>
      <c r="G11" s="241">
        <v>8076</v>
      </c>
      <c r="H11" s="241">
        <v>7213</v>
      </c>
      <c r="I11" s="241">
        <v>7429</v>
      </c>
      <c r="J11" s="241">
        <v>7213</v>
      </c>
      <c r="K11" s="241">
        <v>7213</v>
      </c>
      <c r="L11" s="241">
        <v>7213</v>
      </c>
    </row>
    <row r="12" spans="1:12" x14ac:dyDescent="0.2">
      <c r="A12" s="240" t="s">
        <v>172</v>
      </c>
      <c r="B12" s="241">
        <v>4875</v>
      </c>
      <c r="C12" s="241">
        <v>4871</v>
      </c>
      <c r="D12" s="241">
        <v>4871</v>
      </c>
      <c r="E12" s="241">
        <v>4870</v>
      </c>
      <c r="F12" s="241">
        <v>4870</v>
      </c>
      <c r="G12" s="241">
        <v>4857</v>
      </c>
      <c r="H12" s="241">
        <v>4850</v>
      </c>
      <c r="I12" s="241">
        <v>4850</v>
      </c>
      <c r="J12" s="241">
        <v>4850</v>
      </c>
      <c r="K12" s="241">
        <v>4850</v>
      </c>
      <c r="L12" s="241">
        <v>4850</v>
      </c>
    </row>
    <row r="13" spans="1:12" ht="13.5" thickBot="1" x14ac:dyDescent="0.25">
      <c r="A13" s="242" t="s">
        <v>173</v>
      </c>
      <c r="B13" s="225">
        <v>77467</v>
      </c>
      <c r="C13" s="225">
        <v>145414</v>
      </c>
      <c r="D13" s="225">
        <v>92909</v>
      </c>
      <c r="E13" s="225">
        <v>70597</v>
      </c>
      <c r="F13" s="225">
        <v>61455</v>
      </c>
      <c r="G13" s="225">
        <v>90721</v>
      </c>
      <c r="H13" s="225">
        <v>99572</v>
      </c>
      <c r="I13" s="225">
        <v>161395</v>
      </c>
      <c r="J13" s="225">
        <v>144460</v>
      </c>
      <c r="K13" s="225">
        <v>156324</v>
      </c>
      <c r="L13" s="225">
        <v>156324</v>
      </c>
    </row>
    <row r="14" spans="1:12" x14ac:dyDescent="0.2">
      <c r="A14" s="243" t="s">
        <v>8</v>
      </c>
      <c r="B14" s="246">
        <f>SUM(B10:B13)</f>
        <v>95770</v>
      </c>
      <c r="C14" s="246">
        <f t="shared" ref="C14:H14" si="2">SUM(C10:C13)</f>
        <v>165790</v>
      </c>
      <c r="D14" s="246">
        <f t="shared" si="2"/>
        <v>111163</v>
      </c>
      <c r="E14" s="246">
        <f t="shared" si="2"/>
        <v>86986</v>
      </c>
      <c r="F14" s="246">
        <f t="shared" si="2"/>
        <v>81042</v>
      </c>
      <c r="G14" s="246">
        <f t="shared" si="2"/>
        <v>107699</v>
      </c>
      <c r="H14" s="246">
        <f t="shared" si="2"/>
        <v>116125</v>
      </c>
      <c r="I14" s="246">
        <f t="shared" ref="I14" si="3">SUM(I10:I13)</f>
        <v>179173</v>
      </c>
      <c r="J14" s="246">
        <f t="shared" ref="J14" si="4">SUM(J10:J13)</f>
        <v>161395</v>
      </c>
      <c r="K14" s="246">
        <f t="shared" ref="K14:L14" si="5">SUM(K10:K13)</f>
        <v>173259</v>
      </c>
      <c r="L14" s="246">
        <f t="shared" si="5"/>
        <v>173259</v>
      </c>
    </row>
    <row r="15" spans="1:12" x14ac:dyDescent="0.2">
      <c r="A15" s="238"/>
      <c r="B15" s="145"/>
      <c r="C15" s="145"/>
      <c r="D15" s="145"/>
      <c r="E15" s="145"/>
      <c r="F15" s="145"/>
      <c r="G15" s="145"/>
      <c r="H15" s="145"/>
      <c r="I15" s="145"/>
      <c r="J15" s="145"/>
      <c r="K15" s="239"/>
      <c r="L15" s="239"/>
    </row>
    <row r="16" spans="1:12" x14ac:dyDescent="0.2">
      <c r="A16" s="244" t="s">
        <v>174</v>
      </c>
      <c r="B16" s="245">
        <f>B8+B14</f>
        <v>1498025.96</v>
      </c>
      <c r="C16" s="245">
        <f t="shared" ref="C16:K16" si="6">C8+C14</f>
        <v>1550442.8199999998</v>
      </c>
      <c r="D16" s="245">
        <f t="shared" si="6"/>
        <v>1560464.0999999999</v>
      </c>
      <c r="E16" s="245">
        <f t="shared" si="6"/>
        <v>1519141.56</v>
      </c>
      <c r="F16" s="245">
        <f t="shared" si="6"/>
        <v>1545741.6900000002</v>
      </c>
      <c r="G16" s="245">
        <f t="shared" si="6"/>
        <v>1588739.03</v>
      </c>
      <c r="H16" s="245">
        <f t="shared" si="6"/>
        <v>1585171.3</v>
      </c>
      <c r="I16" s="245">
        <f t="shared" si="6"/>
        <v>1733563.4000000001</v>
      </c>
      <c r="J16" s="245">
        <f t="shared" si="6"/>
        <v>1769074.15</v>
      </c>
      <c r="K16" s="245">
        <f t="shared" si="6"/>
        <v>1795973</v>
      </c>
      <c r="L16" s="245">
        <f t="shared" ref="L16" si="7">L8+L14</f>
        <v>1932989</v>
      </c>
    </row>
    <row r="21" spans="1:12" x14ac:dyDescent="0.2">
      <c r="A21" s="372" t="s">
        <v>176</v>
      </c>
      <c r="B21" s="372"/>
      <c r="C21" s="372"/>
      <c r="D21" s="372"/>
      <c r="E21" s="372"/>
      <c r="F21" s="372"/>
      <c r="G21" s="372"/>
      <c r="H21" s="98"/>
      <c r="I21" s="86"/>
      <c r="J21" s="86"/>
      <c r="K21" s="86"/>
      <c r="L21" s="86"/>
    </row>
    <row r="22" spans="1:12" ht="51" x14ac:dyDescent="0.2">
      <c r="A22" s="126" t="s">
        <v>65</v>
      </c>
      <c r="B22" s="127" t="s">
        <v>108</v>
      </c>
      <c r="C22" s="127" t="s">
        <v>109</v>
      </c>
      <c r="D22" s="127" t="s">
        <v>110</v>
      </c>
      <c r="E22" s="127" t="s">
        <v>109</v>
      </c>
      <c r="F22" s="127" t="s">
        <v>111</v>
      </c>
      <c r="G22" s="127" t="s">
        <v>112</v>
      </c>
      <c r="I22" s="89"/>
      <c r="J22" s="89"/>
      <c r="K22" s="89"/>
      <c r="L22" s="89"/>
    </row>
    <row r="23" spans="1:12" x14ac:dyDescent="0.2">
      <c r="A23" s="369" t="s">
        <v>113</v>
      </c>
      <c r="B23" s="369"/>
      <c r="C23" s="369"/>
      <c r="D23" s="369"/>
      <c r="E23" s="369"/>
      <c r="F23" s="369"/>
      <c r="G23" s="369"/>
      <c r="H23" s="90"/>
      <c r="I23" s="86"/>
      <c r="J23" s="86"/>
      <c r="K23" s="86"/>
      <c r="L23" s="86"/>
    </row>
    <row r="24" spans="1:12" x14ac:dyDescent="0.2">
      <c r="A24" s="129"/>
      <c r="B24" s="130"/>
      <c r="C24" s="130"/>
      <c r="D24" s="130"/>
      <c r="E24" s="130"/>
      <c r="F24" s="130"/>
      <c r="G24" s="131"/>
      <c r="H24" s="90"/>
      <c r="I24" s="86"/>
      <c r="J24" s="86"/>
      <c r="K24" s="86"/>
      <c r="L24" s="86"/>
    </row>
    <row r="25" spans="1:12" x14ac:dyDescent="0.2">
      <c r="A25" s="132" t="s">
        <v>139</v>
      </c>
      <c r="B25" s="133">
        <v>30.3</v>
      </c>
      <c r="C25" s="134"/>
      <c r="D25" s="134"/>
      <c r="E25" s="134"/>
      <c r="F25" s="313">
        <v>2259.9387192985905</v>
      </c>
      <c r="G25" s="135"/>
      <c r="H25" s="90"/>
      <c r="I25" s="86"/>
      <c r="J25" s="86"/>
      <c r="K25" s="86"/>
      <c r="L25" s="86"/>
    </row>
    <row r="26" spans="1:12" x14ac:dyDescent="0.2">
      <c r="A26" s="129"/>
      <c r="B26" s="130"/>
      <c r="C26" s="130"/>
      <c r="D26" s="130"/>
      <c r="E26" s="130"/>
      <c r="F26" s="130"/>
      <c r="G26" s="131"/>
      <c r="H26" s="90"/>
      <c r="I26" s="86"/>
      <c r="J26" s="86"/>
      <c r="K26" s="86"/>
      <c r="L26" s="86"/>
    </row>
    <row r="27" spans="1:12" x14ac:dyDescent="0.2">
      <c r="A27" s="136">
        <f>Inputs!A5</f>
        <v>2014</v>
      </c>
      <c r="B27" s="137">
        <f>'Load Forecast Summary'!B10/1000000</f>
        <v>23.376739190000002</v>
      </c>
      <c r="C27" s="138"/>
      <c r="D27" s="137" t="e">
        <f t="shared" ref="D27:D37" si="8">B27*F135</f>
        <v>#REF!</v>
      </c>
      <c r="E27" s="138"/>
      <c r="F27" s="139">
        <f>'Load Forecast Summary'!B33</f>
        <v>2291.666666666667</v>
      </c>
      <c r="G27" s="140"/>
    </row>
    <row r="28" spans="1:12" x14ac:dyDescent="0.2">
      <c r="A28" s="136">
        <f>A27+1</f>
        <v>2015</v>
      </c>
      <c r="B28" s="137">
        <f>'Load Forecast Summary'!C10/1000000</f>
        <v>32.406292229999998</v>
      </c>
      <c r="C28" s="140">
        <f>B28-B27</f>
        <v>9.0295530399999961</v>
      </c>
      <c r="D28" s="137" t="e">
        <f t="shared" si="8"/>
        <v>#REF!</v>
      </c>
      <c r="E28" s="140" t="e">
        <f>D28-D27</f>
        <v>#REF!</v>
      </c>
      <c r="F28" s="139">
        <f>'Load Forecast Summary'!C33</f>
        <v>2285.5</v>
      </c>
      <c r="G28" s="140">
        <f>F28-F27</f>
        <v>-6.1666666666669698</v>
      </c>
      <c r="I28" s="86"/>
      <c r="K28" s="86"/>
      <c r="L28" s="86"/>
    </row>
    <row r="29" spans="1:12" x14ac:dyDescent="0.2">
      <c r="A29" s="136">
        <f t="shared" ref="A29:A36" si="9">A28+1</f>
        <v>2016</v>
      </c>
      <c r="B29" s="137">
        <f>'Load Forecast Summary'!D10/1000000</f>
        <v>35.534462879999992</v>
      </c>
      <c r="C29" s="140">
        <f t="shared" ref="C29:C37" si="10">B29-B28</f>
        <v>3.1281706499999942</v>
      </c>
      <c r="D29" s="137" t="e">
        <f t="shared" si="8"/>
        <v>#REF!</v>
      </c>
      <c r="E29" s="140" t="e">
        <f t="shared" ref="E29:E37" si="11">D29-D28</f>
        <v>#REF!</v>
      </c>
      <c r="F29" s="139">
        <f>'Load Forecast Summary'!D33</f>
        <v>2269.916666666667</v>
      </c>
      <c r="G29" s="140">
        <f t="shared" ref="G29:G37" si="12">F29-F28</f>
        <v>-15.58333333333303</v>
      </c>
      <c r="I29" s="91"/>
    </row>
    <row r="30" spans="1:12" x14ac:dyDescent="0.2">
      <c r="A30" s="136">
        <f t="shared" si="9"/>
        <v>2017</v>
      </c>
      <c r="B30" s="137">
        <f>'Load Forecast Summary'!E10/1000000</f>
        <v>29.609898409999996</v>
      </c>
      <c r="C30" s="140">
        <f t="shared" si="10"/>
        <v>-5.9245644699999964</v>
      </c>
      <c r="D30" s="137" t="e">
        <f t="shared" si="8"/>
        <v>#REF!</v>
      </c>
      <c r="E30" s="140" t="e">
        <f t="shared" si="11"/>
        <v>#REF!</v>
      </c>
      <c r="F30" s="139">
        <f>'Load Forecast Summary'!E33</f>
        <v>2265.25</v>
      </c>
      <c r="G30" s="140">
        <f t="shared" si="12"/>
        <v>-4.6666666666669698</v>
      </c>
    </row>
    <row r="31" spans="1:12" x14ac:dyDescent="0.2">
      <c r="A31" s="136">
        <f t="shared" si="9"/>
        <v>2018</v>
      </c>
      <c r="B31" s="137">
        <f>'Load Forecast Summary'!F10/1000000</f>
        <v>30.14550362</v>
      </c>
      <c r="C31" s="140">
        <f t="shared" si="10"/>
        <v>0.5356052100000035</v>
      </c>
      <c r="D31" s="137" t="e">
        <f t="shared" si="8"/>
        <v>#REF!</v>
      </c>
      <c r="E31" s="140" t="e">
        <f t="shared" si="11"/>
        <v>#REF!</v>
      </c>
      <c r="F31" s="139">
        <f>'Load Forecast Summary'!F33</f>
        <v>2260.5833333333335</v>
      </c>
      <c r="G31" s="140">
        <f t="shared" si="12"/>
        <v>-4.6666666666665151</v>
      </c>
      <c r="I31" s="91"/>
    </row>
    <row r="32" spans="1:12" x14ac:dyDescent="0.2">
      <c r="A32" s="136">
        <f t="shared" si="9"/>
        <v>2019</v>
      </c>
      <c r="B32" s="137">
        <f>'Load Forecast Summary'!G10/1000000</f>
        <v>29.573579190388305</v>
      </c>
      <c r="C32" s="140">
        <f t="shared" si="10"/>
        <v>-0.57192442961169476</v>
      </c>
      <c r="D32" s="137" t="e">
        <f t="shared" si="8"/>
        <v>#REF!</v>
      </c>
      <c r="E32" s="140" t="e">
        <f t="shared" si="11"/>
        <v>#REF!</v>
      </c>
      <c r="F32" s="139">
        <f>'Load Forecast Summary'!G33</f>
        <v>2257.166666666667</v>
      </c>
      <c r="G32" s="140">
        <f t="shared" si="12"/>
        <v>-3.4166666666665151</v>
      </c>
      <c r="I32" s="91"/>
    </row>
    <row r="33" spans="1:14" x14ac:dyDescent="0.2">
      <c r="A33" s="136">
        <f t="shared" si="9"/>
        <v>2020</v>
      </c>
      <c r="B33" s="137">
        <f>'Load Forecast Summary'!H10/1000000</f>
        <v>30.497927909999998</v>
      </c>
      <c r="C33" s="140">
        <f t="shared" si="10"/>
        <v>0.92434871961169307</v>
      </c>
      <c r="D33" s="137" t="e">
        <f t="shared" si="8"/>
        <v>#REF!</v>
      </c>
      <c r="E33" s="140" t="e">
        <f t="shared" si="11"/>
        <v>#REF!</v>
      </c>
      <c r="F33" s="139">
        <f>'Load Forecast Summary'!H33</f>
        <v>2253.5833333333335</v>
      </c>
      <c r="G33" s="140">
        <f t="shared" si="12"/>
        <v>-3.5833333333334849</v>
      </c>
      <c r="I33" s="91"/>
    </row>
    <row r="34" spans="1:14" x14ac:dyDescent="0.2">
      <c r="A34" s="136">
        <f t="shared" si="9"/>
        <v>2021</v>
      </c>
      <c r="B34" s="137">
        <f>'Load Forecast Summary'!I10/1000000</f>
        <v>31.687365220000004</v>
      </c>
      <c r="C34" s="140">
        <f t="shared" si="10"/>
        <v>1.189437310000006</v>
      </c>
      <c r="D34" s="137" t="e">
        <f t="shared" si="8"/>
        <v>#REF!</v>
      </c>
      <c r="E34" s="140" t="e">
        <f t="shared" si="11"/>
        <v>#REF!</v>
      </c>
      <c r="F34" s="139">
        <f>'Load Forecast Summary'!I33</f>
        <v>2248</v>
      </c>
      <c r="G34" s="140">
        <f t="shared" si="12"/>
        <v>-5.5833333333334849</v>
      </c>
      <c r="I34" s="91"/>
      <c r="K34" s="91"/>
      <c r="L34" s="91"/>
    </row>
    <row r="35" spans="1:14" x14ac:dyDescent="0.2">
      <c r="A35" s="136">
        <f t="shared" si="9"/>
        <v>2022</v>
      </c>
      <c r="B35" s="137">
        <f>'Load Forecast Summary'!J10/1000000</f>
        <v>29.981191059999997</v>
      </c>
      <c r="C35" s="140">
        <f t="shared" si="10"/>
        <v>-1.7061741600000069</v>
      </c>
      <c r="D35" s="137" t="e">
        <f t="shared" si="8"/>
        <v>#REF!</v>
      </c>
      <c r="E35" s="140" t="e">
        <f t="shared" si="11"/>
        <v>#REF!</v>
      </c>
      <c r="F35" s="139">
        <f>'Load Forecast Summary'!J33</f>
        <v>2244.75</v>
      </c>
      <c r="G35" s="140">
        <f t="shared" si="12"/>
        <v>-3.25</v>
      </c>
    </row>
    <row r="36" spans="1:14" ht="12.75" customHeight="1" x14ac:dyDescent="0.2">
      <c r="A36" s="136">
        <f t="shared" si="9"/>
        <v>2023</v>
      </c>
      <c r="B36" s="137">
        <f>'Load Forecast Summary'!K10/1000000</f>
        <v>29.786783909999997</v>
      </c>
      <c r="C36" s="140">
        <f t="shared" si="10"/>
        <v>-0.19440714999999997</v>
      </c>
      <c r="D36" s="137" t="e">
        <f t="shared" si="8"/>
        <v>#REF!</v>
      </c>
      <c r="E36" s="140" t="e">
        <f t="shared" si="11"/>
        <v>#REF!</v>
      </c>
      <c r="F36" s="139">
        <f>'Load Forecast Summary'!K33</f>
        <v>2243.25</v>
      </c>
      <c r="G36" s="140">
        <f t="shared" si="12"/>
        <v>-1.5</v>
      </c>
      <c r="I36" s="91"/>
      <c r="K36" s="91"/>
      <c r="L36" s="91"/>
    </row>
    <row r="37" spans="1:14" x14ac:dyDescent="0.2">
      <c r="A37" s="141" t="str">
        <f>(A36+1)&amp;" Bridge"</f>
        <v>2024 Bridge</v>
      </c>
      <c r="B37" s="137">
        <f>'Load Forecast Summary'!L10/1000000</f>
        <v>28.877832060000003</v>
      </c>
      <c r="C37" s="140">
        <f t="shared" si="10"/>
        <v>-0.90895184999999401</v>
      </c>
      <c r="D37" s="137" t="e">
        <f t="shared" si="8"/>
        <v>#REF!</v>
      </c>
      <c r="E37" s="140" t="e">
        <f t="shared" si="11"/>
        <v>#REF!</v>
      </c>
      <c r="F37" s="139">
        <f>'Load Forecast Summary'!L33</f>
        <v>2242.666666666667</v>
      </c>
      <c r="G37" s="140">
        <f t="shared" si="12"/>
        <v>-0.58333333333303017</v>
      </c>
      <c r="I37" s="91"/>
      <c r="L37" s="91"/>
    </row>
    <row r="38" spans="1:14" x14ac:dyDescent="0.2">
      <c r="A38" s="141" t="str">
        <f>(A36+2)&amp;" Test"</f>
        <v>2025 Test</v>
      </c>
      <c r="B38" s="137">
        <f>'Load Forecast Summary'!M10/1000000</f>
        <v>28.83547677668448</v>
      </c>
      <c r="C38" s="140">
        <f>B38-B37</f>
        <v>-4.235528331552274E-2</v>
      </c>
      <c r="D38" s="137" t="e">
        <f t="shared" ref="D38" si="13">B38*F146</f>
        <v>#REF!</v>
      </c>
      <c r="E38" s="140" t="e">
        <f>D38-D37</f>
        <v>#REF!</v>
      </c>
      <c r="F38" s="139">
        <f>'Load Forecast Summary'!M33</f>
        <v>2238.6578309593742</v>
      </c>
      <c r="G38" s="140">
        <f>F38-F37</f>
        <v>-4.0088357072927465</v>
      </c>
      <c r="I38" s="91"/>
      <c r="K38" s="91"/>
      <c r="L38" s="91"/>
    </row>
    <row r="40" spans="1:14" x14ac:dyDescent="0.2">
      <c r="A40" s="373" t="s">
        <v>177</v>
      </c>
      <c r="B40" s="373"/>
      <c r="C40" s="373"/>
      <c r="D40" s="373"/>
      <c r="E40" s="373"/>
    </row>
    <row r="41" spans="1:14" ht="51" x14ac:dyDescent="0.2">
      <c r="A41" s="294" t="s">
        <v>65</v>
      </c>
      <c r="B41" s="295" t="str">
        <f>Inputs!B4</f>
        <v>Residential</v>
      </c>
      <c r="C41" s="295" t="str">
        <f>Inputs!C4</f>
        <v>General Service &lt; 50 kW</v>
      </c>
      <c r="D41" s="295" t="str">
        <f>Inputs!D4</f>
        <v>General Service &gt; 50 to 4999 kW</v>
      </c>
      <c r="E41" s="295" t="str">
        <f>Inputs!E4</f>
        <v>Street Lights</v>
      </c>
      <c r="F41" s="295" t="s">
        <v>8</v>
      </c>
      <c r="G41"/>
      <c r="H41"/>
      <c r="I41"/>
      <c r="J41" s="145"/>
    </row>
    <row r="42" spans="1:14" ht="14.25" customHeight="1" x14ac:dyDescent="0.2">
      <c r="A42" s="303" t="s">
        <v>114</v>
      </c>
      <c r="B42" s="298"/>
      <c r="C42" s="298"/>
      <c r="D42" s="298"/>
      <c r="E42" s="299"/>
      <c r="F42" s="299"/>
      <c r="G42"/>
      <c r="H42"/>
      <c r="I42"/>
      <c r="J42" s="145"/>
    </row>
    <row r="43" spans="1:14" ht="14.25" customHeight="1" x14ac:dyDescent="0.2">
      <c r="A43" s="296">
        <f t="shared" ref="A43:A52" si="14">A27</f>
        <v>2014</v>
      </c>
      <c r="B43" s="297">
        <f t="array" ref="B43:B52">TRANSPOSE('Load Forecast Summary'!B15:K15)/1000000</f>
        <v>9.7460166499999996</v>
      </c>
      <c r="C43" s="297">
        <f t="array" ref="C43:C52">TRANSPOSE('Load Forecast Summary'!B19:K19)/1000000</f>
        <v>5.3269844100000006</v>
      </c>
      <c r="D43" s="297">
        <f t="array" ref="D43:D52">TRANSPOSE('Load Forecast Summary'!B23:K23)/1000000</f>
        <v>7.8371755100000007</v>
      </c>
      <c r="E43" s="297">
        <f t="array" ref="E43:E52">TRANSPOSE('Load Forecast Summary'!B28:K28)/1000000</f>
        <v>2.0240000000000002E-3</v>
      </c>
      <c r="F43" s="297">
        <f>SUM(B43:E43)</f>
        <v>22.91220057</v>
      </c>
      <c r="G43"/>
      <c r="H43"/>
      <c r="I43"/>
      <c r="J43" s="147"/>
      <c r="K43" s="90"/>
      <c r="L43" s="90"/>
      <c r="M43" s="90"/>
      <c r="N43" s="90"/>
    </row>
    <row r="44" spans="1:14" ht="14.25" customHeight="1" x14ac:dyDescent="0.2">
      <c r="A44" s="136">
        <f t="shared" si="14"/>
        <v>2015</v>
      </c>
      <c r="B44" s="137">
        <v>9.2285217900000003</v>
      </c>
      <c r="C44" s="137">
        <v>5.1322746700000001</v>
      </c>
      <c r="D44" s="137">
        <v>17.58189964</v>
      </c>
      <c r="E44" s="137">
        <v>30.901648999999999</v>
      </c>
      <c r="F44" s="297">
        <f t="shared" ref="F44:F52" si="15">SUM(B44:E44)</f>
        <v>62.844345099999998</v>
      </c>
      <c r="G44"/>
      <c r="H44"/>
      <c r="I44"/>
      <c r="J44" s="147"/>
      <c r="K44" s="90"/>
      <c r="L44" s="90"/>
      <c r="M44" s="90"/>
      <c r="N44" s="90"/>
    </row>
    <row r="45" spans="1:14" x14ac:dyDescent="0.2">
      <c r="A45" s="136">
        <f t="shared" si="14"/>
        <v>2016</v>
      </c>
      <c r="B45" s="137">
        <v>8.8853172299999983</v>
      </c>
      <c r="C45" s="137">
        <v>4.9517109499999998</v>
      </c>
      <c r="D45" s="137">
        <v>21.235005439999998</v>
      </c>
      <c r="E45" s="137">
        <v>30.692874926248489</v>
      </c>
      <c r="F45" s="297">
        <f t="shared" si="15"/>
        <v>65.764908546248492</v>
      </c>
      <c r="G45"/>
      <c r="H45"/>
      <c r="I45"/>
      <c r="J45" s="147"/>
      <c r="K45" s="90"/>
      <c r="L45" s="90"/>
      <c r="M45" s="90"/>
      <c r="N45" s="90"/>
    </row>
    <row r="46" spans="1:14" x14ac:dyDescent="0.2">
      <c r="A46" s="136">
        <f t="shared" si="14"/>
        <v>2017</v>
      </c>
      <c r="B46" s="137">
        <v>8.7114464899999984</v>
      </c>
      <c r="C46" s="137">
        <v>4.7764803099999993</v>
      </c>
      <c r="D46" s="137">
        <v>15.667365</v>
      </c>
      <c r="E46" s="137">
        <v>-0.20877407375150919</v>
      </c>
      <c r="F46" s="297">
        <f t="shared" si="15"/>
        <v>28.946517726248487</v>
      </c>
      <c r="G46"/>
      <c r="H46"/>
      <c r="I46"/>
      <c r="J46" s="147"/>
      <c r="K46" s="90"/>
      <c r="L46" s="90"/>
      <c r="M46" s="90"/>
      <c r="N46" s="90"/>
    </row>
    <row r="47" spans="1:14" x14ac:dyDescent="0.2">
      <c r="A47" s="136">
        <f t="shared" si="14"/>
        <v>2018</v>
      </c>
      <c r="B47" s="137">
        <v>9.1426154499999992</v>
      </c>
      <c r="C47" s="137">
        <v>4.7288716600000003</v>
      </c>
      <c r="D47" s="137">
        <v>15.854585910000001</v>
      </c>
      <c r="E47" s="137">
        <v>-6.7560819732147369E-9</v>
      </c>
      <c r="F47" s="297">
        <f t="shared" si="15"/>
        <v>29.726073013243919</v>
      </c>
      <c r="G47"/>
      <c r="H47"/>
      <c r="I47"/>
      <c r="J47" s="147"/>
      <c r="K47" s="90"/>
      <c r="L47" s="90"/>
      <c r="M47" s="90"/>
      <c r="N47" s="90"/>
    </row>
    <row r="48" spans="1:14" x14ac:dyDescent="0.2">
      <c r="A48" s="136">
        <f t="shared" si="14"/>
        <v>2019</v>
      </c>
      <c r="B48" s="137">
        <v>9.0941551499999989</v>
      </c>
      <c r="C48" s="137">
        <v>4.6499646899999991</v>
      </c>
      <c r="D48" s="137">
        <v>15.421989340388302</v>
      </c>
      <c r="E48" s="137">
        <v>1.0700820247099946E-6</v>
      </c>
      <c r="F48" s="297">
        <f t="shared" si="15"/>
        <v>29.166110250470325</v>
      </c>
      <c r="G48"/>
      <c r="H48"/>
      <c r="I48"/>
      <c r="J48" s="147"/>
      <c r="K48" s="90"/>
      <c r="L48" s="90"/>
      <c r="M48" s="90"/>
      <c r="N48" s="90"/>
    </row>
    <row r="49" spans="1:11" x14ac:dyDescent="0.2">
      <c r="A49" s="136">
        <f t="shared" si="14"/>
        <v>2020</v>
      </c>
      <c r="B49" s="137">
        <v>9.2623084999999996</v>
      </c>
      <c r="C49" s="137">
        <v>4.2515063099999999</v>
      </c>
      <c r="D49" s="137">
        <v>16.578363700000001</v>
      </c>
      <c r="E49" s="137">
        <v>28.877832060000003</v>
      </c>
      <c r="F49" s="297">
        <f t="shared" si="15"/>
        <v>58.970010569999999</v>
      </c>
      <c r="G49"/>
      <c r="H49"/>
      <c r="I49"/>
      <c r="J49" s="145"/>
    </row>
    <row r="50" spans="1:11" x14ac:dyDescent="0.2">
      <c r="A50" s="136">
        <f t="shared" si="14"/>
        <v>2021</v>
      </c>
      <c r="B50" s="137">
        <v>9.4402227800000009</v>
      </c>
      <c r="C50" s="137">
        <v>4.3617186600000002</v>
      </c>
      <c r="D50" s="137">
        <v>17.48124091</v>
      </c>
      <c r="E50" s="137">
        <v>8.7798567200000015</v>
      </c>
      <c r="F50" s="297">
        <f t="shared" si="15"/>
        <v>40.063039070000002</v>
      </c>
      <c r="G50"/>
      <c r="H50"/>
      <c r="I50"/>
      <c r="J50" s="148"/>
      <c r="K50" s="93"/>
    </row>
    <row r="51" spans="1:11" x14ac:dyDescent="0.2">
      <c r="A51" s="136">
        <f t="shared" si="14"/>
        <v>2022</v>
      </c>
      <c r="B51" s="137">
        <v>9.3693830699999996</v>
      </c>
      <c r="C51" s="137">
        <v>4.6385991300000002</v>
      </c>
      <c r="D51" s="137">
        <v>15.578432450000001</v>
      </c>
      <c r="E51" s="137">
        <v>4.660998890000001</v>
      </c>
      <c r="F51" s="297">
        <f t="shared" si="15"/>
        <v>34.247413540000004</v>
      </c>
      <c r="G51"/>
      <c r="H51"/>
      <c r="I51"/>
      <c r="J51" s="148"/>
      <c r="K51" s="93"/>
    </row>
    <row r="52" spans="1:11" x14ac:dyDescent="0.2">
      <c r="A52" s="300">
        <f t="shared" si="14"/>
        <v>2023</v>
      </c>
      <c r="B52" s="301">
        <v>8.8258727700000001</v>
      </c>
      <c r="C52" s="301">
        <v>4.5014241300000002</v>
      </c>
      <c r="D52" s="301">
        <v>16.062198299999999</v>
      </c>
      <c r="E52" s="301">
        <v>15.081903560000002</v>
      </c>
      <c r="F52" s="297">
        <f t="shared" si="15"/>
        <v>44.47139876</v>
      </c>
      <c r="G52"/>
      <c r="H52"/>
      <c r="I52"/>
      <c r="J52" s="148"/>
    </row>
    <row r="53" spans="1:11" ht="14.25" customHeight="1" x14ac:dyDescent="0.2">
      <c r="A53" s="302" t="s">
        <v>115</v>
      </c>
      <c r="B53" s="298"/>
      <c r="C53" s="298"/>
      <c r="D53" s="298"/>
      <c r="E53" s="299"/>
      <c r="F53" s="299"/>
      <c r="G53"/>
      <c r="H53"/>
      <c r="I53"/>
      <c r="J53" s="146"/>
    </row>
    <row r="54" spans="1:11" ht="14.25" customHeight="1" x14ac:dyDescent="0.2">
      <c r="A54" s="304"/>
      <c r="B54" s="305"/>
      <c r="C54" s="305"/>
      <c r="D54" s="305"/>
      <c r="E54" s="306"/>
      <c r="F54" s="306"/>
      <c r="G54"/>
      <c r="H54"/>
      <c r="I54"/>
      <c r="J54" s="143"/>
    </row>
    <row r="55" spans="1:11" ht="14.25" customHeight="1" x14ac:dyDescent="0.2">
      <c r="A55" s="150" t="s">
        <v>139</v>
      </c>
      <c r="B55" s="151">
        <v>9.6999999999999993</v>
      </c>
      <c r="C55" s="151">
        <v>5.0999999999999996</v>
      </c>
      <c r="D55" s="151">
        <v>15</v>
      </c>
      <c r="E55" s="151">
        <v>0.5</v>
      </c>
      <c r="F55" s="297">
        <f t="shared" ref="F55" si="16">SUM(B55:E55)</f>
        <v>30.299999999999997</v>
      </c>
      <c r="G55"/>
      <c r="H55"/>
      <c r="I55"/>
      <c r="J55" s="143"/>
    </row>
    <row r="56" spans="1:11" ht="14.25" customHeight="1" x14ac:dyDescent="0.2">
      <c r="A56" s="304"/>
      <c r="B56" s="305"/>
      <c r="C56" s="305"/>
      <c r="D56" s="305"/>
      <c r="E56" s="306"/>
      <c r="F56" s="306"/>
      <c r="G56"/>
      <c r="H56"/>
      <c r="I56"/>
      <c r="J56" s="143"/>
    </row>
    <row r="57" spans="1:11" ht="14.25" customHeight="1" x14ac:dyDescent="0.2">
      <c r="A57" s="136">
        <f t="shared" ref="A57:A67" si="17">A27</f>
        <v>2014</v>
      </c>
      <c r="B57" s="144" t="e">
        <f t="shared" ref="B57:E66" si="18">B43*$F135</f>
        <v>#REF!</v>
      </c>
      <c r="C57" s="144" t="e">
        <f t="shared" si="18"/>
        <v>#REF!</v>
      </c>
      <c r="D57" s="144" t="e">
        <f t="shared" si="18"/>
        <v>#REF!</v>
      </c>
      <c r="E57" s="144" t="e">
        <f t="shared" si="18"/>
        <v>#REF!</v>
      </c>
      <c r="F57" s="297" t="e">
        <f t="shared" ref="F57:F68" si="19">SUM(B57:E57)</f>
        <v>#REF!</v>
      </c>
      <c r="G57"/>
      <c r="H57"/>
      <c r="I57"/>
      <c r="J57" s="145"/>
    </row>
    <row r="58" spans="1:11" ht="14.25" customHeight="1" x14ac:dyDescent="0.2">
      <c r="A58" s="136">
        <f t="shared" si="17"/>
        <v>2015</v>
      </c>
      <c r="B58" s="144" t="e">
        <f t="shared" si="18"/>
        <v>#REF!</v>
      </c>
      <c r="C58" s="144" t="e">
        <f t="shared" si="18"/>
        <v>#REF!</v>
      </c>
      <c r="D58" s="144" t="e">
        <f t="shared" si="18"/>
        <v>#REF!</v>
      </c>
      <c r="E58" s="144" t="e">
        <f t="shared" si="18"/>
        <v>#REF!</v>
      </c>
      <c r="F58" s="297" t="e">
        <f t="shared" si="19"/>
        <v>#REF!</v>
      </c>
      <c r="G58"/>
      <c r="H58"/>
      <c r="I58"/>
      <c r="J58" s="145"/>
    </row>
    <row r="59" spans="1:11" x14ac:dyDescent="0.2">
      <c r="A59" s="136">
        <f t="shared" si="17"/>
        <v>2016</v>
      </c>
      <c r="B59" s="144" t="e">
        <f t="shared" si="18"/>
        <v>#REF!</v>
      </c>
      <c r="C59" s="144" t="e">
        <f t="shared" si="18"/>
        <v>#REF!</v>
      </c>
      <c r="D59" s="144" t="e">
        <f t="shared" si="18"/>
        <v>#REF!</v>
      </c>
      <c r="E59" s="144" t="e">
        <f t="shared" si="18"/>
        <v>#REF!</v>
      </c>
      <c r="F59" s="297" t="e">
        <f t="shared" si="19"/>
        <v>#REF!</v>
      </c>
      <c r="G59"/>
      <c r="H59"/>
      <c r="I59"/>
      <c r="J59" s="149"/>
    </row>
    <row r="60" spans="1:11" x14ac:dyDescent="0.2">
      <c r="A60" s="136">
        <f t="shared" si="17"/>
        <v>2017</v>
      </c>
      <c r="B60" s="144" t="e">
        <f t="shared" si="18"/>
        <v>#REF!</v>
      </c>
      <c r="C60" s="144" t="e">
        <f t="shared" si="18"/>
        <v>#REF!</v>
      </c>
      <c r="D60" s="144" t="e">
        <f t="shared" si="18"/>
        <v>#REF!</v>
      </c>
      <c r="E60" s="144" t="e">
        <f t="shared" si="18"/>
        <v>#REF!</v>
      </c>
      <c r="F60" s="297" t="e">
        <f t="shared" si="19"/>
        <v>#REF!</v>
      </c>
      <c r="G60"/>
      <c r="H60"/>
      <c r="I60"/>
      <c r="J60" s="149"/>
    </row>
    <row r="61" spans="1:11" x14ac:dyDescent="0.2">
      <c r="A61" s="136">
        <f t="shared" si="17"/>
        <v>2018</v>
      </c>
      <c r="B61" s="144" t="e">
        <f t="shared" si="18"/>
        <v>#REF!</v>
      </c>
      <c r="C61" s="144" t="e">
        <f t="shared" si="18"/>
        <v>#REF!</v>
      </c>
      <c r="D61" s="144" t="e">
        <f t="shared" si="18"/>
        <v>#REF!</v>
      </c>
      <c r="E61" s="144" t="e">
        <f t="shared" si="18"/>
        <v>#REF!</v>
      </c>
      <c r="F61" s="297" t="e">
        <f t="shared" si="19"/>
        <v>#REF!</v>
      </c>
      <c r="G61"/>
      <c r="H61"/>
      <c r="I61"/>
      <c r="J61" s="149"/>
    </row>
    <row r="62" spans="1:11" x14ac:dyDescent="0.2">
      <c r="A62" s="136">
        <f t="shared" si="17"/>
        <v>2019</v>
      </c>
      <c r="B62" s="144" t="e">
        <f t="shared" si="18"/>
        <v>#REF!</v>
      </c>
      <c r="C62" s="144" t="e">
        <f t="shared" si="18"/>
        <v>#REF!</v>
      </c>
      <c r="D62" s="144" t="e">
        <f t="shared" si="18"/>
        <v>#REF!</v>
      </c>
      <c r="E62" s="144" t="e">
        <f t="shared" si="18"/>
        <v>#REF!</v>
      </c>
      <c r="F62" s="297" t="e">
        <f t="shared" si="19"/>
        <v>#REF!</v>
      </c>
      <c r="G62"/>
      <c r="H62"/>
      <c r="I62"/>
      <c r="J62" s="149"/>
    </row>
    <row r="63" spans="1:11" x14ac:dyDescent="0.2">
      <c r="A63" s="136">
        <f t="shared" si="17"/>
        <v>2020</v>
      </c>
      <c r="B63" s="144" t="e">
        <f t="shared" si="18"/>
        <v>#REF!</v>
      </c>
      <c r="C63" s="144" t="e">
        <f t="shared" si="18"/>
        <v>#REF!</v>
      </c>
      <c r="D63" s="144" t="e">
        <f t="shared" si="18"/>
        <v>#REF!</v>
      </c>
      <c r="E63" s="144" t="e">
        <f t="shared" si="18"/>
        <v>#REF!</v>
      </c>
      <c r="F63" s="297" t="e">
        <f t="shared" si="19"/>
        <v>#REF!</v>
      </c>
      <c r="G63"/>
      <c r="H63"/>
      <c r="I63"/>
      <c r="J63" s="149"/>
    </row>
    <row r="64" spans="1:11" x14ac:dyDescent="0.2">
      <c r="A64" s="136">
        <f t="shared" si="17"/>
        <v>2021</v>
      </c>
      <c r="B64" s="144" t="e">
        <f t="shared" si="18"/>
        <v>#REF!</v>
      </c>
      <c r="C64" s="144" t="e">
        <f t="shared" si="18"/>
        <v>#REF!</v>
      </c>
      <c r="D64" s="144" t="e">
        <f t="shared" si="18"/>
        <v>#REF!</v>
      </c>
      <c r="E64" s="144" t="e">
        <f t="shared" si="18"/>
        <v>#REF!</v>
      </c>
      <c r="F64" s="297" t="e">
        <f t="shared" si="19"/>
        <v>#REF!</v>
      </c>
      <c r="G64"/>
      <c r="H64"/>
      <c r="I64"/>
      <c r="J64" s="149"/>
    </row>
    <row r="65" spans="1:14" x14ac:dyDescent="0.2">
      <c r="A65" s="136">
        <f t="shared" si="17"/>
        <v>2022</v>
      </c>
      <c r="B65" s="144" t="e">
        <f t="shared" si="18"/>
        <v>#REF!</v>
      </c>
      <c r="C65" s="144" t="e">
        <f t="shared" si="18"/>
        <v>#REF!</v>
      </c>
      <c r="D65" s="144" t="e">
        <f t="shared" si="18"/>
        <v>#REF!</v>
      </c>
      <c r="E65" s="144" t="e">
        <f t="shared" si="18"/>
        <v>#REF!</v>
      </c>
      <c r="F65" s="297" t="e">
        <f t="shared" si="19"/>
        <v>#REF!</v>
      </c>
      <c r="G65"/>
      <c r="H65"/>
      <c r="I65"/>
      <c r="J65" s="149"/>
    </row>
    <row r="66" spans="1:14" x14ac:dyDescent="0.2">
      <c r="A66" s="136">
        <f t="shared" si="17"/>
        <v>2023</v>
      </c>
      <c r="B66" s="144" t="e">
        <f t="shared" si="18"/>
        <v>#REF!</v>
      </c>
      <c r="C66" s="144" t="e">
        <f t="shared" si="18"/>
        <v>#REF!</v>
      </c>
      <c r="D66" s="144" t="e">
        <f t="shared" si="18"/>
        <v>#REF!</v>
      </c>
      <c r="E66" s="144" t="e">
        <f t="shared" si="18"/>
        <v>#REF!</v>
      </c>
      <c r="F66" s="297" t="e">
        <f t="shared" si="19"/>
        <v>#REF!</v>
      </c>
      <c r="G66"/>
      <c r="H66"/>
      <c r="I66"/>
      <c r="J66" s="149"/>
    </row>
    <row r="67" spans="1:14" ht="15" customHeight="1" x14ac:dyDescent="0.2">
      <c r="A67" s="136" t="str">
        <f t="shared" si="17"/>
        <v>2024 Bridge</v>
      </c>
      <c r="B67" s="144">
        <f>'Load Forecast Summary'!L15/1000000</f>
        <v>8.7798567200000015</v>
      </c>
      <c r="C67" s="144">
        <f>'Load Forecast Summary'!L19/1000000</f>
        <v>4.660998890000001</v>
      </c>
      <c r="D67" s="144">
        <f>'Load Forecast Summary'!L23/1000000</f>
        <v>15.081903560000002</v>
      </c>
      <c r="E67" s="144">
        <f>'Load Forecast Summary'!L28/1000000</f>
        <v>0.35507289000000003</v>
      </c>
      <c r="F67" s="297">
        <f t="shared" si="19"/>
        <v>28.877832060000006</v>
      </c>
      <c r="G67"/>
      <c r="H67"/>
      <c r="I67"/>
      <c r="J67" s="145"/>
    </row>
    <row r="68" spans="1:14" ht="15" customHeight="1" x14ac:dyDescent="0.2">
      <c r="A68" s="136" t="str">
        <f t="shared" ref="A68" si="20">A38</f>
        <v>2025 Test</v>
      </c>
      <c r="B68" s="144">
        <f>'Load Forecast Summary'!M15/1000000</f>
        <v>8.853696519379783</v>
      </c>
      <c r="C68" s="144">
        <f>'Load Forecast Summary'!M19/1000000</f>
        <v>4.712336142814598</v>
      </c>
      <c r="D68" s="144">
        <f>'Load Forecast Summary'!M23/1000000</f>
        <v>14.914371224490099</v>
      </c>
      <c r="E68" s="144">
        <f>'Load Forecast Summary'!M28/1000000</f>
        <v>0.35507289000000003</v>
      </c>
      <c r="F68" s="297">
        <f t="shared" si="19"/>
        <v>28.835476776684477</v>
      </c>
      <c r="G68"/>
      <c r="H68"/>
      <c r="I68"/>
      <c r="J68" s="145"/>
    </row>
    <row r="69" spans="1:14" x14ac:dyDescent="0.2">
      <c r="A69" s="95"/>
      <c r="B69" s="96"/>
      <c r="C69" s="96"/>
      <c r="D69" s="96"/>
      <c r="E69" s="96"/>
      <c r="F69" s="97"/>
      <c r="G69" s="96"/>
      <c r="H69" s="96"/>
      <c r="I69" s="96"/>
      <c r="J69" s="96"/>
      <c r="K69" s="96"/>
      <c r="L69" s="96"/>
      <c r="M69" s="94"/>
    </row>
    <row r="70" spans="1:14" x14ac:dyDescent="0.2">
      <c r="A70" s="372" t="s">
        <v>178</v>
      </c>
      <c r="B70" s="372"/>
      <c r="C70" s="372"/>
      <c r="D70" s="372"/>
      <c r="E70" s="372"/>
      <c r="F70" s="98"/>
      <c r="G70" s="98"/>
      <c r="H70" s="98"/>
      <c r="I70" s="98"/>
      <c r="J70" s="98"/>
      <c r="K70" s="98"/>
      <c r="L70" s="86"/>
    </row>
    <row r="71" spans="1:14" ht="51" x14ac:dyDescent="0.2">
      <c r="A71" s="325" t="str">
        <f t="shared" ref="A71:F71" si="21">A41</f>
        <v>Year</v>
      </c>
      <c r="B71" s="326" t="str">
        <f t="shared" si="21"/>
        <v>Residential</v>
      </c>
      <c r="C71" s="326" t="str">
        <f t="shared" si="21"/>
        <v>General Service &lt; 50 kW</v>
      </c>
      <c r="D71" s="326" t="str">
        <f t="shared" si="21"/>
        <v>General Service &gt; 50 to 4999 kW</v>
      </c>
      <c r="E71" s="326" t="str">
        <f t="shared" si="21"/>
        <v>Street Lights</v>
      </c>
      <c r="F71" s="326" t="str">
        <f t="shared" si="21"/>
        <v>Total</v>
      </c>
      <c r="G71"/>
      <c r="H71"/>
      <c r="I71"/>
      <c r="J71" s="99"/>
    </row>
    <row r="72" spans="1:14" x14ac:dyDescent="0.2">
      <c r="A72" s="364" t="s">
        <v>116</v>
      </c>
      <c r="B72" s="364"/>
      <c r="C72" s="364"/>
      <c r="D72" s="364"/>
      <c r="E72" s="364"/>
      <c r="F72" s="364"/>
      <c r="G72"/>
      <c r="H72"/>
      <c r="I72"/>
      <c r="J72" s="99"/>
    </row>
    <row r="73" spans="1:14" s="122" customFormat="1" x14ac:dyDescent="0.2">
      <c r="A73" s="375"/>
      <c r="B73" s="375"/>
      <c r="C73" s="375"/>
      <c r="D73" s="375"/>
      <c r="E73" s="375"/>
      <c r="F73" s="375"/>
      <c r="G73"/>
      <c r="H73"/>
      <c r="I73"/>
      <c r="J73" s="123"/>
    </row>
    <row r="74" spans="1:14" s="122" customFormat="1" x14ac:dyDescent="0.2">
      <c r="A74" s="327" t="str">
        <f>A55</f>
        <v>2017 Board Approved</v>
      </c>
      <c r="B74" s="328">
        <v>1389.453625043182</v>
      </c>
      <c r="C74" s="328">
        <v>228.48509415540855</v>
      </c>
      <c r="D74" s="328">
        <v>17</v>
      </c>
      <c r="E74" s="328">
        <v>625</v>
      </c>
      <c r="F74" s="328">
        <f>SUM(B74:E74)</f>
        <v>2259.9387191985907</v>
      </c>
      <c r="G74"/>
      <c r="H74"/>
      <c r="I74"/>
      <c r="J74" s="123"/>
    </row>
    <row r="75" spans="1:14" s="122" customFormat="1" x14ac:dyDescent="0.2">
      <c r="A75" s="374"/>
      <c r="B75" s="374"/>
      <c r="C75" s="374"/>
      <c r="D75" s="374"/>
      <c r="E75" s="374"/>
      <c r="F75" s="374"/>
      <c r="G75"/>
      <c r="H75"/>
      <c r="I75"/>
      <c r="J75" s="123"/>
    </row>
    <row r="76" spans="1:14" x14ac:dyDescent="0.2">
      <c r="A76" s="329">
        <f>A57</f>
        <v>2014</v>
      </c>
      <c r="B76" s="330">
        <f t="array" ref="B76:B87">TRANSPOSE('Load Forecast Summary'!B14:M14)</f>
        <v>1408.75</v>
      </c>
      <c r="C76" s="330">
        <f t="array" ref="C76:C87">TRANSPOSE('Load Forecast Summary'!B18:M18)</f>
        <v>234.16666666666666</v>
      </c>
      <c r="D76" s="330">
        <f t="array" ref="D76:D87">TRANSPOSE('Load Forecast Summary'!B22:M22)</f>
        <v>18.75</v>
      </c>
      <c r="E76" s="330">
        <f t="array" ref="E76:E87">TRANSPOSE('Load Forecast Summary'!B27:M27)</f>
        <v>630</v>
      </c>
      <c r="F76" s="330">
        <f>SUM(B76:E76)</f>
        <v>2291.666666666667</v>
      </c>
      <c r="G76"/>
      <c r="H76"/>
      <c r="I76"/>
      <c r="J76" s="100"/>
      <c r="N76" s="90"/>
    </row>
    <row r="77" spans="1:14" x14ac:dyDescent="0.2">
      <c r="A77" s="329">
        <f>A58</f>
        <v>2015</v>
      </c>
      <c r="B77" s="330">
        <v>1404.25</v>
      </c>
      <c r="C77" s="330">
        <v>235.41666666666666</v>
      </c>
      <c r="D77" s="330">
        <v>18.75</v>
      </c>
      <c r="E77" s="330">
        <v>627.08333333333337</v>
      </c>
      <c r="F77" s="330">
        <f t="shared" ref="F77:F87" si="22">SUM(B77:E77)</f>
        <v>2285.5</v>
      </c>
      <c r="G77"/>
      <c r="H77"/>
      <c r="I77"/>
      <c r="J77" s="100"/>
      <c r="N77" s="90"/>
    </row>
    <row r="78" spans="1:14" x14ac:dyDescent="0.2">
      <c r="A78" s="329">
        <f>A59</f>
        <v>2016</v>
      </c>
      <c r="B78" s="330">
        <v>1396.0833333333333</v>
      </c>
      <c r="C78" s="330">
        <v>231.41666666666666</v>
      </c>
      <c r="D78" s="330">
        <v>17.416666666666668</v>
      </c>
      <c r="E78" s="330">
        <v>625</v>
      </c>
      <c r="F78" s="330">
        <f t="shared" si="22"/>
        <v>2269.916666666667</v>
      </c>
      <c r="G78"/>
      <c r="H78"/>
      <c r="I78"/>
      <c r="J78" s="100"/>
      <c r="N78" s="90"/>
    </row>
    <row r="79" spans="1:14" x14ac:dyDescent="0.2">
      <c r="A79" s="329">
        <f>A60</f>
        <v>2017</v>
      </c>
      <c r="B79" s="330">
        <v>1389.75</v>
      </c>
      <c r="C79" s="330">
        <v>232.5</v>
      </c>
      <c r="D79" s="330">
        <v>17</v>
      </c>
      <c r="E79" s="330">
        <v>626</v>
      </c>
      <c r="F79" s="330">
        <f t="shared" si="22"/>
        <v>2265.25</v>
      </c>
      <c r="G79"/>
      <c r="H79"/>
      <c r="I79"/>
      <c r="J79" s="100"/>
      <c r="N79" s="90"/>
    </row>
    <row r="80" spans="1:14" x14ac:dyDescent="0.2">
      <c r="A80" s="329">
        <f>A61</f>
        <v>2018</v>
      </c>
      <c r="B80" s="330">
        <v>1384.75</v>
      </c>
      <c r="C80" s="330">
        <v>233.16666666666666</v>
      </c>
      <c r="D80" s="330">
        <v>16.666666666666668</v>
      </c>
      <c r="E80" s="330">
        <v>626</v>
      </c>
      <c r="F80" s="330">
        <f t="shared" si="22"/>
        <v>2260.5833333333335</v>
      </c>
      <c r="G80"/>
      <c r="H80"/>
      <c r="I80"/>
      <c r="J80" s="100"/>
      <c r="N80" s="90"/>
    </row>
    <row r="81" spans="1:20" x14ac:dyDescent="0.2">
      <c r="A81" s="329">
        <f t="shared" ref="A81:A87" si="23">A62</f>
        <v>2019</v>
      </c>
      <c r="B81" s="330">
        <v>1382.1666666666667</v>
      </c>
      <c r="C81" s="330">
        <v>233</v>
      </c>
      <c r="D81" s="330">
        <v>16</v>
      </c>
      <c r="E81" s="330">
        <v>626</v>
      </c>
      <c r="F81" s="330">
        <f t="shared" si="22"/>
        <v>2257.166666666667</v>
      </c>
      <c r="G81"/>
      <c r="H81"/>
      <c r="I81"/>
      <c r="J81" s="100"/>
      <c r="N81" s="90"/>
    </row>
    <row r="82" spans="1:20" x14ac:dyDescent="0.2">
      <c r="A82" s="329">
        <f t="shared" si="23"/>
        <v>2020</v>
      </c>
      <c r="B82" s="330">
        <v>1382.1666666666667</v>
      </c>
      <c r="C82" s="330">
        <v>231.41666666666666</v>
      </c>
      <c r="D82" s="330">
        <v>16</v>
      </c>
      <c r="E82" s="330">
        <v>624</v>
      </c>
      <c r="F82" s="330">
        <f t="shared" si="22"/>
        <v>2253.5833333333335</v>
      </c>
      <c r="G82"/>
      <c r="H82"/>
      <c r="I82"/>
      <c r="J82" s="101"/>
      <c r="N82" s="90"/>
    </row>
    <row r="83" spans="1:20" x14ac:dyDescent="0.2">
      <c r="A83" s="329">
        <f t="shared" si="23"/>
        <v>2021</v>
      </c>
      <c r="B83" s="330">
        <v>1375.3333333333333</v>
      </c>
      <c r="C83" s="330">
        <v>232.83333333333334</v>
      </c>
      <c r="D83" s="330">
        <v>15.833333333333334</v>
      </c>
      <c r="E83" s="330">
        <v>624</v>
      </c>
      <c r="F83" s="330">
        <f t="shared" si="22"/>
        <v>2248</v>
      </c>
      <c r="G83"/>
      <c r="H83"/>
      <c r="I83"/>
      <c r="J83" s="100"/>
      <c r="N83" s="90"/>
    </row>
    <row r="84" spans="1:20" x14ac:dyDescent="0.2">
      <c r="A84" s="329">
        <f t="shared" si="23"/>
        <v>2022</v>
      </c>
      <c r="B84" s="330">
        <v>1374.25</v>
      </c>
      <c r="C84" s="330">
        <v>232.16666666666666</v>
      </c>
      <c r="D84" s="330">
        <v>16.333333333333332</v>
      </c>
      <c r="E84" s="330">
        <v>622</v>
      </c>
      <c r="F84" s="330">
        <f t="shared" si="22"/>
        <v>2244.75</v>
      </c>
      <c r="G84"/>
      <c r="H84"/>
      <c r="I84"/>
      <c r="J84" s="100"/>
      <c r="N84" s="90"/>
    </row>
    <row r="85" spans="1:20" ht="12.75" customHeight="1" x14ac:dyDescent="0.2">
      <c r="A85" s="329">
        <f t="shared" si="23"/>
        <v>2023</v>
      </c>
      <c r="B85" s="330">
        <v>1373.25</v>
      </c>
      <c r="C85" s="330">
        <v>232.66666666666666</v>
      </c>
      <c r="D85" s="330">
        <v>16</v>
      </c>
      <c r="E85" s="330">
        <v>621.33333333333337</v>
      </c>
      <c r="F85" s="330">
        <f t="shared" si="22"/>
        <v>2243.25</v>
      </c>
      <c r="G85"/>
      <c r="H85"/>
      <c r="I85"/>
      <c r="J85" s="100"/>
      <c r="N85" s="90"/>
    </row>
    <row r="86" spans="1:20" ht="12.75" customHeight="1" x14ac:dyDescent="0.2">
      <c r="A86" s="329" t="str">
        <f t="shared" si="23"/>
        <v>2024 Bridge</v>
      </c>
      <c r="B86" s="330">
        <v>1371.4166666666667</v>
      </c>
      <c r="C86" s="330">
        <v>233.91666666666666</v>
      </c>
      <c r="D86" s="330">
        <v>15.333333333333334</v>
      </c>
      <c r="E86" s="330">
        <v>622</v>
      </c>
      <c r="F86" s="330">
        <f t="shared" si="22"/>
        <v>2242.666666666667</v>
      </c>
      <c r="G86"/>
      <c r="H86"/>
      <c r="I86"/>
      <c r="J86" s="100"/>
      <c r="N86" s="90"/>
    </row>
    <row r="87" spans="1:20" ht="12.75" customHeight="1" x14ac:dyDescent="0.2">
      <c r="A87" s="329" t="str">
        <f t="shared" si="23"/>
        <v>2025 Test</v>
      </c>
      <c r="B87" s="330">
        <v>1367.7381869430576</v>
      </c>
      <c r="C87" s="330">
        <v>233.89168135108605</v>
      </c>
      <c r="D87" s="330">
        <v>15.02796266523036</v>
      </c>
      <c r="E87" s="330">
        <v>622</v>
      </c>
      <c r="F87" s="330">
        <f t="shared" si="22"/>
        <v>2238.6578309593742</v>
      </c>
      <c r="G87"/>
      <c r="H87"/>
      <c r="I87"/>
      <c r="J87" s="100"/>
      <c r="N87" s="101"/>
    </row>
    <row r="88" spans="1:20" x14ac:dyDescent="0.2">
      <c r="A88" s="364" t="s">
        <v>117</v>
      </c>
      <c r="B88" s="364"/>
      <c r="C88" s="364"/>
      <c r="D88" s="364"/>
      <c r="E88" s="364"/>
      <c r="F88" s="364"/>
      <c r="G88"/>
      <c r="H88"/>
      <c r="I88"/>
    </row>
    <row r="89" spans="1:20" x14ac:dyDescent="0.2">
      <c r="A89" s="331">
        <f t="shared" ref="A89:A98" si="24">A27</f>
        <v>2014</v>
      </c>
      <c r="B89" s="332">
        <f>B43*1000000/B76</f>
        <v>6918.2017036379775</v>
      </c>
      <c r="C89" s="332">
        <f t="shared" ref="C89:E89" si="25">C43*1000000/C76</f>
        <v>22748.687871886123</v>
      </c>
      <c r="D89" s="332">
        <f t="shared" si="25"/>
        <v>417982.6938666667</v>
      </c>
      <c r="E89" s="332">
        <f t="shared" si="25"/>
        <v>3.2126984126984133</v>
      </c>
      <c r="F89" s="234"/>
      <c r="G89"/>
      <c r="H89"/>
      <c r="I89"/>
    </row>
    <row r="90" spans="1:20" x14ac:dyDescent="0.2">
      <c r="A90" s="331">
        <f t="shared" si="24"/>
        <v>2015</v>
      </c>
      <c r="B90" s="332">
        <f t="shared" ref="B90:E90" si="26">B44*1000000/B77</f>
        <v>6571.8510165568814</v>
      </c>
      <c r="C90" s="332">
        <f t="shared" si="26"/>
        <v>21800.812757522126</v>
      </c>
      <c r="D90" s="332">
        <f t="shared" si="26"/>
        <v>937701.31413333339</v>
      </c>
      <c r="E90" s="332">
        <f t="shared" si="26"/>
        <v>49278.377142857142</v>
      </c>
      <c r="F90" s="234"/>
      <c r="G90"/>
      <c r="H90"/>
      <c r="I90"/>
    </row>
    <row r="91" spans="1:20" x14ac:dyDescent="0.2">
      <c r="A91" s="331">
        <f t="shared" si="24"/>
        <v>2016</v>
      </c>
      <c r="B91" s="332">
        <f t="shared" ref="B91:E91" si="27">B45*1000000/B78</f>
        <v>6364.4605002089174</v>
      </c>
      <c r="C91" s="332">
        <f t="shared" si="27"/>
        <v>21397.382571119917</v>
      </c>
      <c r="D91" s="332">
        <f t="shared" si="27"/>
        <v>1219234.7621052628</v>
      </c>
      <c r="E91" s="332">
        <f t="shared" si="27"/>
        <v>49108.599881997587</v>
      </c>
      <c r="F91" s="234"/>
      <c r="G91"/>
      <c r="H91"/>
      <c r="I91"/>
      <c r="K91" s="100"/>
      <c r="L91" s="100"/>
      <c r="M91" s="100"/>
      <c r="N91" s="100"/>
      <c r="O91" s="100"/>
      <c r="Q91" s="100"/>
      <c r="R91" s="100"/>
      <c r="S91" s="100"/>
      <c r="T91" s="100"/>
    </row>
    <row r="92" spans="1:20" x14ac:dyDescent="0.2">
      <c r="A92" s="331">
        <f t="shared" si="24"/>
        <v>2017</v>
      </c>
      <c r="B92" s="332">
        <f t="shared" ref="B92:E92" si="28">B46*1000000/B79</f>
        <v>6268.3550926425605</v>
      </c>
      <c r="C92" s="332">
        <f t="shared" si="28"/>
        <v>20544.00133333333</v>
      </c>
      <c r="D92" s="332">
        <f t="shared" si="28"/>
        <v>921609.70588235289</v>
      </c>
      <c r="E92" s="332">
        <f t="shared" si="28"/>
        <v>-333.5049101461808</v>
      </c>
      <c r="F92" s="234"/>
      <c r="G92"/>
      <c r="H92"/>
      <c r="I92"/>
      <c r="K92" s="100"/>
      <c r="L92" s="100"/>
      <c r="M92" s="100"/>
      <c r="N92" s="100"/>
      <c r="O92" s="100"/>
      <c r="Q92" s="100"/>
      <c r="R92" s="100"/>
      <c r="S92" s="100"/>
      <c r="T92" s="100"/>
    </row>
    <row r="93" spans="1:20" x14ac:dyDescent="0.2">
      <c r="A93" s="331">
        <f t="shared" si="24"/>
        <v>2018</v>
      </c>
      <c r="B93" s="332">
        <f t="shared" ref="B93:E93" si="29">B47*1000000/B80</f>
        <v>6602.3581512908459</v>
      </c>
      <c r="C93" s="332">
        <f t="shared" si="29"/>
        <v>20281.07931379557</v>
      </c>
      <c r="D93" s="332">
        <f t="shared" si="29"/>
        <v>951275.15459999989</v>
      </c>
      <c r="E93" s="332">
        <f t="shared" si="29"/>
        <v>-1.0792463215997982E-5</v>
      </c>
      <c r="F93" s="234"/>
      <c r="G93"/>
      <c r="H93"/>
      <c r="I93"/>
      <c r="K93" s="100"/>
      <c r="L93" s="100"/>
      <c r="M93" s="100"/>
      <c r="N93" s="100"/>
      <c r="O93" s="100"/>
      <c r="Q93" s="100"/>
      <c r="R93" s="100"/>
      <c r="S93" s="100"/>
      <c r="T93" s="100"/>
    </row>
    <row r="94" spans="1:20" x14ac:dyDescent="0.2">
      <c r="A94" s="331">
        <f t="shared" si="24"/>
        <v>2019</v>
      </c>
      <c r="B94" s="332">
        <f t="shared" ref="B94:E94" si="30">B48*1000000/B81</f>
        <v>6579.6371518147826</v>
      </c>
      <c r="C94" s="332">
        <f t="shared" si="30"/>
        <v>19956.929999999997</v>
      </c>
      <c r="D94" s="332">
        <f t="shared" si="30"/>
        <v>963874.33377426886</v>
      </c>
      <c r="E94" s="332">
        <f t="shared" si="30"/>
        <v>1.7093962056070203E-3</v>
      </c>
      <c r="F94" s="234"/>
      <c r="G94"/>
      <c r="H94"/>
      <c r="I94"/>
      <c r="K94" s="100"/>
      <c r="L94" s="100"/>
      <c r="M94" s="100"/>
      <c r="N94" s="100"/>
      <c r="O94" s="100"/>
      <c r="Q94" s="100"/>
      <c r="R94" s="100"/>
      <c r="S94" s="100"/>
      <c r="T94" s="100"/>
    </row>
    <row r="95" spans="1:20" x14ac:dyDescent="0.2">
      <c r="A95" s="331">
        <f t="shared" si="24"/>
        <v>2020</v>
      </c>
      <c r="B95" s="332">
        <f t="shared" ref="B95:E95" si="31">B49*1000000/B82</f>
        <v>6701.2963945496194</v>
      </c>
      <c r="C95" s="332">
        <f t="shared" si="31"/>
        <v>18371.65132157004</v>
      </c>
      <c r="D95" s="332">
        <f t="shared" si="31"/>
        <v>1036147.7312500001</v>
      </c>
      <c r="E95" s="332">
        <f t="shared" si="31"/>
        <v>46278.577019230775</v>
      </c>
      <c r="F95" s="234"/>
      <c r="G95"/>
      <c r="H95"/>
      <c r="I95"/>
      <c r="K95" s="100"/>
      <c r="L95" s="100"/>
      <c r="M95" s="100"/>
      <c r="N95" s="100"/>
      <c r="O95" s="100"/>
      <c r="Q95" s="100"/>
      <c r="R95" s="100"/>
      <c r="S95" s="100"/>
      <c r="T95" s="100"/>
    </row>
    <row r="96" spans="1:20" x14ac:dyDescent="0.2">
      <c r="A96" s="331">
        <f t="shared" si="24"/>
        <v>2021</v>
      </c>
      <c r="B96" s="332">
        <f t="shared" ref="B96:E96" si="32">B50*1000000/B83</f>
        <v>6863.9525787687844</v>
      </c>
      <c r="C96" s="332">
        <f t="shared" si="32"/>
        <v>18733.222591267</v>
      </c>
      <c r="D96" s="332">
        <f t="shared" si="32"/>
        <v>1104078.3732631579</v>
      </c>
      <c r="E96" s="332">
        <f t="shared" si="32"/>
        <v>14070.283205128206</v>
      </c>
      <c r="F96" s="234"/>
      <c r="G96"/>
      <c r="H96"/>
      <c r="I96"/>
      <c r="K96" s="100"/>
      <c r="L96" s="100"/>
      <c r="M96" s="100"/>
      <c r="N96" s="100"/>
      <c r="O96" s="100"/>
      <c r="Q96" s="100"/>
      <c r="R96" s="100"/>
      <c r="S96" s="100"/>
      <c r="T96" s="100"/>
    </row>
    <row r="97" spans="1:25" x14ac:dyDescent="0.2">
      <c r="A97" s="331">
        <f t="shared" si="24"/>
        <v>2022</v>
      </c>
      <c r="B97" s="332">
        <f t="shared" ref="B97:E97" si="33">B51*1000000/B84</f>
        <v>6817.815586683646</v>
      </c>
      <c r="C97" s="332">
        <f t="shared" si="33"/>
        <v>19979.608600143576</v>
      </c>
      <c r="D97" s="332">
        <f t="shared" si="33"/>
        <v>953781.57857142866</v>
      </c>
      <c r="E97" s="332">
        <f t="shared" si="33"/>
        <v>7493.5673472668823</v>
      </c>
      <c r="F97" s="234"/>
      <c r="G97"/>
      <c r="H97"/>
      <c r="I97"/>
      <c r="K97" s="100"/>
      <c r="L97" s="100"/>
      <c r="M97" s="100"/>
      <c r="N97" s="100"/>
      <c r="O97" s="100"/>
      <c r="Q97" s="100"/>
      <c r="R97" s="100"/>
      <c r="S97" s="100"/>
      <c r="T97" s="100"/>
    </row>
    <row r="98" spans="1:25" x14ac:dyDescent="0.2">
      <c r="A98" s="331">
        <f t="shared" si="24"/>
        <v>2023</v>
      </c>
      <c r="B98" s="332">
        <f t="shared" ref="B98:E98" si="34">B52*1000000/B85</f>
        <v>6426.9963735663569</v>
      </c>
      <c r="C98" s="332">
        <f t="shared" si="34"/>
        <v>19347.095114613181</v>
      </c>
      <c r="D98" s="332">
        <f t="shared" si="34"/>
        <v>1003887.3937499999</v>
      </c>
      <c r="E98" s="332">
        <f t="shared" si="34"/>
        <v>24273.44993562232</v>
      </c>
      <c r="F98" s="234"/>
      <c r="G98"/>
      <c r="H98"/>
      <c r="I98"/>
      <c r="K98" s="100"/>
      <c r="L98" s="100"/>
      <c r="M98" s="100"/>
      <c r="N98" s="100"/>
      <c r="O98" s="100"/>
      <c r="Q98" s="100"/>
      <c r="R98" s="100"/>
      <c r="S98" s="100"/>
      <c r="T98" s="100"/>
    </row>
    <row r="99" spans="1:25" x14ac:dyDescent="0.2">
      <c r="A99" s="361" t="s">
        <v>118</v>
      </c>
      <c r="B99" s="362"/>
      <c r="C99" s="362"/>
      <c r="D99" s="362"/>
      <c r="E99" s="363"/>
      <c r="F99" s="234"/>
      <c r="G99"/>
      <c r="H99"/>
      <c r="I99"/>
    </row>
    <row r="100" spans="1:25" s="124" customFormat="1" x14ac:dyDescent="0.2">
      <c r="A100" s="158"/>
      <c r="B100" s="155"/>
      <c r="C100" s="155"/>
      <c r="D100" s="155"/>
      <c r="E100" s="155"/>
      <c r="F100" s="234"/>
      <c r="G100"/>
      <c r="H100"/>
      <c r="I100"/>
    </row>
    <row r="101" spans="1:25" s="124" customFormat="1" x14ac:dyDescent="0.2">
      <c r="A101" s="154" t="str">
        <f>A74</f>
        <v>2017 Board Approved</v>
      </c>
      <c r="B101" s="314">
        <v>6968.3121159668981</v>
      </c>
      <c r="C101" s="314">
        <v>22405.315958600971</v>
      </c>
      <c r="D101" s="314">
        <v>884974.20377232833</v>
      </c>
      <c r="E101" s="314">
        <v>738.79861354581669</v>
      </c>
      <c r="F101" s="234"/>
      <c r="G101"/>
      <c r="H101"/>
      <c r="I101"/>
    </row>
    <row r="102" spans="1:25" s="124" customFormat="1" x14ac:dyDescent="0.2">
      <c r="A102" s="158"/>
      <c r="B102" s="155"/>
      <c r="C102" s="155"/>
      <c r="D102" s="155"/>
      <c r="E102" s="155"/>
      <c r="F102" s="234"/>
      <c r="G102"/>
      <c r="H102"/>
      <c r="I102"/>
    </row>
    <row r="103" spans="1:25" x14ac:dyDescent="0.2">
      <c r="A103" s="157">
        <f t="shared" ref="A103:A114" si="35">A57</f>
        <v>2014</v>
      </c>
      <c r="B103" s="153" t="e">
        <f t="shared" ref="B103:E103" si="36">B57*1000000/B76</f>
        <v>#REF!</v>
      </c>
      <c r="C103" s="153" t="e">
        <f t="shared" si="36"/>
        <v>#REF!</v>
      </c>
      <c r="D103" s="153" t="e">
        <f t="shared" si="36"/>
        <v>#REF!</v>
      </c>
      <c r="E103" s="153" t="e">
        <f t="shared" si="36"/>
        <v>#REF!</v>
      </c>
      <c r="F103" s="234"/>
      <c r="G103"/>
      <c r="H103"/>
      <c r="I103"/>
    </row>
    <row r="104" spans="1:25" x14ac:dyDescent="0.2">
      <c r="A104" s="157">
        <f t="shared" si="35"/>
        <v>2015</v>
      </c>
      <c r="B104" s="153" t="e">
        <f t="shared" ref="B104:E104" si="37">B58*1000000/B77</f>
        <v>#REF!</v>
      </c>
      <c r="C104" s="153" t="e">
        <f t="shared" si="37"/>
        <v>#REF!</v>
      </c>
      <c r="D104" s="153" t="e">
        <f t="shared" si="37"/>
        <v>#REF!</v>
      </c>
      <c r="E104" s="153" t="e">
        <f t="shared" si="37"/>
        <v>#REF!</v>
      </c>
      <c r="F104" s="234"/>
      <c r="G104"/>
      <c r="H104"/>
      <c r="I104"/>
    </row>
    <row r="105" spans="1:25" x14ac:dyDescent="0.2">
      <c r="A105" s="157">
        <f t="shared" si="35"/>
        <v>2016</v>
      </c>
      <c r="B105" s="153" t="e">
        <f t="shared" ref="B105:E105" si="38">B59*1000000/B78</f>
        <v>#REF!</v>
      </c>
      <c r="C105" s="153" t="e">
        <f t="shared" si="38"/>
        <v>#REF!</v>
      </c>
      <c r="D105" s="153" t="e">
        <f t="shared" si="38"/>
        <v>#REF!</v>
      </c>
      <c r="E105" s="153" t="e">
        <f t="shared" si="38"/>
        <v>#REF!</v>
      </c>
      <c r="F105" s="234"/>
      <c r="G105"/>
      <c r="H105"/>
      <c r="I105"/>
      <c r="U105" s="100"/>
      <c r="V105" s="100"/>
      <c r="W105" s="100"/>
      <c r="X105" s="100"/>
      <c r="Y105" s="100"/>
    </row>
    <row r="106" spans="1:25" x14ac:dyDescent="0.2">
      <c r="A106" s="157">
        <f t="shared" si="35"/>
        <v>2017</v>
      </c>
      <c r="B106" s="153" t="e">
        <f t="shared" ref="B106:E106" si="39">B60*1000000/B79</f>
        <v>#REF!</v>
      </c>
      <c r="C106" s="153" t="e">
        <f t="shared" si="39"/>
        <v>#REF!</v>
      </c>
      <c r="D106" s="153" t="e">
        <f t="shared" si="39"/>
        <v>#REF!</v>
      </c>
      <c r="E106" s="153" t="e">
        <f t="shared" si="39"/>
        <v>#REF!</v>
      </c>
      <c r="F106" s="234"/>
      <c r="G106"/>
      <c r="H106"/>
      <c r="I106"/>
      <c r="U106" s="100"/>
      <c r="V106" s="100"/>
      <c r="W106" s="100"/>
      <c r="X106" s="100"/>
      <c r="Y106" s="100"/>
    </row>
    <row r="107" spans="1:25" ht="12.75" customHeight="1" x14ac:dyDescent="0.2">
      <c r="A107" s="157">
        <f t="shared" si="35"/>
        <v>2018</v>
      </c>
      <c r="B107" s="153" t="e">
        <f t="shared" ref="B107:E107" si="40">B61*1000000/B80</f>
        <v>#REF!</v>
      </c>
      <c r="C107" s="153" t="e">
        <f t="shared" si="40"/>
        <v>#REF!</v>
      </c>
      <c r="D107" s="153" t="e">
        <f t="shared" si="40"/>
        <v>#REF!</v>
      </c>
      <c r="E107" s="153" t="e">
        <f t="shared" si="40"/>
        <v>#REF!</v>
      </c>
      <c r="F107" s="234"/>
      <c r="G107"/>
      <c r="H107"/>
      <c r="I107"/>
      <c r="U107" s="100"/>
      <c r="V107" s="100"/>
      <c r="W107" s="100"/>
      <c r="X107" s="100"/>
      <c r="Y107" s="100"/>
    </row>
    <row r="108" spans="1:25" x14ac:dyDescent="0.2">
      <c r="A108" s="157">
        <f t="shared" si="35"/>
        <v>2019</v>
      </c>
      <c r="B108" s="153" t="e">
        <f t="shared" ref="B108:E108" si="41">B62*1000000/B81</f>
        <v>#REF!</v>
      </c>
      <c r="C108" s="153" t="e">
        <f t="shared" si="41"/>
        <v>#REF!</v>
      </c>
      <c r="D108" s="153" t="e">
        <f t="shared" si="41"/>
        <v>#REF!</v>
      </c>
      <c r="E108" s="153" t="e">
        <f t="shared" si="41"/>
        <v>#REF!</v>
      </c>
      <c r="F108" s="234"/>
      <c r="G108"/>
      <c r="H108"/>
      <c r="I108"/>
      <c r="U108" s="100"/>
      <c r="V108" s="100"/>
      <c r="W108" s="100"/>
      <c r="X108" s="100"/>
      <c r="Y108" s="100"/>
    </row>
    <row r="109" spans="1:25" x14ac:dyDescent="0.2">
      <c r="A109" s="157">
        <f t="shared" si="35"/>
        <v>2020</v>
      </c>
      <c r="B109" s="153" t="e">
        <f t="shared" ref="B109:E109" si="42">B63*1000000/B82</f>
        <v>#REF!</v>
      </c>
      <c r="C109" s="153" t="e">
        <f t="shared" si="42"/>
        <v>#REF!</v>
      </c>
      <c r="D109" s="153" t="e">
        <f t="shared" si="42"/>
        <v>#REF!</v>
      </c>
      <c r="E109" s="153" t="e">
        <f t="shared" si="42"/>
        <v>#REF!</v>
      </c>
      <c r="F109" s="234"/>
      <c r="G109"/>
      <c r="H109"/>
      <c r="I109"/>
      <c r="U109" s="100"/>
      <c r="V109" s="100"/>
      <c r="W109" s="100"/>
      <c r="X109" s="100"/>
      <c r="Y109" s="100"/>
    </row>
    <row r="110" spans="1:25" x14ac:dyDescent="0.2">
      <c r="A110" s="157">
        <f t="shared" si="35"/>
        <v>2021</v>
      </c>
      <c r="B110" s="153" t="e">
        <f t="shared" ref="B110:E110" si="43">B64*1000000/B83</f>
        <v>#REF!</v>
      </c>
      <c r="C110" s="153" t="e">
        <f t="shared" si="43"/>
        <v>#REF!</v>
      </c>
      <c r="D110" s="153" t="e">
        <f t="shared" si="43"/>
        <v>#REF!</v>
      </c>
      <c r="E110" s="153" t="e">
        <f t="shared" si="43"/>
        <v>#REF!</v>
      </c>
      <c r="F110" s="234"/>
      <c r="G110"/>
      <c r="H110"/>
      <c r="I110"/>
      <c r="U110" s="100"/>
      <c r="V110" s="100"/>
      <c r="W110" s="100"/>
      <c r="X110" s="100"/>
      <c r="Y110" s="100"/>
    </row>
    <row r="111" spans="1:25" x14ac:dyDescent="0.2">
      <c r="A111" s="157">
        <f t="shared" si="35"/>
        <v>2022</v>
      </c>
      <c r="B111" s="153" t="e">
        <f t="shared" ref="B111:E111" si="44">B65*1000000/B84</f>
        <v>#REF!</v>
      </c>
      <c r="C111" s="153" t="e">
        <f t="shared" si="44"/>
        <v>#REF!</v>
      </c>
      <c r="D111" s="153" t="e">
        <f t="shared" si="44"/>
        <v>#REF!</v>
      </c>
      <c r="E111" s="153" t="e">
        <f t="shared" si="44"/>
        <v>#REF!</v>
      </c>
      <c r="F111" s="234"/>
      <c r="G111"/>
      <c r="H111"/>
      <c r="I111"/>
      <c r="U111" s="100"/>
      <c r="V111" s="100"/>
      <c r="W111" s="100"/>
      <c r="X111" s="100"/>
      <c r="Y111" s="100"/>
    </row>
    <row r="112" spans="1:25" ht="12.75" customHeight="1" x14ac:dyDescent="0.2">
      <c r="A112" s="157">
        <f t="shared" si="35"/>
        <v>2023</v>
      </c>
      <c r="B112" s="153" t="e">
        <f t="shared" ref="B112:E112" si="45">B66*1000000/B85</f>
        <v>#REF!</v>
      </c>
      <c r="C112" s="153" t="e">
        <f t="shared" si="45"/>
        <v>#REF!</v>
      </c>
      <c r="D112" s="153" t="e">
        <f t="shared" si="45"/>
        <v>#REF!</v>
      </c>
      <c r="E112" s="153" t="e">
        <f t="shared" si="45"/>
        <v>#REF!</v>
      </c>
      <c r="F112" s="234"/>
      <c r="G112"/>
      <c r="H112"/>
      <c r="I112"/>
      <c r="U112" s="100"/>
      <c r="V112" s="100"/>
      <c r="W112" s="100"/>
      <c r="X112" s="100"/>
      <c r="Y112" s="100"/>
    </row>
    <row r="113" spans="1:25" x14ac:dyDescent="0.2">
      <c r="A113" s="157" t="str">
        <f t="shared" si="35"/>
        <v>2024 Bridge</v>
      </c>
      <c r="B113" s="153">
        <f t="shared" ref="B113:E113" si="46">B67*1000000/B86</f>
        <v>6402.0344315488856</v>
      </c>
      <c r="C113" s="153">
        <f t="shared" si="46"/>
        <v>19925.894791592451</v>
      </c>
      <c r="D113" s="153">
        <f t="shared" si="46"/>
        <v>983602.40608695662</v>
      </c>
      <c r="E113" s="153">
        <f t="shared" si="46"/>
        <v>570.85673633440513</v>
      </c>
      <c r="F113" s="234"/>
      <c r="G113"/>
      <c r="H113"/>
      <c r="I113"/>
      <c r="U113" s="100"/>
      <c r="V113" s="100"/>
      <c r="W113" s="100"/>
      <c r="X113" s="100"/>
      <c r="Y113" s="100"/>
    </row>
    <row r="114" spans="1:25" x14ac:dyDescent="0.2">
      <c r="A114" s="157" t="str">
        <f t="shared" si="35"/>
        <v>2025 Test</v>
      </c>
      <c r="B114" s="153">
        <f t="shared" ref="B114:E114" si="47">B68*1000000/B87</f>
        <v>6473.23925287785</v>
      </c>
      <c r="C114" s="153">
        <f t="shared" si="47"/>
        <v>20147.514933381008</v>
      </c>
      <c r="D114" s="153">
        <f t="shared" si="47"/>
        <v>992441.32799164625</v>
      </c>
      <c r="E114" s="153">
        <f t="shared" si="47"/>
        <v>570.85673633440513</v>
      </c>
      <c r="F114" s="234"/>
      <c r="G114"/>
      <c r="H114"/>
      <c r="I114"/>
      <c r="P114" s="103"/>
      <c r="Q114" s="104"/>
    </row>
    <row r="115" spans="1:25" x14ac:dyDescent="0.2">
      <c r="A115" s="95"/>
      <c r="B115" s="102"/>
      <c r="C115" s="102"/>
      <c r="D115" s="102"/>
      <c r="E115" s="102"/>
      <c r="F115" s="102"/>
      <c r="G115" s="102"/>
      <c r="H115" s="102"/>
      <c r="P115" s="103"/>
      <c r="Q115" s="104"/>
    </row>
    <row r="116" spans="1:25" x14ac:dyDescent="0.2">
      <c r="A116" s="368" t="s">
        <v>179</v>
      </c>
      <c r="B116" s="368"/>
      <c r="C116" s="98"/>
      <c r="D116" s="98"/>
      <c r="E116" s="98"/>
      <c r="F116" s="98"/>
      <c r="G116" s="98"/>
      <c r="H116" s="98"/>
      <c r="M116" s="106"/>
    </row>
    <row r="117" spans="1:25" x14ac:dyDescent="0.2">
      <c r="A117" s="138" t="s">
        <v>17</v>
      </c>
      <c r="B117" s="159">
        <f>'Power Purchased Model'!Q6</f>
        <v>0.87999785132279296</v>
      </c>
      <c r="M117" s="106"/>
    </row>
    <row r="118" spans="1:25" x14ac:dyDescent="0.2">
      <c r="A118" s="138" t="s">
        <v>18</v>
      </c>
      <c r="B118" s="159">
        <f>'Power Purchased Model'!Q7</f>
        <v>0.87523586129591968</v>
      </c>
      <c r="M118" s="106"/>
    </row>
    <row r="119" spans="1:25" x14ac:dyDescent="0.2">
      <c r="A119" s="138" t="s">
        <v>140</v>
      </c>
      <c r="B119" s="160">
        <f>'Power Purchased Model'!T13</f>
        <v>184.79623988221502</v>
      </c>
      <c r="M119" s="106"/>
    </row>
    <row r="120" spans="1:25" x14ac:dyDescent="0.2">
      <c r="A120" s="161" t="s">
        <v>141</v>
      </c>
      <c r="B120" s="162">
        <f>'Power Purchased Model'!Q25</f>
        <v>0</v>
      </c>
      <c r="M120" s="106"/>
    </row>
    <row r="121" spans="1:25" x14ac:dyDescent="0.2">
      <c r="A121" s="161" t="s">
        <v>141</v>
      </c>
      <c r="B121" s="324">
        <f>'Power Purchased Model'!Q30</f>
        <v>1.4748755381199876</v>
      </c>
      <c r="M121" s="106"/>
    </row>
    <row r="122" spans="1:25" x14ac:dyDescent="0.2">
      <c r="A122" s="163" t="s">
        <v>142</v>
      </c>
      <c r="B122" s="164"/>
      <c r="M122" s="106"/>
    </row>
    <row r="123" spans="1:25" x14ac:dyDescent="0.2">
      <c r="A123" s="165" t="str">
        <f>'Power Purchased Model'!P19</f>
        <v>Heating Degree Days</v>
      </c>
      <c r="B123" s="166">
        <f>'Power Purchased Model'!S19</f>
        <v>24.856553414259565</v>
      </c>
      <c r="M123" s="106"/>
    </row>
    <row r="124" spans="1:25" x14ac:dyDescent="0.2">
      <c r="A124" s="165" t="str">
        <f>'Power Purchased Model'!P20</f>
        <v>Cooling Degree Days</v>
      </c>
      <c r="B124" s="166">
        <f>'Power Purchased Model'!S20</f>
        <v>9.2096885242553537</v>
      </c>
      <c r="M124" s="106"/>
    </row>
    <row r="125" spans="1:25" x14ac:dyDescent="0.2">
      <c r="A125" s="165" t="str">
        <f>'Power Purchased Model'!P21</f>
        <v>Days in Month</v>
      </c>
      <c r="B125" s="166">
        <f>'Power Purchased Model'!S21</f>
        <v>5.7689358767194365</v>
      </c>
      <c r="M125" s="106"/>
    </row>
    <row r="126" spans="1:25" x14ac:dyDescent="0.2">
      <c r="A126" s="165" t="str">
        <f>'Power Purchased Model'!P22</f>
        <v>GS &gt;50 % of Total Consumption</v>
      </c>
      <c r="B126" s="166">
        <f>'Power Purchased Model'!S22</f>
        <v>20.856572041112152</v>
      </c>
      <c r="M126" s="106"/>
    </row>
    <row r="127" spans="1:25" x14ac:dyDescent="0.2">
      <c r="A127" s="165" t="str">
        <f>'Power Purchased Model'!P23</f>
        <v>Number of Customers</v>
      </c>
      <c r="B127" s="166">
        <f>'Power Purchased Model'!S23</f>
        <v>5.3414725787024517</v>
      </c>
      <c r="M127" s="106"/>
    </row>
    <row r="128" spans="1:25" x14ac:dyDescent="0.2">
      <c r="A128" s="138" t="s">
        <v>143</v>
      </c>
      <c r="B128" s="167">
        <f>'Power Purchased Model'!S18</f>
        <v>-6.5936425462774286</v>
      </c>
      <c r="M128" s="106"/>
    </row>
    <row r="129" spans="1:13" x14ac:dyDescent="0.2">
      <c r="M129" s="106"/>
    </row>
    <row r="130" spans="1:13" x14ac:dyDescent="0.2">
      <c r="M130" s="106"/>
    </row>
    <row r="131" spans="1:13" x14ac:dyDescent="0.2">
      <c r="M131" s="106"/>
    </row>
    <row r="132" spans="1:13" x14ac:dyDescent="0.2">
      <c r="A132" s="372" t="s">
        <v>180</v>
      </c>
      <c r="B132" s="372"/>
      <c r="C132" s="372"/>
      <c r="D132" s="372"/>
      <c r="E132" s="372"/>
      <c r="F132" s="372"/>
      <c r="G132" s="372"/>
      <c r="H132" s="98"/>
      <c r="I132" s="86"/>
      <c r="J132" s="86"/>
      <c r="K132" s="86"/>
      <c r="L132" s="86"/>
    </row>
    <row r="133" spans="1:13" ht="51" x14ac:dyDescent="0.2">
      <c r="A133" s="142" t="s">
        <v>65</v>
      </c>
      <c r="B133" s="152" t="s">
        <v>119</v>
      </c>
      <c r="C133" s="152" t="s">
        <v>120</v>
      </c>
      <c r="D133" s="152" t="s">
        <v>7</v>
      </c>
      <c r="E133" s="152" t="s">
        <v>121</v>
      </c>
      <c r="F133" s="152" t="s">
        <v>122</v>
      </c>
      <c r="G133" s="127" t="s">
        <v>123</v>
      </c>
    </row>
    <row r="134" spans="1:13" x14ac:dyDescent="0.2">
      <c r="A134" s="365" t="s">
        <v>124</v>
      </c>
      <c r="B134" s="366"/>
      <c r="C134" s="366"/>
      <c r="D134" s="366"/>
      <c r="E134" s="366"/>
      <c r="F134" s="366"/>
      <c r="G134" s="367"/>
      <c r="H134" s="90"/>
      <c r="I134" s="86" t="s">
        <v>227</v>
      </c>
      <c r="J134" s="86"/>
      <c r="K134" s="86"/>
      <c r="L134" s="86"/>
    </row>
    <row r="135" spans="1:13" x14ac:dyDescent="0.2">
      <c r="A135" s="136">
        <f t="shared" ref="A135:A145" si="48">A27</f>
        <v>2014</v>
      </c>
      <c r="B135" s="137">
        <f>'Rate Class Energy Model'!B3/1000000</f>
        <v>25.737257069999998</v>
      </c>
      <c r="C135" s="137">
        <f>'Power Purchased Model'!H152/1000000</f>
        <v>25.88550315527581</v>
      </c>
      <c r="D135" s="168">
        <f t="shared" ref="D135:D144" si="49">C135/B135-1</f>
        <v>5.7599799727148238E-3</v>
      </c>
      <c r="E135" s="137" t="e">
        <f>#REF!/1000000</f>
        <v>#REF!</v>
      </c>
      <c r="F135" s="169" t="e">
        <f>E135/C135</f>
        <v>#REF!</v>
      </c>
      <c r="G135" s="137" t="e">
        <f t="shared" ref="G135:G144" si="50">B135*F135</f>
        <v>#REF!</v>
      </c>
      <c r="I135" s="312" t="e">
        <f>F135-#REF!</f>
        <v>#REF!</v>
      </c>
      <c r="J135" s="96"/>
      <c r="K135" s="96"/>
      <c r="L135" s="96"/>
    </row>
    <row r="136" spans="1:13" x14ac:dyDescent="0.2">
      <c r="A136" s="136">
        <f t="shared" si="48"/>
        <v>2015</v>
      </c>
      <c r="B136" s="137">
        <f>'Rate Class Energy Model'!B4/1000000</f>
        <v>34.929593239999996</v>
      </c>
      <c r="C136" s="137">
        <f>'Power Purchased Model'!H153/1000000</f>
        <v>34.895860022439003</v>
      </c>
      <c r="D136" s="168">
        <f t="shared" si="49"/>
        <v>-9.6574893756173896E-4</v>
      </c>
      <c r="E136" s="137" t="e">
        <f>#REF!/1000000</f>
        <v>#REF!</v>
      </c>
      <c r="F136" s="169" t="e">
        <f t="shared" ref="F136:F146" si="51">E136/C136</f>
        <v>#REF!</v>
      </c>
      <c r="G136" s="137" t="e">
        <f t="shared" si="50"/>
        <v>#REF!</v>
      </c>
      <c r="I136" s="312" t="e">
        <f>F136-#REF!</f>
        <v>#REF!</v>
      </c>
      <c r="J136" s="96"/>
      <c r="K136" s="96"/>
      <c r="L136" s="96"/>
    </row>
    <row r="137" spans="1:13" x14ac:dyDescent="0.2">
      <c r="A137" s="136">
        <f t="shared" si="48"/>
        <v>2016</v>
      </c>
      <c r="B137" s="137">
        <f>'Rate Class Energy Model'!B5/1000000</f>
        <v>38.074821230769224</v>
      </c>
      <c r="C137" s="137">
        <f>'Power Purchased Model'!H154/1000000</f>
        <v>36.268063807231549</v>
      </c>
      <c r="D137" s="168">
        <f t="shared" si="49"/>
        <v>-4.7452814356948037E-2</v>
      </c>
      <c r="E137" s="137" t="e">
        <f>#REF!/1000000</f>
        <v>#REF!</v>
      </c>
      <c r="F137" s="169" t="e">
        <f t="shared" si="51"/>
        <v>#REF!</v>
      </c>
      <c r="G137" s="137" t="e">
        <f t="shared" si="50"/>
        <v>#REF!</v>
      </c>
      <c r="I137" s="312" t="e">
        <f>F137-#REF!</f>
        <v>#REF!</v>
      </c>
      <c r="J137" s="96"/>
      <c r="K137" s="96"/>
      <c r="L137" s="96"/>
    </row>
    <row r="138" spans="1:13" x14ac:dyDescent="0.2">
      <c r="A138" s="136">
        <f t="shared" si="48"/>
        <v>2017</v>
      </c>
      <c r="B138" s="137">
        <f>'Rate Class Energy Model'!B6/1000000</f>
        <v>32.032893047619055</v>
      </c>
      <c r="C138" s="137">
        <f>'Power Purchased Model'!H155/1000000</f>
        <v>32.327823883200566</v>
      </c>
      <c r="D138" s="168">
        <f t="shared" si="49"/>
        <v>9.2071245373646082E-3</v>
      </c>
      <c r="E138" s="137" t="e">
        <f>#REF!/1000000</f>
        <v>#REF!</v>
      </c>
      <c r="F138" s="169" t="e">
        <f t="shared" si="51"/>
        <v>#REF!</v>
      </c>
      <c r="G138" s="137" t="e">
        <f t="shared" si="50"/>
        <v>#REF!</v>
      </c>
      <c r="I138" s="312" t="e">
        <f>F138-#REF!</f>
        <v>#REF!</v>
      </c>
      <c r="J138" s="96"/>
      <c r="K138" s="96"/>
      <c r="L138" s="96"/>
    </row>
    <row r="139" spans="1:13" x14ac:dyDescent="0.2">
      <c r="A139" s="136">
        <f t="shared" si="48"/>
        <v>2018</v>
      </c>
      <c r="B139" s="137">
        <f>'Rate Class Energy Model'!B7/1000000</f>
        <v>32.615191333333335</v>
      </c>
      <c r="C139" s="137">
        <f>'Power Purchased Model'!H156/1000000</f>
        <v>33.368600356360652</v>
      </c>
      <c r="D139" s="168">
        <f t="shared" si="49"/>
        <v>2.3099941843889082E-2</v>
      </c>
      <c r="E139" s="137" t="e">
        <f>#REF!/1000000</f>
        <v>#REF!</v>
      </c>
      <c r="F139" s="169" t="e">
        <f t="shared" si="51"/>
        <v>#REF!</v>
      </c>
      <c r="G139" s="137" t="e">
        <f t="shared" si="50"/>
        <v>#REF!</v>
      </c>
      <c r="I139" s="312" t="e">
        <f>F139-#REF!</f>
        <v>#REF!</v>
      </c>
      <c r="J139" s="96"/>
      <c r="K139" s="96"/>
      <c r="L139" s="96"/>
    </row>
    <row r="140" spans="1:13" x14ac:dyDescent="0.2">
      <c r="A140" s="136">
        <f t="shared" si="48"/>
        <v>2019</v>
      </c>
      <c r="B140" s="137">
        <f>'Rate Class Energy Model'!B8/1000000</f>
        <v>31.966204999999999</v>
      </c>
      <c r="C140" s="137">
        <f>'Power Purchased Model'!H157/1000000</f>
        <v>32.482536697219722</v>
      </c>
      <c r="D140" s="168">
        <f t="shared" si="49"/>
        <v>1.615242401216288E-2</v>
      </c>
      <c r="E140" s="137" t="e">
        <f>#REF!/1000000</f>
        <v>#REF!</v>
      </c>
      <c r="F140" s="169" t="e">
        <f t="shared" si="51"/>
        <v>#REF!</v>
      </c>
      <c r="G140" s="137" t="e">
        <f t="shared" si="50"/>
        <v>#REF!</v>
      </c>
      <c r="I140" s="312" t="e">
        <f>F140-#REF!</f>
        <v>#REF!</v>
      </c>
      <c r="J140" s="96"/>
      <c r="K140" s="96"/>
      <c r="L140" s="96"/>
    </row>
    <row r="141" spans="1:13" x14ac:dyDescent="0.2">
      <c r="A141" s="136">
        <f t="shared" si="48"/>
        <v>2020</v>
      </c>
      <c r="B141" s="137">
        <f>'Rate Class Energy Model'!B9/1000000</f>
        <v>32.780485849999998</v>
      </c>
      <c r="C141" s="137">
        <f>'Power Purchased Model'!H158/1000000</f>
        <v>33.781714039513545</v>
      </c>
      <c r="D141" s="168">
        <f t="shared" si="49"/>
        <v>3.0543421293237172E-2</v>
      </c>
      <c r="E141" s="137" t="e">
        <f>#REF!/1000000</f>
        <v>#REF!</v>
      </c>
      <c r="F141" s="169" t="e">
        <f t="shared" si="51"/>
        <v>#REF!</v>
      </c>
      <c r="G141" s="137" t="e">
        <f t="shared" si="50"/>
        <v>#REF!</v>
      </c>
      <c r="I141" s="312" t="e">
        <f>F141-#REF!</f>
        <v>#REF!</v>
      </c>
      <c r="J141" s="96"/>
      <c r="K141" s="96"/>
      <c r="L141" s="96"/>
    </row>
    <row r="142" spans="1:13" x14ac:dyDescent="0.2">
      <c r="A142" s="136">
        <f t="shared" si="48"/>
        <v>2021</v>
      </c>
      <c r="B142" s="137">
        <f>'Rate Class Energy Model'!B10/1000000</f>
        <v>33.741759000000002</v>
      </c>
      <c r="C142" s="137">
        <f>'Power Purchased Model'!H159/1000000</f>
        <v>33.269503836934483</v>
      </c>
      <c r="D142" s="168">
        <f t="shared" si="49"/>
        <v>-1.3996163124320837E-2</v>
      </c>
      <c r="E142" s="137" t="e">
        <f>#REF!/1000000</f>
        <v>#REF!</v>
      </c>
      <c r="F142" s="169" t="e">
        <f t="shared" si="51"/>
        <v>#REF!</v>
      </c>
      <c r="G142" s="137" t="e">
        <f t="shared" si="50"/>
        <v>#REF!</v>
      </c>
      <c r="I142" s="312" t="e">
        <f>F142-#REF!</f>
        <v>#REF!</v>
      </c>
      <c r="J142" s="96"/>
      <c r="K142" s="96"/>
      <c r="L142" s="96"/>
    </row>
    <row r="143" spans="1:13" ht="12.75" customHeight="1" x14ac:dyDescent="0.2">
      <c r="A143" s="136">
        <f t="shared" si="48"/>
        <v>2022</v>
      </c>
      <c r="B143" s="137">
        <f>'Rate Class Energy Model'!B11/1000000</f>
        <v>32.081389000000001</v>
      </c>
      <c r="C143" s="137">
        <f>'Power Purchased Model'!H160/1000000</f>
        <v>31.668233564430892</v>
      </c>
      <c r="D143" s="168">
        <f t="shared" si="49"/>
        <v>-1.2878352479348987E-2</v>
      </c>
      <c r="E143" s="137" t="e">
        <f>#REF!/1000000</f>
        <v>#REF!</v>
      </c>
      <c r="F143" s="169" t="e">
        <f t="shared" si="51"/>
        <v>#REF!</v>
      </c>
      <c r="G143" s="137" t="e">
        <f t="shared" si="50"/>
        <v>#REF!</v>
      </c>
      <c r="I143" s="312" t="e">
        <f>F143-#REF!</f>
        <v>#REF!</v>
      </c>
      <c r="J143" s="96"/>
      <c r="K143" s="96"/>
      <c r="L143" s="96"/>
    </row>
    <row r="144" spans="1:13" x14ac:dyDescent="0.2">
      <c r="A144" s="136">
        <f t="shared" si="48"/>
        <v>2023</v>
      </c>
      <c r="B144" s="137">
        <f>'Rate Class Energy Model'!B12/1000000</f>
        <v>31.929641</v>
      </c>
      <c r="C144" s="137">
        <f>'Power Purchased Model'!H161/1000000</f>
        <v>32.150170482867281</v>
      </c>
      <c r="D144" s="168">
        <f t="shared" si="49"/>
        <v>6.9067323014149196E-3</v>
      </c>
      <c r="E144" s="137" t="e">
        <f>#REF!/1000000</f>
        <v>#REF!</v>
      </c>
      <c r="F144" s="169" t="e">
        <f t="shared" si="51"/>
        <v>#REF!</v>
      </c>
      <c r="G144" s="137" t="e">
        <f t="shared" si="50"/>
        <v>#REF!</v>
      </c>
      <c r="I144" s="312" t="e">
        <f>F144-#REF!</f>
        <v>#REF!</v>
      </c>
      <c r="J144" s="96"/>
      <c r="K144" s="96"/>
      <c r="L144" s="96"/>
      <c r="M144" s="106"/>
    </row>
    <row r="145" spans="1:16" x14ac:dyDescent="0.2">
      <c r="A145" s="136" t="str">
        <f t="shared" si="48"/>
        <v>2024 Bridge</v>
      </c>
      <c r="B145" s="137"/>
      <c r="C145" s="137">
        <f>'Power Purchased Model'!H162/1000000</f>
        <v>30.692874926248489</v>
      </c>
      <c r="D145" s="168"/>
      <c r="E145" s="137" t="e">
        <f>#REF!/1000000</f>
        <v>#REF!</v>
      </c>
      <c r="F145" s="169" t="e">
        <f t="shared" si="51"/>
        <v>#REF!</v>
      </c>
      <c r="G145" s="137"/>
      <c r="I145" s="312"/>
    </row>
    <row r="146" spans="1:16" x14ac:dyDescent="0.2">
      <c r="A146" s="136" t="str">
        <f t="shared" ref="A146" si="52">A38</f>
        <v>2025 Test</v>
      </c>
      <c r="B146" s="137"/>
      <c r="C146" s="137">
        <f>'Power Purchased Model'!H163/1000000</f>
        <v>31.055128783905893</v>
      </c>
      <c r="D146" s="168"/>
      <c r="E146" s="137" t="e">
        <f>#REF!/1000000</f>
        <v>#REF!</v>
      </c>
      <c r="F146" s="169" t="e">
        <f t="shared" si="51"/>
        <v>#REF!</v>
      </c>
      <c r="G146" s="137"/>
    </row>
    <row r="148" spans="1:16" s="109" customFormat="1" ht="15" x14ac:dyDescent="0.2">
      <c r="A148" s="372" t="s">
        <v>181</v>
      </c>
      <c r="B148" s="372"/>
      <c r="C148" s="372"/>
      <c r="D148" s="372"/>
      <c r="E148" s="372"/>
      <c r="F148" s="98"/>
      <c r="G148" s="98"/>
      <c r="H148" s="98"/>
      <c r="I148" s="107"/>
      <c r="J148" s="108"/>
      <c r="K148" s="108"/>
      <c r="M148" s="110"/>
    </row>
    <row r="149" spans="1:16" ht="51" x14ac:dyDescent="0.2">
      <c r="A149" s="126" t="str">
        <f t="shared" ref="A149:F149" si="53">A71</f>
        <v>Year</v>
      </c>
      <c r="B149" s="127" t="str">
        <f t="shared" si="53"/>
        <v>Residential</v>
      </c>
      <c r="C149" s="127" t="str">
        <f t="shared" si="53"/>
        <v>General Service &lt; 50 kW</v>
      </c>
      <c r="D149" s="127" t="str">
        <f t="shared" si="53"/>
        <v>General Service &gt; 50 to 4999 kW</v>
      </c>
      <c r="E149" s="127" t="str">
        <f t="shared" si="53"/>
        <v>Street Lights</v>
      </c>
      <c r="F149" s="127" t="str">
        <f t="shared" si="53"/>
        <v>Total</v>
      </c>
      <c r="G149"/>
      <c r="H149"/>
      <c r="I149"/>
      <c r="J149" s="90"/>
      <c r="K149" s="90"/>
      <c r="L149" s="90"/>
      <c r="M149" s="90"/>
      <c r="N149" s="90"/>
      <c r="O149" s="90"/>
      <c r="P149" s="90"/>
    </row>
    <row r="150" spans="1:16" s="109" customFormat="1" ht="15" x14ac:dyDescent="0.2">
      <c r="A150" s="376" t="s">
        <v>116</v>
      </c>
      <c r="B150" s="376"/>
      <c r="C150" s="376"/>
      <c r="D150" s="376"/>
      <c r="E150" s="376"/>
      <c r="F150" s="376"/>
      <c r="G150"/>
      <c r="H150"/>
      <c r="I150"/>
      <c r="J150" s="90"/>
      <c r="K150" s="90"/>
      <c r="L150" s="90"/>
      <c r="M150" s="90"/>
      <c r="N150" s="90"/>
      <c r="O150" s="90"/>
      <c r="P150" s="90"/>
    </row>
    <row r="151" spans="1:16" s="109" customFormat="1" ht="14.25" x14ac:dyDescent="0.2">
      <c r="A151" s="171">
        <f t="shared" ref="A151:A160" si="54">A135</f>
        <v>2014</v>
      </c>
      <c r="B151" s="172">
        <f>'Rate Class Customer Model'!B11</f>
        <v>1408.75</v>
      </c>
      <c r="C151" s="172">
        <f>'Rate Class Customer Model'!C11</f>
        <v>234.16666666666666</v>
      </c>
      <c r="D151" s="172">
        <f>'Rate Class Customer Model'!D11</f>
        <v>18.75</v>
      </c>
      <c r="E151" s="172">
        <f>'Rate Class Customer Model'!E11</f>
        <v>630</v>
      </c>
      <c r="F151" s="172">
        <f>SUM(B151:E151)</f>
        <v>2291.666666666667</v>
      </c>
      <c r="G151"/>
      <c r="H151"/>
      <c r="I151"/>
      <c r="J151" s="90"/>
      <c r="K151" s="90"/>
      <c r="L151" s="90"/>
      <c r="M151" s="90"/>
      <c r="N151" s="90"/>
      <c r="O151" s="90"/>
      <c r="P151" s="90"/>
    </row>
    <row r="152" spans="1:16" s="109" customFormat="1" ht="14.25" x14ac:dyDescent="0.2">
      <c r="A152" s="171">
        <f t="shared" si="54"/>
        <v>2015</v>
      </c>
      <c r="B152" s="172">
        <f>'Rate Class Customer Model'!B12</f>
        <v>1404.25</v>
      </c>
      <c r="C152" s="172">
        <f>'Rate Class Customer Model'!C12</f>
        <v>235.41666666666666</v>
      </c>
      <c r="D152" s="172">
        <f>'Rate Class Customer Model'!D12</f>
        <v>18.75</v>
      </c>
      <c r="E152" s="172">
        <f>'Rate Class Customer Model'!E12</f>
        <v>627.08333333333337</v>
      </c>
      <c r="F152" s="172">
        <f t="shared" ref="F152:F160" si="55">SUM(B152:E152)</f>
        <v>2285.5</v>
      </c>
      <c r="G152"/>
      <c r="H152"/>
      <c r="I152"/>
      <c r="J152" s="90"/>
      <c r="K152" s="90"/>
      <c r="L152" s="90"/>
      <c r="M152" s="90"/>
      <c r="N152" s="90"/>
      <c r="O152" s="90"/>
      <c r="P152" s="90"/>
    </row>
    <row r="153" spans="1:16" s="109" customFormat="1" ht="14.25" x14ac:dyDescent="0.2">
      <c r="A153" s="171">
        <f t="shared" si="54"/>
        <v>2016</v>
      </c>
      <c r="B153" s="172">
        <f>'Rate Class Customer Model'!B13</f>
        <v>1396.0833333333333</v>
      </c>
      <c r="C153" s="172">
        <f>'Rate Class Customer Model'!C13</f>
        <v>231.41666666666666</v>
      </c>
      <c r="D153" s="172">
        <f>'Rate Class Customer Model'!D13</f>
        <v>17.416666666666668</v>
      </c>
      <c r="E153" s="172">
        <f>'Rate Class Customer Model'!E13</f>
        <v>625</v>
      </c>
      <c r="F153" s="172">
        <f t="shared" si="55"/>
        <v>2269.916666666667</v>
      </c>
      <c r="G153"/>
      <c r="H153"/>
      <c r="I153"/>
      <c r="J153" s="90"/>
      <c r="K153" s="90"/>
      <c r="L153" s="90"/>
      <c r="M153" s="90"/>
      <c r="N153" s="90"/>
      <c r="O153" s="111"/>
    </row>
    <row r="154" spans="1:16" s="109" customFormat="1" ht="14.25" x14ac:dyDescent="0.2">
      <c r="A154" s="171">
        <f t="shared" si="54"/>
        <v>2017</v>
      </c>
      <c r="B154" s="172">
        <f>'Rate Class Customer Model'!B14</f>
        <v>1389.75</v>
      </c>
      <c r="C154" s="172">
        <f>'Rate Class Customer Model'!C14</f>
        <v>232.5</v>
      </c>
      <c r="D154" s="172">
        <f>'Rate Class Customer Model'!D14</f>
        <v>17</v>
      </c>
      <c r="E154" s="172">
        <f>'Rate Class Customer Model'!E14</f>
        <v>626</v>
      </c>
      <c r="F154" s="172">
        <f t="shared" si="55"/>
        <v>2265.25</v>
      </c>
      <c r="G154"/>
      <c r="H154"/>
      <c r="I154"/>
      <c r="J154" s="90"/>
      <c r="K154" s="90"/>
      <c r="L154" s="90"/>
      <c r="M154" s="90"/>
      <c r="N154" s="90"/>
      <c r="O154" s="111"/>
    </row>
    <row r="155" spans="1:16" s="109" customFormat="1" ht="14.25" x14ac:dyDescent="0.2">
      <c r="A155" s="171">
        <f t="shared" si="54"/>
        <v>2018</v>
      </c>
      <c r="B155" s="172">
        <f>'Rate Class Customer Model'!B15</f>
        <v>1384.75</v>
      </c>
      <c r="C155" s="172">
        <f>'Rate Class Customer Model'!C15</f>
        <v>233.16666666666666</v>
      </c>
      <c r="D155" s="172">
        <f>'Rate Class Customer Model'!D15</f>
        <v>16.666666666666668</v>
      </c>
      <c r="E155" s="172">
        <f>'Rate Class Customer Model'!E15</f>
        <v>626</v>
      </c>
      <c r="F155" s="172">
        <f t="shared" si="55"/>
        <v>2260.5833333333335</v>
      </c>
      <c r="G155"/>
      <c r="H155"/>
      <c r="I155"/>
      <c r="J155" s="90"/>
      <c r="K155" s="90"/>
      <c r="L155" s="90"/>
      <c r="M155" s="90"/>
      <c r="N155" s="90"/>
      <c r="O155" s="111"/>
    </row>
    <row r="156" spans="1:16" s="109" customFormat="1" ht="14.25" x14ac:dyDescent="0.2">
      <c r="A156" s="171">
        <f t="shared" si="54"/>
        <v>2019</v>
      </c>
      <c r="B156" s="172">
        <f>'Rate Class Customer Model'!B16</f>
        <v>1382.1666666666667</v>
      </c>
      <c r="C156" s="172">
        <f>'Rate Class Customer Model'!C16</f>
        <v>233</v>
      </c>
      <c r="D156" s="172">
        <f>'Rate Class Customer Model'!D16</f>
        <v>16</v>
      </c>
      <c r="E156" s="172">
        <f>'Rate Class Customer Model'!E16</f>
        <v>626</v>
      </c>
      <c r="F156" s="172">
        <f t="shared" si="55"/>
        <v>2257.166666666667</v>
      </c>
      <c r="G156"/>
      <c r="H156"/>
      <c r="I156"/>
      <c r="J156" s="90"/>
      <c r="K156" s="90"/>
      <c r="L156" s="90"/>
      <c r="M156" s="90"/>
      <c r="N156" s="90"/>
      <c r="O156" s="111"/>
    </row>
    <row r="157" spans="1:16" s="109" customFormat="1" ht="14.25" x14ac:dyDescent="0.2">
      <c r="A157" s="171">
        <f t="shared" si="54"/>
        <v>2020</v>
      </c>
      <c r="B157" s="172">
        <f>'Rate Class Customer Model'!B17</f>
        <v>1382.1666666666667</v>
      </c>
      <c r="C157" s="172">
        <f>'Rate Class Customer Model'!C17</f>
        <v>231.41666666666666</v>
      </c>
      <c r="D157" s="172">
        <f>'Rate Class Customer Model'!D17</f>
        <v>16</v>
      </c>
      <c r="E157" s="172">
        <f>'Rate Class Customer Model'!E17</f>
        <v>624</v>
      </c>
      <c r="F157" s="172">
        <f t="shared" si="55"/>
        <v>2253.5833333333335</v>
      </c>
      <c r="G157"/>
      <c r="H157"/>
      <c r="I157"/>
      <c r="J157" s="90"/>
      <c r="K157" s="90"/>
      <c r="L157" s="90"/>
      <c r="M157" s="90"/>
      <c r="N157" s="90"/>
      <c r="O157" s="111"/>
    </row>
    <row r="158" spans="1:16" s="109" customFormat="1" ht="14.25" x14ac:dyDescent="0.2">
      <c r="A158" s="171">
        <f t="shared" si="54"/>
        <v>2021</v>
      </c>
      <c r="B158" s="172">
        <f>'Rate Class Customer Model'!B18</f>
        <v>1375.3333333333333</v>
      </c>
      <c r="C158" s="172">
        <f>'Rate Class Customer Model'!C18</f>
        <v>232.83333333333334</v>
      </c>
      <c r="D158" s="172">
        <f>'Rate Class Customer Model'!D18</f>
        <v>15.833333333333334</v>
      </c>
      <c r="E158" s="172">
        <f>'Rate Class Customer Model'!E18</f>
        <v>624</v>
      </c>
      <c r="F158" s="172">
        <f t="shared" si="55"/>
        <v>2248</v>
      </c>
      <c r="G158"/>
      <c r="H158"/>
      <c r="I158"/>
      <c r="J158" s="90"/>
      <c r="K158" s="90"/>
      <c r="L158" s="90"/>
      <c r="M158" s="90"/>
      <c r="N158" s="90"/>
      <c r="O158" s="111"/>
    </row>
    <row r="159" spans="1:16" s="109" customFormat="1" ht="14.25" x14ac:dyDescent="0.2">
      <c r="A159" s="171">
        <f t="shared" si="54"/>
        <v>2022</v>
      </c>
      <c r="B159" s="172">
        <f>'Rate Class Customer Model'!B19</f>
        <v>1374.25</v>
      </c>
      <c r="C159" s="172">
        <f>'Rate Class Customer Model'!C19</f>
        <v>232.16666666666666</v>
      </c>
      <c r="D159" s="172">
        <f>'Rate Class Customer Model'!D19</f>
        <v>16.333333333333332</v>
      </c>
      <c r="E159" s="172">
        <f>'Rate Class Customer Model'!E19</f>
        <v>622</v>
      </c>
      <c r="F159" s="172">
        <f t="shared" si="55"/>
        <v>2244.75</v>
      </c>
      <c r="G159"/>
      <c r="H159"/>
      <c r="I159"/>
      <c r="J159" s="90"/>
      <c r="K159" s="90"/>
      <c r="L159" s="90"/>
      <c r="M159" s="90"/>
      <c r="N159" s="90"/>
      <c r="O159" s="111"/>
    </row>
    <row r="160" spans="1:16" s="109" customFormat="1" ht="14.25" x14ac:dyDescent="0.2">
      <c r="A160" s="171">
        <f t="shared" si="54"/>
        <v>2023</v>
      </c>
      <c r="B160" s="172">
        <f>'Rate Class Customer Model'!B20</f>
        <v>1373.25</v>
      </c>
      <c r="C160" s="172">
        <f>'Rate Class Customer Model'!C20</f>
        <v>232.66666666666666</v>
      </c>
      <c r="D160" s="172">
        <f>'Rate Class Customer Model'!D20</f>
        <v>16</v>
      </c>
      <c r="E160" s="172">
        <f>'Rate Class Customer Model'!E20</f>
        <v>621.33333333333337</v>
      </c>
      <c r="F160" s="172">
        <f t="shared" si="55"/>
        <v>2243.25</v>
      </c>
      <c r="G160"/>
      <c r="H160"/>
      <c r="I160"/>
      <c r="J160" s="90"/>
      <c r="K160" s="90"/>
      <c r="L160" s="90"/>
      <c r="M160" s="90"/>
      <c r="N160" s="90"/>
      <c r="O160" s="111"/>
    </row>
    <row r="161" spans="1:17" s="114" customFormat="1" ht="15" x14ac:dyDescent="0.25">
      <c r="A161" s="112"/>
      <c r="B161" s="113"/>
      <c r="C161" s="113"/>
      <c r="D161" s="113"/>
      <c r="E161" s="113"/>
      <c r="F161" s="113"/>
      <c r="G161" s="113"/>
      <c r="H161" s="113"/>
      <c r="I161" s="113"/>
      <c r="J161" s="113"/>
      <c r="K161" s="113"/>
    </row>
    <row r="162" spans="1:17" s="114" customFormat="1" ht="15" x14ac:dyDescent="0.25"/>
    <row r="163" spans="1:17" s="115" customFormat="1" x14ac:dyDescent="0.2">
      <c r="A163" s="356" t="s">
        <v>182</v>
      </c>
      <c r="B163" s="357"/>
      <c r="C163" s="357"/>
      <c r="D163" s="357"/>
      <c r="E163" s="357"/>
      <c r="F163"/>
    </row>
    <row r="164" spans="1:17" ht="51" x14ac:dyDescent="0.2">
      <c r="A164" s="126" t="s">
        <v>65</v>
      </c>
      <c r="B164" s="127" t="str">
        <f t="shared" ref="B164:C164" si="56">B149</f>
        <v>Residential</v>
      </c>
      <c r="C164" s="127" t="str">
        <f t="shared" si="56"/>
        <v>General Service &lt; 50 kW</v>
      </c>
      <c r="D164" s="127" t="str">
        <f>D149</f>
        <v>General Service &gt; 50 to 4999 kW</v>
      </c>
      <c r="E164" s="127" t="str">
        <f>E149</f>
        <v>Street Lights</v>
      </c>
      <c r="F164"/>
      <c r="G164"/>
      <c r="H164"/>
      <c r="I164" s="90"/>
      <c r="J164" s="90"/>
      <c r="K164" s="90"/>
      <c r="L164" s="90"/>
      <c r="M164" s="90"/>
      <c r="N164" s="90"/>
      <c r="O164" s="90"/>
    </row>
    <row r="165" spans="1:17" s="115" customFormat="1" x14ac:dyDescent="0.2">
      <c r="A165" s="370" t="s">
        <v>125</v>
      </c>
      <c r="B165" s="371"/>
      <c r="C165" s="371"/>
      <c r="D165" s="371"/>
      <c r="E165" s="371"/>
      <c r="F165"/>
      <c r="G165"/>
      <c r="H165"/>
      <c r="I165" s="90"/>
      <c r="J165" s="90"/>
      <c r="K165" s="90"/>
      <c r="L165" s="90"/>
      <c r="M165" s="90"/>
      <c r="N165" s="90"/>
      <c r="O165" s="90"/>
      <c r="P165" s="90"/>
      <c r="Q165" s="90"/>
    </row>
    <row r="166" spans="1:17" s="115" customFormat="1" x14ac:dyDescent="0.2">
      <c r="A166" s="173">
        <f t="shared" ref="A166:A175" si="57">A151</f>
        <v>2014</v>
      </c>
      <c r="B166" s="174"/>
      <c r="C166" s="174"/>
      <c r="D166" s="174"/>
      <c r="E166" s="174"/>
      <c r="F166"/>
      <c r="G166"/>
      <c r="H166"/>
      <c r="I166" s="90"/>
      <c r="J166" s="90"/>
      <c r="K166" s="90"/>
      <c r="L166" s="90"/>
    </row>
    <row r="167" spans="1:17" s="115" customFormat="1" x14ac:dyDescent="0.2">
      <c r="A167" s="173">
        <f t="shared" si="57"/>
        <v>2015</v>
      </c>
      <c r="B167" s="175">
        <f t="shared" ref="B167:C175" si="58">B152/B151-1</f>
        <v>-3.1943212067435667E-3</v>
      </c>
      <c r="C167" s="175">
        <f t="shared" si="58"/>
        <v>5.3380782918148739E-3</v>
      </c>
      <c r="D167" s="175">
        <f t="shared" ref="D167:E175" si="59">D152/D151-1</f>
        <v>0</v>
      </c>
      <c r="E167" s="175">
        <f t="shared" si="59"/>
        <v>-4.6296296296295392E-3</v>
      </c>
      <c r="F167"/>
      <c r="G167"/>
      <c r="H167"/>
      <c r="I167" s="90"/>
      <c r="J167" s="90"/>
      <c r="K167" s="90"/>
      <c r="L167" s="90"/>
      <c r="M167" s="90"/>
      <c r="N167" s="90"/>
      <c r="O167" s="90"/>
    </row>
    <row r="168" spans="1:17" s="115" customFormat="1" x14ac:dyDescent="0.2">
      <c r="A168" s="173">
        <f t="shared" si="57"/>
        <v>2016</v>
      </c>
      <c r="B168" s="175">
        <f t="shared" si="58"/>
        <v>-5.8156785947421907E-3</v>
      </c>
      <c r="C168" s="175">
        <f t="shared" si="58"/>
        <v>-1.6991150442477898E-2</v>
      </c>
      <c r="D168" s="175">
        <f t="shared" si="59"/>
        <v>-7.1111111111111014E-2</v>
      </c>
      <c r="E168" s="175">
        <f t="shared" si="59"/>
        <v>-3.3222591362126463E-3</v>
      </c>
      <c r="F168"/>
      <c r="G168"/>
      <c r="H168"/>
      <c r="I168" s="90"/>
      <c r="J168" s="90"/>
      <c r="K168" s="90"/>
      <c r="L168" s="90"/>
      <c r="M168" s="90"/>
      <c r="N168" s="90"/>
      <c r="O168" s="90"/>
    </row>
    <row r="169" spans="1:17" s="115" customFormat="1" x14ac:dyDescent="0.2">
      <c r="A169" s="173">
        <f t="shared" si="57"/>
        <v>2017</v>
      </c>
      <c r="B169" s="175">
        <f t="shared" si="58"/>
        <v>-4.5365009252074096E-3</v>
      </c>
      <c r="C169" s="175">
        <f t="shared" si="58"/>
        <v>4.6813107670147236E-3</v>
      </c>
      <c r="D169" s="175">
        <f t="shared" si="59"/>
        <v>-2.3923444976076569E-2</v>
      </c>
      <c r="E169" s="175">
        <f t="shared" si="59"/>
        <v>1.6000000000000458E-3</v>
      </c>
      <c r="F169"/>
      <c r="G169"/>
      <c r="H169"/>
      <c r="I169" s="90"/>
      <c r="J169" s="90"/>
      <c r="K169" s="90"/>
      <c r="L169" s="90"/>
      <c r="M169" s="90"/>
      <c r="N169" s="90"/>
      <c r="O169" s="90"/>
    </row>
    <row r="170" spans="1:17" s="115" customFormat="1" x14ac:dyDescent="0.2">
      <c r="A170" s="173">
        <f t="shared" si="57"/>
        <v>2018</v>
      </c>
      <c r="B170" s="175">
        <f t="shared" si="58"/>
        <v>-3.5977693829825075E-3</v>
      </c>
      <c r="C170" s="175">
        <f t="shared" si="58"/>
        <v>2.8673835125447855E-3</v>
      </c>
      <c r="D170" s="175">
        <f t="shared" si="59"/>
        <v>-1.9607843137254832E-2</v>
      </c>
      <c r="E170" s="175">
        <f t="shared" si="59"/>
        <v>0</v>
      </c>
      <c r="F170"/>
      <c r="G170"/>
      <c r="H170"/>
      <c r="I170" s="90"/>
      <c r="J170" s="90"/>
      <c r="K170" s="90"/>
      <c r="L170" s="90"/>
      <c r="M170" s="90"/>
      <c r="N170" s="90"/>
      <c r="O170" s="90"/>
    </row>
    <row r="171" spans="1:17" s="115" customFormat="1" x14ac:dyDescent="0.2">
      <c r="A171" s="173">
        <f t="shared" si="57"/>
        <v>2019</v>
      </c>
      <c r="B171" s="175">
        <f t="shared" si="58"/>
        <v>-1.8655593669133497E-3</v>
      </c>
      <c r="C171" s="175">
        <f t="shared" si="58"/>
        <v>-7.1479628305926024E-4</v>
      </c>
      <c r="D171" s="175">
        <f t="shared" si="59"/>
        <v>-4.0000000000000036E-2</v>
      </c>
      <c r="E171" s="175">
        <f t="shared" si="59"/>
        <v>0</v>
      </c>
      <c r="F171"/>
      <c r="G171"/>
      <c r="H171"/>
      <c r="I171" s="90"/>
      <c r="J171" s="90"/>
      <c r="K171" s="90"/>
      <c r="L171" s="90"/>
      <c r="M171" s="90"/>
      <c r="N171" s="90"/>
      <c r="O171" s="90"/>
    </row>
    <row r="172" spans="1:17" s="115" customFormat="1" x14ac:dyDescent="0.2">
      <c r="A172" s="173">
        <f t="shared" si="57"/>
        <v>2020</v>
      </c>
      <c r="B172" s="175">
        <f t="shared" si="58"/>
        <v>0</v>
      </c>
      <c r="C172" s="175">
        <f t="shared" si="58"/>
        <v>-6.7954220314735414E-3</v>
      </c>
      <c r="D172" s="175">
        <f t="shared" si="59"/>
        <v>0</v>
      </c>
      <c r="E172" s="175">
        <f t="shared" si="59"/>
        <v>-3.1948881789137795E-3</v>
      </c>
      <c r="F172"/>
      <c r="G172"/>
      <c r="H172"/>
      <c r="I172" s="90"/>
      <c r="J172" s="90"/>
      <c r="K172" s="90"/>
      <c r="L172" s="90"/>
      <c r="M172" s="90"/>
      <c r="N172" s="90"/>
      <c r="O172" s="90"/>
    </row>
    <row r="173" spans="1:17" s="115" customFormat="1" x14ac:dyDescent="0.2">
      <c r="A173" s="173">
        <f t="shared" si="57"/>
        <v>2021</v>
      </c>
      <c r="B173" s="175">
        <f t="shared" si="58"/>
        <v>-4.9439286144942196E-3</v>
      </c>
      <c r="C173" s="175">
        <f t="shared" si="58"/>
        <v>6.1217140799425529E-3</v>
      </c>
      <c r="D173" s="175">
        <f t="shared" si="59"/>
        <v>-1.041666666666663E-2</v>
      </c>
      <c r="E173" s="175">
        <f t="shared" si="59"/>
        <v>0</v>
      </c>
      <c r="F173"/>
      <c r="G173"/>
      <c r="H173"/>
      <c r="I173" s="90"/>
      <c r="J173" s="90"/>
      <c r="K173" s="90"/>
      <c r="L173" s="90"/>
      <c r="M173" s="90"/>
      <c r="N173" s="90"/>
      <c r="O173" s="90"/>
    </row>
    <row r="174" spans="1:17" s="115" customFormat="1" x14ac:dyDescent="0.2">
      <c r="A174" s="173">
        <f t="shared" si="57"/>
        <v>2022</v>
      </c>
      <c r="B174" s="175">
        <f t="shared" si="58"/>
        <v>-7.876878332524484E-4</v>
      </c>
      <c r="C174" s="175">
        <f t="shared" si="58"/>
        <v>-2.8632784538297207E-3</v>
      </c>
      <c r="D174" s="175">
        <f t="shared" si="59"/>
        <v>3.1578947368420929E-2</v>
      </c>
      <c r="E174" s="175">
        <f t="shared" si="59"/>
        <v>-3.2051282051281937E-3</v>
      </c>
      <c r="F174"/>
      <c r="G174"/>
      <c r="H174"/>
      <c r="I174" s="90"/>
      <c r="J174" s="90"/>
      <c r="K174" s="90"/>
      <c r="L174" s="90"/>
      <c r="M174" s="90"/>
      <c r="N174" s="90"/>
      <c r="O174" s="90"/>
    </row>
    <row r="175" spans="1:17" s="115" customFormat="1" x14ac:dyDescent="0.2">
      <c r="A175" s="173">
        <f t="shared" si="57"/>
        <v>2023</v>
      </c>
      <c r="B175" s="175">
        <f t="shared" si="58"/>
        <v>-7.2766963798431838E-4</v>
      </c>
      <c r="C175" s="175">
        <f t="shared" si="58"/>
        <v>2.1536252692031521E-3</v>
      </c>
      <c r="D175" s="175">
        <f t="shared" si="59"/>
        <v>-2.0408163265306034E-2</v>
      </c>
      <c r="E175" s="175">
        <f t="shared" si="59"/>
        <v>-1.071811361200381E-3</v>
      </c>
      <c r="F175"/>
      <c r="G175"/>
      <c r="H175"/>
      <c r="I175" s="90"/>
      <c r="J175" s="90"/>
      <c r="K175" s="90"/>
      <c r="L175" s="90"/>
      <c r="M175" s="90"/>
      <c r="N175" s="90"/>
      <c r="O175" s="90"/>
    </row>
    <row r="176" spans="1:17" s="115" customFormat="1" x14ac:dyDescent="0.2">
      <c r="A176" s="176" t="s">
        <v>126</v>
      </c>
      <c r="B176" s="177">
        <f>'Rate Class Customer Model'!B39-1</f>
        <v>-2.6822480818685657E-3</v>
      </c>
      <c r="C176" s="177">
        <f>'Rate Class Customer Model'!C39-1</f>
        <v>-1.0681289168767982E-4</v>
      </c>
      <c r="D176" s="177">
        <f>'Rate Class Customer Model'!D39-1</f>
        <v>-1.9915478354541771E-2</v>
      </c>
      <c r="E176" s="177">
        <f>'Rate Class Customer Model'!E41-1</f>
        <v>-1.2771564053302153E-3</v>
      </c>
      <c r="F176"/>
      <c r="G176"/>
      <c r="H176"/>
      <c r="I176" s="90"/>
      <c r="J176" s="90"/>
      <c r="K176" s="90"/>
      <c r="L176" s="90"/>
    </row>
    <row r="177" spans="1:16377" s="114" customFormat="1" ht="15" x14ac:dyDescent="0.25"/>
    <row r="178" spans="1:16377" s="114" customFormat="1" ht="15" x14ac:dyDescent="0.25">
      <c r="A178" s="356" t="s">
        <v>183</v>
      </c>
      <c r="B178" s="357"/>
      <c r="C178" s="357"/>
      <c r="D178" s="357"/>
      <c r="E178" s="357"/>
      <c r="F178"/>
      <c r="G178"/>
      <c r="H178"/>
      <c r="I178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357"/>
      <c r="AB178" s="357"/>
      <c r="AC178" s="357"/>
      <c r="AD178" s="356"/>
      <c r="AE178" s="357"/>
      <c r="AF178" s="357"/>
      <c r="AG178" s="357"/>
      <c r="AH178" s="357"/>
      <c r="AI178" s="357"/>
      <c r="AJ178" s="356"/>
      <c r="AK178" s="357"/>
      <c r="AL178" s="357"/>
      <c r="AM178" s="357"/>
      <c r="AN178" s="357"/>
      <c r="AO178" s="357"/>
      <c r="AP178" s="356"/>
      <c r="AQ178" s="357"/>
      <c r="AR178" s="357"/>
      <c r="AS178" s="357"/>
      <c r="AT178" s="357"/>
      <c r="AU178" s="357"/>
      <c r="AV178" s="356"/>
      <c r="AW178" s="357"/>
      <c r="AX178" s="357"/>
      <c r="AY178" s="357"/>
      <c r="AZ178" s="357"/>
      <c r="BA178" s="357"/>
      <c r="BB178" s="356"/>
      <c r="BC178" s="357"/>
      <c r="BD178" s="357"/>
      <c r="BE178" s="357"/>
      <c r="BF178" s="357"/>
      <c r="BG178" s="357"/>
      <c r="BH178" s="356"/>
      <c r="BI178" s="357"/>
      <c r="BJ178" s="357"/>
      <c r="BK178" s="357"/>
      <c r="BL178" s="357"/>
      <c r="BM178" s="357"/>
      <c r="BN178" s="356"/>
      <c r="BO178" s="357"/>
      <c r="BP178" s="357"/>
      <c r="BQ178" s="357"/>
      <c r="BR178" s="357"/>
      <c r="BS178" s="357"/>
      <c r="BT178" s="356"/>
      <c r="BU178" s="357"/>
      <c r="BV178" s="357"/>
      <c r="BW178" s="357"/>
      <c r="BX178" s="357"/>
      <c r="BY178" s="357"/>
      <c r="BZ178" s="356"/>
      <c r="CA178" s="357"/>
      <c r="CB178" s="357"/>
      <c r="CC178" s="357"/>
      <c r="CD178" s="357"/>
      <c r="CE178" s="357"/>
      <c r="CF178" s="356"/>
      <c r="CG178" s="357"/>
      <c r="CH178" s="357"/>
      <c r="CI178" s="357"/>
      <c r="CJ178" s="357"/>
      <c r="CK178" s="357"/>
      <c r="CL178" s="356"/>
      <c r="CM178" s="357"/>
      <c r="CN178" s="357"/>
      <c r="CO178" s="357"/>
      <c r="CP178" s="357"/>
      <c r="CQ178" s="357"/>
      <c r="CR178" s="356"/>
      <c r="CS178" s="357"/>
      <c r="CT178" s="357"/>
      <c r="CU178" s="357"/>
      <c r="CV178" s="357"/>
      <c r="CW178" s="357"/>
      <c r="CX178" s="356"/>
      <c r="CY178" s="357"/>
      <c r="CZ178" s="357"/>
      <c r="DA178" s="357"/>
      <c r="DB178" s="357"/>
      <c r="DC178" s="357"/>
      <c r="DD178" s="356"/>
      <c r="DE178" s="357"/>
      <c r="DF178" s="357"/>
      <c r="DG178" s="357"/>
      <c r="DH178" s="357"/>
      <c r="DI178" s="357"/>
      <c r="DJ178" s="356"/>
      <c r="DK178" s="357"/>
      <c r="DL178" s="357"/>
      <c r="DM178" s="357"/>
      <c r="DN178" s="357"/>
      <c r="DO178" s="357"/>
      <c r="DP178" s="356"/>
      <c r="DQ178" s="357"/>
      <c r="DR178" s="357"/>
      <c r="DS178" s="357"/>
      <c r="DT178" s="357"/>
      <c r="DU178" s="357"/>
      <c r="DV178" s="356"/>
      <c r="DW178" s="357"/>
      <c r="DX178" s="357"/>
      <c r="DY178" s="357"/>
      <c r="DZ178" s="357"/>
      <c r="EA178" s="357"/>
      <c r="EB178" s="356"/>
      <c r="EC178" s="357"/>
      <c r="ED178" s="357"/>
      <c r="EE178" s="357"/>
      <c r="EF178" s="357"/>
      <c r="EG178" s="357"/>
      <c r="EH178" s="356"/>
      <c r="EI178" s="357"/>
      <c r="EJ178" s="357"/>
      <c r="EK178" s="357"/>
      <c r="EL178" s="357"/>
      <c r="EM178" s="357"/>
      <c r="EN178" s="356"/>
      <c r="EO178" s="357"/>
      <c r="EP178" s="357"/>
      <c r="EQ178" s="357"/>
      <c r="ER178" s="357"/>
      <c r="ES178" s="357"/>
      <c r="ET178" s="356"/>
      <c r="EU178" s="357"/>
      <c r="EV178" s="357"/>
      <c r="EW178" s="357"/>
      <c r="EX178" s="357"/>
      <c r="EY178" s="357"/>
      <c r="EZ178" s="356"/>
      <c r="FA178" s="357"/>
      <c r="FB178" s="357"/>
      <c r="FC178" s="357"/>
      <c r="FD178" s="357"/>
      <c r="FE178" s="357"/>
      <c r="FF178" s="356"/>
      <c r="FG178" s="357"/>
      <c r="FH178" s="357"/>
      <c r="FI178" s="357"/>
      <c r="FJ178" s="357"/>
      <c r="FK178" s="357"/>
      <c r="FL178" s="356"/>
      <c r="FM178" s="357"/>
      <c r="FN178" s="357"/>
      <c r="FO178" s="357"/>
      <c r="FP178" s="357"/>
      <c r="FQ178" s="357"/>
      <c r="FR178" s="356"/>
      <c r="FS178" s="357"/>
      <c r="FT178" s="357"/>
      <c r="FU178" s="357"/>
      <c r="FV178" s="357"/>
      <c r="FW178" s="357"/>
      <c r="FX178" s="356"/>
      <c r="FY178" s="357"/>
      <c r="FZ178" s="357"/>
      <c r="GA178" s="357"/>
      <c r="GB178" s="357"/>
      <c r="GC178" s="357"/>
      <c r="GD178" s="356"/>
      <c r="GE178" s="357"/>
      <c r="GF178" s="357"/>
      <c r="GG178" s="357"/>
      <c r="GH178" s="357"/>
      <c r="GI178" s="357"/>
      <c r="GJ178" s="356"/>
      <c r="GK178" s="357"/>
      <c r="GL178" s="357"/>
      <c r="GM178" s="357"/>
      <c r="GN178" s="357"/>
      <c r="GO178" s="357"/>
      <c r="GP178" s="356"/>
      <c r="GQ178" s="357"/>
      <c r="GR178" s="357"/>
      <c r="GS178" s="357"/>
      <c r="GT178" s="357"/>
      <c r="GU178" s="357"/>
      <c r="GV178" s="356"/>
      <c r="GW178" s="357"/>
      <c r="GX178" s="357"/>
      <c r="GY178" s="357"/>
      <c r="GZ178" s="357"/>
      <c r="HA178" s="357"/>
      <c r="HB178" s="356"/>
      <c r="HC178" s="357"/>
      <c r="HD178" s="357"/>
      <c r="HE178" s="357"/>
      <c r="HF178" s="357"/>
      <c r="HG178" s="357"/>
      <c r="HH178" s="356"/>
      <c r="HI178" s="357"/>
      <c r="HJ178" s="357"/>
      <c r="HK178" s="357"/>
      <c r="HL178" s="357"/>
      <c r="HM178" s="357"/>
      <c r="HN178" s="356"/>
      <c r="HO178" s="357"/>
      <c r="HP178" s="357"/>
      <c r="HQ178" s="357"/>
      <c r="HR178" s="357"/>
      <c r="HS178" s="357"/>
      <c r="HT178" s="356"/>
      <c r="HU178" s="357"/>
      <c r="HV178" s="357"/>
      <c r="HW178" s="357"/>
      <c r="HX178" s="357"/>
      <c r="HY178" s="357"/>
      <c r="HZ178" s="356"/>
      <c r="IA178" s="357"/>
      <c r="IB178" s="357"/>
      <c r="IC178" s="357"/>
      <c r="ID178" s="357"/>
      <c r="IE178" s="357"/>
      <c r="IF178" s="356"/>
      <c r="IG178" s="357"/>
      <c r="IH178" s="357"/>
      <c r="II178" s="357"/>
      <c r="IJ178" s="357"/>
      <c r="IK178" s="357"/>
      <c r="IL178" s="356"/>
      <c r="IM178" s="357"/>
      <c r="IN178" s="357"/>
      <c r="IO178" s="357"/>
      <c r="IP178" s="357"/>
      <c r="IQ178" s="357"/>
      <c r="IR178" s="356"/>
      <c r="IS178" s="357"/>
      <c r="IT178" s="357"/>
      <c r="IU178" s="357"/>
      <c r="IV178" s="357"/>
      <c r="IW178" s="357"/>
      <c r="IX178" s="356"/>
      <c r="IY178" s="357"/>
      <c r="IZ178" s="357"/>
      <c r="JA178" s="357"/>
      <c r="JB178" s="357"/>
      <c r="JC178" s="357"/>
      <c r="JD178" s="356"/>
      <c r="JE178" s="357"/>
      <c r="JF178" s="357"/>
      <c r="JG178" s="357"/>
      <c r="JH178" s="357"/>
      <c r="JI178" s="357"/>
      <c r="JJ178" s="356"/>
      <c r="JK178" s="357"/>
      <c r="JL178" s="357"/>
      <c r="JM178" s="357"/>
      <c r="JN178" s="357"/>
      <c r="JO178" s="357"/>
      <c r="JP178" s="356"/>
      <c r="JQ178" s="357"/>
      <c r="JR178" s="357"/>
      <c r="JS178" s="357"/>
      <c r="JT178" s="357"/>
      <c r="JU178" s="357"/>
      <c r="JV178" s="356"/>
      <c r="JW178" s="357"/>
      <c r="JX178" s="357"/>
      <c r="JY178" s="357"/>
      <c r="JZ178" s="357"/>
      <c r="KA178" s="357"/>
      <c r="KB178" s="356"/>
      <c r="KC178" s="357"/>
      <c r="KD178" s="357"/>
      <c r="KE178" s="357"/>
      <c r="KF178" s="357"/>
      <c r="KG178" s="357"/>
      <c r="KH178" s="356"/>
      <c r="KI178" s="357"/>
      <c r="KJ178" s="357"/>
      <c r="KK178" s="357"/>
      <c r="KL178" s="357"/>
      <c r="KM178" s="357"/>
      <c r="KN178" s="356"/>
      <c r="KO178" s="357"/>
      <c r="KP178" s="357"/>
      <c r="KQ178" s="357"/>
      <c r="KR178" s="357"/>
      <c r="KS178" s="357"/>
      <c r="KT178" s="356"/>
      <c r="KU178" s="357"/>
      <c r="KV178" s="357"/>
      <c r="KW178" s="357"/>
      <c r="KX178" s="357"/>
      <c r="KY178" s="357"/>
      <c r="KZ178" s="356"/>
      <c r="LA178" s="357"/>
      <c r="LB178" s="357"/>
      <c r="LC178" s="357"/>
      <c r="LD178" s="357"/>
      <c r="LE178" s="357"/>
      <c r="LF178" s="356"/>
      <c r="LG178" s="357"/>
      <c r="LH178" s="357"/>
      <c r="LI178" s="357"/>
      <c r="LJ178" s="357"/>
      <c r="LK178" s="357"/>
      <c r="LL178" s="356"/>
      <c r="LM178" s="357"/>
      <c r="LN178" s="357"/>
      <c r="LO178" s="357"/>
      <c r="LP178" s="357"/>
      <c r="LQ178" s="357"/>
      <c r="LR178" s="356"/>
      <c r="LS178" s="357"/>
      <c r="LT178" s="357"/>
      <c r="LU178" s="357"/>
      <c r="LV178" s="357"/>
      <c r="LW178" s="357"/>
      <c r="LX178" s="356"/>
      <c r="LY178" s="357"/>
      <c r="LZ178" s="357"/>
      <c r="MA178" s="357"/>
      <c r="MB178" s="357"/>
      <c r="MC178" s="357"/>
      <c r="MD178" s="356"/>
      <c r="ME178" s="357"/>
      <c r="MF178" s="357"/>
      <c r="MG178" s="357"/>
      <c r="MH178" s="357"/>
      <c r="MI178" s="357"/>
      <c r="MJ178" s="356"/>
      <c r="MK178" s="357"/>
      <c r="ML178" s="357"/>
      <c r="MM178" s="357"/>
      <c r="MN178" s="357"/>
      <c r="MO178" s="357"/>
      <c r="MP178" s="356"/>
      <c r="MQ178" s="357"/>
      <c r="MR178" s="357"/>
      <c r="MS178" s="357"/>
      <c r="MT178" s="357"/>
      <c r="MU178" s="357"/>
      <c r="MV178" s="356"/>
      <c r="MW178" s="357"/>
      <c r="MX178" s="357"/>
      <c r="MY178" s="357"/>
      <c r="MZ178" s="357"/>
      <c r="NA178" s="357"/>
      <c r="NB178" s="356"/>
      <c r="NC178" s="357"/>
      <c r="ND178" s="357"/>
      <c r="NE178" s="357"/>
      <c r="NF178" s="357"/>
      <c r="NG178" s="357"/>
      <c r="NH178" s="356"/>
      <c r="NI178" s="357"/>
      <c r="NJ178" s="357"/>
      <c r="NK178" s="357"/>
      <c r="NL178" s="357"/>
      <c r="NM178" s="357"/>
      <c r="NN178" s="356"/>
      <c r="NO178" s="357"/>
      <c r="NP178" s="357"/>
      <c r="NQ178" s="357"/>
      <c r="NR178" s="357"/>
      <c r="NS178" s="357"/>
      <c r="NT178" s="356"/>
      <c r="NU178" s="357"/>
      <c r="NV178" s="357"/>
      <c r="NW178" s="357"/>
      <c r="NX178" s="357"/>
      <c r="NY178" s="357"/>
      <c r="NZ178" s="356"/>
      <c r="OA178" s="357"/>
      <c r="OB178" s="357"/>
      <c r="OC178" s="357"/>
      <c r="OD178" s="357"/>
      <c r="OE178" s="357"/>
      <c r="OF178" s="356"/>
      <c r="OG178" s="357"/>
      <c r="OH178" s="357"/>
      <c r="OI178" s="357"/>
      <c r="OJ178" s="357"/>
      <c r="OK178" s="357"/>
      <c r="OL178" s="356"/>
      <c r="OM178" s="357"/>
      <c r="ON178" s="357"/>
      <c r="OO178" s="357"/>
      <c r="OP178" s="357"/>
      <c r="OQ178" s="357"/>
      <c r="OR178" s="356"/>
      <c r="OS178" s="357"/>
      <c r="OT178" s="357"/>
      <c r="OU178" s="357"/>
      <c r="OV178" s="357"/>
      <c r="OW178" s="357"/>
      <c r="OX178" s="356"/>
      <c r="OY178" s="357"/>
      <c r="OZ178" s="357"/>
      <c r="PA178" s="357"/>
      <c r="PB178" s="357"/>
      <c r="PC178" s="357"/>
      <c r="PD178" s="356"/>
      <c r="PE178" s="357"/>
      <c r="PF178" s="357"/>
      <c r="PG178" s="357"/>
      <c r="PH178" s="357"/>
      <c r="PI178" s="357"/>
      <c r="PJ178" s="356"/>
      <c r="PK178" s="357"/>
      <c r="PL178" s="357"/>
      <c r="PM178" s="357"/>
      <c r="PN178" s="357"/>
      <c r="PO178" s="357"/>
      <c r="PP178" s="356"/>
      <c r="PQ178" s="357"/>
      <c r="PR178" s="357"/>
      <c r="PS178" s="357"/>
      <c r="PT178" s="357"/>
      <c r="PU178" s="357"/>
      <c r="PV178" s="356"/>
      <c r="PW178" s="357"/>
      <c r="PX178" s="357"/>
      <c r="PY178" s="357"/>
      <c r="PZ178" s="357"/>
      <c r="QA178" s="357"/>
      <c r="QB178" s="356"/>
      <c r="QC178" s="357"/>
      <c r="QD178" s="357"/>
      <c r="QE178" s="357"/>
      <c r="QF178" s="357"/>
      <c r="QG178" s="357"/>
      <c r="QH178" s="356"/>
      <c r="QI178" s="357"/>
      <c r="QJ178" s="357"/>
      <c r="QK178" s="357"/>
      <c r="QL178" s="357"/>
      <c r="QM178" s="357"/>
      <c r="QN178" s="356"/>
      <c r="QO178" s="357"/>
      <c r="QP178" s="357"/>
      <c r="QQ178" s="357"/>
      <c r="QR178" s="357"/>
      <c r="QS178" s="357"/>
      <c r="QT178" s="356"/>
      <c r="QU178" s="357"/>
      <c r="QV178" s="357"/>
      <c r="QW178" s="357"/>
      <c r="QX178" s="357"/>
      <c r="QY178" s="357"/>
      <c r="QZ178" s="356"/>
      <c r="RA178" s="357"/>
      <c r="RB178" s="357"/>
      <c r="RC178" s="357"/>
      <c r="RD178" s="357"/>
      <c r="RE178" s="357"/>
      <c r="RF178" s="356"/>
      <c r="RG178" s="357"/>
      <c r="RH178" s="357"/>
      <c r="RI178" s="357"/>
      <c r="RJ178" s="357"/>
      <c r="RK178" s="357"/>
      <c r="RL178" s="356"/>
      <c r="RM178" s="357"/>
      <c r="RN178" s="357"/>
      <c r="RO178" s="357"/>
      <c r="RP178" s="357"/>
      <c r="RQ178" s="357"/>
      <c r="RR178" s="356"/>
      <c r="RS178" s="357"/>
      <c r="RT178" s="357"/>
      <c r="RU178" s="357"/>
      <c r="RV178" s="357"/>
      <c r="RW178" s="357"/>
      <c r="RX178" s="356"/>
      <c r="RY178" s="357"/>
      <c r="RZ178" s="357"/>
      <c r="SA178" s="357"/>
      <c r="SB178" s="357"/>
      <c r="SC178" s="357"/>
      <c r="SD178" s="356"/>
      <c r="SE178" s="357"/>
      <c r="SF178" s="357"/>
      <c r="SG178" s="357"/>
      <c r="SH178" s="357"/>
      <c r="SI178" s="357"/>
      <c r="SJ178" s="356"/>
      <c r="SK178" s="357"/>
      <c r="SL178" s="357"/>
      <c r="SM178" s="357"/>
      <c r="SN178" s="357"/>
      <c r="SO178" s="357"/>
      <c r="SP178" s="356"/>
      <c r="SQ178" s="357"/>
      <c r="SR178" s="357"/>
      <c r="SS178" s="357"/>
      <c r="ST178" s="357"/>
      <c r="SU178" s="357"/>
      <c r="SV178" s="356"/>
      <c r="SW178" s="357"/>
      <c r="SX178" s="357"/>
      <c r="SY178" s="357"/>
      <c r="SZ178" s="357"/>
      <c r="TA178" s="357"/>
      <c r="TB178" s="356"/>
      <c r="TC178" s="357"/>
      <c r="TD178" s="357"/>
      <c r="TE178" s="357"/>
      <c r="TF178" s="357"/>
      <c r="TG178" s="357"/>
      <c r="TH178" s="356"/>
      <c r="TI178" s="357"/>
      <c r="TJ178" s="357"/>
      <c r="TK178" s="357"/>
      <c r="TL178" s="357"/>
      <c r="TM178" s="357"/>
      <c r="TN178" s="356"/>
      <c r="TO178" s="357"/>
      <c r="TP178" s="357"/>
      <c r="TQ178" s="357"/>
      <c r="TR178" s="357"/>
      <c r="TS178" s="357"/>
      <c r="TT178" s="356"/>
      <c r="TU178" s="357"/>
      <c r="TV178" s="357"/>
      <c r="TW178" s="357"/>
      <c r="TX178" s="357"/>
      <c r="TY178" s="357"/>
      <c r="TZ178" s="356"/>
      <c r="UA178" s="357"/>
      <c r="UB178" s="357"/>
      <c r="UC178" s="357"/>
      <c r="UD178" s="357"/>
      <c r="UE178" s="357"/>
      <c r="UF178" s="356"/>
      <c r="UG178" s="357"/>
      <c r="UH178" s="357"/>
      <c r="UI178" s="357"/>
      <c r="UJ178" s="357"/>
      <c r="UK178" s="357"/>
      <c r="UL178" s="356"/>
      <c r="UM178" s="357"/>
      <c r="UN178" s="357"/>
      <c r="UO178" s="357"/>
      <c r="UP178" s="357"/>
      <c r="UQ178" s="357"/>
      <c r="UR178" s="356"/>
      <c r="US178" s="357"/>
      <c r="UT178" s="357"/>
      <c r="UU178" s="357"/>
      <c r="UV178" s="357"/>
      <c r="UW178" s="357"/>
      <c r="UX178" s="356"/>
      <c r="UY178" s="357"/>
      <c r="UZ178" s="357"/>
      <c r="VA178" s="357"/>
      <c r="VB178" s="357"/>
      <c r="VC178" s="357"/>
      <c r="VD178" s="356"/>
      <c r="VE178" s="357"/>
      <c r="VF178" s="357"/>
      <c r="VG178" s="357"/>
      <c r="VH178" s="357"/>
      <c r="VI178" s="357"/>
      <c r="VJ178" s="356"/>
      <c r="VK178" s="357"/>
      <c r="VL178" s="357"/>
      <c r="VM178" s="357"/>
      <c r="VN178" s="357"/>
      <c r="VO178" s="357"/>
      <c r="VP178" s="356"/>
      <c r="VQ178" s="357"/>
      <c r="VR178" s="357"/>
      <c r="VS178" s="357"/>
      <c r="VT178" s="357"/>
      <c r="VU178" s="357"/>
      <c r="VV178" s="356"/>
      <c r="VW178" s="357"/>
      <c r="VX178" s="357"/>
      <c r="VY178" s="357"/>
      <c r="VZ178" s="357"/>
      <c r="WA178" s="357"/>
      <c r="WB178" s="356"/>
      <c r="WC178" s="357"/>
      <c r="WD178" s="357"/>
      <c r="WE178" s="357"/>
      <c r="WF178" s="357"/>
      <c r="WG178" s="357"/>
      <c r="WH178" s="356"/>
      <c r="WI178" s="357"/>
      <c r="WJ178" s="357"/>
      <c r="WK178" s="357"/>
      <c r="WL178" s="357"/>
      <c r="WM178" s="357"/>
      <c r="WN178" s="356"/>
      <c r="WO178" s="357"/>
      <c r="WP178" s="357"/>
      <c r="WQ178" s="357"/>
      <c r="WR178" s="357"/>
      <c r="WS178" s="357"/>
      <c r="WT178" s="356"/>
      <c r="WU178" s="357"/>
      <c r="WV178" s="357"/>
      <c r="WW178" s="357"/>
      <c r="WX178" s="357"/>
      <c r="WY178" s="357"/>
      <c r="WZ178" s="356"/>
      <c r="XA178" s="357"/>
      <c r="XB178" s="357"/>
      <c r="XC178" s="357"/>
      <c r="XD178" s="357"/>
      <c r="XE178" s="357"/>
      <c r="XF178" s="356"/>
      <c r="XG178" s="357"/>
      <c r="XH178" s="357"/>
      <c r="XI178" s="357"/>
      <c r="XJ178" s="357"/>
      <c r="XK178" s="357"/>
      <c r="XL178" s="356"/>
      <c r="XM178" s="357"/>
      <c r="XN178" s="357"/>
      <c r="XO178" s="357"/>
      <c r="XP178" s="357"/>
      <c r="XQ178" s="357"/>
      <c r="XR178" s="356"/>
      <c r="XS178" s="357"/>
      <c r="XT178" s="357"/>
      <c r="XU178" s="357"/>
      <c r="XV178" s="357"/>
      <c r="XW178" s="357"/>
      <c r="XX178" s="356"/>
      <c r="XY178" s="357"/>
      <c r="XZ178" s="357"/>
      <c r="YA178" s="357"/>
      <c r="YB178" s="357"/>
      <c r="YC178" s="357"/>
      <c r="YD178" s="356"/>
      <c r="YE178" s="357"/>
      <c r="YF178" s="357"/>
      <c r="YG178" s="357"/>
      <c r="YH178" s="357"/>
      <c r="YI178" s="357"/>
      <c r="YJ178" s="356"/>
      <c r="YK178" s="357"/>
      <c r="YL178" s="357"/>
      <c r="YM178" s="357"/>
      <c r="YN178" s="357"/>
      <c r="YO178" s="357"/>
      <c r="YP178" s="356"/>
      <c r="YQ178" s="357"/>
      <c r="YR178" s="357"/>
      <c r="YS178" s="357"/>
      <c r="YT178" s="357"/>
      <c r="YU178" s="357"/>
      <c r="YV178" s="356"/>
      <c r="YW178" s="357"/>
      <c r="YX178" s="357"/>
      <c r="YY178" s="357"/>
      <c r="YZ178" s="357"/>
      <c r="ZA178" s="357"/>
      <c r="ZB178" s="356"/>
      <c r="ZC178" s="357"/>
      <c r="ZD178" s="357"/>
      <c r="ZE178" s="357"/>
      <c r="ZF178" s="357"/>
      <c r="ZG178" s="357"/>
      <c r="ZH178" s="356"/>
      <c r="ZI178" s="357"/>
      <c r="ZJ178" s="357"/>
      <c r="ZK178" s="357"/>
      <c r="ZL178" s="357"/>
      <c r="ZM178" s="357"/>
      <c r="ZN178" s="356"/>
      <c r="ZO178" s="357"/>
      <c r="ZP178" s="357"/>
      <c r="ZQ178" s="357"/>
      <c r="ZR178" s="357"/>
      <c r="ZS178" s="357"/>
      <c r="ZT178" s="356"/>
      <c r="ZU178" s="357"/>
      <c r="ZV178" s="357"/>
      <c r="ZW178" s="357"/>
      <c r="ZX178" s="357"/>
      <c r="ZY178" s="357"/>
      <c r="ZZ178" s="356"/>
      <c r="AAA178" s="357"/>
      <c r="AAB178" s="357"/>
      <c r="AAC178" s="357"/>
      <c r="AAD178" s="357"/>
      <c r="AAE178" s="357"/>
      <c r="AAF178" s="356"/>
      <c r="AAG178" s="357"/>
      <c r="AAH178" s="357"/>
      <c r="AAI178" s="357"/>
      <c r="AAJ178" s="357"/>
      <c r="AAK178" s="357"/>
      <c r="AAL178" s="356"/>
      <c r="AAM178" s="357"/>
      <c r="AAN178" s="357"/>
      <c r="AAO178" s="357"/>
      <c r="AAP178" s="357"/>
      <c r="AAQ178" s="357"/>
      <c r="AAR178" s="356"/>
      <c r="AAS178" s="357"/>
      <c r="AAT178" s="357"/>
      <c r="AAU178" s="357"/>
      <c r="AAV178" s="357"/>
      <c r="AAW178" s="357"/>
      <c r="AAX178" s="356"/>
      <c r="AAY178" s="357"/>
      <c r="AAZ178" s="357"/>
      <c r="ABA178" s="357"/>
      <c r="ABB178" s="357"/>
      <c r="ABC178" s="357"/>
      <c r="ABD178" s="356"/>
      <c r="ABE178" s="357"/>
      <c r="ABF178" s="357"/>
      <c r="ABG178" s="357"/>
      <c r="ABH178" s="357"/>
      <c r="ABI178" s="357"/>
      <c r="ABJ178" s="356"/>
      <c r="ABK178" s="357"/>
      <c r="ABL178" s="357"/>
      <c r="ABM178" s="357"/>
      <c r="ABN178" s="357"/>
      <c r="ABO178" s="357"/>
      <c r="ABP178" s="356"/>
      <c r="ABQ178" s="357"/>
      <c r="ABR178" s="357"/>
      <c r="ABS178" s="357"/>
      <c r="ABT178" s="357"/>
      <c r="ABU178" s="357"/>
      <c r="ABV178" s="356"/>
      <c r="ABW178" s="357"/>
      <c r="ABX178" s="357"/>
      <c r="ABY178" s="357"/>
      <c r="ABZ178" s="357"/>
      <c r="ACA178" s="357"/>
      <c r="ACB178" s="356"/>
      <c r="ACC178" s="357"/>
      <c r="ACD178" s="357"/>
      <c r="ACE178" s="357"/>
      <c r="ACF178" s="357"/>
      <c r="ACG178" s="357"/>
      <c r="ACH178" s="356"/>
      <c r="ACI178" s="357"/>
      <c r="ACJ178" s="357"/>
      <c r="ACK178" s="357"/>
      <c r="ACL178" s="357"/>
      <c r="ACM178" s="357"/>
      <c r="ACN178" s="356"/>
      <c r="ACO178" s="357"/>
      <c r="ACP178" s="357"/>
      <c r="ACQ178" s="357"/>
      <c r="ACR178" s="357"/>
      <c r="ACS178" s="357"/>
      <c r="ACT178" s="356"/>
      <c r="ACU178" s="357"/>
      <c r="ACV178" s="357"/>
      <c r="ACW178" s="357"/>
      <c r="ACX178" s="357"/>
      <c r="ACY178" s="357"/>
      <c r="ACZ178" s="356"/>
      <c r="ADA178" s="357"/>
      <c r="ADB178" s="357"/>
      <c r="ADC178" s="357"/>
      <c r="ADD178" s="357"/>
      <c r="ADE178" s="357"/>
      <c r="ADF178" s="356"/>
      <c r="ADG178" s="357"/>
      <c r="ADH178" s="357"/>
      <c r="ADI178" s="357"/>
      <c r="ADJ178" s="357"/>
      <c r="ADK178" s="357"/>
      <c r="ADL178" s="356"/>
      <c r="ADM178" s="357"/>
      <c r="ADN178" s="357"/>
      <c r="ADO178" s="357"/>
      <c r="ADP178" s="357"/>
      <c r="ADQ178" s="357"/>
      <c r="ADR178" s="356"/>
      <c r="ADS178" s="357"/>
      <c r="ADT178" s="357"/>
      <c r="ADU178" s="357"/>
      <c r="ADV178" s="357"/>
      <c r="ADW178" s="357"/>
      <c r="ADX178" s="356"/>
      <c r="ADY178" s="357"/>
      <c r="ADZ178" s="357"/>
      <c r="AEA178" s="357"/>
      <c r="AEB178" s="357"/>
      <c r="AEC178" s="357"/>
      <c r="AED178" s="356"/>
      <c r="AEE178" s="357"/>
      <c r="AEF178" s="357"/>
      <c r="AEG178" s="357"/>
      <c r="AEH178" s="357"/>
      <c r="AEI178" s="357"/>
      <c r="AEJ178" s="356"/>
      <c r="AEK178" s="357"/>
      <c r="AEL178" s="357"/>
      <c r="AEM178" s="357"/>
      <c r="AEN178" s="357"/>
      <c r="AEO178" s="357"/>
      <c r="AEP178" s="356"/>
      <c r="AEQ178" s="357"/>
      <c r="AER178" s="357"/>
      <c r="AES178" s="357"/>
      <c r="AET178" s="357"/>
      <c r="AEU178" s="357"/>
      <c r="AEV178" s="356"/>
      <c r="AEW178" s="357"/>
      <c r="AEX178" s="357"/>
      <c r="AEY178" s="357"/>
      <c r="AEZ178" s="357"/>
      <c r="AFA178" s="357"/>
      <c r="AFB178" s="356"/>
      <c r="AFC178" s="357"/>
      <c r="AFD178" s="357"/>
      <c r="AFE178" s="357"/>
      <c r="AFF178" s="357"/>
      <c r="AFG178" s="357"/>
      <c r="AFH178" s="356"/>
      <c r="AFI178" s="357"/>
      <c r="AFJ178" s="357"/>
      <c r="AFK178" s="357"/>
      <c r="AFL178" s="357"/>
      <c r="AFM178" s="357"/>
      <c r="AFN178" s="356"/>
      <c r="AFO178" s="357"/>
      <c r="AFP178" s="357"/>
      <c r="AFQ178" s="357"/>
      <c r="AFR178" s="357"/>
      <c r="AFS178" s="357"/>
      <c r="AFT178" s="356"/>
      <c r="AFU178" s="357"/>
      <c r="AFV178" s="357"/>
      <c r="AFW178" s="357"/>
      <c r="AFX178" s="357"/>
      <c r="AFY178" s="357"/>
      <c r="AFZ178" s="356"/>
      <c r="AGA178" s="357"/>
      <c r="AGB178" s="357"/>
      <c r="AGC178" s="357"/>
      <c r="AGD178" s="357"/>
      <c r="AGE178" s="357"/>
      <c r="AGF178" s="356"/>
      <c r="AGG178" s="357"/>
      <c r="AGH178" s="357"/>
      <c r="AGI178" s="357"/>
      <c r="AGJ178" s="357"/>
      <c r="AGK178" s="357"/>
      <c r="AGL178" s="356"/>
      <c r="AGM178" s="357"/>
      <c r="AGN178" s="357"/>
      <c r="AGO178" s="357"/>
      <c r="AGP178" s="357"/>
      <c r="AGQ178" s="357"/>
      <c r="AGR178" s="356"/>
      <c r="AGS178" s="357"/>
      <c r="AGT178" s="357"/>
      <c r="AGU178" s="357"/>
      <c r="AGV178" s="357"/>
      <c r="AGW178" s="357"/>
      <c r="AGX178" s="356"/>
      <c r="AGY178" s="357"/>
      <c r="AGZ178" s="357"/>
      <c r="AHA178" s="357"/>
      <c r="AHB178" s="357"/>
      <c r="AHC178" s="357"/>
      <c r="AHD178" s="356"/>
      <c r="AHE178" s="357"/>
      <c r="AHF178" s="357"/>
      <c r="AHG178" s="357"/>
      <c r="AHH178" s="357"/>
      <c r="AHI178" s="357"/>
      <c r="AHJ178" s="356"/>
      <c r="AHK178" s="357"/>
      <c r="AHL178" s="357"/>
      <c r="AHM178" s="357"/>
      <c r="AHN178" s="357"/>
      <c r="AHO178" s="357"/>
      <c r="AHP178" s="356"/>
      <c r="AHQ178" s="357"/>
      <c r="AHR178" s="357"/>
      <c r="AHS178" s="357"/>
      <c r="AHT178" s="357"/>
      <c r="AHU178" s="357"/>
      <c r="AHV178" s="356"/>
      <c r="AHW178" s="357"/>
      <c r="AHX178" s="357"/>
      <c r="AHY178" s="357"/>
      <c r="AHZ178" s="357"/>
      <c r="AIA178" s="357"/>
      <c r="AIB178" s="356"/>
      <c r="AIC178" s="357"/>
      <c r="AID178" s="357"/>
      <c r="AIE178" s="357"/>
      <c r="AIF178" s="357"/>
      <c r="AIG178" s="357"/>
      <c r="AIH178" s="356"/>
      <c r="AII178" s="357"/>
      <c r="AIJ178" s="357"/>
      <c r="AIK178" s="357"/>
      <c r="AIL178" s="357"/>
      <c r="AIM178" s="357"/>
      <c r="AIN178" s="356"/>
      <c r="AIO178" s="357"/>
      <c r="AIP178" s="357"/>
      <c r="AIQ178" s="357"/>
      <c r="AIR178" s="357"/>
      <c r="AIS178" s="357"/>
      <c r="AIT178" s="356"/>
      <c r="AIU178" s="357"/>
      <c r="AIV178" s="357"/>
      <c r="AIW178" s="357"/>
      <c r="AIX178" s="357"/>
      <c r="AIY178" s="357"/>
      <c r="AIZ178" s="356"/>
      <c r="AJA178" s="357"/>
      <c r="AJB178" s="357"/>
      <c r="AJC178" s="357"/>
      <c r="AJD178" s="357"/>
      <c r="AJE178" s="357"/>
      <c r="AJF178" s="356"/>
      <c r="AJG178" s="357"/>
      <c r="AJH178" s="357"/>
      <c r="AJI178" s="357"/>
      <c r="AJJ178" s="357"/>
      <c r="AJK178" s="357"/>
      <c r="AJL178" s="356"/>
      <c r="AJM178" s="357"/>
      <c r="AJN178" s="357"/>
      <c r="AJO178" s="357"/>
      <c r="AJP178" s="357"/>
      <c r="AJQ178" s="357"/>
      <c r="AJR178" s="356"/>
      <c r="AJS178" s="357"/>
      <c r="AJT178" s="357"/>
      <c r="AJU178" s="357"/>
      <c r="AJV178" s="357"/>
      <c r="AJW178" s="357"/>
      <c r="AJX178" s="356"/>
      <c r="AJY178" s="357"/>
      <c r="AJZ178" s="357"/>
      <c r="AKA178" s="357"/>
      <c r="AKB178" s="357"/>
      <c r="AKC178" s="357"/>
      <c r="AKD178" s="356"/>
      <c r="AKE178" s="357"/>
      <c r="AKF178" s="357"/>
      <c r="AKG178" s="357"/>
      <c r="AKH178" s="357"/>
      <c r="AKI178" s="357"/>
      <c r="AKJ178" s="356"/>
      <c r="AKK178" s="357"/>
      <c r="AKL178" s="357"/>
      <c r="AKM178" s="357"/>
      <c r="AKN178" s="357"/>
      <c r="AKO178" s="357"/>
      <c r="AKP178" s="356"/>
      <c r="AKQ178" s="357"/>
      <c r="AKR178" s="357"/>
      <c r="AKS178" s="357"/>
      <c r="AKT178" s="357"/>
      <c r="AKU178" s="357"/>
      <c r="AKV178" s="356"/>
      <c r="AKW178" s="357"/>
      <c r="AKX178" s="357"/>
      <c r="AKY178" s="357"/>
      <c r="AKZ178" s="357"/>
      <c r="ALA178" s="357"/>
      <c r="ALB178" s="356"/>
      <c r="ALC178" s="357"/>
      <c r="ALD178" s="357"/>
      <c r="ALE178" s="357"/>
      <c r="ALF178" s="357"/>
      <c r="ALG178" s="357"/>
      <c r="ALH178" s="356"/>
      <c r="ALI178" s="357"/>
      <c r="ALJ178" s="357"/>
      <c r="ALK178" s="357"/>
      <c r="ALL178" s="357"/>
      <c r="ALM178" s="357"/>
      <c r="ALN178" s="356"/>
      <c r="ALO178" s="357"/>
      <c r="ALP178" s="357"/>
      <c r="ALQ178" s="357"/>
      <c r="ALR178" s="357"/>
      <c r="ALS178" s="357"/>
      <c r="ALT178" s="356"/>
      <c r="ALU178" s="357"/>
      <c r="ALV178" s="357"/>
      <c r="ALW178" s="357"/>
      <c r="ALX178" s="357"/>
      <c r="ALY178" s="357"/>
      <c r="ALZ178" s="356"/>
      <c r="AMA178" s="357"/>
      <c r="AMB178" s="357"/>
      <c r="AMC178" s="357"/>
      <c r="AMD178" s="357"/>
      <c r="AME178" s="357"/>
      <c r="AMF178" s="356"/>
      <c r="AMG178" s="357"/>
      <c r="AMH178" s="357"/>
      <c r="AMI178" s="357"/>
      <c r="AMJ178" s="357"/>
      <c r="AMK178" s="357"/>
      <c r="AML178" s="356"/>
      <c r="AMM178" s="357"/>
      <c r="AMN178" s="357"/>
      <c r="AMO178" s="357"/>
      <c r="AMP178" s="357"/>
      <c r="AMQ178" s="357"/>
      <c r="AMR178" s="356"/>
      <c r="AMS178" s="357"/>
      <c r="AMT178" s="357"/>
      <c r="AMU178" s="357"/>
      <c r="AMV178" s="357"/>
      <c r="AMW178" s="357"/>
      <c r="AMX178" s="356"/>
      <c r="AMY178" s="357"/>
      <c r="AMZ178" s="357"/>
      <c r="ANA178" s="357"/>
      <c r="ANB178" s="357"/>
      <c r="ANC178" s="357"/>
      <c r="AND178" s="356"/>
      <c r="ANE178" s="357"/>
      <c r="ANF178" s="357"/>
      <c r="ANG178" s="357"/>
      <c r="ANH178" s="357"/>
      <c r="ANI178" s="357"/>
      <c r="ANJ178" s="356"/>
      <c r="ANK178" s="357"/>
      <c r="ANL178" s="357"/>
      <c r="ANM178" s="357"/>
      <c r="ANN178" s="357"/>
      <c r="ANO178" s="357"/>
      <c r="ANP178" s="356"/>
      <c r="ANQ178" s="357"/>
      <c r="ANR178" s="357"/>
      <c r="ANS178" s="357"/>
      <c r="ANT178" s="357"/>
      <c r="ANU178" s="357"/>
      <c r="ANV178" s="356"/>
      <c r="ANW178" s="357"/>
      <c r="ANX178" s="357"/>
      <c r="ANY178" s="357"/>
      <c r="ANZ178" s="357"/>
      <c r="AOA178" s="357"/>
      <c r="AOB178" s="356"/>
      <c r="AOC178" s="357"/>
      <c r="AOD178" s="357"/>
      <c r="AOE178" s="357"/>
      <c r="AOF178" s="357"/>
      <c r="AOG178" s="357"/>
      <c r="AOH178" s="356"/>
      <c r="AOI178" s="357"/>
      <c r="AOJ178" s="357"/>
      <c r="AOK178" s="357"/>
      <c r="AOL178" s="357"/>
      <c r="AOM178" s="357"/>
      <c r="AON178" s="356"/>
      <c r="AOO178" s="357"/>
      <c r="AOP178" s="357"/>
      <c r="AOQ178" s="357"/>
      <c r="AOR178" s="357"/>
      <c r="AOS178" s="357"/>
      <c r="AOT178" s="356"/>
      <c r="AOU178" s="357"/>
      <c r="AOV178" s="357"/>
      <c r="AOW178" s="357"/>
      <c r="AOX178" s="357"/>
      <c r="AOY178" s="357"/>
      <c r="AOZ178" s="356"/>
      <c r="APA178" s="357"/>
      <c r="APB178" s="357"/>
      <c r="APC178" s="357"/>
      <c r="APD178" s="357"/>
      <c r="APE178" s="357"/>
      <c r="APF178" s="356"/>
      <c r="APG178" s="357"/>
      <c r="APH178" s="357"/>
      <c r="API178" s="357"/>
      <c r="APJ178" s="357"/>
      <c r="APK178" s="357"/>
      <c r="APL178" s="356"/>
      <c r="APM178" s="357"/>
      <c r="APN178" s="357"/>
      <c r="APO178" s="357"/>
      <c r="APP178" s="357"/>
      <c r="APQ178" s="357"/>
      <c r="APR178" s="356"/>
      <c r="APS178" s="357"/>
      <c r="APT178" s="357"/>
      <c r="APU178" s="357"/>
      <c r="APV178" s="357"/>
      <c r="APW178" s="357"/>
      <c r="APX178" s="356"/>
      <c r="APY178" s="357"/>
      <c r="APZ178" s="357"/>
      <c r="AQA178" s="357"/>
      <c r="AQB178" s="357"/>
      <c r="AQC178" s="357"/>
      <c r="AQD178" s="356"/>
      <c r="AQE178" s="357"/>
      <c r="AQF178" s="357"/>
      <c r="AQG178" s="357"/>
      <c r="AQH178" s="357"/>
      <c r="AQI178" s="357"/>
      <c r="AQJ178" s="356"/>
      <c r="AQK178" s="357"/>
      <c r="AQL178" s="357"/>
      <c r="AQM178" s="357"/>
      <c r="AQN178" s="357"/>
      <c r="AQO178" s="357"/>
      <c r="AQP178" s="356"/>
      <c r="AQQ178" s="357"/>
      <c r="AQR178" s="357"/>
      <c r="AQS178" s="357"/>
      <c r="AQT178" s="357"/>
      <c r="AQU178" s="357"/>
      <c r="AQV178" s="356"/>
      <c r="AQW178" s="357"/>
      <c r="AQX178" s="357"/>
      <c r="AQY178" s="357"/>
      <c r="AQZ178" s="357"/>
      <c r="ARA178" s="357"/>
      <c r="ARB178" s="356"/>
      <c r="ARC178" s="357"/>
      <c r="ARD178" s="357"/>
      <c r="ARE178" s="357"/>
      <c r="ARF178" s="357"/>
      <c r="ARG178" s="357"/>
      <c r="ARH178" s="356"/>
      <c r="ARI178" s="357"/>
      <c r="ARJ178" s="357"/>
      <c r="ARK178" s="357"/>
      <c r="ARL178" s="357"/>
      <c r="ARM178" s="357"/>
      <c r="ARN178" s="356"/>
      <c r="ARO178" s="357"/>
      <c r="ARP178" s="357"/>
      <c r="ARQ178" s="357"/>
      <c r="ARR178" s="357"/>
      <c r="ARS178" s="357"/>
      <c r="ART178" s="356"/>
      <c r="ARU178" s="357"/>
      <c r="ARV178" s="357"/>
      <c r="ARW178" s="357"/>
      <c r="ARX178" s="357"/>
      <c r="ARY178" s="357"/>
      <c r="ARZ178" s="356"/>
      <c r="ASA178" s="357"/>
      <c r="ASB178" s="357"/>
      <c r="ASC178" s="357"/>
      <c r="ASD178" s="357"/>
      <c r="ASE178" s="357"/>
      <c r="ASF178" s="356"/>
      <c r="ASG178" s="357"/>
      <c r="ASH178" s="357"/>
      <c r="ASI178" s="357"/>
      <c r="ASJ178" s="357"/>
      <c r="ASK178" s="357"/>
      <c r="ASL178" s="356"/>
      <c r="ASM178" s="357"/>
      <c r="ASN178" s="357"/>
      <c r="ASO178" s="357"/>
      <c r="ASP178" s="357"/>
      <c r="ASQ178" s="357"/>
      <c r="ASR178" s="356"/>
      <c r="ASS178" s="357"/>
      <c r="AST178" s="357"/>
      <c r="ASU178" s="357"/>
      <c r="ASV178" s="357"/>
      <c r="ASW178" s="357"/>
      <c r="ASX178" s="356"/>
      <c r="ASY178" s="357"/>
      <c r="ASZ178" s="357"/>
      <c r="ATA178" s="357"/>
      <c r="ATB178" s="357"/>
      <c r="ATC178" s="357"/>
      <c r="ATD178" s="356"/>
      <c r="ATE178" s="357"/>
      <c r="ATF178" s="357"/>
      <c r="ATG178" s="357"/>
      <c r="ATH178" s="357"/>
      <c r="ATI178" s="357"/>
      <c r="ATJ178" s="356"/>
      <c r="ATK178" s="357"/>
      <c r="ATL178" s="357"/>
      <c r="ATM178" s="357"/>
      <c r="ATN178" s="357"/>
      <c r="ATO178" s="357"/>
      <c r="ATP178" s="356"/>
      <c r="ATQ178" s="357"/>
      <c r="ATR178" s="357"/>
      <c r="ATS178" s="357"/>
      <c r="ATT178" s="357"/>
      <c r="ATU178" s="357"/>
      <c r="ATV178" s="356"/>
      <c r="ATW178" s="357"/>
      <c r="ATX178" s="357"/>
      <c r="ATY178" s="357"/>
      <c r="ATZ178" s="357"/>
      <c r="AUA178" s="357"/>
      <c r="AUB178" s="356"/>
      <c r="AUC178" s="357"/>
      <c r="AUD178" s="357"/>
      <c r="AUE178" s="357"/>
      <c r="AUF178" s="357"/>
      <c r="AUG178" s="357"/>
      <c r="AUH178" s="356"/>
      <c r="AUI178" s="357"/>
      <c r="AUJ178" s="357"/>
      <c r="AUK178" s="357"/>
      <c r="AUL178" s="357"/>
      <c r="AUM178" s="357"/>
      <c r="AUN178" s="356"/>
      <c r="AUO178" s="357"/>
      <c r="AUP178" s="357"/>
      <c r="AUQ178" s="357"/>
      <c r="AUR178" s="357"/>
      <c r="AUS178" s="357"/>
      <c r="AUT178" s="356"/>
      <c r="AUU178" s="357"/>
      <c r="AUV178" s="357"/>
      <c r="AUW178" s="357"/>
      <c r="AUX178" s="357"/>
      <c r="AUY178" s="357"/>
      <c r="AUZ178" s="356"/>
      <c r="AVA178" s="357"/>
      <c r="AVB178" s="357"/>
      <c r="AVC178" s="357"/>
      <c r="AVD178" s="357"/>
      <c r="AVE178" s="357"/>
      <c r="AVF178" s="356"/>
      <c r="AVG178" s="357"/>
      <c r="AVH178" s="357"/>
      <c r="AVI178" s="357"/>
      <c r="AVJ178" s="357"/>
      <c r="AVK178" s="357"/>
      <c r="AVL178" s="356"/>
      <c r="AVM178" s="357"/>
      <c r="AVN178" s="357"/>
      <c r="AVO178" s="357"/>
      <c r="AVP178" s="357"/>
      <c r="AVQ178" s="357"/>
      <c r="AVR178" s="356"/>
      <c r="AVS178" s="357"/>
      <c r="AVT178" s="357"/>
      <c r="AVU178" s="357"/>
      <c r="AVV178" s="357"/>
      <c r="AVW178" s="357"/>
      <c r="AVX178" s="356"/>
      <c r="AVY178" s="357"/>
      <c r="AVZ178" s="357"/>
      <c r="AWA178" s="357"/>
      <c r="AWB178" s="357"/>
      <c r="AWC178" s="357"/>
      <c r="AWD178" s="356"/>
      <c r="AWE178" s="357"/>
      <c r="AWF178" s="357"/>
      <c r="AWG178" s="357"/>
      <c r="AWH178" s="357"/>
      <c r="AWI178" s="357"/>
      <c r="AWJ178" s="356"/>
      <c r="AWK178" s="357"/>
      <c r="AWL178" s="357"/>
      <c r="AWM178" s="357"/>
      <c r="AWN178" s="357"/>
      <c r="AWO178" s="357"/>
      <c r="AWP178" s="356"/>
      <c r="AWQ178" s="357"/>
      <c r="AWR178" s="357"/>
      <c r="AWS178" s="357"/>
      <c r="AWT178" s="357"/>
      <c r="AWU178" s="357"/>
      <c r="AWV178" s="356"/>
      <c r="AWW178" s="357"/>
      <c r="AWX178" s="357"/>
      <c r="AWY178" s="357"/>
      <c r="AWZ178" s="357"/>
      <c r="AXA178" s="357"/>
      <c r="AXB178" s="356"/>
      <c r="AXC178" s="357"/>
      <c r="AXD178" s="357"/>
      <c r="AXE178" s="357"/>
      <c r="AXF178" s="357"/>
      <c r="AXG178" s="357"/>
      <c r="AXH178" s="356"/>
      <c r="AXI178" s="357"/>
      <c r="AXJ178" s="357"/>
      <c r="AXK178" s="357"/>
      <c r="AXL178" s="357"/>
      <c r="AXM178" s="357"/>
      <c r="AXN178" s="356"/>
      <c r="AXO178" s="357"/>
      <c r="AXP178" s="357"/>
      <c r="AXQ178" s="357"/>
      <c r="AXR178" s="357"/>
      <c r="AXS178" s="357"/>
      <c r="AXT178" s="356"/>
      <c r="AXU178" s="357"/>
      <c r="AXV178" s="357"/>
      <c r="AXW178" s="357"/>
      <c r="AXX178" s="357"/>
      <c r="AXY178" s="357"/>
      <c r="AXZ178" s="356"/>
      <c r="AYA178" s="357"/>
      <c r="AYB178" s="357"/>
      <c r="AYC178" s="357"/>
      <c r="AYD178" s="357"/>
      <c r="AYE178" s="357"/>
      <c r="AYF178" s="356"/>
      <c r="AYG178" s="357"/>
      <c r="AYH178" s="357"/>
      <c r="AYI178" s="357"/>
      <c r="AYJ178" s="357"/>
      <c r="AYK178" s="357"/>
      <c r="AYL178" s="356"/>
      <c r="AYM178" s="357"/>
      <c r="AYN178" s="357"/>
      <c r="AYO178" s="357"/>
      <c r="AYP178" s="357"/>
      <c r="AYQ178" s="357"/>
      <c r="AYR178" s="356"/>
      <c r="AYS178" s="357"/>
      <c r="AYT178" s="357"/>
      <c r="AYU178" s="357"/>
      <c r="AYV178" s="357"/>
      <c r="AYW178" s="357"/>
      <c r="AYX178" s="356"/>
      <c r="AYY178" s="357"/>
      <c r="AYZ178" s="357"/>
      <c r="AZA178" s="357"/>
      <c r="AZB178" s="357"/>
      <c r="AZC178" s="357"/>
      <c r="AZD178" s="356"/>
      <c r="AZE178" s="357"/>
      <c r="AZF178" s="357"/>
      <c r="AZG178" s="357"/>
      <c r="AZH178" s="357"/>
      <c r="AZI178" s="357"/>
      <c r="AZJ178" s="356"/>
      <c r="AZK178" s="357"/>
      <c r="AZL178" s="357"/>
      <c r="AZM178" s="357"/>
      <c r="AZN178" s="357"/>
      <c r="AZO178" s="357"/>
      <c r="AZP178" s="356"/>
      <c r="AZQ178" s="357"/>
      <c r="AZR178" s="357"/>
      <c r="AZS178" s="357"/>
      <c r="AZT178" s="357"/>
      <c r="AZU178" s="357"/>
      <c r="AZV178" s="356"/>
      <c r="AZW178" s="357"/>
      <c r="AZX178" s="357"/>
      <c r="AZY178" s="357"/>
      <c r="AZZ178" s="357"/>
      <c r="BAA178" s="357"/>
      <c r="BAB178" s="356"/>
      <c r="BAC178" s="357"/>
      <c r="BAD178" s="357"/>
      <c r="BAE178" s="357"/>
      <c r="BAF178" s="357"/>
      <c r="BAG178" s="357"/>
      <c r="BAH178" s="356"/>
      <c r="BAI178" s="357"/>
      <c r="BAJ178" s="357"/>
      <c r="BAK178" s="357"/>
      <c r="BAL178" s="357"/>
      <c r="BAM178" s="357"/>
      <c r="BAN178" s="356"/>
      <c r="BAO178" s="357"/>
      <c r="BAP178" s="357"/>
      <c r="BAQ178" s="357"/>
      <c r="BAR178" s="357"/>
      <c r="BAS178" s="357"/>
      <c r="BAT178" s="356"/>
      <c r="BAU178" s="357"/>
      <c r="BAV178" s="357"/>
      <c r="BAW178" s="357"/>
      <c r="BAX178" s="357"/>
      <c r="BAY178" s="357"/>
      <c r="BAZ178" s="356"/>
      <c r="BBA178" s="357"/>
      <c r="BBB178" s="357"/>
      <c r="BBC178" s="357"/>
      <c r="BBD178" s="357"/>
      <c r="BBE178" s="357"/>
      <c r="BBF178" s="356"/>
      <c r="BBG178" s="357"/>
      <c r="BBH178" s="357"/>
      <c r="BBI178" s="357"/>
      <c r="BBJ178" s="357"/>
      <c r="BBK178" s="357"/>
      <c r="BBL178" s="356"/>
      <c r="BBM178" s="357"/>
      <c r="BBN178" s="357"/>
      <c r="BBO178" s="357"/>
      <c r="BBP178" s="357"/>
      <c r="BBQ178" s="357"/>
      <c r="BBR178" s="356"/>
      <c r="BBS178" s="357"/>
      <c r="BBT178" s="357"/>
      <c r="BBU178" s="357"/>
      <c r="BBV178" s="357"/>
      <c r="BBW178" s="357"/>
      <c r="BBX178" s="356"/>
      <c r="BBY178" s="357"/>
      <c r="BBZ178" s="357"/>
      <c r="BCA178" s="357"/>
      <c r="BCB178" s="357"/>
      <c r="BCC178" s="357"/>
      <c r="BCD178" s="356"/>
      <c r="BCE178" s="357"/>
      <c r="BCF178" s="357"/>
      <c r="BCG178" s="357"/>
      <c r="BCH178" s="357"/>
      <c r="BCI178" s="357"/>
      <c r="BCJ178" s="356"/>
      <c r="BCK178" s="357"/>
      <c r="BCL178" s="357"/>
      <c r="BCM178" s="357"/>
      <c r="BCN178" s="357"/>
      <c r="BCO178" s="357"/>
      <c r="BCP178" s="356"/>
      <c r="BCQ178" s="357"/>
      <c r="BCR178" s="357"/>
      <c r="BCS178" s="357"/>
      <c r="BCT178" s="357"/>
      <c r="BCU178" s="357"/>
      <c r="BCV178" s="356"/>
      <c r="BCW178" s="357"/>
      <c r="BCX178" s="357"/>
      <c r="BCY178" s="357"/>
      <c r="BCZ178" s="357"/>
      <c r="BDA178" s="357"/>
      <c r="BDB178" s="356"/>
      <c r="BDC178" s="357"/>
      <c r="BDD178" s="357"/>
      <c r="BDE178" s="357"/>
      <c r="BDF178" s="357"/>
      <c r="BDG178" s="357"/>
      <c r="BDH178" s="356"/>
      <c r="BDI178" s="357"/>
      <c r="BDJ178" s="357"/>
      <c r="BDK178" s="357"/>
      <c r="BDL178" s="357"/>
      <c r="BDM178" s="357"/>
      <c r="BDN178" s="356"/>
      <c r="BDO178" s="357"/>
      <c r="BDP178" s="357"/>
      <c r="BDQ178" s="357"/>
      <c r="BDR178" s="357"/>
      <c r="BDS178" s="357"/>
      <c r="BDT178" s="356"/>
      <c r="BDU178" s="357"/>
      <c r="BDV178" s="357"/>
      <c r="BDW178" s="357"/>
      <c r="BDX178" s="357"/>
      <c r="BDY178" s="357"/>
      <c r="BDZ178" s="356"/>
      <c r="BEA178" s="357"/>
      <c r="BEB178" s="357"/>
      <c r="BEC178" s="357"/>
      <c r="BED178" s="357"/>
      <c r="BEE178" s="357"/>
      <c r="BEF178" s="356"/>
      <c r="BEG178" s="357"/>
      <c r="BEH178" s="357"/>
      <c r="BEI178" s="357"/>
      <c r="BEJ178" s="357"/>
      <c r="BEK178" s="357"/>
      <c r="BEL178" s="356"/>
      <c r="BEM178" s="357"/>
      <c r="BEN178" s="357"/>
      <c r="BEO178" s="357"/>
      <c r="BEP178" s="357"/>
      <c r="BEQ178" s="357"/>
      <c r="BER178" s="356"/>
      <c r="BES178" s="357"/>
      <c r="BET178" s="357"/>
      <c r="BEU178" s="357"/>
      <c r="BEV178" s="357"/>
      <c r="BEW178" s="357"/>
      <c r="BEX178" s="356"/>
      <c r="BEY178" s="357"/>
      <c r="BEZ178" s="357"/>
      <c r="BFA178" s="357"/>
      <c r="BFB178" s="357"/>
      <c r="BFC178" s="357"/>
      <c r="BFD178" s="356"/>
      <c r="BFE178" s="357"/>
      <c r="BFF178" s="357"/>
      <c r="BFG178" s="357"/>
      <c r="BFH178" s="357"/>
      <c r="BFI178" s="357"/>
      <c r="BFJ178" s="356"/>
      <c r="BFK178" s="357"/>
      <c r="BFL178" s="357"/>
      <c r="BFM178" s="357"/>
      <c r="BFN178" s="357"/>
      <c r="BFO178" s="357"/>
      <c r="BFP178" s="356"/>
      <c r="BFQ178" s="357"/>
      <c r="BFR178" s="357"/>
      <c r="BFS178" s="357"/>
      <c r="BFT178" s="357"/>
      <c r="BFU178" s="357"/>
      <c r="BFV178" s="356"/>
      <c r="BFW178" s="357"/>
      <c r="BFX178" s="357"/>
      <c r="BFY178" s="357"/>
      <c r="BFZ178" s="357"/>
      <c r="BGA178" s="357"/>
      <c r="BGB178" s="356"/>
      <c r="BGC178" s="357"/>
      <c r="BGD178" s="357"/>
      <c r="BGE178" s="357"/>
      <c r="BGF178" s="357"/>
      <c r="BGG178" s="357"/>
      <c r="BGH178" s="356"/>
      <c r="BGI178" s="357"/>
      <c r="BGJ178" s="357"/>
      <c r="BGK178" s="357"/>
      <c r="BGL178" s="357"/>
      <c r="BGM178" s="357"/>
      <c r="BGN178" s="356"/>
      <c r="BGO178" s="357"/>
      <c r="BGP178" s="357"/>
      <c r="BGQ178" s="357"/>
      <c r="BGR178" s="357"/>
      <c r="BGS178" s="357"/>
      <c r="BGT178" s="356"/>
      <c r="BGU178" s="357"/>
      <c r="BGV178" s="357"/>
      <c r="BGW178" s="357"/>
      <c r="BGX178" s="357"/>
      <c r="BGY178" s="357"/>
      <c r="BGZ178" s="356"/>
      <c r="BHA178" s="357"/>
      <c r="BHB178" s="357"/>
      <c r="BHC178" s="357"/>
      <c r="BHD178" s="357"/>
      <c r="BHE178" s="357"/>
      <c r="BHF178" s="356"/>
      <c r="BHG178" s="357"/>
      <c r="BHH178" s="357"/>
      <c r="BHI178" s="357"/>
      <c r="BHJ178" s="357"/>
      <c r="BHK178" s="357"/>
      <c r="BHL178" s="356"/>
      <c r="BHM178" s="357"/>
      <c r="BHN178" s="357"/>
      <c r="BHO178" s="357"/>
      <c r="BHP178" s="357"/>
      <c r="BHQ178" s="357"/>
      <c r="BHR178" s="356"/>
      <c r="BHS178" s="357"/>
      <c r="BHT178" s="357"/>
      <c r="BHU178" s="357"/>
      <c r="BHV178" s="357"/>
      <c r="BHW178" s="357"/>
      <c r="BHX178" s="356"/>
      <c r="BHY178" s="357"/>
      <c r="BHZ178" s="357"/>
      <c r="BIA178" s="357"/>
      <c r="BIB178" s="357"/>
      <c r="BIC178" s="357"/>
      <c r="BID178" s="356"/>
      <c r="BIE178" s="357"/>
      <c r="BIF178" s="357"/>
      <c r="BIG178" s="357"/>
      <c r="BIH178" s="357"/>
      <c r="BII178" s="357"/>
      <c r="BIJ178" s="356"/>
      <c r="BIK178" s="357"/>
      <c r="BIL178" s="357"/>
      <c r="BIM178" s="357"/>
      <c r="BIN178" s="357"/>
      <c r="BIO178" s="357"/>
      <c r="BIP178" s="356"/>
      <c r="BIQ178" s="357"/>
      <c r="BIR178" s="357"/>
      <c r="BIS178" s="357"/>
      <c r="BIT178" s="357"/>
      <c r="BIU178" s="357"/>
      <c r="BIV178" s="356"/>
      <c r="BIW178" s="357"/>
      <c r="BIX178" s="357"/>
      <c r="BIY178" s="357"/>
      <c r="BIZ178" s="357"/>
      <c r="BJA178" s="357"/>
      <c r="BJB178" s="356"/>
      <c r="BJC178" s="357"/>
      <c r="BJD178" s="357"/>
      <c r="BJE178" s="357"/>
      <c r="BJF178" s="357"/>
      <c r="BJG178" s="357"/>
      <c r="BJH178" s="356"/>
      <c r="BJI178" s="357"/>
      <c r="BJJ178" s="357"/>
      <c r="BJK178" s="357"/>
      <c r="BJL178" s="357"/>
      <c r="BJM178" s="357"/>
      <c r="BJN178" s="356"/>
      <c r="BJO178" s="357"/>
      <c r="BJP178" s="357"/>
      <c r="BJQ178" s="357"/>
      <c r="BJR178" s="357"/>
      <c r="BJS178" s="357"/>
      <c r="BJT178" s="356"/>
      <c r="BJU178" s="357"/>
      <c r="BJV178" s="357"/>
      <c r="BJW178" s="357"/>
      <c r="BJX178" s="357"/>
      <c r="BJY178" s="357"/>
      <c r="BJZ178" s="356"/>
      <c r="BKA178" s="357"/>
      <c r="BKB178" s="357"/>
      <c r="BKC178" s="357"/>
      <c r="BKD178" s="357"/>
      <c r="BKE178" s="357"/>
      <c r="BKF178" s="356"/>
      <c r="BKG178" s="357"/>
      <c r="BKH178" s="357"/>
      <c r="BKI178" s="357"/>
      <c r="BKJ178" s="357"/>
      <c r="BKK178" s="357"/>
      <c r="BKL178" s="356"/>
      <c r="BKM178" s="357"/>
      <c r="BKN178" s="357"/>
      <c r="BKO178" s="357"/>
      <c r="BKP178" s="357"/>
      <c r="BKQ178" s="357"/>
      <c r="BKR178" s="356"/>
      <c r="BKS178" s="357"/>
      <c r="BKT178" s="357"/>
      <c r="BKU178" s="357"/>
      <c r="BKV178" s="357"/>
      <c r="BKW178" s="357"/>
      <c r="BKX178" s="356"/>
      <c r="BKY178" s="357"/>
      <c r="BKZ178" s="357"/>
      <c r="BLA178" s="357"/>
      <c r="BLB178" s="357"/>
      <c r="BLC178" s="357"/>
      <c r="BLD178" s="356"/>
      <c r="BLE178" s="357"/>
      <c r="BLF178" s="357"/>
      <c r="BLG178" s="357"/>
      <c r="BLH178" s="357"/>
      <c r="BLI178" s="357"/>
      <c r="BLJ178" s="356"/>
      <c r="BLK178" s="357"/>
      <c r="BLL178" s="357"/>
      <c r="BLM178" s="357"/>
      <c r="BLN178" s="357"/>
      <c r="BLO178" s="357"/>
      <c r="BLP178" s="356"/>
      <c r="BLQ178" s="357"/>
      <c r="BLR178" s="357"/>
      <c r="BLS178" s="357"/>
      <c r="BLT178" s="357"/>
      <c r="BLU178" s="357"/>
      <c r="BLV178" s="356"/>
      <c r="BLW178" s="357"/>
      <c r="BLX178" s="357"/>
      <c r="BLY178" s="357"/>
      <c r="BLZ178" s="357"/>
      <c r="BMA178" s="357"/>
      <c r="BMB178" s="356"/>
      <c r="BMC178" s="357"/>
      <c r="BMD178" s="357"/>
      <c r="BME178" s="357"/>
      <c r="BMF178" s="357"/>
      <c r="BMG178" s="357"/>
      <c r="BMH178" s="356"/>
      <c r="BMI178" s="357"/>
      <c r="BMJ178" s="357"/>
      <c r="BMK178" s="357"/>
      <c r="BML178" s="357"/>
      <c r="BMM178" s="357"/>
      <c r="BMN178" s="356"/>
      <c r="BMO178" s="357"/>
      <c r="BMP178" s="357"/>
      <c r="BMQ178" s="357"/>
      <c r="BMR178" s="357"/>
      <c r="BMS178" s="357"/>
      <c r="BMT178" s="356"/>
      <c r="BMU178" s="357"/>
      <c r="BMV178" s="357"/>
      <c r="BMW178" s="357"/>
      <c r="BMX178" s="357"/>
      <c r="BMY178" s="357"/>
      <c r="BMZ178" s="356"/>
      <c r="BNA178" s="357"/>
      <c r="BNB178" s="357"/>
      <c r="BNC178" s="357"/>
      <c r="BND178" s="357"/>
      <c r="BNE178" s="357"/>
      <c r="BNF178" s="356"/>
      <c r="BNG178" s="357"/>
      <c r="BNH178" s="357"/>
      <c r="BNI178" s="357"/>
      <c r="BNJ178" s="357"/>
      <c r="BNK178" s="357"/>
      <c r="BNL178" s="356"/>
      <c r="BNM178" s="357"/>
      <c r="BNN178" s="357"/>
      <c r="BNO178" s="357"/>
      <c r="BNP178" s="357"/>
      <c r="BNQ178" s="357"/>
      <c r="BNR178" s="356"/>
      <c r="BNS178" s="357"/>
      <c r="BNT178" s="357"/>
      <c r="BNU178" s="357"/>
      <c r="BNV178" s="357"/>
      <c r="BNW178" s="357"/>
      <c r="BNX178" s="356"/>
      <c r="BNY178" s="357"/>
      <c r="BNZ178" s="357"/>
      <c r="BOA178" s="357"/>
      <c r="BOB178" s="357"/>
      <c r="BOC178" s="357"/>
      <c r="BOD178" s="356"/>
      <c r="BOE178" s="357"/>
      <c r="BOF178" s="357"/>
      <c r="BOG178" s="357"/>
      <c r="BOH178" s="357"/>
      <c r="BOI178" s="357"/>
      <c r="BOJ178" s="356"/>
      <c r="BOK178" s="357"/>
      <c r="BOL178" s="357"/>
      <c r="BOM178" s="357"/>
      <c r="BON178" s="357"/>
      <c r="BOO178" s="357"/>
      <c r="BOP178" s="356"/>
      <c r="BOQ178" s="357"/>
      <c r="BOR178" s="357"/>
      <c r="BOS178" s="357"/>
      <c r="BOT178" s="357"/>
      <c r="BOU178" s="357"/>
      <c r="BOV178" s="356"/>
      <c r="BOW178" s="357"/>
      <c r="BOX178" s="357"/>
      <c r="BOY178" s="357"/>
      <c r="BOZ178" s="357"/>
      <c r="BPA178" s="357"/>
      <c r="BPB178" s="356"/>
      <c r="BPC178" s="357"/>
      <c r="BPD178" s="357"/>
      <c r="BPE178" s="357"/>
      <c r="BPF178" s="357"/>
      <c r="BPG178" s="357"/>
      <c r="BPH178" s="356"/>
      <c r="BPI178" s="357"/>
      <c r="BPJ178" s="357"/>
      <c r="BPK178" s="357"/>
      <c r="BPL178" s="357"/>
      <c r="BPM178" s="357"/>
      <c r="BPN178" s="356"/>
      <c r="BPO178" s="357"/>
      <c r="BPP178" s="357"/>
      <c r="BPQ178" s="357"/>
      <c r="BPR178" s="357"/>
      <c r="BPS178" s="357"/>
      <c r="BPT178" s="356"/>
      <c r="BPU178" s="357"/>
      <c r="BPV178" s="357"/>
      <c r="BPW178" s="357"/>
      <c r="BPX178" s="357"/>
      <c r="BPY178" s="357"/>
      <c r="BPZ178" s="356"/>
      <c r="BQA178" s="357"/>
      <c r="BQB178" s="357"/>
      <c r="BQC178" s="357"/>
      <c r="BQD178" s="357"/>
      <c r="BQE178" s="357"/>
      <c r="BQF178" s="356"/>
      <c r="BQG178" s="357"/>
      <c r="BQH178" s="357"/>
      <c r="BQI178" s="357"/>
      <c r="BQJ178" s="357"/>
      <c r="BQK178" s="357"/>
      <c r="BQL178" s="356"/>
      <c r="BQM178" s="357"/>
      <c r="BQN178" s="357"/>
      <c r="BQO178" s="357"/>
      <c r="BQP178" s="357"/>
      <c r="BQQ178" s="357"/>
      <c r="BQR178" s="356"/>
      <c r="BQS178" s="357"/>
      <c r="BQT178" s="357"/>
      <c r="BQU178" s="357"/>
      <c r="BQV178" s="357"/>
      <c r="BQW178" s="357"/>
      <c r="BQX178" s="356"/>
      <c r="BQY178" s="357"/>
      <c r="BQZ178" s="357"/>
      <c r="BRA178" s="357"/>
      <c r="BRB178" s="357"/>
      <c r="BRC178" s="357"/>
      <c r="BRD178" s="356"/>
      <c r="BRE178" s="357"/>
      <c r="BRF178" s="357"/>
      <c r="BRG178" s="357"/>
      <c r="BRH178" s="357"/>
      <c r="BRI178" s="357"/>
      <c r="BRJ178" s="356"/>
      <c r="BRK178" s="357"/>
      <c r="BRL178" s="357"/>
      <c r="BRM178" s="357"/>
      <c r="BRN178" s="357"/>
      <c r="BRO178" s="357"/>
      <c r="BRP178" s="356"/>
      <c r="BRQ178" s="357"/>
      <c r="BRR178" s="357"/>
      <c r="BRS178" s="357"/>
      <c r="BRT178" s="357"/>
      <c r="BRU178" s="357"/>
      <c r="BRV178" s="356"/>
      <c r="BRW178" s="357"/>
      <c r="BRX178" s="357"/>
      <c r="BRY178" s="357"/>
      <c r="BRZ178" s="357"/>
      <c r="BSA178" s="357"/>
      <c r="BSB178" s="356"/>
      <c r="BSC178" s="357"/>
      <c r="BSD178" s="357"/>
      <c r="BSE178" s="357"/>
      <c r="BSF178" s="357"/>
      <c r="BSG178" s="357"/>
      <c r="BSH178" s="356"/>
      <c r="BSI178" s="357"/>
      <c r="BSJ178" s="357"/>
      <c r="BSK178" s="357"/>
      <c r="BSL178" s="357"/>
      <c r="BSM178" s="357"/>
      <c r="BSN178" s="356"/>
      <c r="BSO178" s="357"/>
      <c r="BSP178" s="357"/>
      <c r="BSQ178" s="357"/>
      <c r="BSR178" s="357"/>
      <c r="BSS178" s="357"/>
      <c r="BST178" s="356"/>
      <c r="BSU178" s="357"/>
      <c r="BSV178" s="357"/>
      <c r="BSW178" s="357"/>
      <c r="BSX178" s="357"/>
      <c r="BSY178" s="357"/>
      <c r="BSZ178" s="356"/>
      <c r="BTA178" s="357"/>
      <c r="BTB178" s="357"/>
      <c r="BTC178" s="357"/>
      <c r="BTD178" s="357"/>
      <c r="BTE178" s="357"/>
      <c r="BTF178" s="356"/>
      <c r="BTG178" s="357"/>
      <c r="BTH178" s="357"/>
      <c r="BTI178" s="357"/>
      <c r="BTJ178" s="357"/>
      <c r="BTK178" s="357"/>
      <c r="BTL178" s="356"/>
      <c r="BTM178" s="357"/>
      <c r="BTN178" s="357"/>
      <c r="BTO178" s="357"/>
      <c r="BTP178" s="357"/>
      <c r="BTQ178" s="357"/>
      <c r="BTR178" s="356"/>
      <c r="BTS178" s="357"/>
      <c r="BTT178" s="357"/>
      <c r="BTU178" s="357"/>
      <c r="BTV178" s="357"/>
      <c r="BTW178" s="357"/>
      <c r="BTX178" s="356"/>
      <c r="BTY178" s="357"/>
      <c r="BTZ178" s="357"/>
      <c r="BUA178" s="357"/>
      <c r="BUB178" s="357"/>
      <c r="BUC178" s="357"/>
      <c r="BUD178" s="356"/>
      <c r="BUE178" s="357"/>
      <c r="BUF178" s="357"/>
      <c r="BUG178" s="357"/>
      <c r="BUH178" s="357"/>
      <c r="BUI178" s="357"/>
      <c r="BUJ178" s="356"/>
      <c r="BUK178" s="357"/>
      <c r="BUL178" s="357"/>
      <c r="BUM178" s="357"/>
      <c r="BUN178" s="357"/>
      <c r="BUO178" s="357"/>
      <c r="BUP178" s="356"/>
      <c r="BUQ178" s="357"/>
      <c r="BUR178" s="357"/>
      <c r="BUS178" s="357"/>
      <c r="BUT178" s="357"/>
      <c r="BUU178" s="357"/>
      <c r="BUV178" s="356"/>
      <c r="BUW178" s="357"/>
      <c r="BUX178" s="357"/>
      <c r="BUY178" s="357"/>
      <c r="BUZ178" s="357"/>
      <c r="BVA178" s="357"/>
      <c r="BVB178" s="356"/>
      <c r="BVC178" s="357"/>
      <c r="BVD178" s="357"/>
      <c r="BVE178" s="357"/>
      <c r="BVF178" s="357"/>
      <c r="BVG178" s="357"/>
      <c r="BVH178" s="356"/>
      <c r="BVI178" s="357"/>
      <c r="BVJ178" s="357"/>
      <c r="BVK178" s="357"/>
      <c r="BVL178" s="357"/>
      <c r="BVM178" s="357"/>
      <c r="BVN178" s="356"/>
      <c r="BVO178" s="357"/>
      <c r="BVP178" s="357"/>
      <c r="BVQ178" s="357"/>
      <c r="BVR178" s="357"/>
      <c r="BVS178" s="357"/>
      <c r="BVT178" s="356"/>
      <c r="BVU178" s="357"/>
      <c r="BVV178" s="357"/>
      <c r="BVW178" s="357"/>
      <c r="BVX178" s="357"/>
      <c r="BVY178" s="357"/>
      <c r="BVZ178" s="356"/>
      <c r="BWA178" s="357"/>
      <c r="BWB178" s="357"/>
      <c r="BWC178" s="357"/>
      <c r="BWD178" s="357"/>
      <c r="BWE178" s="357"/>
      <c r="BWF178" s="356"/>
      <c r="BWG178" s="357"/>
      <c r="BWH178" s="357"/>
      <c r="BWI178" s="357"/>
      <c r="BWJ178" s="357"/>
      <c r="BWK178" s="357"/>
      <c r="BWL178" s="356"/>
      <c r="BWM178" s="357"/>
      <c r="BWN178" s="357"/>
      <c r="BWO178" s="357"/>
      <c r="BWP178" s="357"/>
      <c r="BWQ178" s="357"/>
      <c r="BWR178" s="356"/>
      <c r="BWS178" s="357"/>
      <c r="BWT178" s="357"/>
      <c r="BWU178" s="357"/>
      <c r="BWV178" s="357"/>
      <c r="BWW178" s="357"/>
      <c r="BWX178" s="356"/>
      <c r="BWY178" s="357"/>
      <c r="BWZ178" s="357"/>
      <c r="BXA178" s="357"/>
      <c r="BXB178" s="357"/>
      <c r="BXC178" s="357"/>
      <c r="BXD178" s="356"/>
      <c r="BXE178" s="357"/>
      <c r="BXF178" s="357"/>
      <c r="BXG178" s="357"/>
      <c r="BXH178" s="357"/>
      <c r="BXI178" s="357"/>
      <c r="BXJ178" s="356"/>
      <c r="BXK178" s="357"/>
      <c r="BXL178" s="357"/>
      <c r="BXM178" s="357"/>
      <c r="BXN178" s="357"/>
      <c r="BXO178" s="357"/>
      <c r="BXP178" s="356"/>
      <c r="BXQ178" s="357"/>
      <c r="BXR178" s="357"/>
      <c r="BXS178" s="357"/>
      <c r="BXT178" s="357"/>
      <c r="BXU178" s="357"/>
      <c r="BXV178" s="356"/>
      <c r="BXW178" s="357"/>
      <c r="BXX178" s="357"/>
      <c r="BXY178" s="357"/>
      <c r="BXZ178" s="357"/>
      <c r="BYA178" s="357"/>
      <c r="BYB178" s="356"/>
      <c r="BYC178" s="357"/>
      <c r="BYD178" s="357"/>
      <c r="BYE178" s="357"/>
      <c r="BYF178" s="357"/>
      <c r="BYG178" s="357"/>
      <c r="BYH178" s="356"/>
      <c r="BYI178" s="357"/>
      <c r="BYJ178" s="357"/>
      <c r="BYK178" s="357"/>
      <c r="BYL178" s="357"/>
      <c r="BYM178" s="357"/>
      <c r="BYN178" s="356"/>
      <c r="BYO178" s="357"/>
      <c r="BYP178" s="357"/>
      <c r="BYQ178" s="357"/>
      <c r="BYR178" s="357"/>
      <c r="BYS178" s="357"/>
      <c r="BYT178" s="356"/>
      <c r="BYU178" s="357"/>
      <c r="BYV178" s="357"/>
      <c r="BYW178" s="357"/>
      <c r="BYX178" s="357"/>
      <c r="BYY178" s="357"/>
      <c r="BYZ178" s="356"/>
      <c r="BZA178" s="357"/>
      <c r="BZB178" s="357"/>
      <c r="BZC178" s="357"/>
      <c r="BZD178" s="357"/>
      <c r="BZE178" s="357"/>
      <c r="BZF178" s="356"/>
      <c r="BZG178" s="357"/>
      <c r="BZH178" s="357"/>
      <c r="BZI178" s="357"/>
      <c r="BZJ178" s="357"/>
      <c r="BZK178" s="357"/>
      <c r="BZL178" s="356"/>
      <c r="BZM178" s="357"/>
      <c r="BZN178" s="357"/>
      <c r="BZO178" s="357"/>
      <c r="BZP178" s="357"/>
      <c r="BZQ178" s="357"/>
      <c r="BZR178" s="356"/>
      <c r="BZS178" s="357"/>
      <c r="BZT178" s="357"/>
      <c r="BZU178" s="357"/>
      <c r="BZV178" s="357"/>
      <c r="BZW178" s="357"/>
      <c r="BZX178" s="356"/>
      <c r="BZY178" s="357"/>
      <c r="BZZ178" s="357"/>
      <c r="CAA178" s="357"/>
      <c r="CAB178" s="357"/>
      <c r="CAC178" s="357"/>
      <c r="CAD178" s="356"/>
      <c r="CAE178" s="357"/>
      <c r="CAF178" s="357"/>
      <c r="CAG178" s="357"/>
      <c r="CAH178" s="357"/>
      <c r="CAI178" s="357"/>
      <c r="CAJ178" s="356"/>
      <c r="CAK178" s="357"/>
      <c r="CAL178" s="357"/>
      <c r="CAM178" s="357"/>
      <c r="CAN178" s="357"/>
      <c r="CAO178" s="357"/>
      <c r="CAP178" s="356"/>
      <c r="CAQ178" s="357"/>
      <c r="CAR178" s="357"/>
      <c r="CAS178" s="357"/>
      <c r="CAT178" s="357"/>
      <c r="CAU178" s="357"/>
      <c r="CAV178" s="356"/>
      <c r="CAW178" s="357"/>
      <c r="CAX178" s="357"/>
      <c r="CAY178" s="357"/>
      <c r="CAZ178" s="357"/>
      <c r="CBA178" s="357"/>
      <c r="CBB178" s="356"/>
      <c r="CBC178" s="357"/>
      <c r="CBD178" s="357"/>
      <c r="CBE178" s="357"/>
      <c r="CBF178" s="357"/>
      <c r="CBG178" s="357"/>
      <c r="CBH178" s="356"/>
      <c r="CBI178" s="357"/>
      <c r="CBJ178" s="357"/>
      <c r="CBK178" s="357"/>
      <c r="CBL178" s="357"/>
      <c r="CBM178" s="357"/>
      <c r="CBN178" s="356"/>
      <c r="CBO178" s="357"/>
      <c r="CBP178" s="357"/>
      <c r="CBQ178" s="357"/>
      <c r="CBR178" s="357"/>
      <c r="CBS178" s="357"/>
      <c r="CBT178" s="356"/>
      <c r="CBU178" s="357"/>
      <c r="CBV178" s="357"/>
      <c r="CBW178" s="357"/>
      <c r="CBX178" s="357"/>
      <c r="CBY178" s="357"/>
      <c r="CBZ178" s="356"/>
      <c r="CCA178" s="357"/>
      <c r="CCB178" s="357"/>
      <c r="CCC178" s="357"/>
      <c r="CCD178" s="357"/>
      <c r="CCE178" s="357"/>
      <c r="CCF178" s="356"/>
      <c r="CCG178" s="357"/>
      <c r="CCH178" s="357"/>
      <c r="CCI178" s="357"/>
      <c r="CCJ178" s="357"/>
      <c r="CCK178" s="357"/>
      <c r="CCL178" s="356"/>
      <c r="CCM178" s="357"/>
      <c r="CCN178" s="357"/>
      <c r="CCO178" s="357"/>
      <c r="CCP178" s="357"/>
      <c r="CCQ178" s="357"/>
      <c r="CCR178" s="356"/>
      <c r="CCS178" s="357"/>
      <c r="CCT178" s="357"/>
      <c r="CCU178" s="357"/>
      <c r="CCV178" s="357"/>
      <c r="CCW178" s="357"/>
      <c r="CCX178" s="356"/>
      <c r="CCY178" s="357"/>
      <c r="CCZ178" s="357"/>
      <c r="CDA178" s="357"/>
      <c r="CDB178" s="357"/>
      <c r="CDC178" s="357"/>
      <c r="CDD178" s="356"/>
      <c r="CDE178" s="357"/>
      <c r="CDF178" s="357"/>
      <c r="CDG178" s="357"/>
      <c r="CDH178" s="357"/>
      <c r="CDI178" s="357"/>
      <c r="CDJ178" s="356"/>
      <c r="CDK178" s="357"/>
      <c r="CDL178" s="357"/>
      <c r="CDM178" s="357"/>
      <c r="CDN178" s="357"/>
      <c r="CDO178" s="357"/>
      <c r="CDP178" s="356"/>
      <c r="CDQ178" s="357"/>
      <c r="CDR178" s="357"/>
      <c r="CDS178" s="357"/>
      <c r="CDT178" s="357"/>
      <c r="CDU178" s="357"/>
      <c r="CDV178" s="356"/>
      <c r="CDW178" s="357"/>
      <c r="CDX178" s="357"/>
      <c r="CDY178" s="357"/>
      <c r="CDZ178" s="357"/>
      <c r="CEA178" s="357"/>
      <c r="CEB178" s="356"/>
      <c r="CEC178" s="357"/>
      <c r="CED178" s="357"/>
      <c r="CEE178" s="357"/>
      <c r="CEF178" s="357"/>
      <c r="CEG178" s="357"/>
      <c r="CEH178" s="356"/>
      <c r="CEI178" s="357"/>
      <c r="CEJ178" s="357"/>
      <c r="CEK178" s="357"/>
      <c r="CEL178" s="357"/>
      <c r="CEM178" s="357"/>
      <c r="CEN178" s="356"/>
      <c r="CEO178" s="357"/>
      <c r="CEP178" s="357"/>
      <c r="CEQ178" s="357"/>
      <c r="CER178" s="357"/>
      <c r="CES178" s="357"/>
      <c r="CET178" s="356"/>
      <c r="CEU178" s="357"/>
      <c r="CEV178" s="357"/>
      <c r="CEW178" s="357"/>
      <c r="CEX178" s="357"/>
      <c r="CEY178" s="357"/>
      <c r="CEZ178" s="356"/>
      <c r="CFA178" s="357"/>
      <c r="CFB178" s="357"/>
      <c r="CFC178" s="357"/>
      <c r="CFD178" s="357"/>
      <c r="CFE178" s="357"/>
      <c r="CFF178" s="356"/>
      <c r="CFG178" s="357"/>
      <c r="CFH178" s="357"/>
      <c r="CFI178" s="357"/>
      <c r="CFJ178" s="357"/>
      <c r="CFK178" s="357"/>
      <c r="CFL178" s="356"/>
      <c r="CFM178" s="357"/>
      <c r="CFN178" s="357"/>
      <c r="CFO178" s="357"/>
      <c r="CFP178" s="357"/>
      <c r="CFQ178" s="357"/>
      <c r="CFR178" s="356"/>
      <c r="CFS178" s="357"/>
      <c r="CFT178" s="357"/>
      <c r="CFU178" s="357"/>
      <c r="CFV178" s="357"/>
      <c r="CFW178" s="357"/>
      <c r="CFX178" s="356"/>
      <c r="CFY178" s="357"/>
      <c r="CFZ178" s="357"/>
      <c r="CGA178" s="357"/>
      <c r="CGB178" s="357"/>
      <c r="CGC178" s="357"/>
      <c r="CGD178" s="356"/>
      <c r="CGE178" s="357"/>
      <c r="CGF178" s="357"/>
      <c r="CGG178" s="357"/>
      <c r="CGH178" s="357"/>
      <c r="CGI178" s="357"/>
      <c r="CGJ178" s="356"/>
      <c r="CGK178" s="357"/>
      <c r="CGL178" s="357"/>
      <c r="CGM178" s="357"/>
      <c r="CGN178" s="357"/>
      <c r="CGO178" s="357"/>
      <c r="CGP178" s="356"/>
      <c r="CGQ178" s="357"/>
      <c r="CGR178" s="357"/>
      <c r="CGS178" s="357"/>
      <c r="CGT178" s="357"/>
      <c r="CGU178" s="357"/>
      <c r="CGV178" s="356"/>
      <c r="CGW178" s="357"/>
      <c r="CGX178" s="357"/>
      <c r="CGY178" s="357"/>
      <c r="CGZ178" s="357"/>
      <c r="CHA178" s="357"/>
      <c r="CHB178" s="356"/>
      <c r="CHC178" s="357"/>
      <c r="CHD178" s="357"/>
      <c r="CHE178" s="357"/>
      <c r="CHF178" s="357"/>
      <c r="CHG178" s="357"/>
      <c r="CHH178" s="356"/>
      <c r="CHI178" s="357"/>
      <c r="CHJ178" s="357"/>
      <c r="CHK178" s="357"/>
      <c r="CHL178" s="357"/>
      <c r="CHM178" s="357"/>
      <c r="CHN178" s="356"/>
      <c r="CHO178" s="357"/>
      <c r="CHP178" s="357"/>
      <c r="CHQ178" s="357"/>
      <c r="CHR178" s="357"/>
      <c r="CHS178" s="357"/>
      <c r="CHT178" s="356"/>
      <c r="CHU178" s="357"/>
      <c r="CHV178" s="357"/>
      <c r="CHW178" s="357"/>
      <c r="CHX178" s="357"/>
      <c r="CHY178" s="357"/>
      <c r="CHZ178" s="356"/>
      <c r="CIA178" s="357"/>
      <c r="CIB178" s="357"/>
      <c r="CIC178" s="357"/>
      <c r="CID178" s="357"/>
      <c r="CIE178" s="357"/>
      <c r="CIF178" s="356"/>
      <c r="CIG178" s="357"/>
      <c r="CIH178" s="357"/>
      <c r="CII178" s="357"/>
      <c r="CIJ178" s="357"/>
      <c r="CIK178" s="357"/>
      <c r="CIL178" s="356"/>
      <c r="CIM178" s="357"/>
      <c r="CIN178" s="357"/>
      <c r="CIO178" s="357"/>
      <c r="CIP178" s="357"/>
      <c r="CIQ178" s="357"/>
      <c r="CIR178" s="356"/>
      <c r="CIS178" s="357"/>
      <c r="CIT178" s="357"/>
      <c r="CIU178" s="357"/>
      <c r="CIV178" s="357"/>
      <c r="CIW178" s="357"/>
      <c r="CIX178" s="356"/>
      <c r="CIY178" s="357"/>
      <c r="CIZ178" s="357"/>
      <c r="CJA178" s="357"/>
      <c r="CJB178" s="357"/>
      <c r="CJC178" s="357"/>
      <c r="CJD178" s="356"/>
      <c r="CJE178" s="357"/>
      <c r="CJF178" s="357"/>
      <c r="CJG178" s="357"/>
      <c r="CJH178" s="357"/>
      <c r="CJI178" s="357"/>
      <c r="CJJ178" s="356"/>
      <c r="CJK178" s="357"/>
      <c r="CJL178" s="357"/>
      <c r="CJM178" s="357"/>
      <c r="CJN178" s="357"/>
      <c r="CJO178" s="357"/>
      <c r="CJP178" s="356"/>
      <c r="CJQ178" s="357"/>
      <c r="CJR178" s="357"/>
      <c r="CJS178" s="357"/>
      <c r="CJT178" s="357"/>
      <c r="CJU178" s="357"/>
      <c r="CJV178" s="356"/>
      <c r="CJW178" s="357"/>
      <c r="CJX178" s="357"/>
      <c r="CJY178" s="357"/>
      <c r="CJZ178" s="357"/>
      <c r="CKA178" s="357"/>
      <c r="CKB178" s="356"/>
      <c r="CKC178" s="357"/>
      <c r="CKD178" s="357"/>
      <c r="CKE178" s="357"/>
      <c r="CKF178" s="357"/>
      <c r="CKG178" s="357"/>
      <c r="CKH178" s="356"/>
      <c r="CKI178" s="357"/>
      <c r="CKJ178" s="357"/>
      <c r="CKK178" s="357"/>
      <c r="CKL178" s="357"/>
      <c r="CKM178" s="357"/>
      <c r="CKN178" s="356"/>
      <c r="CKO178" s="357"/>
      <c r="CKP178" s="357"/>
      <c r="CKQ178" s="357"/>
      <c r="CKR178" s="357"/>
      <c r="CKS178" s="357"/>
      <c r="CKT178" s="356"/>
      <c r="CKU178" s="357"/>
      <c r="CKV178" s="357"/>
      <c r="CKW178" s="357"/>
      <c r="CKX178" s="357"/>
      <c r="CKY178" s="357"/>
      <c r="CKZ178" s="356"/>
      <c r="CLA178" s="357"/>
      <c r="CLB178" s="357"/>
      <c r="CLC178" s="357"/>
      <c r="CLD178" s="357"/>
      <c r="CLE178" s="357"/>
      <c r="CLF178" s="356"/>
      <c r="CLG178" s="357"/>
      <c r="CLH178" s="357"/>
      <c r="CLI178" s="357"/>
      <c r="CLJ178" s="357"/>
      <c r="CLK178" s="357"/>
      <c r="CLL178" s="356"/>
      <c r="CLM178" s="357"/>
      <c r="CLN178" s="357"/>
      <c r="CLO178" s="357"/>
      <c r="CLP178" s="357"/>
      <c r="CLQ178" s="357"/>
      <c r="CLR178" s="356"/>
      <c r="CLS178" s="357"/>
      <c r="CLT178" s="357"/>
      <c r="CLU178" s="357"/>
      <c r="CLV178" s="357"/>
      <c r="CLW178" s="357"/>
      <c r="CLX178" s="356"/>
      <c r="CLY178" s="357"/>
      <c r="CLZ178" s="357"/>
      <c r="CMA178" s="357"/>
      <c r="CMB178" s="357"/>
      <c r="CMC178" s="357"/>
      <c r="CMD178" s="356"/>
      <c r="CME178" s="357"/>
      <c r="CMF178" s="357"/>
      <c r="CMG178" s="357"/>
      <c r="CMH178" s="357"/>
      <c r="CMI178" s="357"/>
      <c r="CMJ178" s="356"/>
      <c r="CMK178" s="357"/>
      <c r="CML178" s="357"/>
      <c r="CMM178" s="357"/>
      <c r="CMN178" s="357"/>
      <c r="CMO178" s="357"/>
      <c r="CMP178" s="356"/>
      <c r="CMQ178" s="357"/>
      <c r="CMR178" s="357"/>
      <c r="CMS178" s="357"/>
      <c r="CMT178" s="357"/>
      <c r="CMU178" s="357"/>
      <c r="CMV178" s="356"/>
      <c r="CMW178" s="357"/>
      <c r="CMX178" s="357"/>
      <c r="CMY178" s="357"/>
      <c r="CMZ178" s="357"/>
      <c r="CNA178" s="357"/>
      <c r="CNB178" s="356"/>
      <c r="CNC178" s="357"/>
      <c r="CND178" s="357"/>
      <c r="CNE178" s="357"/>
      <c r="CNF178" s="357"/>
      <c r="CNG178" s="357"/>
      <c r="CNH178" s="356"/>
      <c r="CNI178" s="357"/>
      <c r="CNJ178" s="357"/>
      <c r="CNK178" s="357"/>
      <c r="CNL178" s="357"/>
      <c r="CNM178" s="357"/>
      <c r="CNN178" s="356"/>
      <c r="CNO178" s="357"/>
      <c r="CNP178" s="357"/>
      <c r="CNQ178" s="357"/>
      <c r="CNR178" s="357"/>
      <c r="CNS178" s="357"/>
      <c r="CNT178" s="356"/>
      <c r="CNU178" s="357"/>
      <c r="CNV178" s="357"/>
      <c r="CNW178" s="357"/>
      <c r="CNX178" s="357"/>
      <c r="CNY178" s="357"/>
      <c r="CNZ178" s="356"/>
      <c r="COA178" s="357"/>
      <c r="COB178" s="357"/>
      <c r="COC178" s="357"/>
      <c r="COD178" s="357"/>
      <c r="COE178" s="357"/>
      <c r="COF178" s="356"/>
      <c r="COG178" s="357"/>
      <c r="COH178" s="357"/>
      <c r="COI178" s="357"/>
      <c r="COJ178" s="357"/>
      <c r="COK178" s="357"/>
      <c r="COL178" s="356"/>
      <c r="COM178" s="357"/>
      <c r="CON178" s="357"/>
      <c r="COO178" s="357"/>
      <c r="COP178" s="357"/>
      <c r="COQ178" s="357"/>
      <c r="COR178" s="356"/>
      <c r="COS178" s="357"/>
      <c r="COT178" s="357"/>
      <c r="COU178" s="357"/>
      <c r="COV178" s="357"/>
      <c r="COW178" s="357"/>
      <c r="COX178" s="356"/>
      <c r="COY178" s="357"/>
      <c r="COZ178" s="357"/>
      <c r="CPA178" s="357"/>
      <c r="CPB178" s="357"/>
      <c r="CPC178" s="357"/>
      <c r="CPD178" s="356"/>
      <c r="CPE178" s="357"/>
      <c r="CPF178" s="357"/>
      <c r="CPG178" s="357"/>
      <c r="CPH178" s="357"/>
      <c r="CPI178" s="357"/>
      <c r="CPJ178" s="356"/>
      <c r="CPK178" s="357"/>
      <c r="CPL178" s="357"/>
      <c r="CPM178" s="357"/>
      <c r="CPN178" s="357"/>
      <c r="CPO178" s="357"/>
      <c r="CPP178" s="356"/>
      <c r="CPQ178" s="357"/>
      <c r="CPR178" s="357"/>
      <c r="CPS178" s="357"/>
      <c r="CPT178" s="357"/>
      <c r="CPU178" s="357"/>
      <c r="CPV178" s="356"/>
      <c r="CPW178" s="357"/>
      <c r="CPX178" s="357"/>
      <c r="CPY178" s="357"/>
      <c r="CPZ178" s="357"/>
      <c r="CQA178" s="357"/>
      <c r="CQB178" s="356"/>
      <c r="CQC178" s="357"/>
      <c r="CQD178" s="357"/>
      <c r="CQE178" s="357"/>
      <c r="CQF178" s="357"/>
      <c r="CQG178" s="357"/>
      <c r="CQH178" s="356"/>
      <c r="CQI178" s="357"/>
      <c r="CQJ178" s="357"/>
      <c r="CQK178" s="357"/>
      <c r="CQL178" s="357"/>
      <c r="CQM178" s="357"/>
      <c r="CQN178" s="356"/>
      <c r="CQO178" s="357"/>
      <c r="CQP178" s="357"/>
      <c r="CQQ178" s="357"/>
      <c r="CQR178" s="357"/>
      <c r="CQS178" s="357"/>
      <c r="CQT178" s="356"/>
      <c r="CQU178" s="357"/>
      <c r="CQV178" s="357"/>
      <c r="CQW178" s="357"/>
      <c r="CQX178" s="357"/>
      <c r="CQY178" s="357"/>
      <c r="CQZ178" s="356"/>
      <c r="CRA178" s="357"/>
      <c r="CRB178" s="357"/>
      <c r="CRC178" s="357"/>
      <c r="CRD178" s="357"/>
      <c r="CRE178" s="357"/>
      <c r="CRF178" s="356"/>
      <c r="CRG178" s="357"/>
      <c r="CRH178" s="357"/>
      <c r="CRI178" s="357"/>
      <c r="CRJ178" s="357"/>
      <c r="CRK178" s="357"/>
      <c r="CRL178" s="356"/>
      <c r="CRM178" s="357"/>
      <c r="CRN178" s="357"/>
      <c r="CRO178" s="357"/>
      <c r="CRP178" s="357"/>
      <c r="CRQ178" s="357"/>
      <c r="CRR178" s="356"/>
      <c r="CRS178" s="357"/>
      <c r="CRT178" s="357"/>
      <c r="CRU178" s="357"/>
      <c r="CRV178" s="357"/>
      <c r="CRW178" s="357"/>
      <c r="CRX178" s="356"/>
      <c r="CRY178" s="357"/>
      <c r="CRZ178" s="357"/>
      <c r="CSA178" s="357"/>
      <c r="CSB178" s="357"/>
      <c r="CSC178" s="357"/>
      <c r="CSD178" s="356"/>
      <c r="CSE178" s="357"/>
      <c r="CSF178" s="357"/>
      <c r="CSG178" s="357"/>
      <c r="CSH178" s="357"/>
      <c r="CSI178" s="357"/>
      <c r="CSJ178" s="356"/>
      <c r="CSK178" s="357"/>
      <c r="CSL178" s="357"/>
      <c r="CSM178" s="357"/>
      <c r="CSN178" s="357"/>
      <c r="CSO178" s="357"/>
      <c r="CSP178" s="356"/>
      <c r="CSQ178" s="357"/>
      <c r="CSR178" s="357"/>
      <c r="CSS178" s="357"/>
      <c r="CST178" s="357"/>
      <c r="CSU178" s="357"/>
      <c r="CSV178" s="356"/>
      <c r="CSW178" s="357"/>
      <c r="CSX178" s="357"/>
      <c r="CSY178" s="357"/>
      <c r="CSZ178" s="357"/>
      <c r="CTA178" s="357"/>
      <c r="CTB178" s="356"/>
      <c r="CTC178" s="357"/>
      <c r="CTD178" s="357"/>
      <c r="CTE178" s="357"/>
      <c r="CTF178" s="357"/>
      <c r="CTG178" s="357"/>
      <c r="CTH178" s="356"/>
      <c r="CTI178" s="357"/>
      <c r="CTJ178" s="357"/>
      <c r="CTK178" s="357"/>
      <c r="CTL178" s="357"/>
      <c r="CTM178" s="357"/>
      <c r="CTN178" s="356"/>
      <c r="CTO178" s="357"/>
      <c r="CTP178" s="357"/>
      <c r="CTQ178" s="357"/>
      <c r="CTR178" s="357"/>
      <c r="CTS178" s="357"/>
      <c r="CTT178" s="356"/>
      <c r="CTU178" s="357"/>
      <c r="CTV178" s="357"/>
      <c r="CTW178" s="357"/>
      <c r="CTX178" s="357"/>
      <c r="CTY178" s="357"/>
      <c r="CTZ178" s="356"/>
      <c r="CUA178" s="357"/>
      <c r="CUB178" s="357"/>
      <c r="CUC178" s="357"/>
      <c r="CUD178" s="357"/>
      <c r="CUE178" s="357"/>
      <c r="CUF178" s="356"/>
      <c r="CUG178" s="357"/>
      <c r="CUH178" s="357"/>
      <c r="CUI178" s="357"/>
      <c r="CUJ178" s="357"/>
      <c r="CUK178" s="357"/>
      <c r="CUL178" s="356"/>
      <c r="CUM178" s="357"/>
      <c r="CUN178" s="357"/>
      <c r="CUO178" s="357"/>
      <c r="CUP178" s="357"/>
      <c r="CUQ178" s="357"/>
      <c r="CUR178" s="356"/>
      <c r="CUS178" s="357"/>
      <c r="CUT178" s="357"/>
      <c r="CUU178" s="357"/>
      <c r="CUV178" s="357"/>
      <c r="CUW178" s="357"/>
      <c r="CUX178" s="356"/>
      <c r="CUY178" s="357"/>
      <c r="CUZ178" s="357"/>
      <c r="CVA178" s="357"/>
      <c r="CVB178" s="357"/>
      <c r="CVC178" s="357"/>
      <c r="CVD178" s="356"/>
      <c r="CVE178" s="357"/>
      <c r="CVF178" s="357"/>
      <c r="CVG178" s="357"/>
      <c r="CVH178" s="357"/>
      <c r="CVI178" s="357"/>
      <c r="CVJ178" s="356"/>
      <c r="CVK178" s="357"/>
      <c r="CVL178" s="357"/>
      <c r="CVM178" s="357"/>
      <c r="CVN178" s="357"/>
      <c r="CVO178" s="357"/>
      <c r="CVP178" s="356"/>
      <c r="CVQ178" s="357"/>
      <c r="CVR178" s="357"/>
      <c r="CVS178" s="357"/>
      <c r="CVT178" s="357"/>
      <c r="CVU178" s="357"/>
      <c r="CVV178" s="356"/>
      <c r="CVW178" s="357"/>
      <c r="CVX178" s="357"/>
      <c r="CVY178" s="357"/>
      <c r="CVZ178" s="357"/>
      <c r="CWA178" s="357"/>
      <c r="CWB178" s="356"/>
      <c r="CWC178" s="357"/>
      <c r="CWD178" s="357"/>
      <c r="CWE178" s="357"/>
      <c r="CWF178" s="357"/>
      <c r="CWG178" s="357"/>
      <c r="CWH178" s="356"/>
      <c r="CWI178" s="357"/>
      <c r="CWJ178" s="357"/>
      <c r="CWK178" s="357"/>
      <c r="CWL178" s="357"/>
      <c r="CWM178" s="357"/>
      <c r="CWN178" s="356"/>
      <c r="CWO178" s="357"/>
      <c r="CWP178" s="357"/>
      <c r="CWQ178" s="357"/>
      <c r="CWR178" s="357"/>
      <c r="CWS178" s="357"/>
      <c r="CWT178" s="356"/>
      <c r="CWU178" s="357"/>
      <c r="CWV178" s="357"/>
      <c r="CWW178" s="357"/>
      <c r="CWX178" s="357"/>
      <c r="CWY178" s="357"/>
      <c r="CWZ178" s="356"/>
      <c r="CXA178" s="357"/>
      <c r="CXB178" s="357"/>
      <c r="CXC178" s="357"/>
      <c r="CXD178" s="357"/>
      <c r="CXE178" s="357"/>
      <c r="CXF178" s="356"/>
      <c r="CXG178" s="357"/>
      <c r="CXH178" s="357"/>
      <c r="CXI178" s="357"/>
      <c r="CXJ178" s="357"/>
      <c r="CXK178" s="357"/>
      <c r="CXL178" s="356"/>
      <c r="CXM178" s="357"/>
      <c r="CXN178" s="357"/>
      <c r="CXO178" s="357"/>
      <c r="CXP178" s="357"/>
      <c r="CXQ178" s="357"/>
      <c r="CXR178" s="356"/>
      <c r="CXS178" s="357"/>
      <c r="CXT178" s="357"/>
      <c r="CXU178" s="357"/>
      <c r="CXV178" s="357"/>
      <c r="CXW178" s="357"/>
      <c r="CXX178" s="356"/>
      <c r="CXY178" s="357"/>
      <c r="CXZ178" s="357"/>
      <c r="CYA178" s="357"/>
      <c r="CYB178" s="357"/>
      <c r="CYC178" s="357"/>
      <c r="CYD178" s="356"/>
      <c r="CYE178" s="357"/>
      <c r="CYF178" s="357"/>
      <c r="CYG178" s="357"/>
      <c r="CYH178" s="357"/>
      <c r="CYI178" s="357"/>
      <c r="CYJ178" s="356"/>
      <c r="CYK178" s="357"/>
      <c r="CYL178" s="357"/>
      <c r="CYM178" s="357"/>
      <c r="CYN178" s="357"/>
      <c r="CYO178" s="357"/>
      <c r="CYP178" s="356"/>
      <c r="CYQ178" s="357"/>
      <c r="CYR178" s="357"/>
      <c r="CYS178" s="357"/>
      <c r="CYT178" s="357"/>
      <c r="CYU178" s="357"/>
      <c r="CYV178" s="356"/>
      <c r="CYW178" s="357"/>
      <c r="CYX178" s="357"/>
      <c r="CYY178" s="357"/>
      <c r="CYZ178" s="357"/>
      <c r="CZA178" s="357"/>
      <c r="CZB178" s="356"/>
      <c r="CZC178" s="357"/>
      <c r="CZD178" s="357"/>
      <c r="CZE178" s="357"/>
      <c r="CZF178" s="357"/>
      <c r="CZG178" s="357"/>
      <c r="CZH178" s="356"/>
      <c r="CZI178" s="357"/>
      <c r="CZJ178" s="357"/>
      <c r="CZK178" s="357"/>
      <c r="CZL178" s="357"/>
      <c r="CZM178" s="357"/>
      <c r="CZN178" s="356"/>
      <c r="CZO178" s="357"/>
      <c r="CZP178" s="357"/>
      <c r="CZQ178" s="357"/>
      <c r="CZR178" s="357"/>
      <c r="CZS178" s="357"/>
      <c r="CZT178" s="356"/>
      <c r="CZU178" s="357"/>
      <c r="CZV178" s="357"/>
      <c r="CZW178" s="357"/>
      <c r="CZX178" s="357"/>
      <c r="CZY178" s="357"/>
      <c r="CZZ178" s="356"/>
      <c r="DAA178" s="357"/>
      <c r="DAB178" s="357"/>
      <c r="DAC178" s="357"/>
      <c r="DAD178" s="357"/>
      <c r="DAE178" s="357"/>
      <c r="DAF178" s="356"/>
      <c r="DAG178" s="357"/>
      <c r="DAH178" s="357"/>
      <c r="DAI178" s="357"/>
      <c r="DAJ178" s="357"/>
      <c r="DAK178" s="357"/>
      <c r="DAL178" s="356"/>
      <c r="DAM178" s="357"/>
      <c r="DAN178" s="357"/>
      <c r="DAO178" s="357"/>
      <c r="DAP178" s="357"/>
      <c r="DAQ178" s="357"/>
      <c r="DAR178" s="356"/>
      <c r="DAS178" s="357"/>
      <c r="DAT178" s="357"/>
      <c r="DAU178" s="357"/>
      <c r="DAV178" s="357"/>
      <c r="DAW178" s="357"/>
      <c r="DAX178" s="356"/>
      <c r="DAY178" s="357"/>
      <c r="DAZ178" s="357"/>
      <c r="DBA178" s="357"/>
      <c r="DBB178" s="357"/>
      <c r="DBC178" s="357"/>
      <c r="DBD178" s="356"/>
      <c r="DBE178" s="357"/>
      <c r="DBF178" s="357"/>
      <c r="DBG178" s="357"/>
      <c r="DBH178" s="357"/>
      <c r="DBI178" s="357"/>
      <c r="DBJ178" s="356"/>
      <c r="DBK178" s="357"/>
      <c r="DBL178" s="357"/>
      <c r="DBM178" s="357"/>
      <c r="DBN178" s="357"/>
      <c r="DBO178" s="357"/>
      <c r="DBP178" s="356"/>
      <c r="DBQ178" s="357"/>
      <c r="DBR178" s="357"/>
      <c r="DBS178" s="357"/>
      <c r="DBT178" s="357"/>
      <c r="DBU178" s="357"/>
      <c r="DBV178" s="356"/>
      <c r="DBW178" s="357"/>
      <c r="DBX178" s="357"/>
      <c r="DBY178" s="357"/>
      <c r="DBZ178" s="357"/>
      <c r="DCA178" s="357"/>
      <c r="DCB178" s="356"/>
      <c r="DCC178" s="357"/>
      <c r="DCD178" s="357"/>
      <c r="DCE178" s="357"/>
      <c r="DCF178" s="357"/>
      <c r="DCG178" s="357"/>
      <c r="DCH178" s="356"/>
      <c r="DCI178" s="357"/>
      <c r="DCJ178" s="357"/>
      <c r="DCK178" s="357"/>
      <c r="DCL178" s="357"/>
      <c r="DCM178" s="357"/>
      <c r="DCN178" s="356"/>
      <c r="DCO178" s="357"/>
      <c r="DCP178" s="357"/>
      <c r="DCQ178" s="357"/>
      <c r="DCR178" s="357"/>
      <c r="DCS178" s="357"/>
      <c r="DCT178" s="356"/>
      <c r="DCU178" s="357"/>
      <c r="DCV178" s="357"/>
      <c r="DCW178" s="357"/>
      <c r="DCX178" s="357"/>
      <c r="DCY178" s="357"/>
      <c r="DCZ178" s="356"/>
      <c r="DDA178" s="357"/>
      <c r="DDB178" s="357"/>
      <c r="DDC178" s="357"/>
      <c r="DDD178" s="357"/>
      <c r="DDE178" s="357"/>
      <c r="DDF178" s="356"/>
      <c r="DDG178" s="357"/>
      <c r="DDH178" s="357"/>
      <c r="DDI178" s="357"/>
      <c r="DDJ178" s="357"/>
      <c r="DDK178" s="357"/>
      <c r="DDL178" s="356"/>
      <c r="DDM178" s="357"/>
      <c r="DDN178" s="357"/>
      <c r="DDO178" s="357"/>
      <c r="DDP178" s="357"/>
      <c r="DDQ178" s="357"/>
      <c r="DDR178" s="356"/>
      <c r="DDS178" s="357"/>
      <c r="DDT178" s="357"/>
      <c r="DDU178" s="357"/>
      <c r="DDV178" s="357"/>
      <c r="DDW178" s="357"/>
      <c r="DDX178" s="356"/>
      <c r="DDY178" s="357"/>
      <c r="DDZ178" s="357"/>
      <c r="DEA178" s="357"/>
      <c r="DEB178" s="357"/>
      <c r="DEC178" s="357"/>
      <c r="DED178" s="356"/>
      <c r="DEE178" s="357"/>
      <c r="DEF178" s="357"/>
      <c r="DEG178" s="357"/>
      <c r="DEH178" s="357"/>
      <c r="DEI178" s="357"/>
      <c r="DEJ178" s="356"/>
      <c r="DEK178" s="357"/>
      <c r="DEL178" s="357"/>
      <c r="DEM178" s="357"/>
      <c r="DEN178" s="357"/>
      <c r="DEO178" s="357"/>
      <c r="DEP178" s="356"/>
      <c r="DEQ178" s="357"/>
      <c r="DER178" s="357"/>
      <c r="DES178" s="357"/>
      <c r="DET178" s="357"/>
      <c r="DEU178" s="357"/>
      <c r="DEV178" s="356"/>
      <c r="DEW178" s="357"/>
      <c r="DEX178" s="357"/>
      <c r="DEY178" s="357"/>
      <c r="DEZ178" s="357"/>
      <c r="DFA178" s="357"/>
      <c r="DFB178" s="356"/>
      <c r="DFC178" s="357"/>
      <c r="DFD178" s="357"/>
      <c r="DFE178" s="357"/>
      <c r="DFF178" s="357"/>
      <c r="DFG178" s="357"/>
      <c r="DFH178" s="356"/>
      <c r="DFI178" s="357"/>
      <c r="DFJ178" s="357"/>
      <c r="DFK178" s="357"/>
      <c r="DFL178" s="357"/>
      <c r="DFM178" s="357"/>
      <c r="DFN178" s="356"/>
      <c r="DFO178" s="357"/>
      <c r="DFP178" s="357"/>
      <c r="DFQ178" s="357"/>
      <c r="DFR178" s="357"/>
      <c r="DFS178" s="357"/>
      <c r="DFT178" s="356"/>
      <c r="DFU178" s="357"/>
      <c r="DFV178" s="357"/>
      <c r="DFW178" s="357"/>
      <c r="DFX178" s="357"/>
      <c r="DFY178" s="357"/>
      <c r="DFZ178" s="356"/>
      <c r="DGA178" s="357"/>
      <c r="DGB178" s="357"/>
      <c r="DGC178" s="357"/>
      <c r="DGD178" s="357"/>
      <c r="DGE178" s="357"/>
      <c r="DGF178" s="356"/>
      <c r="DGG178" s="357"/>
      <c r="DGH178" s="357"/>
      <c r="DGI178" s="357"/>
      <c r="DGJ178" s="357"/>
      <c r="DGK178" s="357"/>
      <c r="DGL178" s="356"/>
      <c r="DGM178" s="357"/>
      <c r="DGN178" s="357"/>
      <c r="DGO178" s="357"/>
      <c r="DGP178" s="357"/>
      <c r="DGQ178" s="357"/>
      <c r="DGR178" s="356"/>
      <c r="DGS178" s="357"/>
      <c r="DGT178" s="357"/>
      <c r="DGU178" s="357"/>
      <c r="DGV178" s="357"/>
      <c r="DGW178" s="357"/>
      <c r="DGX178" s="356"/>
      <c r="DGY178" s="357"/>
      <c r="DGZ178" s="357"/>
      <c r="DHA178" s="357"/>
      <c r="DHB178" s="357"/>
      <c r="DHC178" s="357"/>
      <c r="DHD178" s="356"/>
      <c r="DHE178" s="357"/>
      <c r="DHF178" s="357"/>
      <c r="DHG178" s="357"/>
      <c r="DHH178" s="357"/>
      <c r="DHI178" s="357"/>
      <c r="DHJ178" s="356"/>
      <c r="DHK178" s="357"/>
      <c r="DHL178" s="357"/>
      <c r="DHM178" s="357"/>
      <c r="DHN178" s="357"/>
      <c r="DHO178" s="357"/>
      <c r="DHP178" s="356"/>
      <c r="DHQ178" s="357"/>
      <c r="DHR178" s="357"/>
      <c r="DHS178" s="357"/>
      <c r="DHT178" s="357"/>
      <c r="DHU178" s="357"/>
      <c r="DHV178" s="356"/>
      <c r="DHW178" s="357"/>
      <c r="DHX178" s="357"/>
      <c r="DHY178" s="357"/>
      <c r="DHZ178" s="357"/>
      <c r="DIA178" s="357"/>
      <c r="DIB178" s="356"/>
      <c r="DIC178" s="357"/>
      <c r="DID178" s="357"/>
      <c r="DIE178" s="357"/>
      <c r="DIF178" s="357"/>
      <c r="DIG178" s="357"/>
      <c r="DIH178" s="356"/>
      <c r="DII178" s="357"/>
      <c r="DIJ178" s="357"/>
      <c r="DIK178" s="357"/>
      <c r="DIL178" s="357"/>
      <c r="DIM178" s="357"/>
      <c r="DIN178" s="356"/>
      <c r="DIO178" s="357"/>
      <c r="DIP178" s="357"/>
      <c r="DIQ178" s="357"/>
      <c r="DIR178" s="357"/>
      <c r="DIS178" s="357"/>
      <c r="DIT178" s="356"/>
      <c r="DIU178" s="357"/>
      <c r="DIV178" s="357"/>
      <c r="DIW178" s="357"/>
      <c r="DIX178" s="357"/>
      <c r="DIY178" s="357"/>
      <c r="DIZ178" s="356"/>
      <c r="DJA178" s="357"/>
      <c r="DJB178" s="357"/>
      <c r="DJC178" s="357"/>
      <c r="DJD178" s="357"/>
      <c r="DJE178" s="357"/>
      <c r="DJF178" s="356"/>
      <c r="DJG178" s="357"/>
      <c r="DJH178" s="357"/>
      <c r="DJI178" s="357"/>
      <c r="DJJ178" s="357"/>
      <c r="DJK178" s="357"/>
      <c r="DJL178" s="356"/>
      <c r="DJM178" s="357"/>
      <c r="DJN178" s="357"/>
      <c r="DJO178" s="357"/>
      <c r="DJP178" s="357"/>
      <c r="DJQ178" s="357"/>
      <c r="DJR178" s="356"/>
      <c r="DJS178" s="357"/>
      <c r="DJT178" s="357"/>
      <c r="DJU178" s="357"/>
      <c r="DJV178" s="357"/>
      <c r="DJW178" s="357"/>
      <c r="DJX178" s="356"/>
      <c r="DJY178" s="357"/>
      <c r="DJZ178" s="357"/>
      <c r="DKA178" s="357"/>
      <c r="DKB178" s="357"/>
      <c r="DKC178" s="357"/>
      <c r="DKD178" s="356"/>
      <c r="DKE178" s="357"/>
      <c r="DKF178" s="357"/>
      <c r="DKG178" s="357"/>
      <c r="DKH178" s="357"/>
      <c r="DKI178" s="357"/>
      <c r="DKJ178" s="356"/>
      <c r="DKK178" s="357"/>
      <c r="DKL178" s="357"/>
      <c r="DKM178" s="357"/>
      <c r="DKN178" s="357"/>
      <c r="DKO178" s="357"/>
      <c r="DKP178" s="356"/>
      <c r="DKQ178" s="357"/>
      <c r="DKR178" s="357"/>
      <c r="DKS178" s="357"/>
      <c r="DKT178" s="357"/>
      <c r="DKU178" s="357"/>
      <c r="DKV178" s="356"/>
      <c r="DKW178" s="357"/>
      <c r="DKX178" s="357"/>
      <c r="DKY178" s="357"/>
      <c r="DKZ178" s="357"/>
      <c r="DLA178" s="357"/>
      <c r="DLB178" s="356"/>
      <c r="DLC178" s="357"/>
      <c r="DLD178" s="357"/>
      <c r="DLE178" s="357"/>
      <c r="DLF178" s="357"/>
      <c r="DLG178" s="357"/>
      <c r="DLH178" s="356"/>
      <c r="DLI178" s="357"/>
      <c r="DLJ178" s="357"/>
      <c r="DLK178" s="357"/>
      <c r="DLL178" s="357"/>
      <c r="DLM178" s="357"/>
      <c r="DLN178" s="356"/>
      <c r="DLO178" s="357"/>
      <c r="DLP178" s="357"/>
      <c r="DLQ178" s="357"/>
      <c r="DLR178" s="357"/>
      <c r="DLS178" s="357"/>
      <c r="DLT178" s="356"/>
      <c r="DLU178" s="357"/>
      <c r="DLV178" s="357"/>
      <c r="DLW178" s="357"/>
      <c r="DLX178" s="357"/>
      <c r="DLY178" s="357"/>
      <c r="DLZ178" s="356"/>
      <c r="DMA178" s="357"/>
      <c r="DMB178" s="357"/>
      <c r="DMC178" s="357"/>
      <c r="DMD178" s="357"/>
      <c r="DME178" s="357"/>
      <c r="DMF178" s="356"/>
      <c r="DMG178" s="357"/>
      <c r="DMH178" s="357"/>
      <c r="DMI178" s="357"/>
      <c r="DMJ178" s="357"/>
      <c r="DMK178" s="357"/>
      <c r="DML178" s="356"/>
      <c r="DMM178" s="357"/>
      <c r="DMN178" s="357"/>
      <c r="DMO178" s="357"/>
      <c r="DMP178" s="357"/>
      <c r="DMQ178" s="357"/>
      <c r="DMR178" s="356"/>
      <c r="DMS178" s="357"/>
      <c r="DMT178" s="357"/>
      <c r="DMU178" s="357"/>
      <c r="DMV178" s="357"/>
      <c r="DMW178" s="357"/>
      <c r="DMX178" s="356"/>
      <c r="DMY178" s="357"/>
      <c r="DMZ178" s="357"/>
      <c r="DNA178" s="357"/>
      <c r="DNB178" s="357"/>
      <c r="DNC178" s="357"/>
      <c r="DND178" s="356"/>
      <c r="DNE178" s="357"/>
      <c r="DNF178" s="357"/>
      <c r="DNG178" s="357"/>
      <c r="DNH178" s="357"/>
      <c r="DNI178" s="357"/>
      <c r="DNJ178" s="356"/>
      <c r="DNK178" s="357"/>
      <c r="DNL178" s="357"/>
      <c r="DNM178" s="357"/>
      <c r="DNN178" s="357"/>
      <c r="DNO178" s="357"/>
      <c r="DNP178" s="356"/>
      <c r="DNQ178" s="357"/>
      <c r="DNR178" s="357"/>
      <c r="DNS178" s="357"/>
      <c r="DNT178" s="357"/>
      <c r="DNU178" s="357"/>
      <c r="DNV178" s="356"/>
      <c r="DNW178" s="357"/>
      <c r="DNX178" s="357"/>
      <c r="DNY178" s="357"/>
      <c r="DNZ178" s="357"/>
      <c r="DOA178" s="357"/>
      <c r="DOB178" s="356"/>
      <c r="DOC178" s="357"/>
      <c r="DOD178" s="357"/>
      <c r="DOE178" s="357"/>
      <c r="DOF178" s="357"/>
      <c r="DOG178" s="357"/>
      <c r="DOH178" s="356"/>
      <c r="DOI178" s="357"/>
      <c r="DOJ178" s="357"/>
      <c r="DOK178" s="357"/>
      <c r="DOL178" s="357"/>
      <c r="DOM178" s="357"/>
      <c r="DON178" s="356"/>
      <c r="DOO178" s="357"/>
      <c r="DOP178" s="357"/>
      <c r="DOQ178" s="357"/>
      <c r="DOR178" s="357"/>
      <c r="DOS178" s="357"/>
      <c r="DOT178" s="356"/>
      <c r="DOU178" s="357"/>
      <c r="DOV178" s="357"/>
      <c r="DOW178" s="357"/>
      <c r="DOX178" s="357"/>
      <c r="DOY178" s="357"/>
      <c r="DOZ178" s="356"/>
      <c r="DPA178" s="357"/>
      <c r="DPB178" s="357"/>
      <c r="DPC178" s="357"/>
      <c r="DPD178" s="357"/>
      <c r="DPE178" s="357"/>
      <c r="DPF178" s="356"/>
      <c r="DPG178" s="357"/>
      <c r="DPH178" s="357"/>
      <c r="DPI178" s="357"/>
      <c r="DPJ178" s="357"/>
      <c r="DPK178" s="357"/>
      <c r="DPL178" s="356"/>
      <c r="DPM178" s="357"/>
      <c r="DPN178" s="357"/>
      <c r="DPO178" s="357"/>
      <c r="DPP178" s="357"/>
      <c r="DPQ178" s="357"/>
      <c r="DPR178" s="356"/>
      <c r="DPS178" s="357"/>
      <c r="DPT178" s="357"/>
      <c r="DPU178" s="357"/>
      <c r="DPV178" s="357"/>
      <c r="DPW178" s="357"/>
      <c r="DPX178" s="356"/>
      <c r="DPY178" s="357"/>
      <c r="DPZ178" s="357"/>
      <c r="DQA178" s="357"/>
      <c r="DQB178" s="357"/>
      <c r="DQC178" s="357"/>
      <c r="DQD178" s="356"/>
      <c r="DQE178" s="357"/>
      <c r="DQF178" s="357"/>
      <c r="DQG178" s="357"/>
      <c r="DQH178" s="357"/>
      <c r="DQI178" s="357"/>
      <c r="DQJ178" s="356"/>
      <c r="DQK178" s="357"/>
      <c r="DQL178" s="357"/>
      <c r="DQM178" s="357"/>
      <c r="DQN178" s="357"/>
      <c r="DQO178" s="357"/>
      <c r="DQP178" s="356"/>
      <c r="DQQ178" s="357"/>
      <c r="DQR178" s="357"/>
      <c r="DQS178" s="357"/>
      <c r="DQT178" s="357"/>
      <c r="DQU178" s="357"/>
      <c r="DQV178" s="356"/>
      <c r="DQW178" s="357"/>
      <c r="DQX178" s="357"/>
      <c r="DQY178" s="357"/>
      <c r="DQZ178" s="357"/>
      <c r="DRA178" s="357"/>
      <c r="DRB178" s="356"/>
      <c r="DRC178" s="357"/>
      <c r="DRD178" s="357"/>
      <c r="DRE178" s="357"/>
      <c r="DRF178" s="357"/>
      <c r="DRG178" s="357"/>
      <c r="DRH178" s="356"/>
      <c r="DRI178" s="357"/>
      <c r="DRJ178" s="357"/>
      <c r="DRK178" s="357"/>
      <c r="DRL178" s="357"/>
      <c r="DRM178" s="357"/>
      <c r="DRN178" s="356"/>
      <c r="DRO178" s="357"/>
      <c r="DRP178" s="357"/>
      <c r="DRQ178" s="357"/>
      <c r="DRR178" s="357"/>
      <c r="DRS178" s="357"/>
      <c r="DRT178" s="356"/>
      <c r="DRU178" s="357"/>
      <c r="DRV178" s="357"/>
      <c r="DRW178" s="357"/>
      <c r="DRX178" s="357"/>
      <c r="DRY178" s="357"/>
      <c r="DRZ178" s="356"/>
      <c r="DSA178" s="357"/>
      <c r="DSB178" s="357"/>
      <c r="DSC178" s="357"/>
      <c r="DSD178" s="357"/>
      <c r="DSE178" s="357"/>
      <c r="DSF178" s="356"/>
      <c r="DSG178" s="357"/>
      <c r="DSH178" s="357"/>
      <c r="DSI178" s="357"/>
      <c r="DSJ178" s="357"/>
      <c r="DSK178" s="357"/>
      <c r="DSL178" s="356"/>
      <c r="DSM178" s="357"/>
      <c r="DSN178" s="357"/>
      <c r="DSO178" s="357"/>
      <c r="DSP178" s="357"/>
      <c r="DSQ178" s="357"/>
      <c r="DSR178" s="356"/>
      <c r="DSS178" s="357"/>
      <c r="DST178" s="357"/>
      <c r="DSU178" s="357"/>
      <c r="DSV178" s="357"/>
      <c r="DSW178" s="357"/>
      <c r="DSX178" s="356"/>
      <c r="DSY178" s="357"/>
      <c r="DSZ178" s="357"/>
      <c r="DTA178" s="357"/>
      <c r="DTB178" s="357"/>
      <c r="DTC178" s="357"/>
      <c r="DTD178" s="356"/>
      <c r="DTE178" s="357"/>
      <c r="DTF178" s="357"/>
      <c r="DTG178" s="357"/>
      <c r="DTH178" s="357"/>
      <c r="DTI178" s="357"/>
      <c r="DTJ178" s="356"/>
      <c r="DTK178" s="357"/>
      <c r="DTL178" s="357"/>
      <c r="DTM178" s="357"/>
      <c r="DTN178" s="357"/>
      <c r="DTO178" s="357"/>
      <c r="DTP178" s="356"/>
      <c r="DTQ178" s="357"/>
      <c r="DTR178" s="357"/>
      <c r="DTS178" s="357"/>
      <c r="DTT178" s="357"/>
      <c r="DTU178" s="357"/>
      <c r="DTV178" s="356"/>
      <c r="DTW178" s="357"/>
      <c r="DTX178" s="357"/>
      <c r="DTY178" s="357"/>
      <c r="DTZ178" s="357"/>
      <c r="DUA178" s="357"/>
      <c r="DUB178" s="356"/>
      <c r="DUC178" s="357"/>
      <c r="DUD178" s="357"/>
      <c r="DUE178" s="357"/>
      <c r="DUF178" s="357"/>
      <c r="DUG178" s="357"/>
      <c r="DUH178" s="356"/>
      <c r="DUI178" s="357"/>
      <c r="DUJ178" s="357"/>
      <c r="DUK178" s="357"/>
      <c r="DUL178" s="357"/>
      <c r="DUM178" s="357"/>
      <c r="DUN178" s="356"/>
      <c r="DUO178" s="357"/>
      <c r="DUP178" s="357"/>
      <c r="DUQ178" s="357"/>
      <c r="DUR178" s="357"/>
      <c r="DUS178" s="357"/>
      <c r="DUT178" s="356"/>
      <c r="DUU178" s="357"/>
      <c r="DUV178" s="357"/>
      <c r="DUW178" s="357"/>
      <c r="DUX178" s="357"/>
      <c r="DUY178" s="357"/>
      <c r="DUZ178" s="356"/>
      <c r="DVA178" s="357"/>
      <c r="DVB178" s="357"/>
      <c r="DVC178" s="357"/>
      <c r="DVD178" s="357"/>
      <c r="DVE178" s="357"/>
      <c r="DVF178" s="356"/>
      <c r="DVG178" s="357"/>
      <c r="DVH178" s="357"/>
      <c r="DVI178" s="357"/>
      <c r="DVJ178" s="357"/>
      <c r="DVK178" s="357"/>
      <c r="DVL178" s="356"/>
      <c r="DVM178" s="357"/>
      <c r="DVN178" s="357"/>
      <c r="DVO178" s="357"/>
      <c r="DVP178" s="357"/>
      <c r="DVQ178" s="357"/>
      <c r="DVR178" s="356"/>
      <c r="DVS178" s="357"/>
      <c r="DVT178" s="357"/>
      <c r="DVU178" s="357"/>
      <c r="DVV178" s="357"/>
      <c r="DVW178" s="357"/>
      <c r="DVX178" s="356"/>
      <c r="DVY178" s="357"/>
      <c r="DVZ178" s="357"/>
      <c r="DWA178" s="357"/>
      <c r="DWB178" s="357"/>
      <c r="DWC178" s="357"/>
      <c r="DWD178" s="356"/>
      <c r="DWE178" s="357"/>
      <c r="DWF178" s="357"/>
      <c r="DWG178" s="357"/>
      <c r="DWH178" s="357"/>
      <c r="DWI178" s="357"/>
      <c r="DWJ178" s="356"/>
      <c r="DWK178" s="357"/>
      <c r="DWL178" s="357"/>
      <c r="DWM178" s="357"/>
      <c r="DWN178" s="357"/>
      <c r="DWO178" s="357"/>
      <c r="DWP178" s="356"/>
      <c r="DWQ178" s="357"/>
      <c r="DWR178" s="357"/>
      <c r="DWS178" s="357"/>
      <c r="DWT178" s="357"/>
      <c r="DWU178" s="357"/>
      <c r="DWV178" s="356"/>
      <c r="DWW178" s="357"/>
      <c r="DWX178" s="357"/>
      <c r="DWY178" s="357"/>
      <c r="DWZ178" s="357"/>
      <c r="DXA178" s="357"/>
      <c r="DXB178" s="356"/>
      <c r="DXC178" s="357"/>
      <c r="DXD178" s="357"/>
      <c r="DXE178" s="357"/>
      <c r="DXF178" s="357"/>
      <c r="DXG178" s="357"/>
      <c r="DXH178" s="356"/>
      <c r="DXI178" s="357"/>
      <c r="DXJ178" s="357"/>
      <c r="DXK178" s="357"/>
      <c r="DXL178" s="357"/>
      <c r="DXM178" s="357"/>
      <c r="DXN178" s="356"/>
      <c r="DXO178" s="357"/>
      <c r="DXP178" s="357"/>
      <c r="DXQ178" s="357"/>
      <c r="DXR178" s="357"/>
      <c r="DXS178" s="357"/>
      <c r="DXT178" s="356"/>
      <c r="DXU178" s="357"/>
      <c r="DXV178" s="357"/>
      <c r="DXW178" s="357"/>
      <c r="DXX178" s="357"/>
      <c r="DXY178" s="357"/>
      <c r="DXZ178" s="356"/>
      <c r="DYA178" s="357"/>
      <c r="DYB178" s="357"/>
      <c r="DYC178" s="357"/>
      <c r="DYD178" s="357"/>
      <c r="DYE178" s="357"/>
      <c r="DYF178" s="356"/>
      <c r="DYG178" s="357"/>
      <c r="DYH178" s="357"/>
      <c r="DYI178" s="357"/>
      <c r="DYJ178" s="357"/>
      <c r="DYK178" s="357"/>
      <c r="DYL178" s="356"/>
      <c r="DYM178" s="357"/>
      <c r="DYN178" s="357"/>
      <c r="DYO178" s="357"/>
      <c r="DYP178" s="357"/>
      <c r="DYQ178" s="357"/>
      <c r="DYR178" s="356"/>
      <c r="DYS178" s="357"/>
      <c r="DYT178" s="357"/>
      <c r="DYU178" s="357"/>
      <c r="DYV178" s="357"/>
      <c r="DYW178" s="357"/>
      <c r="DYX178" s="356"/>
      <c r="DYY178" s="357"/>
      <c r="DYZ178" s="357"/>
      <c r="DZA178" s="357"/>
      <c r="DZB178" s="357"/>
      <c r="DZC178" s="357"/>
      <c r="DZD178" s="356"/>
      <c r="DZE178" s="357"/>
      <c r="DZF178" s="357"/>
      <c r="DZG178" s="357"/>
      <c r="DZH178" s="357"/>
      <c r="DZI178" s="357"/>
      <c r="DZJ178" s="356"/>
      <c r="DZK178" s="357"/>
      <c r="DZL178" s="357"/>
      <c r="DZM178" s="357"/>
      <c r="DZN178" s="357"/>
      <c r="DZO178" s="357"/>
      <c r="DZP178" s="356"/>
      <c r="DZQ178" s="357"/>
      <c r="DZR178" s="357"/>
      <c r="DZS178" s="357"/>
      <c r="DZT178" s="357"/>
      <c r="DZU178" s="357"/>
      <c r="DZV178" s="356"/>
      <c r="DZW178" s="357"/>
      <c r="DZX178" s="357"/>
      <c r="DZY178" s="357"/>
      <c r="DZZ178" s="357"/>
      <c r="EAA178" s="357"/>
      <c r="EAB178" s="356"/>
      <c r="EAC178" s="357"/>
      <c r="EAD178" s="357"/>
      <c r="EAE178" s="357"/>
      <c r="EAF178" s="357"/>
      <c r="EAG178" s="357"/>
      <c r="EAH178" s="356"/>
      <c r="EAI178" s="357"/>
      <c r="EAJ178" s="357"/>
      <c r="EAK178" s="357"/>
      <c r="EAL178" s="357"/>
      <c r="EAM178" s="357"/>
      <c r="EAN178" s="356"/>
      <c r="EAO178" s="357"/>
      <c r="EAP178" s="357"/>
      <c r="EAQ178" s="357"/>
      <c r="EAR178" s="357"/>
      <c r="EAS178" s="357"/>
      <c r="EAT178" s="356"/>
      <c r="EAU178" s="357"/>
      <c r="EAV178" s="357"/>
      <c r="EAW178" s="357"/>
      <c r="EAX178" s="357"/>
      <c r="EAY178" s="357"/>
      <c r="EAZ178" s="356"/>
      <c r="EBA178" s="357"/>
      <c r="EBB178" s="357"/>
      <c r="EBC178" s="357"/>
      <c r="EBD178" s="357"/>
      <c r="EBE178" s="357"/>
      <c r="EBF178" s="356"/>
      <c r="EBG178" s="357"/>
      <c r="EBH178" s="357"/>
      <c r="EBI178" s="357"/>
      <c r="EBJ178" s="357"/>
      <c r="EBK178" s="357"/>
      <c r="EBL178" s="356"/>
      <c r="EBM178" s="357"/>
      <c r="EBN178" s="357"/>
      <c r="EBO178" s="357"/>
      <c r="EBP178" s="357"/>
      <c r="EBQ178" s="357"/>
      <c r="EBR178" s="356"/>
      <c r="EBS178" s="357"/>
      <c r="EBT178" s="357"/>
      <c r="EBU178" s="357"/>
      <c r="EBV178" s="357"/>
      <c r="EBW178" s="357"/>
      <c r="EBX178" s="356"/>
      <c r="EBY178" s="357"/>
      <c r="EBZ178" s="357"/>
      <c r="ECA178" s="357"/>
      <c r="ECB178" s="357"/>
      <c r="ECC178" s="357"/>
      <c r="ECD178" s="356"/>
      <c r="ECE178" s="357"/>
      <c r="ECF178" s="357"/>
      <c r="ECG178" s="357"/>
      <c r="ECH178" s="357"/>
      <c r="ECI178" s="357"/>
      <c r="ECJ178" s="356"/>
      <c r="ECK178" s="357"/>
      <c r="ECL178" s="357"/>
      <c r="ECM178" s="357"/>
      <c r="ECN178" s="357"/>
      <c r="ECO178" s="357"/>
      <c r="ECP178" s="356"/>
      <c r="ECQ178" s="357"/>
      <c r="ECR178" s="357"/>
      <c r="ECS178" s="357"/>
      <c r="ECT178" s="357"/>
      <c r="ECU178" s="357"/>
      <c r="ECV178" s="356"/>
      <c r="ECW178" s="357"/>
      <c r="ECX178" s="357"/>
      <c r="ECY178" s="357"/>
      <c r="ECZ178" s="357"/>
      <c r="EDA178" s="357"/>
      <c r="EDB178" s="356"/>
      <c r="EDC178" s="357"/>
      <c r="EDD178" s="357"/>
      <c r="EDE178" s="357"/>
      <c r="EDF178" s="357"/>
      <c r="EDG178" s="357"/>
      <c r="EDH178" s="356"/>
      <c r="EDI178" s="357"/>
      <c r="EDJ178" s="357"/>
      <c r="EDK178" s="357"/>
      <c r="EDL178" s="357"/>
      <c r="EDM178" s="357"/>
      <c r="EDN178" s="356"/>
      <c r="EDO178" s="357"/>
      <c r="EDP178" s="357"/>
      <c r="EDQ178" s="357"/>
      <c r="EDR178" s="357"/>
      <c r="EDS178" s="357"/>
      <c r="EDT178" s="356"/>
      <c r="EDU178" s="357"/>
      <c r="EDV178" s="357"/>
      <c r="EDW178" s="357"/>
      <c r="EDX178" s="357"/>
      <c r="EDY178" s="357"/>
      <c r="EDZ178" s="356"/>
      <c r="EEA178" s="357"/>
      <c r="EEB178" s="357"/>
      <c r="EEC178" s="357"/>
      <c r="EED178" s="357"/>
      <c r="EEE178" s="357"/>
      <c r="EEF178" s="356"/>
      <c r="EEG178" s="357"/>
      <c r="EEH178" s="357"/>
      <c r="EEI178" s="357"/>
      <c r="EEJ178" s="357"/>
      <c r="EEK178" s="357"/>
      <c r="EEL178" s="356"/>
      <c r="EEM178" s="357"/>
      <c r="EEN178" s="357"/>
      <c r="EEO178" s="357"/>
      <c r="EEP178" s="357"/>
      <c r="EEQ178" s="357"/>
      <c r="EER178" s="356"/>
      <c r="EES178" s="357"/>
      <c r="EET178" s="357"/>
      <c r="EEU178" s="357"/>
      <c r="EEV178" s="357"/>
      <c r="EEW178" s="357"/>
      <c r="EEX178" s="356"/>
      <c r="EEY178" s="357"/>
      <c r="EEZ178" s="357"/>
      <c r="EFA178" s="357"/>
      <c r="EFB178" s="357"/>
      <c r="EFC178" s="357"/>
      <c r="EFD178" s="356"/>
      <c r="EFE178" s="357"/>
      <c r="EFF178" s="357"/>
      <c r="EFG178" s="357"/>
      <c r="EFH178" s="357"/>
      <c r="EFI178" s="357"/>
      <c r="EFJ178" s="356"/>
      <c r="EFK178" s="357"/>
      <c r="EFL178" s="357"/>
      <c r="EFM178" s="357"/>
      <c r="EFN178" s="357"/>
      <c r="EFO178" s="357"/>
      <c r="EFP178" s="356"/>
      <c r="EFQ178" s="357"/>
      <c r="EFR178" s="357"/>
      <c r="EFS178" s="357"/>
      <c r="EFT178" s="357"/>
      <c r="EFU178" s="357"/>
      <c r="EFV178" s="356"/>
      <c r="EFW178" s="357"/>
      <c r="EFX178" s="357"/>
      <c r="EFY178" s="357"/>
      <c r="EFZ178" s="357"/>
      <c r="EGA178" s="357"/>
      <c r="EGB178" s="356"/>
      <c r="EGC178" s="357"/>
      <c r="EGD178" s="357"/>
      <c r="EGE178" s="357"/>
      <c r="EGF178" s="357"/>
      <c r="EGG178" s="357"/>
      <c r="EGH178" s="356"/>
      <c r="EGI178" s="357"/>
      <c r="EGJ178" s="357"/>
      <c r="EGK178" s="357"/>
      <c r="EGL178" s="357"/>
      <c r="EGM178" s="357"/>
      <c r="EGN178" s="356"/>
      <c r="EGO178" s="357"/>
      <c r="EGP178" s="357"/>
      <c r="EGQ178" s="357"/>
      <c r="EGR178" s="357"/>
      <c r="EGS178" s="357"/>
      <c r="EGT178" s="356"/>
      <c r="EGU178" s="357"/>
      <c r="EGV178" s="357"/>
      <c r="EGW178" s="357"/>
      <c r="EGX178" s="357"/>
      <c r="EGY178" s="357"/>
      <c r="EGZ178" s="356"/>
      <c r="EHA178" s="357"/>
      <c r="EHB178" s="357"/>
      <c r="EHC178" s="357"/>
      <c r="EHD178" s="357"/>
      <c r="EHE178" s="357"/>
      <c r="EHF178" s="356"/>
      <c r="EHG178" s="357"/>
      <c r="EHH178" s="357"/>
      <c r="EHI178" s="357"/>
      <c r="EHJ178" s="357"/>
      <c r="EHK178" s="357"/>
      <c r="EHL178" s="356"/>
      <c r="EHM178" s="357"/>
      <c r="EHN178" s="357"/>
      <c r="EHO178" s="357"/>
      <c r="EHP178" s="357"/>
      <c r="EHQ178" s="357"/>
      <c r="EHR178" s="356"/>
      <c r="EHS178" s="357"/>
      <c r="EHT178" s="357"/>
      <c r="EHU178" s="357"/>
      <c r="EHV178" s="357"/>
      <c r="EHW178" s="357"/>
      <c r="EHX178" s="356"/>
      <c r="EHY178" s="357"/>
      <c r="EHZ178" s="357"/>
      <c r="EIA178" s="357"/>
      <c r="EIB178" s="357"/>
      <c r="EIC178" s="357"/>
      <c r="EID178" s="356"/>
      <c r="EIE178" s="357"/>
      <c r="EIF178" s="357"/>
      <c r="EIG178" s="357"/>
      <c r="EIH178" s="357"/>
      <c r="EII178" s="357"/>
      <c r="EIJ178" s="356"/>
      <c r="EIK178" s="357"/>
      <c r="EIL178" s="357"/>
      <c r="EIM178" s="357"/>
      <c r="EIN178" s="357"/>
      <c r="EIO178" s="357"/>
      <c r="EIP178" s="356"/>
      <c r="EIQ178" s="357"/>
      <c r="EIR178" s="357"/>
      <c r="EIS178" s="357"/>
      <c r="EIT178" s="357"/>
      <c r="EIU178" s="357"/>
      <c r="EIV178" s="356"/>
      <c r="EIW178" s="357"/>
      <c r="EIX178" s="357"/>
      <c r="EIY178" s="357"/>
      <c r="EIZ178" s="357"/>
      <c r="EJA178" s="357"/>
      <c r="EJB178" s="356"/>
      <c r="EJC178" s="357"/>
      <c r="EJD178" s="357"/>
      <c r="EJE178" s="357"/>
      <c r="EJF178" s="357"/>
      <c r="EJG178" s="357"/>
      <c r="EJH178" s="356"/>
      <c r="EJI178" s="357"/>
      <c r="EJJ178" s="357"/>
      <c r="EJK178" s="357"/>
      <c r="EJL178" s="357"/>
      <c r="EJM178" s="357"/>
      <c r="EJN178" s="356"/>
      <c r="EJO178" s="357"/>
      <c r="EJP178" s="357"/>
      <c r="EJQ178" s="357"/>
      <c r="EJR178" s="357"/>
      <c r="EJS178" s="357"/>
      <c r="EJT178" s="356"/>
      <c r="EJU178" s="357"/>
      <c r="EJV178" s="357"/>
      <c r="EJW178" s="357"/>
      <c r="EJX178" s="357"/>
      <c r="EJY178" s="357"/>
      <c r="EJZ178" s="356"/>
      <c r="EKA178" s="357"/>
      <c r="EKB178" s="357"/>
      <c r="EKC178" s="357"/>
      <c r="EKD178" s="357"/>
      <c r="EKE178" s="357"/>
      <c r="EKF178" s="356"/>
      <c r="EKG178" s="357"/>
      <c r="EKH178" s="357"/>
      <c r="EKI178" s="357"/>
      <c r="EKJ178" s="357"/>
      <c r="EKK178" s="357"/>
      <c r="EKL178" s="356"/>
      <c r="EKM178" s="357"/>
      <c r="EKN178" s="357"/>
      <c r="EKO178" s="357"/>
      <c r="EKP178" s="357"/>
      <c r="EKQ178" s="357"/>
      <c r="EKR178" s="356"/>
      <c r="EKS178" s="357"/>
      <c r="EKT178" s="357"/>
      <c r="EKU178" s="357"/>
      <c r="EKV178" s="357"/>
      <c r="EKW178" s="357"/>
      <c r="EKX178" s="356"/>
      <c r="EKY178" s="357"/>
      <c r="EKZ178" s="357"/>
      <c r="ELA178" s="357"/>
      <c r="ELB178" s="357"/>
      <c r="ELC178" s="357"/>
      <c r="ELD178" s="356"/>
      <c r="ELE178" s="357"/>
      <c r="ELF178" s="357"/>
      <c r="ELG178" s="357"/>
      <c r="ELH178" s="357"/>
      <c r="ELI178" s="357"/>
      <c r="ELJ178" s="356"/>
      <c r="ELK178" s="357"/>
      <c r="ELL178" s="357"/>
      <c r="ELM178" s="357"/>
      <c r="ELN178" s="357"/>
      <c r="ELO178" s="357"/>
      <c r="ELP178" s="356"/>
      <c r="ELQ178" s="357"/>
      <c r="ELR178" s="357"/>
      <c r="ELS178" s="357"/>
      <c r="ELT178" s="357"/>
      <c r="ELU178" s="357"/>
      <c r="ELV178" s="356"/>
      <c r="ELW178" s="357"/>
      <c r="ELX178" s="357"/>
      <c r="ELY178" s="357"/>
      <c r="ELZ178" s="357"/>
      <c r="EMA178" s="357"/>
      <c r="EMB178" s="356"/>
      <c r="EMC178" s="357"/>
      <c r="EMD178" s="357"/>
      <c r="EME178" s="357"/>
      <c r="EMF178" s="357"/>
      <c r="EMG178" s="357"/>
      <c r="EMH178" s="356"/>
      <c r="EMI178" s="357"/>
      <c r="EMJ178" s="357"/>
      <c r="EMK178" s="357"/>
      <c r="EML178" s="357"/>
      <c r="EMM178" s="357"/>
      <c r="EMN178" s="356"/>
      <c r="EMO178" s="357"/>
      <c r="EMP178" s="357"/>
      <c r="EMQ178" s="357"/>
      <c r="EMR178" s="357"/>
      <c r="EMS178" s="357"/>
      <c r="EMT178" s="356"/>
      <c r="EMU178" s="357"/>
      <c r="EMV178" s="357"/>
      <c r="EMW178" s="357"/>
      <c r="EMX178" s="357"/>
      <c r="EMY178" s="357"/>
      <c r="EMZ178" s="356"/>
      <c r="ENA178" s="357"/>
      <c r="ENB178" s="357"/>
      <c r="ENC178" s="357"/>
      <c r="END178" s="357"/>
      <c r="ENE178" s="357"/>
      <c r="ENF178" s="356"/>
      <c r="ENG178" s="357"/>
      <c r="ENH178" s="357"/>
      <c r="ENI178" s="357"/>
      <c r="ENJ178" s="357"/>
      <c r="ENK178" s="357"/>
      <c r="ENL178" s="356"/>
      <c r="ENM178" s="357"/>
      <c r="ENN178" s="357"/>
      <c r="ENO178" s="357"/>
      <c r="ENP178" s="357"/>
      <c r="ENQ178" s="357"/>
      <c r="ENR178" s="356"/>
      <c r="ENS178" s="357"/>
      <c r="ENT178" s="357"/>
      <c r="ENU178" s="357"/>
      <c r="ENV178" s="357"/>
      <c r="ENW178" s="357"/>
      <c r="ENX178" s="356"/>
      <c r="ENY178" s="357"/>
      <c r="ENZ178" s="357"/>
      <c r="EOA178" s="357"/>
      <c r="EOB178" s="357"/>
      <c r="EOC178" s="357"/>
      <c r="EOD178" s="356"/>
      <c r="EOE178" s="357"/>
      <c r="EOF178" s="357"/>
      <c r="EOG178" s="357"/>
      <c r="EOH178" s="357"/>
      <c r="EOI178" s="357"/>
      <c r="EOJ178" s="356"/>
      <c r="EOK178" s="357"/>
      <c r="EOL178" s="357"/>
      <c r="EOM178" s="357"/>
      <c r="EON178" s="357"/>
      <c r="EOO178" s="357"/>
      <c r="EOP178" s="356"/>
      <c r="EOQ178" s="357"/>
      <c r="EOR178" s="357"/>
      <c r="EOS178" s="357"/>
      <c r="EOT178" s="357"/>
      <c r="EOU178" s="357"/>
      <c r="EOV178" s="356"/>
      <c r="EOW178" s="357"/>
      <c r="EOX178" s="357"/>
      <c r="EOY178" s="357"/>
      <c r="EOZ178" s="357"/>
      <c r="EPA178" s="357"/>
      <c r="EPB178" s="356"/>
      <c r="EPC178" s="357"/>
      <c r="EPD178" s="357"/>
      <c r="EPE178" s="357"/>
      <c r="EPF178" s="357"/>
      <c r="EPG178" s="357"/>
      <c r="EPH178" s="356"/>
      <c r="EPI178" s="357"/>
      <c r="EPJ178" s="357"/>
      <c r="EPK178" s="357"/>
      <c r="EPL178" s="357"/>
      <c r="EPM178" s="357"/>
      <c r="EPN178" s="356"/>
      <c r="EPO178" s="357"/>
      <c r="EPP178" s="357"/>
      <c r="EPQ178" s="357"/>
      <c r="EPR178" s="357"/>
      <c r="EPS178" s="357"/>
      <c r="EPT178" s="356"/>
      <c r="EPU178" s="357"/>
      <c r="EPV178" s="357"/>
      <c r="EPW178" s="357"/>
      <c r="EPX178" s="357"/>
      <c r="EPY178" s="357"/>
      <c r="EPZ178" s="356"/>
      <c r="EQA178" s="357"/>
      <c r="EQB178" s="357"/>
      <c r="EQC178" s="357"/>
      <c r="EQD178" s="357"/>
      <c r="EQE178" s="357"/>
      <c r="EQF178" s="356"/>
      <c r="EQG178" s="357"/>
      <c r="EQH178" s="357"/>
      <c r="EQI178" s="357"/>
      <c r="EQJ178" s="357"/>
      <c r="EQK178" s="357"/>
      <c r="EQL178" s="356"/>
      <c r="EQM178" s="357"/>
      <c r="EQN178" s="357"/>
      <c r="EQO178" s="357"/>
      <c r="EQP178" s="357"/>
      <c r="EQQ178" s="357"/>
      <c r="EQR178" s="356"/>
      <c r="EQS178" s="357"/>
      <c r="EQT178" s="357"/>
      <c r="EQU178" s="357"/>
      <c r="EQV178" s="357"/>
      <c r="EQW178" s="357"/>
      <c r="EQX178" s="356"/>
      <c r="EQY178" s="357"/>
      <c r="EQZ178" s="357"/>
      <c r="ERA178" s="357"/>
      <c r="ERB178" s="357"/>
      <c r="ERC178" s="357"/>
      <c r="ERD178" s="356"/>
      <c r="ERE178" s="357"/>
      <c r="ERF178" s="357"/>
      <c r="ERG178" s="357"/>
      <c r="ERH178" s="357"/>
      <c r="ERI178" s="357"/>
      <c r="ERJ178" s="356"/>
      <c r="ERK178" s="357"/>
      <c r="ERL178" s="357"/>
      <c r="ERM178" s="357"/>
      <c r="ERN178" s="357"/>
      <c r="ERO178" s="357"/>
      <c r="ERP178" s="356"/>
      <c r="ERQ178" s="357"/>
      <c r="ERR178" s="357"/>
      <c r="ERS178" s="357"/>
      <c r="ERT178" s="357"/>
      <c r="ERU178" s="357"/>
      <c r="ERV178" s="356"/>
      <c r="ERW178" s="357"/>
      <c r="ERX178" s="357"/>
      <c r="ERY178" s="357"/>
      <c r="ERZ178" s="357"/>
      <c r="ESA178" s="357"/>
      <c r="ESB178" s="356"/>
      <c r="ESC178" s="357"/>
      <c r="ESD178" s="357"/>
      <c r="ESE178" s="357"/>
      <c r="ESF178" s="357"/>
      <c r="ESG178" s="357"/>
      <c r="ESH178" s="356"/>
      <c r="ESI178" s="357"/>
      <c r="ESJ178" s="357"/>
      <c r="ESK178" s="357"/>
      <c r="ESL178" s="357"/>
      <c r="ESM178" s="357"/>
      <c r="ESN178" s="356"/>
      <c r="ESO178" s="357"/>
      <c r="ESP178" s="357"/>
      <c r="ESQ178" s="357"/>
      <c r="ESR178" s="357"/>
      <c r="ESS178" s="357"/>
      <c r="EST178" s="356"/>
      <c r="ESU178" s="357"/>
      <c r="ESV178" s="357"/>
      <c r="ESW178" s="357"/>
      <c r="ESX178" s="357"/>
      <c r="ESY178" s="357"/>
      <c r="ESZ178" s="356"/>
      <c r="ETA178" s="357"/>
      <c r="ETB178" s="357"/>
      <c r="ETC178" s="357"/>
      <c r="ETD178" s="357"/>
      <c r="ETE178" s="357"/>
      <c r="ETF178" s="356"/>
      <c r="ETG178" s="357"/>
      <c r="ETH178" s="357"/>
      <c r="ETI178" s="357"/>
      <c r="ETJ178" s="357"/>
      <c r="ETK178" s="357"/>
      <c r="ETL178" s="356"/>
      <c r="ETM178" s="357"/>
      <c r="ETN178" s="357"/>
      <c r="ETO178" s="357"/>
      <c r="ETP178" s="357"/>
      <c r="ETQ178" s="357"/>
      <c r="ETR178" s="356"/>
      <c r="ETS178" s="357"/>
      <c r="ETT178" s="357"/>
      <c r="ETU178" s="357"/>
      <c r="ETV178" s="357"/>
      <c r="ETW178" s="357"/>
      <c r="ETX178" s="356"/>
      <c r="ETY178" s="357"/>
      <c r="ETZ178" s="357"/>
      <c r="EUA178" s="357"/>
      <c r="EUB178" s="357"/>
      <c r="EUC178" s="357"/>
      <c r="EUD178" s="356"/>
      <c r="EUE178" s="357"/>
      <c r="EUF178" s="357"/>
      <c r="EUG178" s="357"/>
      <c r="EUH178" s="357"/>
      <c r="EUI178" s="357"/>
      <c r="EUJ178" s="356"/>
      <c r="EUK178" s="357"/>
      <c r="EUL178" s="357"/>
      <c r="EUM178" s="357"/>
      <c r="EUN178" s="357"/>
      <c r="EUO178" s="357"/>
      <c r="EUP178" s="356"/>
      <c r="EUQ178" s="357"/>
      <c r="EUR178" s="357"/>
      <c r="EUS178" s="357"/>
      <c r="EUT178" s="357"/>
      <c r="EUU178" s="357"/>
      <c r="EUV178" s="356"/>
      <c r="EUW178" s="357"/>
      <c r="EUX178" s="357"/>
      <c r="EUY178" s="357"/>
      <c r="EUZ178" s="357"/>
      <c r="EVA178" s="357"/>
      <c r="EVB178" s="356"/>
      <c r="EVC178" s="357"/>
      <c r="EVD178" s="357"/>
      <c r="EVE178" s="357"/>
      <c r="EVF178" s="357"/>
      <c r="EVG178" s="357"/>
      <c r="EVH178" s="356"/>
      <c r="EVI178" s="357"/>
      <c r="EVJ178" s="357"/>
      <c r="EVK178" s="357"/>
      <c r="EVL178" s="357"/>
      <c r="EVM178" s="357"/>
      <c r="EVN178" s="356"/>
      <c r="EVO178" s="357"/>
      <c r="EVP178" s="357"/>
      <c r="EVQ178" s="357"/>
      <c r="EVR178" s="357"/>
      <c r="EVS178" s="357"/>
      <c r="EVT178" s="356"/>
      <c r="EVU178" s="357"/>
      <c r="EVV178" s="357"/>
      <c r="EVW178" s="357"/>
      <c r="EVX178" s="357"/>
      <c r="EVY178" s="357"/>
      <c r="EVZ178" s="356"/>
      <c r="EWA178" s="357"/>
      <c r="EWB178" s="357"/>
      <c r="EWC178" s="357"/>
      <c r="EWD178" s="357"/>
      <c r="EWE178" s="357"/>
      <c r="EWF178" s="356"/>
      <c r="EWG178" s="357"/>
      <c r="EWH178" s="357"/>
      <c r="EWI178" s="357"/>
      <c r="EWJ178" s="357"/>
      <c r="EWK178" s="357"/>
      <c r="EWL178" s="356"/>
      <c r="EWM178" s="357"/>
      <c r="EWN178" s="357"/>
      <c r="EWO178" s="357"/>
      <c r="EWP178" s="357"/>
      <c r="EWQ178" s="357"/>
      <c r="EWR178" s="356"/>
      <c r="EWS178" s="357"/>
      <c r="EWT178" s="357"/>
      <c r="EWU178" s="357"/>
      <c r="EWV178" s="357"/>
      <c r="EWW178" s="357"/>
      <c r="EWX178" s="356"/>
      <c r="EWY178" s="357"/>
      <c r="EWZ178" s="357"/>
      <c r="EXA178" s="357"/>
      <c r="EXB178" s="357"/>
      <c r="EXC178" s="357"/>
      <c r="EXD178" s="356"/>
      <c r="EXE178" s="357"/>
      <c r="EXF178" s="357"/>
      <c r="EXG178" s="357"/>
      <c r="EXH178" s="357"/>
      <c r="EXI178" s="357"/>
      <c r="EXJ178" s="356"/>
      <c r="EXK178" s="357"/>
      <c r="EXL178" s="357"/>
      <c r="EXM178" s="357"/>
      <c r="EXN178" s="357"/>
      <c r="EXO178" s="357"/>
      <c r="EXP178" s="356"/>
      <c r="EXQ178" s="357"/>
      <c r="EXR178" s="357"/>
      <c r="EXS178" s="357"/>
      <c r="EXT178" s="357"/>
      <c r="EXU178" s="357"/>
      <c r="EXV178" s="356"/>
      <c r="EXW178" s="357"/>
      <c r="EXX178" s="357"/>
      <c r="EXY178" s="357"/>
      <c r="EXZ178" s="357"/>
      <c r="EYA178" s="357"/>
      <c r="EYB178" s="356"/>
      <c r="EYC178" s="357"/>
      <c r="EYD178" s="357"/>
      <c r="EYE178" s="357"/>
      <c r="EYF178" s="357"/>
      <c r="EYG178" s="357"/>
      <c r="EYH178" s="356"/>
      <c r="EYI178" s="357"/>
      <c r="EYJ178" s="357"/>
      <c r="EYK178" s="357"/>
      <c r="EYL178" s="357"/>
      <c r="EYM178" s="357"/>
      <c r="EYN178" s="356"/>
      <c r="EYO178" s="357"/>
      <c r="EYP178" s="357"/>
      <c r="EYQ178" s="357"/>
      <c r="EYR178" s="357"/>
      <c r="EYS178" s="357"/>
      <c r="EYT178" s="356"/>
      <c r="EYU178" s="357"/>
      <c r="EYV178" s="357"/>
      <c r="EYW178" s="357"/>
      <c r="EYX178" s="357"/>
      <c r="EYY178" s="357"/>
      <c r="EYZ178" s="356"/>
      <c r="EZA178" s="357"/>
      <c r="EZB178" s="357"/>
      <c r="EZC178" s="357"/>
      <c r="EZD178" s="357"/>
      <c r="EZE178" s="357"/>
      <c r="EZF178" s="356"/>
      <c r="EZG178" s="357"/>
      <c r="EZH178" s="357"/>
      <c r="EZI178" s="357"/>
      <c r="EZJ178" s="357"/>
      <c r="EZK178" s="357"/>
      <c r="EZL178" s="356"/>
      <c r="EZM178" s="357"/>
      <c r="EZN178" s="357"/>
      <c r="EZO178" s="357"/>
      <c r="EZP178" s="357"/>
      <c r="EZQ178" s="357"/>
      <c r="EZR178" s="356"/>
      <c r="EZS178" s="357"/>
      <c r="EZT178" s="357"/>
      <c r="EZU178" s="357"/>
      <c r="EZV178" s="357"/>
      <c r="EZW178" s="357"/>
      <c r="EZX178" s="356"/>
      <c r="EZY178" s="357"/>
      <c r="EZZ178" s="357"/>
      <c r="FAA178" s="357"/>
      <c r="FAB178" s="357"/>
      <c r="FAC178" s="357"/>
      <c r="FAD178" s="356"/>
      <c r="FAE178" s="357"/>
      <c r="FAF178" s="357"/>
      <c r="FAG178" s="357"/>
      <c r="FAH178" s="357"/>
      <c r="FAI178" s="357"/>
      <c r="FAJ178" s="356"/>
      <c r="FAK178" s="357"/>
      <c r="FAL178" s="357"/>
      <c r="FAM178" s="357"/>
      <c r="FAN178" s="357"/>
      <c r="FAO178" s="357"/>
      <c r="FAP178" s="356"/>
      <c r="FAQ178" s="357"/>
      <c r="FAR178" s="357"/>
      <c r="FAS178" s="357"/>
      <c r="FAT178" s="357"/>
      <c r="FAU178" s="357"/>
      <c r="FAV178" s="356"/>
      <c r="FAW178" s="357"/>
      <c r="FAX178" s="357"/>
      <c r="FAY178" s="357"/>
      <c r="FAZ178" s="357"/>
      <c r="FBA178" s="357"/>
      <c r="FBB178" s="356"/>
      <c r="FBC178" s="357"/>
      <c r="FBD178" s="357"/>
      <c r="FBE178" s="357"/>
      <c r="FBF178" s="357"/>
      <c r="FBG178" s="357"/>
      <c r="FBH178" s="356"/>
      <c r="FBI178" s="357"/>
      <c r="FBJ178" s="357"/>
      <c r="FBK178" s="357"/>
      <c r="FBL178" s="357"/>
      <c r="FBM178" s="357"/>
      <c r="FBN178" s="356"/>
      <c r="FBO178" s="357"/>
      <c r="FBP178" s="357"/>
      <c r="FBQ178" s="357"/>
      <c r="FBR178" s="357"/>
      <c r="FBS178" s="357"/>
      <c r="FBT178" s="356"/>
      <c r="FBU178" s="357"/>
      <c r="FBV178" s="357"/>
      <c r="FBW178" s="357"/>
      <c r="FBX178" s="357"/>
      <c r="FBY178" s="357"/>
      <c r="FBZ178" s="356"/>
      <c r="FCA178" s="357"/>
      <c r="FCB178" s="357"/>
      <c r="FCC178" s="357"/>
      <c r="FCD178" s="357"/>
      <c r="FCE178" s="357"/>
      <c r="FCF178" s="356"/>
      <c r="FCG178" s="357"/>
      <c r="FCH178" s="357"/>
      <c r="FCI178" s="357"/>
      <c r="FCJ178" s="357"/>
      <c r="FCK178" s="357"/>
      <c r="FCL178" s="356"/>
      <c r="FCM178" s="357"/>
      <c r="FCN178" s="357"/>
      <c r="FCO178" s="357"/>
      <c r="FCP178" s="357"/>
      <c r="FCQ178" s="357"/>
      <c r="FCR178" s="356"/>
      <c r="FCS178" s="357"/>
      <c r="FCT178" s="357"/>
      <c r="FCU178" s="357"/>
      <c r="FCV178" s="357"/>
      <c r="FCW178" s="357"/>
      <c r="FCX178" s="356"/>
      <c r="FCY178" s="357"/>
      <c r="FCZ178" s="357"/>
      <c r="FDA178" s="357"/>
      <c r="FDB178" s="357"/>
      <c r="FDC178" s="357"/>
      <c r="FDD178" s="356"/>
      <c r="FDE178" s="357"/>
      <c r="FDF178" s="357"/>
      <c r="FDG178" s="357"/>
      <c r="FDH178" s="357"/>
      <c r="FDI178" s="357"/>
      <c r="FDJ178" s="356"/>
      <c r="FDK178" s="357"/>
      <c r="FDL178" s="357"/>
      <c r="FDM178" s="357"/>
      <c r="FDN178" s="357"/>
      <c r="FDO178" s="357"/>
      <c r="FDP178" s="356"/>
      <c r="FDQ178" s="357"/>
      <c r="FDR178" s="357"/>
      <c r="FDS178" s="357"/>
      <c r="FDT178" s="357"/>
      <c r="FDU178" s="357"/>
      <c r="FDV178" s="356"/>
      <c r="FDW178" s="357"/>
      <c r="FDX178" s="357"/>
      <c r="FDY178" s="357"/>
      <c r="FDZ178" s="357"/>
      <c r="FEA178" s="357"/>
      <c r="FEB178" s="356"/>
      <c r="FEC178" s="357"/>
      <c r="FED178" s="357"/>
      <c r="FEE178" s="357"/>
      <c r="FEF178" s="357"/>
      <c r="FEG178" s="357"/>
      <c r="FEH178" s="356"/>
      <c r="FEI178" s="357"/>
      <c r="FEJ178" s="357"/>
      <c r="FEK178" s="357"/>
      <c r="FEL178" s="357"/>
      <c r="FEM178" s="357"/>
      <c r="FEN178" s="356"/>
      <c r="FEO178" s="357"/>
      <c r="FEP178" s="357"/>
      <c r="FEQ178" s="357"/>
      <c r="FER178" s="357"/>
      <c r="FES178" s="357"/>
      <c r="FET178" s="356"/>
      <c r="FEU178" s="357"/>
      <c r="FEV178" s="357"/>
      <c r="FEW178" s="357"/>
      <c r="FEX178" s="357"/>
      <c r="FEY178" s="357"/>
      <c r="FEZ178" s="356"/>
      <c r="FFA178" s="357"/>
      <c r="FFB178" s="357"/>
      <c r="FFC178" s="357"/>
      <c r="FFD178" s="357"/>
      <c r="FFE178" s="357"/>
      <c r="FFF178" s="356"/>
      <c r="FFG178" s="357"/>
      <c r="FFH178" s="357"/>
      <c r="FFI178" s="357"/>
      <c r="FFJ178" s="357"/>
      <c r="FFK178" s="357"/>
      <c r="FFL178" s="356"/>
      <c r="FFM178" s="357"/>
      <c r="FFN178" s="357"/>
      <c r="FFO178" s="357"/>
      <c r="FFP178" s="357"/>
      <c r="FFQ178" s="357"/>
      <c r="FFR178" s="356"/>
      <c r="FFS178" s="357"/>
      <c r="FFT178" s="357"/>
      <c r="FFU178" s="357"/>
      <c r="FFV178" s="357"/>
      <c r="FFW178" s="357"/>
      <c r="FFX178" s="356"/>
      <c r="FFY178" s="357"/>
      <c r="FFZ178" s="357"/>
      <c r="FGA178" s="357"/>
      <c r="FGB178" s="357"/>
      <c r="FGC178" s="357"/>
      <c r="FGD178" s="356"/>
      <c r="FGE178" s="357"/>
      <c r="FGF178" s="357"/>
      <c r="FGG178" s="357"/>
      <c r="FGH178" s="357"/>
      <c r="FGI178" s="357"/>
      <c r="FGJ178" s="356"/>
      <c r="FGK178" s="357"/>
      <c r="FGL178" s="357"/>
      <c r="FGM178" s="357"/>
      <c r="FGN178" s="357"/>
      <c r="FGO178" s="357"/>
      <c r="FGP178" s="356"/>
      <c r="FGQ178" s="357"/>
      <c r="FGR178" s="357"/>
      <c r="FGS178" s="357"/>
      <c r="FGT178" s="357"/>
      <c r="FGU178" s="357"/>
      <c r="FGV178" s="356"/>
      <c r="FGW178" s="357"/>
      <c r="FGX178" s="357"/>
      <c r="FGY178" s="357"/>
      <c r="FGZ178" s="357"/>
      <c r="FHA178" s="357"/>
      <c r="FHB178" s="356"/>
      <c r="FHC178" s="357"/>
      <c r="FHD178" s="357"/>
      <c r="FHE178" s="357"/>
      <c r="FHF178" s="357"/>
      <c r="FHG178" s="357"/>
      <c r="FHH178" s="356"/>
      <c r="FHI178" s="357"/>
      <c r="FHJ178" s="357"/>
      <c r="FHK178" s="357"/>
      <c r="FHL178" s="357"/>
      <c r="FHM178" s="357"/>
      <c r="FHN178" s="356"/>
      <c r="FHO178" s="357"/>
      <c r="FHP178" s="357"/>
      <c r="FHQ178" s="357"/>
      <c r="FHR178" s="357"/>
      <c r="FHS178" s="357"/>
      <c r="FHT178" s="356"/>
      <c r="FHU178" s="357"/>
      <c r="FHV178" s="357"/>
      <c r="FHW178" s="357"/>
      <c r="FHX178" s="357"/>
      <c r="FHY178" s="357"/>
      <c r="FHZ178" s="356"/>
      <c r="FIA178" s="357"/>
      <c r="FIB178" s="357"/>
      <c r="FIC178" s="357"/>
      <c r="FID178" s="357"/>
      <c r="FIE178" s="357"/>
      <c r="FIF178" s="356"/>
      <c r="FIG178" s="357"/>
      <c r="FIH178" s="357"/>
      <c r="FII178" s="357"/>
      <c r="FIJ178" s="357"/>
      <c r="FIK178" s="357"/>
      <c r="FIL178" s="356"/>
      <c r="FIM178" s="357"/>
      <c r="FIN178" s="357"/>
      <c r="FIO178" s="357"/>
      <c r="FIP178" s="357"/>
      <c r="FIQ178" s="357"/>
      <c r="FIR178" s="356"/>
      <c r="FIS178" s="357"/>
      <c r="FIT178" s="357"/>
      <c r="FIU178" s="357"/>
      <c r="FIV178" s="357"/>
      <c r="FIW178" s="357"/>
      <c r="FIX178" s="356"/>
      <c r="FIY178" s="357"/>
      <c r="FIZ178" s="357"/>
      <c r="FJA178" s="357"/>
      <c r="FJB178" s="357"/>
      <c r="FJC178" s="357"/>
      <c r="FJD178" s="356"/>
      <c r="FJE178" s="357"/>
      <c r="FJF178" s="357"/>
      <c r="FJG178" s="357"/>
      <c r="FJH178" s="357"/>
      <c r="FJI178" s="357"/>
      <c r="FJJ178" s="356"/>
      <c r="FJK178" s="357"/>
      <c r="FJL178" s="357"/>
      <c r="FJM178" s="357"/>
      <c r="FJN178" s="357"/>
      <c r="FJO178" s="357"/>
      <c r="FJP178" s="356"/>
      <c r="FJQ178" s="357"/>
      <c r="FJR178" s="357"/>
      <c r="FJS178" s="357"/>
      <c r="FJT178" s="357"/>
      <c r="FJU178" s="357"/>
      <c r="FJV178" s="356"/>
      <c r="FJW178" s="357"/>
      <c r="FJX178" s="357"/>
      <c r="FJY178" s="357"/>
      <c r="FJZ178" s="357"/>
      <c r="FKA178" s="357"/>
      <c r="FKB178" s="356"/>
      <c r="FKC178" s="357"/>
      <c r="FKD178" s="357"/>
      <c r="FKE178" s="357"/>
      <c r="FKF178" s="357"/>
      <c r="FKG178" s="357"/>
      <c r="FKH178" s="356"/>
      <c r="FKI178" s="357"/>
      <c r="FKJ178" s="357"/>
      <c r="FKK178" s="357"/>
      <c r="FKL178" s="357"/>
      <c r="FKM178" s="357"/>
      <c r="FKN178" s="356"/>
      <c r="FKO178" s="357"/>
      <c r="FKP178" s="357"/>
      <c r="FKQ178" s="357"/>
      <c r="FKR178" s="357"/>
      <c r="FKS178" s="357"/>
      <c r="FKT178" s="356"/>
      <c r="FKU178" s="357"/>
      <c r="FKV178" s="357"/>
      <c r="FKW178" s="357"/>
      <c r="FKX178" s="357"/>
      <c r="FKY178" s="357"/>
      <c r="FKZ178" s="356"/>
      <c r="FLA178" s="357"/>
      <c r="FLB178" s="357"/>
      <c r="FLC178" s="357"/>
      <c r="FLD178" s="357"/>
      <c r="FLE178" s="357"/>
      <c r="FLF178" s="356"/>
      <c r="FLG178" s="357"/>
      <c r="FLH178" s="357"/>
      <c r="FLI178" s="357"/>
      <c r="FLJ178" s="357"/>
      <c r="FLK178" s="357"/>
      <c r="FLL178" s="356"/>
      <c r="FLM178" s="357"/>
      <c r="FLN178" s="357"/>
      <c r="FLO178" s="357"/>
      <c r="FLP178" s="357"/>
      <c r="FLQ178" s="357"/>
      <c r="FLR178" s="356"/>
      <c r="FLS178" s="357"/>
      <c r="FLT178" s="357"/>
      <c r="FLU178" s="357"/>
      <c r="FLV178" s="357"/>
      <c r="FLW178" s="357"/>
      <c r="FLX178" s="356"/>
      <c r="FLY178" s="357"/>
      <c r="FLZ178" s="357"/>
      <c r="FMA178" s="357"/>
      <c r="FMB178" s="357"/>
      <c r="FMC178" s="357"/>
      <c r="FMD178" s="356"/>
      <c r="FME178" s="357"/>
      <c r="FMF178" s="357"/>
      <c r="FMG178" s="357"/>
      <c r="FMH178" s="357"/>
      <c r="FMI178" s="357"/>
      <c r="FMJ178" s="356"/>
      <c r="FMK178" s="357"/>
      <c r="FML178" s="357"/>
      <c r="FMM178" s="357"/>
      <c r="FMN178" s="357"/>
      <c r="FMO178" s="357"/>
      <c r="FMP178" s="356"/>
      <c r="FMQ178" s="357"/>
      <c r="FMR178" s="357"/>
      <c r="FMS178" s="357"/>
      <c r="FMT178" s="357"/>
      <c r="FMU178" s="357"/>
      <c r="FMV178" s="356"/>
      <c r="FMW178" s="357"/>
      <c r="FMX178" s="357"/>
      <c r="FMY178" s="357"/>
      <c r="FMZ178" s="357"/>
      <c r="FNA178" s="357"/>
      <c r="FNB178" s="356"/>
      <c r="FNC178" s="357"/>
      <c r="FND178" s="357"/>
      <c r="FNE178" s="357"/>
      <c r="FNF178" s="357"/>
      <c r="FNG178" s="357"/>
      <c r="FNH178" s="356"/>
      <c r="FNI178" s="357"/>
      <c r="FNJ178" s="357"/>
      <c r="FNK178" s="357"/>
      <c r="FNL178" s="357"/>
      <c r="FNM178" s="357"/>
      <c r="FNN178" s="356"/>
      <c r="FNO178" s="357"/>
      <c r="FNP178" s="357"/>
      <c r="FNQ178" s="357"/>
      <c r="FNR178" s="357"/>
      <c r="FNS178" s="357"/>
      <c r="FNT178" s="356"/>
      <c r="FNU178" s="357"/>
      <c r="FNV178" s="357"/>
      <c r="FNW178" s="357"/>
      <c r="FNX178" s="357"/>
      <c r="FNY178" s="357"/>
      <c r="FNZ178" s="356"/>
      <c r="FOA178" s="357"/>
      <c r="FOB178" s="357"/>
      <c r="FOC178" s="357"/>
      <c r="FOD178" s="357"/>
      <c r="FOE178" s="357"/>
      <c r="FOF178" s="356"/>
      <c r="FOG178" s="357"/>
      <c r="FOH178" s="357"/>
      <c r="FOI178" s="357"/>
      <c r="FOJ178" s="357"/>
      <c r="FOK178" s="357"/>
      <c r="FOL178" s="356"/>
      <c r="FOM178" s="357"/>
      <c r="FON178" s="357"/>
      <c r="FOO178" s="357"/>
      <c r="FOP178" s="357"/>
      <c r="FOQ178" s="357"/>
      <c r="FOR178" s="356"/>
      <c r="FOS178" s="357"/>
      <c r="FOT178" s="357"/>
      <c r="FOU178" s="357"/>
      <c r="FOV178" s="357"/>
      <c r="FOW178" s="357"/>
      <c r="FOX178" s="356"/>
      <c r="FOY178" s="357"/>
      <c r="FOZ178" s="357"/>
      <c r="FPA178" s="357"/>
      <c r="FPB178" s="357"/>
      <c r="FPC178" s="357"/>
      <c r="FPD178" s="356"/>
      <c r="FPE178" s="357"/>
      <c r="FPF178" s="357"/>
      <c r="FPG178" s="357"/>
      <c r="FPH178" s="357"/>
      <c r="FPI178" s="357"/>
      <c r="FPJ178" s="356"/>
      <c r="FPK178" s="357"/>
      <c r="FPL178" s="357"/>
      <c r="FPM178" s="357"/>
      <c r="FPN178" s="357"/>
      <c r="FPO178" s="357"/>
      <c r="FPP178" s="356"/>
      <c r="FPQ178" s="357"/>
      <c r="FPR178" s="357"/>
      <c r="FPS178" s="357"/>
      <c r="FPT178" s="357"/>
      <c r="FPU178" s="357"/>
      <c r="FPV178" s="356"/>
      <c r="FPW178" s="357"/>
      <c r="FPX178" s="357"/>
      <c r="FPY178" s="357"/>
      <c r="FPZ178" s="357"/>
      <c r="FQA178" s="357"/>
      <c r="FQB178" s="356"/>
      <c r="FQC178" s="357"/>
      <c r="FQD178" s="357"/>
      <c r="FQE178" s="357"/>
      <c r="FQF178" s="357"/>
      <c r="FQG178" s="357"/>
      <c r="FQH178" s="356"/>
      <c r="FQI178" s="357"/>
      <c r="FQJ178" s="357"/>
      <c r="FQK178" s="357"/>
      <c r="FQL178" s="357"/>
      <c r="FQM178" s="357"/>
      <c r="FQN178" s="356"/>
      <c r="FQO178" s="357"/>
      <c r="FQP178" s="357"/>
      <c r="FQQ178" s="357"/>
      <c r="FQR178" s="357"/>
      <c r="FQS178" s="357"/>
      <c r="FQT178" s="356"/>
      <c r="FQU178" s="357"/>
      <c r="FQV178" s="357"/>
      <c r="FQW178" s="357"/>
      <c r="FQX178" s="357"/>
      <c r="FQY178" s="357"/>
      <c r="FQZ178" s="356"/>
      <c r="FRA178" s="357"/>
      <c r="FRB178" s="357"/>
      <c r="FRC178" s="357"/>
      <c r="FRD178" s="357"/>
      <c r="FRE178" s="357"/>
      <c r="FRF178" s="356"/>
      <c r="FRG178" s="357"/>
      <c r="FRH178" s="357"/>
      <c r="FRI178" s="357"/>
      <c r="FRJ178" s="357"/>
      <c r="FRK178" s="357"/>
      <c r="FRL178" s="356"/>
      <c r="FRM178" s="357"/>
      <c r="FRN178" s="357"/>
      <c r="FRO178" s="357"/>
      <c r="FRP178" s="357"/>
      <c r="FRQ178" s="357"/>
      <c r="FRR178" s="356"/>
      <c r="FRS178" s="357"/>
      <c r="FRT178" s="357"/>
      <c r="FRU178" s="357"/>
      <c r="FRV178" s="357"/>
      <c r="FRW178" s="357"/>
      <c r="FRX178" s="356"/>
      <c r="FRY178" s="357"/>
      <c r="FRZ178" s="357"/>
      <c r="FSA178" s="357"/>
      <c r="FSB178" s="357"/>
      <c r="FSC178" s="357"/>
      <c r="FSD178" s="356"/>
      <c r="FSE178" s="357"/>
      <c r="FSF178" s="357"/>
      <c r="FSG178" s="357"/>
      <c r="FSH178" s="357"/>
      <c r="FSI178" s="357"/>
      <c r="FSJ178" s="356"/>
      <c r="FSK178" s="357"/>
      <c r="FSL178" s="357"/>
      <c r="FSM178" s="357"/>
      <c r="FSN178" s="357"/>
      <c r="FSO178" s="357"/>
      <c r="FSP178" s="356"/>
      <c r="FSQ178" s="357"/>
      <c r="FSR178" s="357"/>
      <c r="FSS178" s="357"/>
      <c r="FST178" s="357"/>
      <c r="FSU178" s="357"/>
      <c r="FSV178" s="356"/>
      <c r="FSW178" s="357"/>
      <c r="FSX178" s="357"/>
      <c r="FSY178" s="357"/>
      <c r="FSZ178" s="357"/>
      <c r="FTA178" s="357"/>
      <c r="FTB178" s="356"/>
      <c r="FTC178" s="357"/>
      <c r="FTD178" s="357"/>
      <c r="FTE178" s="357"/>
      <c r="FTF178" s="357"/>
      <c r="FTG178" s="357"/>
      <c r="FTH178" s="356"/>
      <c r="FTI178" s="357"/>
      <c r="FTJ178" s="357"/>
      <c r="FTK178" s="357"/>
      <c r="FTL178" s="357"/>
      <c r="FTM178" s="357"/>
      <c r="FTN178" s="356"/>
      <c r="FTO178" s="357"/>
      <c r="FTP178" s="357"/>
      <c r="FTQ178" s="357"/>
      <c r="FTR178" s="357"/>
      <c r="FTS178" s="357"/>
      <c r="FTT178" s="356"/>
      <c r="FTU178" s="357"/>
      <c r="FTV178" s="357"/>
      <c r="FTW178" s="357"/>
      <c r="FTX178" s="357"/>
      <c r="FTY178" s="357"/>
      <c r="FTZ178" s="356"/>
      <c r="FUA178" s="357"/>
      <c r="FUB178" s="357"/>
      <c r="FUC178" s="357"/>
      <c r="FUD178" s="357"/>
      <c r="FUE178" s="357"/>
      <c r="FUF178" s="356"/>
      <c r="FUG178" s="357"/>
      <c r="FUH178" s="357"/>
      <c r="FUI178" s="357"/>
      <c r="FUJ178" s="357"/>
      <c r="FUK178" s="357"/>
      <c r="FUL178" s="356"/>
      <c r="FUM178" s="357"/>
      <c r="FUN178" s="357"/>
      <c r="FUO178" s="357"/>
      <c r="FUP178" s="357"/>
      <c r="FUQ178" s="357"/>
      <c r="FUR178" s="356"/>
      <c r="FUS178" s="357"/>
      <c r="FUT178" s="357"/>
      <c r="FUU178" s="357"/>
      <c r="FUV178" s="357"/>
      <c r="FUW178" s="357"/>
      <c r="FUX178" s="356"/>
      <c r="FUY178" s="357"/>
      <c r="FUZ178" s="357"/>
      <c r="FVA178" s="357"/>
      <c r="FVB178" s="357"/>
      <c r="FVC178" s="357"/>
      <c r="FVD178" s="356"/>
      <c r="FVE178" s="357"/>
      <c r="FVF178" s="357"/>
      <c r="FVG178" s="357"/>
      <c r="FVH178" s="357"/>
      <c r="FVI178" s="357"/>
      <c r="FVJ178" s="356"/>
      <c r="FVK178" s="357"/>
      <c r="FVL178" s="357"/>
      <c r="FVM178" s="357"/>
      <c r="FVN178" s="357"/>
      <c r="FVO178" s="357"/>
      <c r="FVP178" s="356"/>
      <c r="FVQ178" s="357"/>
      <c r="FVR178" s="357"/>
      <c r="FVS178" s="357"/>
      <c r="FVT178" s="357"/>
      <c r="FVU178" s="357"/>
      <c r="FVV178" s="356"/>
      <c r="FVW178" s="357"/>
      <c r="FVX178" s="357"/>
      <c r="FVY178" s="357"/>
      <c r="FVZ178" s="357"/>
      <c r="FWA178" s="357"/>
      <c r="FWB178" s="356"/>
      <c r="FWC178" s="357"/>
      <c r="FWD178" s="357"/>
      <c r="FWE178" s="357"/>
      <c r="FWF178" s="357"/>
      <c r="FWG178" s="357"/>
      <c r="FWH178" s="356"/>
      <c r="FWI178" s="357"/>
      <c r="FWJ178" s="357"/>
      <c r="FWK178" s="357"/>
      <c r="FWL178" s="357"/>
      <c r="FWM178" s="357"/>
      <c r="FWN178" s="356"/>
      <c r="FWO178" s="357"/>
      <c r="FWP178" s="357"/>
      <c r="FWQ178" s="357"/>
      <c r="FWR178" s="357"/>
      <c r="FWS178" s="357"/>
      <c r="FWT178" s="356"/>
      <c r="FWU178" s="357"/>
      <c r="FWV178" s="357"/>
      <c r="FWW178" s="357"/>
      <c r="FWX178" s="357"/>
      <c r="FWY178" s="357"/>
      <c r="FWZ178" s="356"/>
      <c r="FXA178" s="357"/>
      <c r="FXB178" s="357"/>
      <c r="FXC178" s="357"/>
      <c r="FXD178" s="357"/>
      <c r="FXE178" s="357"/>
      <c r="FXF178" s="356"/>
      <c r="FXG178" s="357"/>
      <c r="FXH178" s="357"/>
      <c r="FXI178" s="357"/>
      <c r="FXJ178" s="357"/>
      <c r="FXK178" s="357"/>
      <c r="FXL178" s="356"/>
      <c r="FXM178" s="357"/>
      <c r="FXN178" s="357"/>
      <c r="FXO178" s="357"/>
      <c r="FXP178" s="357"/>
      <c r="FXQ178" s="357"/>
      <c r="FXR178" s="356"/>
      <c r="FXS178" s="357"/>
      <c r="FXT178" s="357"/>
      <c r="FXU178" s="357"/>
      <c r="FXV178" s="357"/>
      <c r="FXW178" s="357"/>
      <c r="FXX178" s="356"/>
      <c r="FXY178" s="357"/>
      <c r="FXZ178" s="357"/>
      <c r="FYA178" s="357"/>
      <c r="FYB178" s="357"/>
      <c r="FYC178" s="357"/>
      <c r="FYD178" s="356"/>
      <c r="FYE178" s="357"/>
      <c r="FYF178" s="357"/>
      <c r="FYG178" s="357"/>
      <c r="FYH178" s="357"/>
      <c r="FYI178" s="357"/>
      <c r="FYJ178" s="356"/>
      <c r="FYK178" s="357"/>
      <c r="FYL178" s="357"/>
      <c r="FYM178" s="357"/>
      <c r="FYN178" s="357"/>
      <c r="FYO178" s="357"/>
      <c r="FYP178" s="356"/>
      <c r="FYQ178" s="357"/>
      <c r="FYR178" s="357"/>
      <c r="FYS178" s="357"/>
      <c r="FYT178" s="357"/>
      <c r="FYU178" s="357"/>
      <c r="FYV178" s="356"/>
      <c r="FYW178" s="357"/>
      <c r="FYX178" s="357"/>
      <c r="FYY178" s="357"/>
      <c r="FYZ178" s="357"/>
      <c r="FZA178" s="357"/>
      <c r="FZB178" s="356"/>
      <c r="FZC178" s="357"/>
      <c r="FZD178" s="357"/>
      <c r="FZE178" s="357"/>
      <c r="FZF178" s="357"/>
      <c r="FZG178" s="357"/>
      <c r="FZH178" s="356"/>
      <c r="FZI178" s="357"/>
      <c r="FZJ178" s="357"/>
      <c r="FZK178" s="357"/>
      <c r="FZL178" s="357"/>
      <c r="FZM178" s="357"/>
      <c r="FZN178" s="356"/>
      <c r="FZO178" s="357"/>
      <c r="FZP178" s="357"/>
      <c r="FZQ178" s="357"/>
      <c r="FZR178" s="357"/>
      <c r="FZS178" s="357"/>
      <c r="FZT178" s="356"/>
      <c r="FZU178" s="357"/>
      <c r="FZV178" s="357"/>
      <c r="FZW178" s="357"/>
      <c r="FZX178" s="357"/>
      <c r="FZY178" s="357"/>
      <c r="FZZ178" s="356"/>
      <c r="GAA178" s="357"/>
      <c r="GAB178" s="357"/>
      <c r="GAC178" s="357"/>
      <c r="GAD178" s="357"/>
      <c r="GAE178" s="357"/>
      <c r="GAF178" s="356"/>
      <c r="GAG178" s="357"/>
      <c r="GAH178" s="357"/>
      <c r="GAI178" s="357"/>
      <c r="GAJ178" s="357"/>
      <c r="GAK178" s="357"/>
      <c r="GAL178" s="356"/>
      <c r="GAM178" s="357"/>
      <c r="GAN178" s="357"/>
      <c r="GAO178" s="357"/>
      <c r="GAP178" s="357"/>
      <c r="GAQ178" s="357"/>
      <c r="GAR178" s="356"/>
      <c r="GAS178" s="357"/>
      <c r="GAT178" s="357"/>
      <c r="GAU178" s="357"/>
      <c r="GAV178" s="357"/>
      <c r="GAW178" s="357"/>
      <c r="GAX178" s="356"/>
      <c r="GAY178" s="357"/>
      <c r="GAZ178" s="357"/>
      <c r="GBA178" s="357"/>
      <c r="GBB178" s="357"/>
      <c r="GBC178" s="357"/>
      <c r="GBD178" s="356"/>
      <c r="GBE178" s="357"/>
      <c r="GBF178" s="357"/>
      <c r="GBG178" s="357"/>
      <c r="GBH178" s="357"/>
      <c r="GBI178" s="357"/>
      <c r="GBJ178" s="356"/>
      <c r="GBK178" s="357"/>
      <c r="GBL178" s="357"/>
      <c r="GBM178" s="357"/>
      <c r="GBN178" s="357"/>
      <c r="GBO178" s="357"/>
      <c r="GBP178" s="356"/>
      <c r="GBQ178" s="357"/>
      <c r="GBR178" s="357"/>
      <c r="GBS178" s="357"/>
      <c r="GBT178" s="357"/>
      <c r="GBU178" s="357"/>
      <c r="GBV178" s="356"/>
      <c r="GBW178" s="357"/>
      <c r="GBX178" s="357"/>
      <c r="GBY178" s="357"/>
      <c r="GBZ178" s="357"/>
      <c r="GCA178" s="357"/>
      <c r="GCB178" s="356"/>
      <c r="GCC178" s="357"/>
      <c r="GCD178" s="357"/>
      <c r="GCE178" s="357"/>
      <c r="GCF178" s="357"/>
      <c r="GCG178" s="357"/>
      <c r="GCH178" s="356"/>
      <c r="GCI178" s="357"/>
      <c r="GCJ178" s="357"/>
      <c r="GCK178" s="357"/>
      <c r="GCL178" s="357"/>
      <c r="GCM178" s="357"/>
      <c r="GCN178" s="356"/>
      <c r="GCO178" s="357"/>
      <c r="GCP178" s="357"/>
      <c r="GCQ178" s="357"/>
      <c r="GCR178" s="357"/>
      <c r="GCS178" s="357"/>
      <c r="GCT178" s="356"/>
      <c r="GCU178" s="357"/>
      <c r="GCV178" s="357"/>
      <c r="GCW178" s="357"/>
      <c r="GCX178" s="357"/>
      <c r="GCY178" s="357"/>
      <c r="GCZ178" s="356"/>
      <c r="GDA178" s="357"/>
      <c r="GDB178" s="357"/>
      <c r="GDC178" s="357"/>
      <c r="GDD178" s="357"/>
      <c r="GDE178" s="357"/>
      <c r="GDF178" s="356"/>
      <c r="GDG178" s="357"/>
      <c r="GDH178" s="357"/>
      <c r="GDI178" s="357"/>
      <c r="GDJ178" s="357"/>
      <c r="GDK178" s="357"/>
      <c r="GDL178" s="356"/>
      <c r="GDM178" s="357"/>
      <c r="GDN178" s="357"/>
      <c r="GDO178" s="357"/>
      <c r="GDP178" s="357"/>
      <c r="GDQ178" s="357"/>
      <c r="GDR178" s="356"/>
      <c r="GDS178" s="357"/>
      <c r="GDT178" s="357"/>
      <c r="GDU178" s="357"/>
      <c r="GDV178" s="357"/>
      <c r="GDW178" s="357"/>
      <c r="GDX178" s="356"/>
      <c r="GDY178" s="357"/>
      <c r="GDZ178" s="357"/>
      <c r="GEA178" s="357"/>
      <c r="GEB178" s="357"/>
      <c r="GEC178" s="357"/>
      <c r="GED178" s="356"/>
      <c r="GEE178" s="357"/>
      <c r="GEF178" s="357"/>
      <c r="GEG178" s="357"/>
      <c r="GEH178" s="357"/>
      <c r="GEI178" s="357"/>
      <c r="GEJ178" s="356"/>
      <c r="GEK178" s="357"/>
      <c r="GEL178" s="357"/>
      <c r="GEM178" s="357"/>
      <c r="GEN178" s="357"/>
      <c r="GEO178" s="357"/>
      <c r="GEP178" s="356"/>
      <c r="GEQ178" s="357"/>
      <c r="GER178" s="357"/>
      <c r="GES178" s="357"/>
      <c r="GET178" s="357"/>
      <c r="GEU178" s="357"/>
      <c r="GEV178" s="356"/>
      <c r="GEW178" s="357"/>
      <c r="GEX178" s="357"/>
      <c r="GEY178" s="357"/>
      <c r="GEZ178" s="357"/>
      <c r="GFA178" s="357"/>
      <c r="GFB178" s="356"/>
      <c r="GFC178" s="357"/>
      <c r="GFD178" s="357"/>
      <c r="GFE178" s="357"/>
      <c r="GFF178" s="357"/>
      <c r="GFG178" s="357"/>
      <c r="GFH178" s="356"/>
      <c r="GFI178" s="357"/>
      <c r="GFJ178" s="357"/>
      <c r="GFK178" s="357"/>
      <c r="GFL178" s="357"/>
      <c r="GFM178" s="357"/>
      <c r="GFN178" s="356"/>
      <c r="GFO178" s="357"/>
      <c r="GFP178" s="357"/>
      <c r="GFQ178" s="357"/>
      <c r="GFR178" s="357"/>
      <c r="GFS178" s="357"/>
      <c r="GFT178" s="356"/>
      <c r="GFU178" s="357"/>
      <c r="GFV178" s="357"/>
      <c r="GFW178" s="357"/>
      <c r="GFX178" s="357"/>
      <c r="GFY178" s="357"/>
      <c r="GFZ178" s="356"/>
      <c r="GGA178" s="357"/>
      <c r="GGB178" s="357"/>
      <c r="GGC178" s="357"/>
      <c r="GGD178" s="357"/>
      <c r="GGE178" s="357"/>
      <c r="GGF178" s="356"/>
      <c r="GGG178" s="357"/>
      <c r="GGH178" s="357"/>
      <c r="GGI178" s="357"/>
      <c r="GGJ178" s="357"/>
      <c r="GGK178" s="357"/>
      <c r="GGL178" s="356"/>
      <c r="GGM178" s="357"/>
      <c r="GGN178" s="357"/>
      <c r="GGO178" s="357"/>
      <c r="GGP178" s="357"/>
      <c r="GGQ178" s="357"/>
      <c r="GGR178" s="356"/>
      <c r="GGS178" s="357"/>
      <c r="GGT178" s="357"/>
      <c r="GGU178" s="357"/>
      <c r="GGV178" s="357"/>
      <c r="GGW178" s="357"/>
      <c r="GGX178" s="356"/>
      <c r="GGY178" s="357"/>
      <c r="GGZ178" s="357"/>
      <c r="GHA178" s="357"/>
      <c r="GHB178" s="357"/>
      <c r="GHC178" s="357"/>
      <c r="GHD178" s="356"/>
      <c r="GHE178" s="357"/>
      <c r="GHF178" s="357"/>
      <c r="GHG178" s="357"/>
      <c r="GHH178" s="357"/>
      <c r="GHI178" s="357"/>
      <c r="GHJ178" s="356"/>
      <c r="GHK178" s="357"/>
      <c r="GHL178" s="357"/>
      <c r="GHM178" s="357"/>
      <c r="GHN178" s="357"/>
      <c r="GHO178" s="357"/>
      <c r="GHP178" s="356"/>
      <c r="GHQ178" s="357"/>
      <c r="GHR178" s="357"/>
      <c r="GHS178" s="357"/>
      <c r="GHT178" s="357"/>
      <c r="GHU178" s="357"/>
      <c r="GHV178" s="356"/>
      <c r="GHW178" s="357"/>
      <c r="GHX178" s="357"/>
      <c r="GHY178" s="357"/>
      <c r="GHZ178" s="357"/>
      <c r="GIA178" s="357"/>
      <c r="GIB178" s="356"/>
      <c r="GIC178" s="357"/>
      <c r="GID178" s="357"/>
      <c r="GIE178" s="357"/>
      <c r="GIF178" s="357"/>
      <c r="GIG178" s="357"/>
      <c r="GIH178" s="356"/>
      <c r="GII178" s="357"/>
      <c r="GIJ178" s="357"/>
      <c r="GIK178" s="357"/>
      <c r="GIL178" s="357"/>
      <c r="GIM178" s="357"/>
      <c r="GIN178" s="356"/>
      <c r="GIO178" s="357"/>
      <c r="GIP178" s="357"/>
      <c r="GIQ178" s="357"/>
      <c r="GIR178" s="357"/>
      <c r="GIS178" s="357"/>
      <c r="GIT178" s="356"/>
      <c r="GIU178" s="357"/>
      <c r="GIV178" s="357"/>
      <c r="GIW178" s="357"/>
      <c r="GIX178" s="357"/>
      <c r="GIY178" s="357"/>
      <c r="GIZ178" s="356"/>
      <c r="GJA178" s="357"/>
      <c r="GJB178" s="357"/>
      <c r="GJC178" s="357"/>
      <c r="GJD178" s="357"/>
      <c r="GJE178" s="357"/>
      <c r="GJF178" s="356"/>
      <c r="GJG178" s="357"/>
      <c r="GJH178" s="357"/>
      <c r="GJI178" s="357"/>
      <c r="GJJ178" s="357"/>
      <c r="GJK178" s="357"/>
      <c r="GJL178" s="356"/>
      <c r="GJM178" s="357"/>
      <c r="GJN178" s="357"/>
      <c r="GJO178" s="357"/>
      <c r="GJP178" s="357"/>
      <c r="GJQ178" s="357"/>
      <c r="GJR178" s="356"/>
      <c r="GJS178" s="357"/>
      <c r="GJT178" s="357"/>
      <c r="GJU178" s="357"/>
      <c r="GJV178" s="357"/>
      <c r="GJW178" s="357"/>
      <c r="GJX178" s="356"/>
      <c r="GJY178" s="357"/>
      <c r="GJZ178" s="357"/>
      <c r="GKA178" s="357"/>
      <c r="GKB178" s="357"/>
      <c r="GKC178" s="357"/>
      <c r="GKD178" s="356"/>
      <c r="GKE178" s="357"/>
      <c r="GKF178" s="357"/>
      <c r="GKG178" s="357"/>
      <c r="GKH178" s="357"/>
      <c r="GKI178" s="357"/>
      <c r="GKJ178" s="356"/>
      <c r="GKK178" s="357"/>
      <c r="GKL178" s="357"/>
      <c r="GKM178" s="357"/>
      <c r="GKN178" s="357"/>
      <c r="GKO178" s="357"/>
      <c r="GKP178" s="356"/>
      <c r="GKQ178" s="357"/>
      <c r="GKR178" s="357"/>
      <c r="GKS178" s="357"/>
      <c r="GKT178" s="357"/>
      <c r="GKU178" s="357"/>
      <c r="GKV178" s="356"/>
      <c r="GKW178" s="357"/>
      <c r="GKX178" s="357"/>
      <c r="GKY178" s="357"/>
      <c r="GKZ178" s="357"/>
      <c r="GLA178" s="357"/>
      <c r="GLB178" s="356"/>
      <c r="GLC178" s="357"/>
      <c r="GLD178" s="357"/>
      <c r="GLE178" s="357"/>
      <c r="GLF178" s="357"/>
      <c r="GLG178" s="357"/>
      <c r="GLH178" s="356"/>
      <c r="GLI178" s="357"/>
      <c r="GLJ178" s="357"/>
      <c r="GLK178" s="357"/>
      <c r="GLL178" s="357"/>
      <c r="GLM178" s="357"/>
      <c r="GLN178" s="356"/>
      <c r="GLO178" s="357"/>
      <c r="GLP178" s="357"/>
      <c r="GLQ178" s="357"/>
      <c r="GLR178" s="357"/>
      <c r="GLS178" s="357"/>
      <c r="GLT178" s="356"/>
      <c r="GLU178" s="357"/>
      <c r="GLV178" s="357"/>
      <c r="GLW178" s="357"/>
      <c r="GLX178" s="357"/>
      <c r="GLY178" s="357"/>
      <c r="GLZ178" s="356"/>
      <c r="GMA178" s="357"/>
      <c r="GMB178" s="357"/>
      <c r="GMC178" s="357"/>
      <c r="GMD178" s="357"/>
      <c r="GME178" s="357"/>
      <c r="GMF178" s="356"/>
      <c r="GMG178" s="357"/>
      <c r="GMH178" s="357"/>
      <c r="GMI178" s="357"/>
      <c r="GMJ178" s="357"/>
      <c r="GMK178" s="357"/>
      <c r="GML178" s="356"/>
      <c r="GMM178" s="357"/>
      <c r="GMN178" s="357"/>
      <c r="GMO178" s="357"/>
      <c r="GMP178" s="357"/>
      <c r="GMQ178" s="357"/>
      <c r="GMR178" s="356"/>
      <c r="GMS178" s="357"/>
      <c r="GMT178" s="357"/>
      <c r="GMU178" s="357"/>
      <c r="GMV178" s="357"/>
      <c r="GMW178" s="357"/>
      <c r="GMX178" s="356"/>
      <c r="GMY178" s="357"/>
      <c r="GMZ178" s="357"/>
      <c r="GNA178" s="357"/>
      <c r="GNB178" s="357"/>
      <c r="GNC178" s="357"/>
      <c r="GND178" s="356"/>
      <c r="GNE178" s="357"/>
      <c r="GNF178" s="357"/>
      <c r="GNG178" s="357"/>
      <c r="GNH178" s="357"/>
      <c r="GNI178" s="357"/>
      <c r="GNJ178" s="356"/>
      <c r="GNK178" s="357"/>
      <c r="GNL178" s="357"/>
      <c r="GNM178" s="357"/>
      <c r="GNN178" s="357"/>
      <c r="GNO178" s="357"/>
      <c r="GNP178" s="356"/>
      <c r="GNQ178" s="357"/>
      <c r="GNR178" s="357"/>
      <c r="GNS178" s="357"/>
      <c r="GNT178" s="357"/>
      <c r="GNU178" s="357"/>
      <c r="GNV178" s="356"/>
      <c r="GNW178" s="357"/>
      <c r="GNX178" s="357"/>
      <c r="GNY178" s="357"/>
      <c r="GNZ178" s="357"/>
      <c r="GOA178" s="357"/>
      <c r="GOB178" s="356"/>
      <c r="GOC178" s="357"/>
      <c r="GOD178" s="357"/>
      <c r="GOE178" s="357"/>
      <c r="GOF178" s="357"/>
      <c r="GOG178" s="357"/>
      <c r="GOH178" s="356"/>
      <c r="GOI178" s="357"/>
      <c r="GOJ178" s="357"/>
      <c r="GOK178" s="357"/>
      <c r="GOL178" s="357"/>
      <c r="GOM178" s="357"/>
      <c r="GON178" s="356"/>
      <c r="GOO178" s="357"/>
      <c r="GOP178" s="357"/>
      <c r="GOQ178" s="357"/>
      <c r="GOR178" s="357"/>
      <c r="GOS178" s="357"/>
      <c r="GOT178" s="356"/>
      <c r="GOU178" s="357"/>
      <c r="GOV178" s="357"/>
      <c r="GOW178" s="357"/>
      <c r="GOX178" s="357"/>
      <c r="GOY178" s="357"/>
      <c r="GOZ178" s="356"/>
      <c r="GPA178" s="357"/>
      <c r="GPB178" s="357"/>
      <c r="GPC178" s="357"/>
      <c r="GPD178" s="357"/>
      <c r="GPE178" s="357"/>
      <c r="GPF178" s="356"/>
      <c r="GPG178" s="357"/>
      <c r="GPH178" s="357"/>
      <c r="GPI178" s="357"/>
      <c r="GPJ178" s="357"/>
      <c r="GPK178" s="357"/>
      <c r="GPL178" s="356"/>
      <c r="GPM178" s="357"/>
      <c r="GPN178" s="357"/>
      <c r="GPO178" s="357"/>
      <c r="GPP178" s="357"/>
      <c r="GPQ178" s="357"/>
      <c r="GPR178" s="356"/>
      <c r="GPS178" s="357"/>
      <c r="GPT178" s="357"/>
      <c r="GPU178" s="357"/>
      <c r="GPV178" s="357"/>
      <c r="GPW178" s="357"/>
      <c r="GPX178" s="356"/>
      <c r="GPY178" s="357"/>
      <c r="GPZ178" s="357"/>
      <c r="GQA178" s="357"/>
      <c r="GQB178" s="357"/>
      <c r="GQC178" s="357"/>
      <c r="GQD178" s="356"/>
      <c r="GQE178" s="357"/>
      <c r="GQF178" s="357"/>
      <c r="GQG178" s="357"/>
      <c r="GQH178" s="357"/>
      <c r="GQI178" s="357"/>
      <c r="GQJ178" s="356"/>
      <c r="GQK178" s="357"/>
      <c r="GQL178" s="357"/>
      <c r="GQM178" s="357"/>
      <c r="GQN178" s="357"/>
      <c r="GQO178" s="357"/>
      <c r="GQP178" s="356"/>
      <c r="GQQ178" s="357"/>
      <c r="GQR178" s="357"/>
      <c r="GQS178" s="357"/>
      <c r="GQT178" s="357"/>
      <c r="GQU178" s="357"/>
      <c r="GQV178" s="356"/>
      <c r="GQW178" s="357"/>
      <c r="GQX178" s="357"/>
      <c r="GQY178" s="357"/>
      <c r="GQZ178" s="357"/>
      <c r="GRA178" s="357"/>
      <c r="GRB178" s="356"/>
      <c r="GRC178" s="357"/>
      <c r="GRD178" s="357"/>
      <c r="GRE178" s="357"/>
      <c r="GRF178" s="357"/>
      <c r="GRG178" s="357"/>
      <c r="GRH178" s="356"/>
      <c r="GRI178" s="357"/>
      <c r="GRJ178" s="357"/>
      <c r="GRK178" s="357"/>
      <c r="GRL178" s="357"/>
      <c r="GRM178" s="357"/>
      <c r="GRN178" s="356"/>
      <c r="GRO178" s="357"/>
      <c r="GRP178" s="357"/>
      <c r="GRQ178" s="357"/>
      <c r="GRR178" s="357"/>
      <c r="GRS178" s="357"/>
      <c r="GRT178" s="356"/>
      <c r="GRU178" s="357"/>
      <c r="GRV178" s="357"/>
      <c r="GRW178" s="357"/>
      <c r="GRX178" s="357"/>
      <c r="GRY178" s="357"/>
      <c r="GRZ178" s="356"/>
      <c r="GSA178" s="357"/>
      <c r="GSB178" s="357"/>
      <c r="GSC178" s="357"/>
      <c r="GSD178" s="357"/>
      <c r="GSE178" s="357"/>
      <c r="GSF178" s="356"/>
      <c r="GSG178" s="357"/>
      <c r="GSH178" s="357"/>
      <c r="GSI178" s="357"/>
      <c r="GSJ178" s="357"/>
      <c r="GSK178" s="357"/>
      <c r="GSL178" s="356"/>
      <c r="GSM178" s="357"/>
      <c r="GSN178" s="357"/>
      <c r="GSO178" s="357"/>
      <c r="GSP178" s="357"/>
      <c r="GSQ178" s="357"/>
      <c r="GSR178" s="356"/>
      <c r="GSS178" s="357"/>
      <c r="GST178" s="357"/>
      <c r="GSU178" s="357"/>
      <c r="GSV178" s="357"/>
      <c r="GSW178" s="357"/>
      <c r="GSX178" s="356"/>
      <c r="GSY178" s="357"/>
      <c r="GSZ178" s="357"/>
      <c r="GTA178" s="357"/>
      <c r="GTB178" s="357"/>
      <c r="GTC178" s="357"/>
      <c r="GTD178" s="356"/>
      <c r="GTE178" s="357"/>
      <c r="GTF178" s="357"/>
      <c r="GTG178" s="357"/>
      <c r="GTH178" s="357"/>
      <c r="GTI178" s="357"/>
      <c r="GTJ178" s="356"/>
      <c r="GTK178" s="357"/>
      <c r="GTL178" s="357"/>
      <c r="GTM178" s="357"/>
      <c r="GTN178" s="357"/>
      <c r="GTO178" s="357"/>
      <c r="GTP178" s="356"/>
      <c r="GTQ178" s="357"/>
      <c r="GTR178" s="357"/>
      <c r="GTS178" s="357"/>
      <c r="GTT178" s="357"/>
      <c r="GTU178" s="357"/>
      <c r="GTV178" s="356"/>
      <c r="GTW178" s="357"/>
      <c r="GTX178" s="357"/>
      <c r="GTY178" s="357"/>
      <c r="GTZ178" s="357"/>
      <c r="GUA178" s="357"/>
      <c r="GUB178" s="356"/>
      <c r="GUC178" s="357"/>
      <c r="GUD178" s="357"/>
      <c r="GUE178" s="357"/>
      <c r="GUF178" s="357"/>
      <c r="GUG178" s="357"/>
      <c r="GUH178" s="356"/>
      <c r="GUI178" s="357"/>
      <c r="GUJ178" s="357"/>
      <c r="GUK178" s="357"/>
      <c r="GUL178" s="357"/>
      <c r="GUM178" s="357"/>
      <c r="GUN178" s="356"/>
      <c r="GUO178" s="357"/>
      <c r="GUP178" s="357"/>
      <c r="GUQ178" s="357"/>
      <c r="GUR178" s="357"/>
      <c r="GUS178" s="357"/>
      <c r="GUT178" s="356"/>
      <c r="GUU178" s="357"/>
      <c r="GUV178" s="357"/>
      <c r="GUW178" s="357"/>
      <c r="GUX178" s="357"/>
      <c r="GUY178" s="357"/>
      <c r="GUZ178" s="356"/>
      <c r="GVA178" s="357"/>
      <c r="GVB178" s="357"/>
      <c r="GVC178" s="357"/>
      <c r="GVD178" s="357"/>
      <c r="GVE178" s="357"/>
      <c r="GVF178" s="356"/>
      <c r="GVG178" s="357"/>
      <c r="GVH178" s="357"/>
      <c r="GVI178" s="357"/>
      <c r="GVJ178" s="357"/>
      <c r="GVK178" s="357"/>
      <c r="GVL178" s="356"/>
      <c r="GVM178" s="357"/>
      <c r="GVN178" s="357"/>
      <c r="GVO178" s="357"/>
      <c r="GVP178" s="357"/>
      <c r="GVQ178" s="357"/>
      <c r="GVR178" s="356"/>
      <c r="GVS178" s="357"/>
      <c r="GVT178" s="357"/>
      <c r="GVU178" s="357"/>
      <c r="GVV178" s="357"/>
      <c r="GVW178" s="357"/>
      <c r="GVX178" s="356"/>
      <c r="GVY178" s="357"/>
      <c r="GVZ178" s="357"/>
      <c r="GWA178" s="357"/>
      <c r="GWB178" s="357"/>
      <c r="GWC178" s="357"/>
      <c r="GWD178" s="356"/>
      <c r="GWE178" s="357"/>
      <c r="GWF178" s="357"/>
      <c r="GWG178" s="357"/>
      <c r="GWH178" s="357"/>
      <c r="GWI178" s="357"/>
      <c r="GWJ178" s="356"/>
      <c r="GWK178" s="357"/>
      <c r="GWL178" s="357"/>
      <c r="GWM178" s="357"/>
      <c r="GWN178" s="357"/>
      <c r="GWO178" s="357"/>
      <c r="GWP178" s="356"/>
      <c r="GWQ178" s="357"/>
      <c r="GWR178" s="357"/>
      <c r="GWS178" s="357"/>
      <c r="GWT178" s="357"/>
      <c r="GWU178" s="357"/>
      <c r="GWV178" s="356"/>
      <c r="GWW178" s="357"/>
      <c r="GWX178" s="357"/>
      <c r="GWY178" s="357"/>
      <c r="GWZ178" s="357"/>
      <c r="GXA178" s="357"/>
      <c r="GXB178" s="356"/>
      <c r="GXC178" s="357"/>
      <c r="GXD178" s="357"/>
      <c r="GXE178" s="357"/>
      <c r="GXF178" s="357"/>
      <c r="GXG178" s="357"/>
      <c r="GXH178" s="356"/>
      <c r="GXI178" s="357"/>
      <c r="GXJ178" s="357"/>
      <c r="GXK178" s="357"/>
      <c r="GXL178" s="357"/>
      <c r="GXM178" s="357"/>
      <c r="GXN178" s="356"/>
      <c r="GXO178" s="357"/>
      <c r="GXP178" s="357"/>
      <c r="GXQ178" s="357"/>
      <c r="GXR178" s="357"/>
      <c r="GXS178" s="357"/>
      <c r="GXT178" s="356"/>
      <c r="GXU178" s="357"/>
      <c r="GXV178" s="357"/>
      <c r="GXW178" s="357"/>
      <c r="GXX178" s="357"/>
      <c r="GXY178" s="357"/>
      <c r="GXZ178" s="356"/>
      <c r="GYA178" s="357"/>
      <c r="GYB178" s="357"/>
      <c r="GYC178" s="357"/>
      <c r="GYD178" s="357"/>
      <c r="GYE178" s="357"/>
      <c r="GYF178" s="356"/>
      <c r="GYG178" s="357"/>
      <c r="GYH178" s="357"/>
      <c r="GYI178" s="357"/>
      <c r="GYJ178" s="357"/>
      <c r="GYK178" s="357"/>
      <c r="GYL178" s="356"/>
      <c r="GYM178" s="357"/>
      <c r="GYN178" s="357"/>
      <c r="GYO178" s="357"/>
      <c r="GYP178" s="357"/>
      <c r="GYQ178" s="357"/>
      <c r="GYR178" s="356"/>
      <c r="GYS178" s="357"/>
      <c r="GYT178" s="357"/>
      <c r="GYU178" s="357"/>
      <c r="GYV178" s="357"/>
      <c r="GYW178" s="357"/>
      <c r="GYX178" s="356"/>
      <c r="GYY178" s="357"/>
      <c r="GYZ178" s="357"/>
      <c r="GZA178" s="357"/>
      <c r="GZB178" s="357"/>
      <c r="GZC178" s="357"/>
      <c r="GZD178" s="356"/>
      <c r="GZE178" s="357"/>
      <c r="GZF178" s="357"/>
      <c r="GZG178" s="357"/>
      <c r="GZH178" s="357"/>
      <c r="GZI178" s="357"/>
      <c r="GZJ178" s="356"/>
      <c r="GZK178" s="357"/>
      <c r="GZL178" s="357"/>
      <c r="GZM178" s="357"/>
      <c r="GZN178" s="357"/>
      <c r="GZO178" s="357"/>
      <c r="GZP178" s="356"/>
      <c r="GZQ178" s="357"/>
      <c r="GZR178" s="357"/>
      <c r="GZS178" s="357"/>
      <c r="GZT178" s="357"/>
      <c r="GZU178" s="357"/>
      <c r="GZV178" s="356"/>
      <c r="GZW178" s="357"/>
      <c r="GZX178" s="357"/>
      <c r="GZY178" s="357"/>
      <c r="GZZ178" s="357"/>
      <c r="HAA178" s="357"/>
      <c r="HAB178" s="356"/>
      <c r="HAC178" s="357"/>
      <c r="HAD178" s="357"/>
      <c r="HAE178" s="357"/>
      <c r="HAF178" s="357"/>
      <c r="HAG178" s="357"/>
      <c r="HAH178" s="356"/>
      <c r="HAI178" s="357"/>
      <c r="HAJ178" s="357"/>
      <c r="HAK178" s="357"/>
      <c r="HAL178" s="357"/>
      <c r="HAM178" s="357"/>
      <c r="HAN178" s="356"/>
      <c r="HAO178" s="357"/>
      <c r="HAP178" s="357"/>
      <c r="HAQ178" s="357"/>
      <c r="HAR178" s="357"/>
      <c r="HAS178" s="357"/>
      <c r="HAT178" s="356"/>
      <c r="HAU178" s="357"/>
      <c r="HAV178" s="357"/>
      <c r="HAW178" s="357"/>
      <c r="HAX178" s="357"/>
      <c r="HAY178" s="357"/>
      <c r="HAZ178" s="356"/>
      <c r="HBA178" s="357"/>
      <c r="HBB178" s="357"/>
      <c r="HBC178" s="357"/>
      <c r="HBD178" s="357"/>
      <c r="HBE178" s="357"/>
      <c r="HBF178" s="356"/>
      <c r="HBG178" s="357"/>
      <c r="HBH178" s="357"/>
      <c r="HBI178" s="357"/>
      <c r="HBJ178" s="357"/>
      <c r="HBK178" s="357"/>
      <c r="HBL178" s="356"/>
      <c r="HBM178" s="357"/>
      <c r="HBN178" s="357"/>
      <c r="HBO178" s="357"/>
      <c r="HBP178" s="357"/>
      <c r="HBQ178" s="357"/>
      <c r="HBR178" s="356"/>
      <c r="HBS178" s="357"/>
      <c r="HBT178" s="357"/>
      <c r="HBU178" s="357"/>
      <c r="HBV178" s="357"/>
      <c r="HBW178" s="357"/>
      <c r="HBX178" s="356"/>
      <c r="HBY178" s="357"/>
      <c r="HBZ178" s="357"/>
      <c r="HCA178" s="357"/>
      <c r="HCB178" s="357"/>
      <c r="HCC178" s="357"/>
      <c r="HCD178" s="356"/>
      <c r="HCE178" s="357"/>
      <c r="HCF178" s="357"/>
      <c r="HCG178" s="357"/>
      <c r="HCH178" s="357"/>
      <c r="HCI178" s="357"/>
      <c r="HCJ178" s="356"/>
      <c r="HCK178" s="357"/>
      <c r="HCL178" s="357"/>
      <c r="HCM178" s="357"/>
      <c r="HCN178" s="357"/>
      <c r="HCO178" s="357"/>
      <c r="HCP178" s="356"/>
      <c r="HCQ178" s="357"/>
      <c r="HCR178" s="357"/>
      <c r="HCS178" s="357"/>
      <c r="HCT178" s="357"/>
      <c r="HCU178" s="357"/>
      <c r="HCV178" s="356"/>
      <c r="HCW178" s="357"/>
      <c r="HCX178" s="357"/>
      <c r="HCY178" s="357"/>
      <c r="HCZ178" s="357"/>
      <c r="HDA178" s="357"/>
      <c r="HDB178" s="356"/>
      <c r="HDC178" s="357"/>
      <c r="HDD178" s="357"/>
      <c r="HDE178" s="357"/>
      <c r="HDF178" s="357"/>
      <c r="HDG178" s="357"/>
      <c r="HDH178" s="356"/>
      <c r="HDI178" s="357"/>
      <c r="HDJ178" s="357"/>
      <c r="HDK178" s="357"/>
      <c r="HDL178" s="357"/>
      <c r="HDM178" s="357"/>
      <c r="HDN178" s="356"/>
      <c r="HDO178" s="357"/>
      <c r="HDP178" s="357"/>
      <c r="HDQ178" s="357"/>
      <c r="HDR178" s="357"/>
      <c r="HDS178" s="357"/>
      <c r="HDT178" s="356"/>
      <c r="HDU178" s="357"/>
      <c r="HDV178" s="357"/>
      <c r="HDW178" s="357"/>
      <c r="HDX178" s="357"/>
      <c r="HDY178" s="357"/>
      <c r="HDZ178" s="356"/>
      <c r="HEA178" s="357"/>
      <c r="HEB178" s="357"/>
      <c r="HEC178" s="357"/>
      <c r="HED178" s="357"/>
      <c r="HEE178" s="357"/>
      <c r="HEF178" s="356"/>
      <c r="HEG178" s="357"/>
      <c r="HEH178" s="357"/>
      <c r="HEI178" s="357"/>
      <c r="HEJ178" s="357"/>
      <c r="HEK178" s="357"/>
      <c r="HEL178" s="356"/>
      <c r="HEM178" s="357"/>
      <c r="HEN178" s="357"/>
      <c r="HEO178" s="357"/>
      <c r="HEP178" s="357"/>
      <c r="HEQ178" s="357"/>
      <c r="HER178" s="356"/>
      <c r="HES178" s="357"/>
      <c r="HET178" s="357"/>
      <c r="HEU178" s="357"/>
      <c r="HEV178" s="357"/>
      <c r="HEW178" s="357"/>
      <c r="HEX178" s="356"/>
      <c r="HEY178" s="357"/>
      <c r="HEZ178" s="357"/>
      <c r="HFA178" s="357"/>
      <c r="HFB178" s="357"/>
      <c r="HFC178" s="357"/>
      <c r="HFD178" s="356"/>
      <c r="HFE178" s="357"/>
      <c r="HFF178" s="357"/>
      <c r="HFG178" s="357"/>
      <c r="HFH178" s="357"/>
      <c r="HFI178" s="357"/>
      <c r="HFJ178" s="356"/>
      <c r="HFK178" s="357"/>
      <c r="HFL178" s="357"/>
      <c r="HFM178" s="357"/>
      <c r="HFN178" s="357"/>
      <c r="HFO178" s="357"/>
      <c r="HFP178" s="356"/>
      <c r="HFQ178" s="357"/>
      <c r="HFR178" s="357"/>
      <c r="HFS178" s="357"/>
      <c r="HFT178" s="357"/>
      <c r="HFU178" s="357"/>
      <c r="HFV178" s="356"/>
      <c r="HFW178" s="357"/>
      <c r="HFX178" s="357"/>
      <c r="HFY178" s="357"/>
      <c r="HFZ178" s="357"/>
      <c r="HGA178" s="357"/>
      <c r="HGB178" s="356"/>
      <c r="HGC178" s="357"/>
      <c r="HGD178" s="357"/>
      <c r="HGE178" s="357"/>
      <c r="HGF178" s="357"/>
      <c r="HGG178" s="357"/>
      <c r="HGH178" s="356"/>
      <c r="HGI178" s="357"/>
      <c r="HGJ178" s="357"/>
      <c r="HGK178" s="357"/>
      <c r="HGL178" s="357"/>
      <c r="HGM178" s="357"/>
      <c r="HGN178" s="356"/>
      <c r="HGO178" s="357"/>
      <c r="HGP178" s="357"/>
      <c r="HGQ178" s="357"/>
      <c r="HGR178" s="357"/>
      <c r="HGS178" s="357"/>
      <c r="HGT178" s="356"/>
      <c r="HGU178" s="357"/>
      <c r="HGV178" s="357"/>
      <c r="HGW178" s="357"/>
      <c r="HGX178" s="357"/>
      <c r="HGY178" s="357"/>
      <c r="HGZ178" s="356"/>
      <c r="HHA178" s="357"/>
      <c r="HHB178" s="357"/>
      <c r="HHC178" s="357"/>
      <c r="HHD178" s="357"/>
      <c r="HHE178" s="357"/>
      <c r="HHF178" s="356"/>
      <c r="HHG178" s="357"/>
      <c r="HHH178" s="357"/>
      <c r="HHI178" s="357"/>
      <c r="HHJ178" s="357"/>
      <c r="HHK178" s="357"/>
      <c r="HHL178" s="356"/>
      <c r="HHM178" s="357"/>
      <c r="HHN178" s="357"/>
      <c r="HHO178" s="357"/>
      <c r="HHP178" s="357"/>
      <c r="HHQ178" s="357"/>
      <c r="HHR178" s="356"/>
      <c r="HHS178" s="357"/>
      <c r="HHT178" s="357"/>
      <c r="HHU178" s="357"/>
      <c r="HHV178" s="357"/>
      <c r="HHW178" s="357"/>
      <c r="HHX178" s="356"/>
      <c r="HHY178" s="357"/>
      <c r="HHZ178" s="357"/>
      <c r="HIA178" s="357"/>
      <c r="HIB178" s="357"/>
      <c r="HIC178" s="357"/>
      <c r="HID178" s="356"/>
      <c r="HIE178" s="357"/>
      <c r="HIF178" s="357"/>
      <c r="HIG178" s="357"/>
      <c r="HIH178" s="357"/>
      <c r="HII178" s="357"/>
      <c r="HIJ178" s="356"/>
      <c r="HIK178" s="357"/>
      <c r="HIL178" s="357"/>
      <c r="HIM178" s="357"/>
      <c r="HIN178" s="357"/>
      <c r="HIO178" s="357"/>
      <c r="HIP178" s="356"/>
      <c r="HIQ178" s="357"/>
      <c r="HIR178" s="357"/>
      <c r="HIS178" s="357"/>
      <c r="HIT178" s="357"/>
      <c r="HIU178" s="357"/>
      <c r="HIV178" s="356"/>
      <c r="HIW178" s="357"/>
      <c r="HIX178" s="357"/>
      <c r="HIY178" s="357"/>
      <c r="HIZ178" s="357"/>
      <c r="HJA178" s="357"/>
      <c r="HJB178" s="356"/>
      <c r="HJC178" s="357"/>
      <c r="HJD178" s="357"/>
      <c r="HJE178" s="357"/>
      <c r="HJF178" s="357"/>
      <c r="HJG178" s="357"/>
      <c r="HJH178" s="356"/>
      <c r="HJI178" s="357"/>
      <c r="HJJ178" s="357"/>
      <c r="HJK178" s="357"/>
      <c r="HJL178" s="357"/>
      <c r="HJM178" s="357"/>
      <c r="HJN178" s="356"/>
      <c r="HJO178" s="357"/>
      <c r="HJP178" s="357"/>
      <c r="HJQ178" s="357"/>
      <c r="HJR178" s="357"/>
      <c r="HJS178" s="357"/>
      <c r="HJT178" s="356"/>
      <c r="HJU178" s="357"/>
      <c r="HJV178" s="357"/>
      <c r="HJW178" s="357"/>
      <c r="HJX178" s="357"/>
      <c r="HJY178" s="357"/>
      <c r="HJZ178" s="356"/>
      <c r="HKA178" s="357"/>
      <c r="HKB178" s="357"/>
      <c r="HKC178" s="357"/>
      <c r="HKD178" s="357"/>
      <c r="HKE178" s="357"/>
      <c r="HKF178" s="356"/>
      <c r="HKG178" s="357"/>
      <c r="HKH178" s="357"/>
      <c r="HKI178" s="357"/>
      <c r="HKJ178" s="357"/>
      <c r="HKK178" s="357"/>
      <c r="HKL178" s="356"/>
      <c r="HKM178" s="357"/>
      <c r="HKN178" s="357"/>
      <c r="HKO178" s="357"/>
      <c r="HKP178" s="357"/>
      <c r="HKQ178" s="357"/>
      <c r="HKR178" s="356"/>
      <c r="HKS178" s="357"/>
      <c r="HKT178" s="357"/>
      <c r="HKU178" s="357"/>
      <c r="HKV178" s="357"/>
      <c r="HKW178" s="357"/>
      <c r="HKX178" s="356"/>
      <c r="HKY178" s="357"/>
      <c r="HKZ178" s="357"/>
      <c r="HLA178" s="357"/>
      <c r="HLB178" s="357"/>
      <c r="HLC178" s="357"/>
      <c r="HLD178" s="356"/>
      <c r="HLE178" s="357"/>
      <c r="HLF178" s="357"/>
      <c r="HLG178" s="357"/>
      <c r="HLH178" s="357"/>
      <c r="HLI178" s="357"/>
      <c r="HLJ178" s="356"/>
      <c r="HLK178" s="357"/>
      <c r="HLL178" s="357"/>
      <c r="HLM178" s="357"/>
      <c r="HLN178" s="357"/>
      <c r="HLO178" s="357"/>
      <c r="HLP178" s="356"/>
      <c r="HLQ178" s="357"/>
      <c r="HLR178" s="357"/>
      <c r="HLS178" s="357"/>
      <c r="HLT178" s="357"/>
      <c r="HLU178" s="357"/>
      <c r="HLV178" s="356"/>
      <c r="HLW178" s="357"/>
      <c r="HLX178" s="357"/>
      <c r="HLY178" s="357"/>
      <c r="HLZ178" s="357"/>
      <c r="HMA178" s="357"/>
      <c r="HMB178" s="356"/>
      <c r="HMC178" s="357"/>
      <c r="HMD178" s="357"/>
      <c r="HME178" s="357"/>
      <c r="HMF178" s="357"/>
      <c r="HMG178" s="357"/>
      <c r="HMH178" s="356"/>
      <c r="HMI178" s="357"/>
      <c r="HMJ178" s="357"/>
      <c r="HMK178" s="357"/>
      <c r="HML178" s="357"/>
      <c r="HMM178" s="357"/>
      <c r="HMN178" s="356"/>
      <c r="HMO178" s="357"/>
      <c r="HMP178" s="357"/>
      <c r="HMQ178" s="357"/>
      <c r="HMR178" s="357"/>
      <c r="HMS178" s="357"/>
      <c r="HMT178" s="356"/>
      <c r="HMU178" s="357"/>
      <c r="HMV178" s="357"/>
      <c r="HMW178" s="357"/>
      <c r="HMX178" s="357"/>
      <c r="HMY178" s="357"/>
      <c r="HMZ178" s="356"/>
      <c r="HNA178" s="357"/>
      <c r="HNB178" s="357"/>
      <c r="HNC178" s="357"/>
      <c r="HND178" s="357"/>
      <c r="HNE178" s="357"/>
      <c r="HNF178" s="356"/>
      <c r="HNG178" s="357"/>
      <c r="HNH178" s="357"/>
      <c r="HNI178" s="357"/>
      <c r="HNJ178" s="357"/>
      <c r="HNK178" s="357"/>
      <c r="HNL178" s="356"/>
      <c r="HNM178" s="357"/>
      <c r="HNN178" s="357"/>
      <c r="HNO178" s="357"/>
      <c r="HNP178" s="357"/>
      <c r="HNQ178" s="357"/>
      <c r="HNR178" s="356"/>
      <c r="HNS178" s="357"/>
      <c r="HNT178" s="357"/>
      <c r="HNU178" s="357"/>
      <c r="HNV178" s="357"/>
      <c r="HNW178" s="357"/>
      <c r="HNX178" s="356"/>
      <c r="HNY178" s="357"/>
      <c r="HNZ178" s="357"/>
      <c r="HOA178" s="357"/>
      <c r="HOB178" s="357"/>
      <c r="HOC178" s="357"/>
      <c r="HOD178" s="356"/>
      <c r="HOE178" s="357"/>
      <c r="HOF178" s="357"/>
      <c r="HOG178" s="357"/>
      <c r="HOH178" s="357"/>
      <c r="HOI178" s="357"/>
      <c r="HOJ178" s="356"/>
      <c r="HOK178" s="357"/>
      <c r="HOL178" s="357"/>
      <c r="HOM178" s="357"/>
      <c r="HON178" s="357"/>
      <c r="HOO178" s="357"/>
      <c r="HOP178" s="356"/>
      <c r="HOQ178" s="357"/>
      <c r="HOR178" s="357"/>
      <c r="HOS178" s="357"/>
      <c r="HOT178" s="357"/>
      <c r="HOU178" s="357"/>
      <c r="HOV178" s="356"/>
      <c r="HOW178" s="357"/>
      <c r="HOX178" s="357"/>
      <c r="HOY178" s="357"/>
      <c r="HOZ178" s="357"/>
      <c r="HPA178" s="357"/>
      <c r="HPB178" s="356"/>
      <c r="HPC178" s="357"/>
      <c r="HPD178" s="357"/>
      <c r="HPE178" s="357"/>
      <c r="HPF178" s="357"/>
      <c r="HPG178" s="357"/>
      <c r="HPH178" s="356"/>
      <c r="HPI178" s="357"/>
      <c r="HPJ178" s="357"/>
      <c r="HPK178" s="357"/>
      <c r="HPL178" s="357"/>
      <c r="HPM178" s="357"/>
      <c r="HPN178" s="356"/>
      <c r="HPO178" s="357"/>
      <c r="HPP178" s="357"/>
      <c r="HPQ178" s="357"/>
      <c r="HPR178" s="357"/>
      <c r="HPS178" s="357"/>
      <c r="HPT178" s="356"/>
      <c r="HPU178" s="357"/>
      <c r="HPV178" s="357"/>
      <c r="HPW178" s="357"/>
      <c r="HPX178" s="357"/>
      <c r="HPY178" s="357"/>
      <c r="HPZ178" s="356"/>
      <c r="HQA178" s="357"/>
      <c r="HQB178" s="357"/>
      <c r="HQC178" s="357"/>
      <c r="HQD178" s="357"/>
      <c r="HQE178" s="357"/>
      <c r="HQF178" s="356"/>
      <c r="HQG178" s="357"/>
      <c r="HQH178" s="357"/>
      <c r="HQI178" s="357"/>
      <c r="HQJ178" s="357"/>
      <c r="HQK178" s="357"/>
      <c r="HQL178" s="356"/>
      <c r="HQM178" s="357"/>
      <c r="HQN178" s="357"/>
      <c r="HQO178" s="357"/>
      <c r="HQP178" s="357"/>
      <c r="HQQ178" s="357"/>
      <c r="HQR178" s="356"/>
      <c r="HQS178" s="357"/>
      <c r="HQT178" s="357"/>
      <c r="HQU178" s="357"/>
      <c r="HQV178" s="357"/>
      <c r="HQW178" s="357"/>
      <c r="HQX178" s="356"/>
      <c r="HQY178" s="357"/>
      <c r="HQZ178" s="357"/>
      <c r="HRA178" s="357"/>
      <c r="HRB178" s="357"/>
      <c r="HRC178" s="357"/>
      <c r="HRD178" s="356"/>
      <c r="HRE178" s="357"/>
      <c r="HRF178" s="357"/>
      <c r="HRG178" s="357"/>
      <c r="HRH178" s="357"/>
      <c r="HRI178" s="357"/>
      <c r="HRJ178" s="356"/>
      <c r="HRK178" s="357"/>
      <c r="HRL178" s="357"/>
      <c r="HRM178" s="357"/>
      <c r="HRN178" s="357"/>
      <c r="HRO178" s="357"/>
      <c r="HRP178" s="356"/>
      <c r="HRQ178" s="357"/>
      <c r="HRR178" s="357"/>
      <c r="HRS178" s="357"/>
      <c r="HRT178" s="357"/>
      <c r="HRU178" s="357"/>
      <c r="HRV178" s="356"/>
      <c r="HRW178" s="357"/>
      <c r="HRX178" s="357"/>
      <c r="HRY178" s="357"/>
      <c r="HRZ178" s="357"/>
      <c r="HSA178" s="357"/>
      <c r="HSB178" s="356"/>
      <c r="HSC178" s="357"/>
      <c r="HSD178" s="357"/>
      <c r="HSE178" s="357"/>
      <c r="HSF178" s="357"/>
      <c r="HSG178" s="357"/>
      <c r="HSH178" s="356"/>
      <c r="HSI178" s="357"/>
      <c r="HSJ178" s="357"/>
      <c r="HSK178" s="357"/>
      <c r="HSL178" s="357"/>
      <c r="HSM178" s="357"/>
      <c r="HSN178" s="356"/>
      <c r="HSO178" s="357"/>
      <c r="HSP178" s="357"/>
      <c r="HSQ178" s="357"/>
      <c r="HSR178" s="357"/>
      <c r="HSS178" s="357"/>
      <c r="HST178" s="356"/>
      <c r="HSU178" s="357"/>
      <c r="HSV178" s="357"/>
      <c r="HSW178" s="357"/>
      <c r="HSX178" s="357"/>
      <c r="HSY178" s="357"/>
      <c r="HSZ178" s="356"/>
      <c r="HTA178" s="357"/>
      <c r="HTB178" s="357"/>
      <c r="HTC178" s="357"/>
      <c r="HTD178" s="357"/>
      <c r="HTE178" s="357"/>
      <c r="HTF178" s="356"/>
      <c r="HTG178" s="357"/>
      <c r="HTH178" s="357"/>
      <c r="HTI178" s="357"/>
      <c r="HTJ178" s="357"/>
      <c r="HTK178" s="357"/>
      <c r="HTL178" s="356"/>
      <c r="HTM178" s="357"/>
      <c r="HTN178" s="357"/>
      <c r="HTO178" s="357"/>
      <c r="HTP178" s="357"/>
      <c r="HTQ178" s="357"/>
      <c r="HTR178" s="356"/>
      <c r="HTS178" s="357"/>
      <c r="HTT178" s="357"/>
      <c r="HTU178" s="357"/>
      <c r="HTV178" s="357"/>
      <c r="HTW178" s="357"/>
      <c r="HTX178" s="356"/>
      <c r="HTY178" s="357"/>
      <c r="HTZ178" s="357"/>
      <c r="HUA178" s="357"/>
      <c r="HUB178" s="357"/>
      <c r="HUC178" s="357"/>
      <c r="HUD178" s="356"/>
      <c r="HUE178" s="357"/>
      <c r="HUF178" s="357"/>
      <c r="HUG178" s="357"/>
      <c r="HUH178" s="357"/>
      <c r="HUI178" s="357"/>
      <c r="HUJ178" s="356"/>
      <c r="HUK178" s="357"/>
      <c r="HUL178" s="357"/>
      <c r="HUM178" s="357"/>
      <c r="HUN178" s="357"/>
      <c r="HUO178" s="357"/>
      <c r="HUP178" s="356"/>
      <c r="HUQ178" s="357"/>
      <c r="HUR178" s="357"/>
      <c r="HUS178" s="357"/>
      <c r="HUT178" s="357"/>
      <c r="HUU178" s="357"/>
      <c r="HUV178" s="356"/>
      <c r="HUW178" s="357"/>
      <c r="HUX178" s="357"/>
      <c r="HUY178" s="357"/>
      <c r="HUZ178" s="357"/>
      <c r="HVA178" s="357"/>
      <c r="HVB178" s="356"/>
      <c r="HVC178" s="357"/>
      <c r="HVD178" s="357"/>
      <c r="HVE178" s="357"/>
      <c r="HVF178" s="357"/>
      <c r="HVG178" s="357"/>
      <c r="HVH178" s="356"/>
      <c r="HVI178" s="357"/>
      <c r="HVJ178" s="357"/>
      <c r="HVK178" s="357"/>
      <c r="HVL178" s="357"/>
      <c r="HVM178" s="357"/>
      <c r="HVN178" s="356"/>
      <c r="HVO178" s="357"/>
      <c r="HVP178" s="357"/>
      <c r="HVQ178" s="357"/>
      <c r="HVR178" s="357"/>
      <c r="HVS178" s="357"/>
      <c r="HVT178" s="356"/>
      <c r="HVU178" s="357"/>
      <c r="HVV178" s="357"/>
      <c r="HVW178" s="357"/>
      <c r="HVX178" s="357"/>
      <c r="HVY178" s="357"/>
      <c r="HVZ178" s="356"/>
      <c r="HWA178" s="357"/>
      <c r="HWB178" s="357"/>
      <c r="HWC178" s="357"/>
      <c r="HWD178" s="357"/>
      <c r="HWE178" s="357"/>
      <c r="HWF178" s="356"/>
      <c r="HWG178" s="357"/>
      <c r="HWH178" s="357"/>
      <c r="HWI178" s="357"/>
      <c r="HWJ178" s="357"/>
      <c r="HWK178" s="357"/>
      <c r="HWL178" s="356"/>
      <c r="HWM178" s="357"/>
      <c r="HWN178" s="357"/>
      <c r="HWO178" s="357"/>
      <c r="HWP178" s="357"/>
      <c r="HWQ178" s="357"/>
      <c r="HWR178" s="356"/>
      <c r="HWS178" s="357"/>
      <c r="HWT178" s="357"/>
      <c r="HWU178" s="357"/>
      <c r="HWV178" s="357"/>
      <c r="HWW178" s="357"/>
      <c r="HWX178" s="356"/>
      <c r="HWY178" s="357"/>
      <c r="HWZ178" s="357"/>
      <c r="HXA178" s="357"/>
      <c r="HXB178" s="357"/>
      <c r="HXC178" s="357"/>
      <c r="HXD178" s="356"/>
      <c r="HXE178" s="357"/>
      <c r="HXF178" s="357"/>
      <c r="HXG178" s="357"/>
      <c r="HXH178" s="357"/>
      <c r="HXI178" s="357"/>
      <c r="HXJ178" s="356"/>
      <c r="HXK178" s="357"/>
      <c r="HXL178" s="357"/>
      <c r="HXM178" s="357"/>
      <c r="HXN178" s="357"/>
      <c r="HXO178" s="357"/>
      <c r="HXP178" s="356"/>
      <c r="HXQ178" s="357"/>
      <c r="HXR178" s="357"/>
      <c r="HXS178" s="357"/>
      <c r="HXT178" s="357"/>
      <c r="HXU178" s="357"/>
      <c r="HXV178" s="356"/>
      <c r="HXW178" s="357"/>
      <c r="HXX178" s="357"/>
      <c r="HXY178" s="357"/>
      <c r="HXZ178" s="357"/>
      <c r="HYA178" s="357"/>
      <c r="HYB178" s="356"/>
      <c r="HYC178" s="357"/>
      <c r="HYD178" s="357"/>
      <c r="HYE178" s="357"/>
      <c r="HYF178" s="357"/>
      <c r="HYG178" s="357"/>
      <c r="HYH178" s="356"/>
      <c r="HYI178" s="357"/>
      <c r="HYJ178" s="357"/>
      <c r="HYK178" s="357"/>
      <c r="HYL178" s="357"/>
      <c r="HYM178" s="357"/>
      <c r="HYN178" s="356"/>
      <c r="HYO178" s="357"/>
      <c r="HYP178" s="357"/>
      <c r="HYQ178" s="357"/>
      <c r="HYR178" s="357"/>
      <c r="HYS178" s="357"/>
      <c r="HYT178" s="356"/>
      <c r="HYU178" s="357"/>
      <c r="HYV178" s="357"/>
      <c r="HYW178" s="357"/>
      <c r="HYX178" s="357"/>
      <c r="HYY178" s="357"/>
      <c r="HYZ178" s="356"/>
      <c r="HZA178" s="357"/>
      <c r="HZB178" s="357"/>
      <c r="HZC178" s="357"/>
      <c r="HZD178" s="357"/>
      <c r="HZE178" s="357"/>
      <c r="HZF178" s="356"/>
      <c r="HZG178" s="357"/>
      <c r="HZH178" s="357"/>
      <c r="HZI178" s="357"/>
      <c r="HZJ178" s="357"/>
      <c r="HZK178" s="357"/>
      <c r="HZL178" s="356"/>
      <c r="HZM178" s="357"/>
      <c r="HZN178" s="357"/>
      <c r="HZO178" s="357"/>
      <c r="HZP178" s="357"/>
      <c r="HZQ178" s="357"/>
      <c r="HZR178" s="356"/>
      <c r="HZS178" s="357"/>
      <c r="HZT178" s="357"/>
      <c r="HZU178" s="357"/>
      <c r="HZV178" s="357"/>
      <c r="HZW178" s="357"/>
      <c r="HZX178" s="356"/>
      <c r="HZY178" s="357"/>
      <c r="HZZ178" s="357"/>
      <c r="IAA178" s="357"/>
      <c r="IAB178" s="357"/>
      <c r="IAC178" s="357"/>
      <c r="IAD178" s="356"/>
      <c r="IAE178" s="357"/>
      <c r="IAF178" s="357"/>
      <c r="IAG178" s="357"/>
      <c r="IAH178" s="357"/>
      <c r="IAI178" s="357"/>
      <c r="IAJ178" s="356"/>
      <c r="IAK178" s="357"/>
      <c r="IAL178" s="357"/>
      <c r="IAM178" s="357"/>
      <c r="IAN178" s="357"/>
      <c r="IAO178" s="357"/>
      <c r="IAP178" s="356"/>
      <c r="IAQ178" s="357"/>
      <c r="IAR178" s="357"/>
      <c r="IAS178" s="357"/>
      <c r="IAT178" s="357"/>
      <c r="IAU178" s="357"/>
      <c r="IAV178" s="356"/>
      <c r="IAW178" s="357"/>
      <c r="IAX178" s="357"/>
      <c r="IAY178" s="357"/>
      <c r="IAZ178" s="357"/>
      <c r="IBA178" s="357"/>
      <c r="IBB178" s="356"/>
      <c r="IBC178" s="357"/>
      <c r="IBD178" s="357"/>
      <c r="IBE178" s="357"/>
      <c r="IBF178" s="357"/>
      <c r="IBG178" s="357"/>
      <c r="IBH178" s="356"/>
      <c r="IBI178" s="357"/>
      <c r="IBJ178" s="357"/>
      <c r="IBK178" s="357"/>
      <c r="IBL178" s="357"/>
      <c r="IBM178" s="357"/>
      <c r="IBN178" s="356"/>
      <c r="IBO178" s="357"/>
      <c r="IBP178" s="357"/>
      <c r="IBQ178" s="357"/>
      <c r="IBR178" s="357"/>
      <c r="IBS178" s="357"/>
      <c r="IBT178" s="356"/>
      <c r="IBU178" s="357"/>
      <c r="IBV178" s="357"/>
      <c r="IBW178" s="357"/>
      <c r="IBX178" s="357"/>
      <c r="IBY178" s="357"/>
      <c r="IBZ178" s="356"/>
      <c r="ICA178" s="357"/>
      <c r="ICB178" s="357"/>
      <c r="ICC178" s="357"/>
      <c r="ICD178" s="357"/>
      <c r="ICE178" s="357"/>
      <c r="ICF178" s="356"/>
      <c r="ICG178" s="357"/>
      <c r="ICH178" s="357"/>
      <c r="ICI178" s="357"/>
      <c r="ICJ178" s="357"/>
      <c r="ICK178" s="357"/>
      <c r="ICL178" s="356"/>
      <c r="ICM178" s="357"/>
      <c r="ICN178" s="357"/>
      <c r="ICO178" s="357"/>
      <c r="ICP178" s="357"/>
      <c r="ICQ178" s="357"/>
      <c r="ICR178" s="356"/>
      <c r="ICS178" s="357"/>
      <c r="ICT178" s="357"/>
      <c r="ICU178" s="357"/>
      <c r="ICV178" s="357"/>
      <c r="ICW178" s="357"/>
      <c r="ICX178" s="356"/>
      <c r="ICY178" s="357"/>
      <c r="ICZ178" s="357"/>
      <c r="IDA178" s="357"/>
      <c r="IDB178" s="357"/>
      <c r="IDC178" s="357"/>
      <c r="IDD178" s="356"/>
      <c r="IDE178" s="357"/>
      <c r="IDF178" s="357"/>
      <c r="IDG178" s="357"/>
      <c r="IDH178" s="357"/>
      <c r="IDI178" s="357"/>
      <c r="IDJ178" s="356"/>
      <c r="IDK178" s="357"/>
      <c r="IDL178" s="357"/>
      <c r="IDM178" s="357"/>
      <c r="IDN178" s="357"/>
      <c r="IDO178" s="357"/>
      <c r="IDP178" s="356"/>
      <c r="IDQ178" s="357"/>
      <c r="IDR178" s="357"/>
      <c r="IDS178" s="357"/>
      <c r="IDT178" s="357"/>
      <c r="IDU178" s="357"/>
      <c r="IDV178" s="356"/>
      <c r="IDW178" s="357"/>
      <c r="IDX178" s="357"/>
      <c r="IDY178" s="357"/>
      <c r="IDZ178" s="357"/>
      <c r="IEA178" s="357"/>
      <c r="IEB178" s="356"/>
      <c r="IEC178" s="357"/>
      <c r="IED178" s="357"/>
      <c r="IEE178" s="357"/>
      <c r="IEF178" s="357"/>
      <c r="IEG178" s="357"/>
      <c r="IEH178" s="356"/>
      <c r="IEI178" s="357"/>
      <c r="IEJ178" s="357"/>
      <c r="IEK178" s="357"/>
      <c r="IEL178" s="357"/>
      <c r="IEM178" s="357"/>
      <c r="IEN178" s="356"/>
      <c r="IEO178" s="357"/>
      <c r="IEP178" s="357"/>
      <c r="IEQ178" s="357"/>
      <c r="IER178" s="357"/>
      <c r="IES178" s="357"/>
      <c r="IET178" s="356"/>
      <c r="IEU178" s="357"/>
      <c r="IEV178" s="357"/>
      <c r="IEW178" s="357"/>
      <c r="IEX178" s="357"/>
      <c r="IEY178" s="357"/>
      <c r="IEZ178" s="356"/>
      <c r="IFA178" s="357"/>
      <c r="IFB178" s="357"/>
      <c r="IFC178" s="357"/>
      <c r="IFD178" s="357"/>
      <c r="IFE178" s="357"/>
      <c r="IFF178" s="356"/>
      <c r="IFG178" s="357"/>
      <c r="IFH178" s="357"/>
      <c r="IFI178" s="357"/>
      <c r="IFJ178" s="357"/>
      <c r="IFK178" s="357"/>
      <c r="IFL178" s="356"/>
      <c r="IFM178" s="357"/>
      <c r="IFN178" s="357"/>
      <c r="IFO178" s="357"/>
      <c r="IFP178" s="357"/>
      <c r="IFQ178" s="357"/>
      <c r="IFR178" s="356"/>
      <c r="IFS178" s="357"/>
      <c r="IFT178" s="357"/>
      <c r="IFU178" s="357"/>
      <c r="IFV178" s="357"/>
      <c r="IFW178" s="357"/>
      <c r="IFX178" s="356"/>
      <c r="IFY178" s="357"/>
      <c r="IFZ178" s="357"/>
      <c r="IGA178" s="357"/>
      <c r="IGB178" s="357"/>
      <c r="IGC178" s="357"/>
      <c r="IGD178" s="356"/>
      <c r="IGE178" s="357"/>
      <c r="IGF178" s="357"/>
      <c r="IGG178" s="357"/>
      <c r="IGH178" s="357"/>
      <c r="IGI178" s="357"/>
      <c r="IGJ178" s="356"/>
      <c r="IGK178" s="357"/>
      <c r="IGL178" s="357"/>
      <c r="IGM178" s="357"/>
      <c r="IGN178" s="357"/>
      <c r="IGO178" s="357"/>
      <c r="IGP178" s="356"/>
      <c r="IGQ178" s="357"/>
      <c r="IGR178" s="357"/>
      <c r="IGS178" s="357"/>
      <c r="IGT178" s="357"/>
      <c r="IGU178" s="357"/>
      <c r="IGV178" s="356"/>
      <c r="IGW178" s="357"/>
      <c r="IGX178" s="357"/>
      <c r="IGY178" s="357"/>
      <c r="IGZ178" s="357"/>
      <c r="IHA178" s="357"/>
      <c r="IHB178" s="356"/>
      <c r="IHC178" s="357"/>
      <c r="IHD178" s="357"/>
      <c r="IHE178" s="357"/>
      <c r="IHF178" s="357"/>
      <c r="IHG178" s="357"/>
      <c r="IHH178" s="356"/>
      <c r="IHI178" s="357"/>
      <c r="IHJ178" s="357"/>
      <c r="IHK178" s="357"/>
      <c r="IHL178" s="357"/>
      <c r="IHM178" s="357"/>
      <c r="IHN178" s="356"/>
      <c r="IHO178" s="357"/>
      <c r="IHP178" s="357"/>
      <c r="IHQ178" s="357"/>
      <c r="IHR178" s="357"/>
      <c r="IHS178" s="357"/>
      <c r="IHT178" s="356"/>
      <c r="IHU178" s="357"/>
      <c r="IHV178" s="357"/>
      <c r="IHW178" s="357"/>
      <c r="IHX178" s="357"/>
      <c r="IHY178" s="357"/>
      <c r="IHZ178" s="356"/>
      <c r="IIA178" s="357"/>
      <c r="IIB178" s="357"/>
      <c r="IIC178" s="357"/>
      <c r="IID178" s="357"/>
      <c r="IIE178" s="357"/>
      <c r="IIF178" s="356"/>
      <c r="IIG178" s="357"/>
      <c r="IIH178" s="357"/>
      <c r="III178" s="357"/>
      <c r="IIJ178" s="357"/>
      <c r="IIK178" s="357"/>
      <c r="IIL178" s="356"/>
      <c r="IIM178" s="357"/>
      <c r="IIN178" s="357"/>
      <c r="IIO178" s="357"/>
      <c r="IIP178" s="357"/>
      <c r="IIQ178" s="357"/>
      <c r="IIR178" s="356"/>
      <c r="IIS178" s="357"/>
      <c r="IIT178" s="357"/>
      <c r="IIU178" s="357"/>
      <c r="IIV178" s="357"/>
      <c r="IIW178" s="357"/>
      <c r="IIX178" s="356"/>
      <c r="IIY178" s="357"/>
      <c r="IIZ178" s="357"/>
      <c r="IJA178" s="357"/>
      <c r="IJB178" s="357"/>
      <c r="IJC178" s="357"/>
      <c r="IJD178" s="356"/>
      <c r="IJE178" s="357"/>
      <c r="IJF178" s="357"/>
      <c r="IJG178" s="357"/>
      <c r="IJH178" s="357"/>
      <c r="IJI178" s="357"/>
      <c r="IJJ178" s="356"/>
      <c r="IJK178" s="357"/>
      <c r="IJL178" s="357"/>
      <c r="IJM178" s="357"/>
      <c r="IJN178" s="357"/>
      <c r="IJO178" s="357"/>
      <c r="IJP178" s="356"/>
      <c r="IJQ178" s="357"/>
      <c r="IJR178" s="357"/>
      <c r="IJS178" s="357"/>
      <c r="IJT178" s="357"/>
      <c r="IJU178" s="357"/>
      <c r="IJV178" s="356"/>
      <c r="IJW178" s="357"/>
      <c r="IJX178" s="357"/>
      <c r="IJY178" s="357"/>
      <c r="IJZ178" s="357"/>
      <c r="IKA178" s="357"/>
      <c r="IKB178" s="356"/>
      <c r="IKC178" s="357"/>
      <c r="IKD178" s="357"/>
      <c r="IKE178" s="357"/>
      <c r="IKF178" s="357"/>
      <c r="IKG178" s="357"/>
      <c r="IKH178" s="356"/>
      <c r="IKI178" s="357"/>
      <c r="IKJ178" s="357"/>
      <c r="IKK178" s="357"/>
      <c r="IKL178" s="357"/>
      <c r="IKM178" s="357"/>
      <c r="IKN178" s="356"/>
      <c r="IKO178" s="357"/>
      <c r="IKP178" s="357"/>
      <c r="IKQ178" s="357"/>
      <c r="IKR178" s="357"/>
      <c r="IKS178" s="357"/>
      <c r="IKT178" s="356"/>
      <c r="IKU178" s="357"/>
      <c r="IKV178" s="357"/>
      <c r="IKW178" s="357"/>
      <c r="IKX178" s="357"/>
      <c r="IKY178" s="357"/>
      <c r="IKZ178" s="356"/>
      <c r="ILA178" s="357"/>
      <c r="ILB178" s="357"/>
      <c r="ILC178" s="357"/>
      <c r="ILD178" s="357"/>
      <c r="ILE178" s="357"/>
      <c r="ILF178" s="356"/>
      <c r="ILG178" s="357"/>
      <c r="ILH178" s="357"/>
      <c r="ILI178" s="357"/>
      <c r="ILJ178" s="357"/>
      <c r="ILK178" s="357"/>
      <c r="ILL178" s="356"/>
      <c r="ILM178" s="357"/>
      <c r="ILN178" s="357"/>
      <c r="ILO178" s="357"/>
      <c r="ILP178" s="357"/>
      <c r="ILQ178" s="357"/>
      <c r="ILR178" s="356"/>
      <c r="ILS178" s="357"/>
      <c r="ILT178" s="357"/>
      <c r="ILU178" s="357"/>
      <c r="ILV178" s="357"/>
      <c r="ILW178" s="357"/>
      <c r="ILX178" s="356"/>
      <c r="ILY178" s="357"/>
      <c r="ILZ178" s="357"/>
      <c r="IMA178" s="357"/>
      <c r="IMB178" s="357"/>
      <c r="IMC178" s="357"/>
      <c r="IMD178" s="356"/>
      <c r="IME178" s="357"/>
      <c r="IMF178" s="357"/>
      <c r="IMG178" s="357"/>
      <c r="IMH178" s="357"/>
      <c r="IMI178" s="357"/>
      <c r="IMJ178" s="356"/>
      <c r="IMK178" s="357"/>
      <c r="IML178" s="357"/>
      <c r="IMM178" s="357"/>
      <c r="IMN178" s="357"/>
      <c r="IMO178" s="357"/>
      <c r="IMP178" s="356"/>
      <c r="IMQ178" s="357"/>
      <c r="IMR178" s="357"/>
      <c r="IMS178" s="357"/>
      <c r="IMT178" s="357"/>
      <c r="IMU178" s="357"/>
      <c r="IMV178" s="356"/>
      <c r="IMW178" s="357"/>
      <c r="IMX178" s="357"/>
      <c r="IMY178" s="357"/>
      <c r="IMZ178" s="357"/>
      <c r="INA178" s="357"/>
      <c r="INB178" s="356"/>
      <c r="INC178" s="357"/>
      <c r="IND178" s="357"/>
      <c r="INE178" s="357"/>
      <c r="INF178" s="357"/>
      <c r="ING178" s="357"/>
      <c r="INH178" s="356"/>
      <c r="INI178" s="357"/>
      <c r="INJ178" s="357"/>
      <c r="INK178" s="357"/>
      <c r="INL178" s="357"/>
      <c r="INM178" s="357"/>
      <c r="INN178" s="356"/>
      <c r="INO178" s="357"/>
      <c r="INP178" s="357"/>
      <c r="INQ178" s="357"/>
      <c r="INR178" s="357"/>
      <c r="INS178" s="357"/>
      <c r="INT178" s="356"/>
      <c r="INU178" s="357"/>
      <c r="INV178" s="357"/>
      <c r="INW178" s="357"/>
      <c r="INX178" s="357"/>
      <c r="INY178" s="357"/>
      <c r="INZ178" s="356"/>
      <c r="IOA178" s="357"/>
      <c r="IOB178" s="357"/>
      <c r="IOC178" s="357"/>
      <c r="IOD178" s="357"/>
      <c r="IOE178" s="357"/>
      <c r="IOF178" s="356"/>
      <c r="IOG178" s="357"/>
      <c r="IOH178" s="357"/>
      <c r="IOI178" s="357"/>
      <c r="IOJ178" s="357"/>
      <c r="IOK178" s="357"/>
      <c r="IOL178" s="356"/>
      <c r="IOM178" s="357"/>
      <c r="ION178" s="357"/>
      <c r="IOO178" s="357"/>
      <c r="IOP178" s="357"/>
      <c r="IOQ178" s="357"/>
      <c r="IOR178" s="356"/>
      <c r="IOS178" s="357"/>
      <c r="IOT178" s="357"/>
      <c r="IOU178" s="357"/>
      <c r="IOV178" s="357"/>
      <c r="IOW178" s="357"/>
      <c r="IOX178" s="356"/>
      <c r="IOY178" s="357"/>
      <c r="IOZ178" s="357"/>
      <c r="IPA178" s="357"/>
      <c r="IPB178" s="357"/>
      <c r="IPC178" s="357"/>
      <c r="IPD178" s="356"/>
      <c r="IPE178" s="357"/>
      <c r="IPF178" s="357"/>
      <c r="IPG178" s="357"/>
      <c r="IPH178" s="357"/>
      <c r="IPI178" s="357"/>
      <c r="IPJ178" s="356"/>
      <c r="IPK178" s="357"/>
      <c r="IPL178" s="357"/>
      <c r="IPM178" s="357"/>
      <c r="IPN178" s="357"/>
      <c r="IPO178" s="357"/>
      <c r="IPP178" s="356"/>
      <c r="IPQ178" s="357"/>
      <c r="IPR178" s="357"/>
      <c r="IPS178" s="357"/>
      <c r="IPT178" s="357"/>
      <c r="IPU178" s="357"/>
      <c r="IPV178" s="356"/>
      <c r="IPW178" s="357"/>
      <c r="IPX178" s="357"/>
      <c r="IPY178" s="357"/>
      <c r="IPZ178" s="357"/>
      <c r="IQA178" s="357"/>
      <c r="IQB178" s="356"/>
      <c r="IQC178" s="357"/>
      <c r="IQD178" s="357"/>
      <c r="IQE178" s="357"/>
      <c r="IQF178" s="357"/>
      <c r="IQG178" s="357"/>
      <c r="IQH178" s="356"/>
      <c r="IQI178" s="357"/>
      <c r="IQJ178" s="357"/>
      <c r="IQK178" s="357"/>
      <c r="IQL178" s="357"/>
      <c r="IQM178" s="357"/>
      <c r="IQN178" s="356"/>
      <c r="IQO178" s="357"/>
      <c r="IQP178" s="357"/>
      <c r="IQQ178" s="357"/>
      <c r="IQR178" s="357"/>
      <c r="IQS178" s="357"/>
      <c r="IQT178" s="356"/>
      <c r="IQU178" s="357"/>
      <c r="IQV178" s="357"/>
      <c r="IQW178" s="357"/>
      <c r="IQX178" s="357"/>
      <c r="IQY178" s="357"/>
      <c r="IQZ178" s="356"/>
      <c r="IRA178" s="357"/>
      <c r="IRB178" s="357"/>
      <c r="IRC178" s="357"/>
      <c r="IRD178" s="357"/>
      <c r="IRE178" s="357"/>
      <c r="IRF178" s="356"/>
      <c r="IRG178" s="357"/>
      <c r="IRH178" s="357"/>
      <c r="IRI178" s="357"/>
      <c r="IRJ178" s="357"/>
      <c r="IRK178" s="357"/>
      <c r="IRL178" s="356"/>
      <c r="IRM178" s="357"/>
      <c r="IRN178" s="357"/>
      <c r="IRO178" s="357"/>
      <c r="IRP178" s="357"/>
      <c r="IRQ178" s="357"/>
      <c r="IRR178" s="356"/>
      <c r="IRS178" s="357"/>
      <c r="IRT178" s="357"/>
      <c r="IRU178" s="357"/>
      <c r="IRV178" s="357"/>
      <c r="IRW178" s="357"/>
      <c r="IRX178" s="356"/>
      <c r="IRY178" s="357"/>
      <c r="IRZ178" s="357"/>
      <c r="ISA178" s="357"/>
      <c r="ISB178" s="357"/>
      <c r="ISC178" s="357"/>
      <c r="ISD178" s="356"/>
      <c r="ISE178" s="357"/>
      <c r="ISF178" s="357"/>
      <c r="ISG178" s="357"/>
      <c r="ISH178" s="357"/>
      <c r="ISI178" s="357"/>
      <c r="ISJ178" s="356"/>
      <c r="ISK178" s="357"/>
      <c r="ISL178" s="357"/>
      <c r="ISM178" s="357"/>
      <c r="ISN178" s="357"/>
      <c r="ISO178" s="357"/>
      <c r="ISP178" s="356"/>
      <c r="ISQ178" s="357"/>
      <c r="ISR178" s="357"/>
      <c r="ISS178" s="357"/>
      <c r="IST178" s="357"/>
      <c r="ISU178" s="357"/>
      <c r="ISV178" s="356"/>
      <c r="ISW178" s="357"/>
      <c r="ISX178" s="357"/>
      <c r="ISY178" s="357"/>
      <c r="ISZ178" s="357"/>
      <c r="ITA178" s="357"/>
      <c r="ITB178" s="356"/>
      <c r="ITC178" s="357"/>
      <c r="ITD178" s="357"/>
      <c r="ITE178" s="357"/>
      <c r="ITF178" s="357"/>
      <c r="ITG178" s="357"/>
      <c r="ITH178" s="356"/>
      <c r="ITI178" s="357"/>
      <c r="ITJ178" s="357"/>
      <c r="ITK178" s="357"/>
      <c r="ITL178" s="357"/>
      <c r="ITM178" s="357"/>
      <c r="ITN178" s="356"/>
      <c r="ITO178" s="357"/>
      <c r="ITP178" s="357"/>
      <c r="ITQ178" s="357"/>
      <c r="ITR178" s="357"/>
      <c r="ITS178" s="357"/>
      <c r="ITT178" s="356"/>
      <c r="ITU178" s="357"/>
      <c r="ITV178" s="357"/>
      <c r="ITW178" s="357"/>
      <c r="ITX178" s="357"/>
      <c r="ITY178" s="357"/>
      <c r="ITZ178" s="356"/>
      <c r="IUA178" s="357"/>
      <c r="IUB178" s="357"/>
      <c r="IUC178" s="357"/>
      <c r="IUD178" s="357"/>
      <c r="IUE178" s="357"/>
      <c r="IUF178" s="356"/>
      <c r="IUG178" s="357"/>
      <c r="IUH178" s="357"/>
      <c r="IUI178" s="357"/>
      <c r="IUJ178" s="357"/>
      <c r="IUK178" s="357"/>
      <c r="IUL178" s="356"/>
      <c r="IUM178" s="357"/>
      <c r="IUN178" s="357"/>
      <c r="IUO178" s="357"/>
      <c r="IUP178" s="357"/>
      <c r="IUQ178" s="357"/>
      <c r="IUR178" s="356"/>
      <c r="IUS178" s="357"/>
      <c r="IUT178" s="357"/>
      <c r="IUU178" s="357"/>
      <c r="IUV178" s="357"/>
      <c r="IUW178" s="357"/>
      <c r="IUX178" s="356"/>
      <c r="IUY178" s="357"/>
      <c r="IUZ178" s="357"/>
      <c r="IVA178" s="357"/>
      <c r="IVB178" s="357"/>
      <c r="IVC178" s="357"/>
      <c r="IVD178" s="356"/>
      <c r="IVE178" s="357"/>
      <c r="IVF178" s="357"/>
      <c r="IVG178" s="357"/>
      <c r="IVH178" s="357"/>
      <c r="IVI178" s="357"/>
      <c r="IVJ178" s="356"/>
      <c r="IVK178" s="357"/>
      <c r="IVL178" s="357"/>
      <c r="IVM178" s="357"/>
      <c r="IVN178" s="357"/>
      <c r="IVO178" s="357"/>
      <c r="IVP178" s="356"/>
      <c r="IVQ178" s="357"/>
      <c r="IVR178" s="357"/>
      <c r="IVS178" s="357"/>
      <c r="IVT178" s="357"/>
      <c r="IVU178" s="357"/>
      <c r="IVV178" s="356"/>
      <c r="IVW178" s="357"/>
      <c r="IVX178" s="357"/>
      <c r="IVY178" s="357"/>
      <c r="IVZ178" s="357"/>
      <c r="IWA178" s="357"/>
      <c r="IWB178" s="356"/>
      <c r="IWC178" s="357"/>
      <c r="IWD178" s="357"/>
      <c r="IWE178" s="357"/>
      <c r="IWF178" s="357"/>
      <c r="IWG178" s="357"/>
      <c r="IWH178" s="356"/>
      <c r="IWI178" s="357"/>
      <c r="IWJ178" s="357"/>
      <c r="IWK178" s="357"/>
      <c r="IWL178" s="357"/>
      <c r="IWM178" s="357"/>
      <c r="IWN178" s="356"/>
      <c r="IWO178" s="357"/>
      <c r="IWP178" s="357"/>
      <c r="IWQ178" s="357"/>
      <c r="IWR178" s="357"/>
      <c r="IWS178" s="357"/>
      <c r="IWT178" s="356"/>
      <c r="IWU178" s="357"/>
      <c r="IWV178" s="357"/>
      <c r="IWW178" s="357"/>
      <c r="IWX178" s="357"/>
      <c r="IWY178" s="357"/>
      <c r="IWZ178" s="356"/>
      <c r="IXA178" s="357"/>
      <c r="IXB178" s="357"/>
      <c r="IXC178" s="357"/>
      <c r="IXD178" s="357"/>
      <c r="IXE178" s="357"/>
      <c r="IXF178" s="356"/>
      <c r="IXG178" s="357"/>
      <c r="IXH178" s="357"/>
      <c r="IXI178" s="357"/>
      <c r="IXJ178" s="357"/>
      <c r="IXK178" s="357"/>
      <c r="IXL178" s="356"/>
      <c r="IXM178" s="357"/>
      <c r="IXN178" s="357"/>
      <c r="IXO178" s="357"/>
      <c r="IXP178" s="357"/>
      <c r="IXQ178" s="357"/>
      <c r="IXR178" s="356"/>
      <c r="IXS178" s="357"/>
      <c r="IXT178" s="357"/>
      <c r="IXU178" s="357"/>
      <c r="IXV178" s="357"/>
      <c r="IXW178" s="357"/>
      <c r="IXX178" s="356"/>
      <c r="IXY178" s="357"/>
      <c r="IXZ178" s="357"/>
      <c r="IYA178" s="357"/>
      <c r="IYB178" s="357"/>
      <c r="IYC178" s="357"/>
      <c r="IYD178" s="356"/>
      <c r="IYE178" s="357"/>
      <c r="IYF178" s="357"/>
      <c r="IYG178" s="357"/>
      <c r="IYH178" s="357"/>
      <c r="IYI178" s="357"/>
      <c r="IYJ178" s="356"/>
      <c r="IYK178" s="357"/>
      <c r="IYL178" s="357"/>
      <c r="IYM178" s="357"/>
      <c r="IYN178" s="357"/>
      <c r="IYO178" s="357"/>
      <c r="IYP178" s="356"/>
      <c r="IYQ178" s="357"/>
      <c r="IYR178" s="357"/>
      <c r="IYS178" s="357"/>
      <c r="IYT178" s="357"/>
      <c r="IYU178" s="357"/>
      <c r="IYV178" s="356"/>
      <c r="IYW178" s="357"/>
      <c r="IYX178" s="357"/>
      <c r="IYY178" s="357"/>
      <c r="IYZ178" s="357"/>
      <c r="IZA178" s="357"/>
      <c r="IZB178" s="356"/>
      <c r="IZC178" s="357"/>
      <c r="IZD178" s="357"/>
      <c r="IZE178" s="357"/>
      <c r="IZF178" s="357"/>
      <c r="IZG178" s="357"/>
      <c r="IZH178" s="356"/>
      <c r="IZI178" s="357"/>
      <c r="IZJ178" s="357"/>
      <c r="IZK178" s="357"/>
      <c r="IZL178" s="357"/>
      <c r="IZM178" s="357"/>
      <c r="IZN178" s="356"/>
      <c r="IZO178" s="357"/>
      <c r="IZP178" s="357"/>
      <c r="IZQ178" s="357"/>
      <c r="IZR178" s="357"/>
      <c r="IZS178" s="357"/>
      <c r="IZT178" s="356"/>
      <c r="IZU178" s="357"/>
      <c r="IZV178" s="357"/>
      <c r="IZW178" s="357"/>
      <c r="IZX178" s="357"/>
      <c r="IZY178" s="357"/>
      <c r="IZZ178" s="356"/>
      <c r="JAA178" s="357"/>
      <c r="JAB178" s="357"/>
      <c r="JAC178" s="357"/>
      <c r="JAD178" s="357"/>
      <c r="JAE178" s="357"/>
      <c r="JAF178" s="356"/>
      <c r="JAG178" s="357"/>
      <c r="JAH178" s="357"/>
      <c r="JAI178" s="357"/>
      <c r="JAJ178" s="357"/>
      <c r="JAK178" s="357"/>
      <c r="JAL178" s="356"/>
      <c r="JAM178" s="357"/>
      <c r="JAN178" s="357"/>
      <c r="JAO178" s="357"/>
      <c r="JAP178" s="357"/>
      <c r="JAQ178" s="357"/>
      <c r="JAR178" s="356"/>
      <c r="JAS178" s="357"/>
      <c r="JAT178" s="357"/>
      <c r="JAU178" s="357"/>
      <c r="JAV178" s="357"/>
      <c r="JAW178" s="357"/>
      <c r="JAX178" s="356"/>
      <c r="JAY178" s="357"/>
      <c r="JAZ178" s="357"/>
      <c r="JBA178" s="357"/>
      <c r="JBB178" s="357"/>
      <c r="JBC178" s="357"/>
      <c r="JBD178" s="356"/>
      <c r="JBE178" s="357"/>
      <c r="JBF178" s="357"/>
      <c r="JBG178" s="357"/>
      <c r="JBH178" s="357"/>
      <c r="JBI178" s="357"/>
      <c r="JBJ178" s="356"/>
      <c r="JBK178" s="357"/>
      <c r="JBL178" s="357"/>
      <c r="JBM178" s="357"/>
      <c r="JBN178" s="357"/>
      <c r="JBO178" s="357"/>
      <c r="JBP178" s="356"/>
      <c r="JBQ178" s="357"/>
      <c r="JBR178" s="357"/>
      <c r="JBS178" s="357"/>
      <c r="JBT178" s="357"/>
      <c r="JBU178" s="357"/>
      <c r="JBV178" s="356"/>
      <c r="JBW178" s="357"/>
      <c r="JBX178" s="357"/>
      <c r="JBY178" s="357"/>
      <c r="JBZ178" s="357"/>
      <c r="JCA178" s="357"/>
      <c r="JCB178" s="356"/>
      <c r="JCC178" s="357"/>
      <c r="JCD178" s="357"/>
      <c r="JCE178" s="357"/>
      <c r="JCF178" s="357"/>
      <c r="JCG178" s="357"/>
      <c r="JCH178" s="356"/>
      <c r="JCI178" s="357"/>
      <c r="JCJ178" s="357"/>
      <c r="JCK178" s="357"/>
      <c r="JCL178" s="357"/>
      <c r="JCM178" s="357"/>
      <c r="JCN178" s="356"/>
      <c r="JCO178" s="357"/>
      <c r="JCP178" s="357"/>
      <c r="JCQ178" s="357"/>
      <c r="JCR178" s="357"/>
      <c r="JCS178" s="357"/>
      <c r="JCT178" s="356"/>
      <c r="JCU178" s="357"/>
      <c r="JCV178" s="357"/>
      <c r="JCW178" s="357"/>
      <c r="JCX178" s="357"/>
      <c r="JCY178" s="357"/>
      <c r="JCZ178" s="356"/>
      <c r="JDA178" s="357"/>
      <c r="JDB178" s="357"/>
      <c r="JDC178" s="357"/>
      <c r="JDD178" s="357"/>
      <c r="JDE178" s="357"/>
      <c r="JDF178" s="356"/>
      <c r="JDG178" s="357"/>
      <c r="JDH178" s="357"/>
      <c r="JDI178" s="357"/>
      <c r="JDJ178" s="357"/>
      <c r="JDK178" s="357"/>
      <c r="JDL178" s="356"/>
      <c r="JDM178" s="357"/>
      <c r="JDN178" s="357"/>
      <c r="JDO178" s="357"/>
      <c r="JDP178" s="357"/>
      <c r="JDQ178" s="357"/>
      <c r="JDR178" s="356"/>
      <c r="JDS178" s="357"/>
      <c r="JDT178" s="357"/>
      <c r="JDU178" s="357"/>
      <c r="JDV178" s="357"/>
      <c r="JDW178" s="357"/>
      <c r="JDX178" s="356"/>
      <c r="JDY178" s="357"/>
      <c r="JDZ178" s="357"/>
      <c r="JEA178" s="357"/>
      <c r="JEB178" s="357"/>
      <c r="JEC178" s="357"/>
      <c r="JED178" s="356"/>
      <c r="JEE178" s="357"/>
      <c r="JEF178" s="357"/>
      <c r="JEG178" s="357"/>
      <c r="JEH178" s="357"/>
      <c r="JEI178" s="357"/>
      <c r="JEJ178" s="356"/>
      <c r="JEK178" s="357"/>
      <c r="JEL178" s="357"/>
      <c r="JEM178" s="357"/>
      <c r="JEN178" s="357"/>
      <c r="JEO178" s="357"/>
      <c r="JEP178" s="356"/>
      <c r="JEQ178" s="357"/>
      <c r="JER178" s="357"/>
      <c r="JES178" s="357"/>
      <c r="JET178" s="357"/>
      <c r="JEU178" s="357"/>
      <c r="JEV178" s="356"/>
      <c r="JEW178" s="357"/>
      <c r="JEX178" s="357"/>
      <c r="JEY178" s="357"/>
      <c r="JEZ178" s="357"/>
      <c r="JFA178" s="357"/>
      <c r="JFB178" s="356"/>
      <c r="JFC178" s="357"/>
      <c r="JFD178" s="357"/>
      <c r="JFE178" s="357"/>
      <c r="JFF178" s="357"/>
      <c r="JFG178" s="357"/>
      <c r="JFH178" s="356"/>
      <c r="JFI178" s="357"/>
      <c r="JFJ178" s="357"/>
      <c r="JFK178" s="357"/>
      <c r="JFL178" s="357"/>
      <c r="JFM178" s="357"/>
      <c r="JFN178" s="356"/>
      <c r="JFO178" s="357"/>
      <c r="JFP178" s="357"/>
      <c r="JFQ178" s="357"/>
      <c r="JFR178" s="357"/>
      <c r="JFS178" s="357"/>
      <c r="JFT178" s="356"/>
      <c r="JFU178" s="357"/>
      <c r="JFV178" s="357"/>
      <c r="JFW178" s="357"/>
      <c r="JFX178" s="357"/>
      <c r="JFY178" s="357"/>
      <c r="JFZ178" s="356"/>
      <c r="JGA178" s="357"/>
      <c r="JGB178" s="357"/>
      <c r="JGC178" s="357"/>
      <c r="JGD178" s="357"/>
      <c r="JGE178" s="357"/>
      <c r="JGF178" s="356"/>
      <c r="JGG178" s="357"/>
      <c r="JGH178" s="357"/>
      <c r="JGI178" s="357"/>
      <c r="JGJ178" s="357"/>
      <c r="JGK178" s="357"/>
      <c r="JGL178" s="356"/>
      <c r="JGM178" s="357"/>
      <c r="JGN178" s="357"/>
      <c r="JGO178" s="357"/>
      <c r="JGP178" s="357"/>
      <c r="JGQ178" s="357"/>
      <c r="JGR178" s="356"/>
      <c r="JGS178" s="357"/>
      <c r="JGT178" s="357"/>
      <c r="JGU178" s="357"/>
      <c r="JGV178" s="357"/>
      <c r="JGW178" s="357"/>
      <c r="JGX178" s="356"/>
      <c r="JGY178" s="357"/>
      <c r="JGZ178" s="357"/>
      <c r="JHA178" s="357"/>
      <c r="JHB178" s="357"/>
      <c r="JHC178" s="357"/>
      <c r="JHD178" s="356"/>
      <c r="JHE178" s="357"/>
      <c r="JHF178" s="357"/>
      <c r="JHG178" s="357"/>
      <c r="JHH178" s="357"/>
      <c r="JHI178" s="357"/>
      <c r="JHJ178" s="356"/>
      <c r="JHK178" s="357"/>
      <c r="JHL178" s="357"/>
      <c r="JHM178" s="357"/>
      <c r="JHN178" s="357"/>
      <c r="JHO178" s="357"/>
      <c r="JHP178" s="356"/>
      <c r="JHQ178" s="357"/>
      <c r="JHR178" s="357"/>
      <c r="JHS178" s="357"/>
      <c r="JHT178" s="357"/>
      <c r="JHU178" s="357"/>
      <c r="JHV178" s="356"/>
      <c r="JHW178" s="357"/>
      <c r="JHX178" s="357"/>
      <c r="JHY178" s="357"/>
      <c r="JHZ178" s="357"/>
      <c r="JIA178" s="357"/>
      <c r="JIB178" s="356"/>
      <c r="JIC178" s="357"/>
      <c r="JID178" s="357"/>
      <c r="JIE178" s="357"/>
      <c r="JIF178" s="357"/>
      <c r="JIG178" s="357"/>
      <c r="JIH178" s="356"/>
      <c r="JII178" s="357"/>
      <c r="JIJ178" s="357"/>
      <c r="JIK178" s="357"/>
      <c r="JIL178" s="357"/>
      <c r="JIM178" s="357"/>
      <c r="JIN178" s="356"/>
      <c r="JIO178" s="357"/>
      <c r="JIP178" s="357"/>
      <c r="JIQ178" s="357"/>
      <c r="JIR178" s="357"/>
      <c r="JIS178" s="357"/>
      <c r="JIT178" s="356"/>
      <c r="JIU178" s="357"/>
      <c r="JIV178" s="357"/>
      <c r="JIW178" s="357"/>
      <c r="JIX178" s="357"/>
      <c r="JIY178" s="357"/>
      <c r="JIZ178" s="356"/>
      <c r="JJA178" s="357"/>
      <c r="JJB178" s="357"/>
      <c r="JJC178" s="357"/>
      <c r="JJD178" s="357"/>
      <c r="JJE178" s="357"/>
      <c r="JJF178" s="356"/>
      <c r="JJG178" s="357"/>
      <c r="JJH178" s="357"/>
      <c r="JJI178" s="357"/>
      <c r="JJJ178" s="357"/>
      <c r="JJK178" s="357"/>
      <c r="JJL178" s="356"/>
      <c r="JJM178" s="357"/>
      <c r="JJN178" s="357"/>
      <c r="JJO178" s="357"/>
      <c r="JJP178" s="357"/>
      <c r="JJQ178" s="357"/>
      <c r="JJR178" s="356"/>
      <c r="JJS178" s="357"/>
      <c r="JJT178" s="357"/>
      <c r="JJU178" s="357"/>
      <c r="JJV178" s="357"/>
      <c r="JJW178" s="357"/>
      <c r="JJX178" s="356"/>
      <c r="JJY178" s="357"/>
      <c r="JJZ178" s="357"/>
      <c r="JKA178" s="357"/>
      <c r="JKB178" s="357"/>
      <c r="JKC178" s="357"/>
      <c r="JKD178" s="356"/>
      <c r="JKE178" s="357"/>
      <c r="JKF178" s="357"/>
      <c r="JKG178" s="357"/>
      <c r="JKH178" s="357"/>
      <c r="JKI178" s="357"/>
      <c r="JKJ178" s="356"/>
      <c r="JKK178" s="357"/>
      <c r="JKL178" s="357"/>
      <c r="JKM178" s="357"/>
      <c r="JKN178" s="357"/>
      <c r="JKO178" s="357"/>
      <c r="JKP178" s="356"/>
      <c r="JKQ178" s="357"/>
      <c r="JKR178" s="357"/>
      <c r="JKS178" s="357"/>
      <c r="JKT178" s="357"/>
      <c r="JKU178" s="357"/>
      <c r="JKV178" s="356"/>
      <c r="JKW178" s="357"/>
      <c r="JKX178" s="357"/>
      <c r="JKY178" s="357"/>
      <c r="JKZ178" s="357"/>
      <c r="JLA178" s="357"/>
      <c r="JLB178" s="356"/>
      <c r="JLC178" s="357"/>
      <c r="JLD178" s="357"/>
      <c r="JLE178" s="357"/>
      <c r="JLF178" s="357"/>
      <c r="JLG178" s="357"/>
      <c r="JLH178" s="356"/>
      <c r="JLI178" s="357"/>
      <c r="JLJ178" s="357"/>
      <c r="JLK178" s="357"/>
      <c r="JLL178" s="357"/>
      <c r="JLM178" s="357"/>
      <c r="JLN178" s="356"/>
      <c r="JLO178" s="357"/>
      <c r="JLP178" s="357"/>
      <c r="JLQ178" s="357"/>
      <c r="JLR178" s="357"/>
      <c r="JLS178" s="357"/>
      <c r="JLT178" s="356"/>
      <c r="JLU178" s="357"/>
      <c r="JLV178" s="357"/>
      <c r="JLW178" s="357"/>
      <c r="JLX178" s="357"/>
      <c r="JLY178" s="357"/>
      <c r="JLZ178" s="356"/>
      <c r="JMA178" s="357"/>
      <c r="JMB178" s="357"/>
      <c r="JMC178" s="357"/>
      <c r="JMD178" s="357"/>
      <c r="JME178" s="357"/>
      <c r="JMF178" s="356"/>
      <c r="JMG178" s="357"/>
      <c r="JMH178" s="357"/>
      <c r="JMI178" s="357"/>
      <c r="JMJ178" s="357"/>
      <c r="JMK178" s="357"/>
      <c r="JML178" s="356"/>
      <c r="JMM178" s="357"/>
      <c r="JMN178" s="357"/>
      <c r="JMO178" s="357"/>
      <c r="JMP178" s="357"/>
      <c r="JMQ178" s="357"/>
      <c r="JMR178" s="356"/>
      <c r="JMS178" s="357"/>
      <c r="JMT178" s="357"/>
      <c r="JMU178" s="357"/>
      <c r="JMV178" s="357"/>
      <c r="JMW178" s="357"/>
      <c r="JMX178" s="356"/>
      <c r="JMY178" s="357"/>
      <c r="JMZ178" s="357"/>
      <c r="JNA178" s="357"/>
      <c r="JNB178" s="357"/>
      <c r="JNC178" s="357"/>
      <c r="JND178" s="356"/>
      <c r="JNE178" s="357"/>
      <c r="JNF178" s="357"/>
      <c r="JNG178" s="357"/>
      <c r="JNH178" s="357"/>
      <c r="JNI178" s="357"/>
      <c r="JNJ178" s="356"/>
      <c r="JNK178" s="357"/>
      <c r="JNL178" s="357"/>
      <c r="JNM178" s="357"/>
      <c r="JNN178" s="357"/>
      <c r="JNO178" s="357"/>
      <c r="JNP178" s="356"/>
      <c r="JNQ178" s="357"/>
      <c r="JNR178" s="357"/>
      <c r="JNS178" s="357"/>
      <c r="JNT178" s="357"/>
      <c r="JNU178" s="357"/>
      <c r="JNV178" s="356"/>
      <c r="JNW178" s="357"/>
      <c r="JNX178" s="357"/>
      <c r="JNY178" s="357"/>
      <c r="JNZ178" s="357"/>
      <c r="JOA178" s="357"/>
      <c r="JOB178" s="356"/>
      <c r="JOC178" s="357"/>
      <c r="JOD178" s="357"/>
      <c r="JOE178" s="357"/>
      <c r="JOF178" s="357"/>
      <c r="JOG178" s="357"/>
      <c r="JOH178" s="356"/>
      <c r="JOI178" s="357"/>
      <c r="JOJ178" s="357"/>
      <c r="JOK178" s="357"/>
      <c r="JOL178" s="357"/>
      <c r="JOM178" s="357"/>
      <c r="JON178" s="356"/>
      <c r="JOO178" s="357"/>
      <c r="JOP178" s="357"/>
      <c r="JOQ178" s="357"/>
      <c r="JOR178" s="357"/>
      <c r="JOS178" s="357"/>
      <c r="JOT178" s="356"/>
      <c r="JOU178" s="357"/>
      <c r="JOV178" s="357"/>
      <c r="JOW178" s="357"/>
      <c r="JOX178" s="357"/>
      <c r="JOY178" s="357"/>
      <c r="JOZ178" s="356"/>
      <c r="JPA178" s="357"/>
      <c r="JPB178" s="357"/>
      <c r="JPC178" s="357"/>
      <c r="JPD178" s="357"/>
      <c r="JPE178" s="357"/>
      <c r="JPF178" s="356"/>
      <c r="JPG178" s="357"/>
      <c r="JPH178" s="357"/>
      <c r="JPI178" s="357"/>
      <c r="JPJ178" s="357"/>
      <c r="JPK178" s="357"/>
      <c r="JPL178" s="356"/>
      <c r="JPM178" s="357"/>
      <c r="JPN178" s="357"/>
      <c r="JPO178" s="357"/>
      <c r="JPP178" s="357"/>
      <c r="JPQ178" s="357"/>
      <c r="JPR178" s="356"/>
      <c r="JPS178" s="357"/>
      <c r="JPT178" s="357"/>
      <c r="JPU178" s="357"/>
      <c r="JPV178" s="357"/>
      <c r="JPW178" s="357"/>
      <c r="JPX178" s="356"/>
      <c r="JPY178" s="357"/>
      <c r="JPZ178" s="357"/>
      <c r="JQA178" s="357"/>
      <c r="JQB178" s="357"/>
      <c r="JQC178" s="357"/>
      <c r="JQD178" s="356"/>
      <c r="JQE178" s="357"/>
      <c r="JQF178" s="357"/>
      <c r="JQG178" s="357"/>
      <c r="JQH178" s="357"/>
      <c r="JQI178" s="357"/>
      <c r="JQJ178" s="356"/>
      <c r="JQK178" s="357"/>
      <c r="JQL178" s="357"/>
      <c r="JQM178" s="357"/>
      <c r="JQN178" s="357"/>
      <c r="JQO178" s="357"/>
      <c r="JQP178" s="356"/>
      <c r="JQQ178" s="357"/>
      <c r="JQR178" s="357"/>
      <c r="JQS178" s="357"/>
      <c r="JQT178" s="357"/>
      <c r="JQU178" s="357"/>
      <c r="JQV178" s="356"/>
      <c r="JQW178" s="357"/>
      <c r="JQX178" s="357"/>
      <c r="JQY178" s="357"/>
      <c r="JQZ178" s="357"/>
      <c r="JRA178" s="357"/>
      <c r="JRB178" s="356"/>
      <c r="JRC178" s="357"/>
      <c r="JRD178" s="357"/>
      <c r="JRE178" s="357"/>
      <c r="JRF178" s="357"/>
      <c r="JRG178" s="357"/>
      <c r="JRH178" s="356"/>
      <c r="JRI178" s="357"/>
      <c r="JRJ178" s="357"/>
      <c r="JRK178" s="357"/>
      <c r="JRL178" s="357"/>
      <c r="JRM178" s="357"/>
      <c r="JRN178" s="356"/>
      <c r="JRO178" s="357"/>
      <c r="JRP178" s="357"/>
      <c r="JRQ178" s="357"/>
      <c r="JRR178" s="357"/>
      <c r="JRS178" s="357"/>
      <c r="JRT178" s="356"/>
      <c r="JRU178" s="357"/>
      <c r="JRV178" s="357"/>
      <c r="JRW178" s="357"/>
      <c r="JRX178" s="357"/>
      <c r="JRY178" s="357"/>
      <c r="JRZ178" s="356"/>
      <c r="JSA178" s="357"/>
      <c r="JSB178" s="357"/>
      <c r="JSC178" s="357"/>
      <c r="JSD178" s="357"/>
      <c r="JSE178" s="357"/>
      <c r="JSF178" s="356"/>
      <c r="JSG178" s="357"/>
      <c r="JSH178" s="357"/>
      <c r="JSI178" s="357"/>
      <c r="JSJ178" s="357"/>
      <c r="JSK178" s="357"/>
      <c r="JSL178" s="356"/>
      <c r="JSM178" s="357"/>
      <c r="JSN178" s="357"/>
      <c r="JSO178" s="357"/>
      <c r="JSP178" s="357"/>
      <c r="JSQ178" s="357"/>
      <c r="JSR178" s="356"/>
      <c r="JSS178" s="357"/>
      <c r="JST178" s="357"/>
      <c r="JSU178" s="357"/>
      <c r="JSV178" s="357"/>
      <c r="JSW178" s="357"/>
      <c r="JSX178" s="356"/>
      <c r="JSY178" s="357"/>
      <c r="JSZ178" s="357"/>
      <c r="JTA178" s="357"/>
      <c r="JTB178" s="357"/>
      <c r="JTC178" s="357"/>
      <c r="JTD178" s="356"/>
      <c r="JTE178" s="357"/>
      <c r="JTF178" s="357"/>
      <c r="JTG178" s="357"/>
      <c r="JTH178" s="357"/>
      <c r="JTI178" s="357"/>
      <c r="JTJ178" s="356"/>
      <c r="JTK178" s="357"/>
      <c r="JTL178" s="357"/>
      <c r="JTM178" s="357"/>
      <c r="JTN178" s="357"/>
      <c r="JTO178" s="357"/>
      <c r="JTP178" s="356"/>
      <c r="JTQ178" s="357"/>
      <c r="JTR178" s="357"/>
      <c r="JTS178" s="357"/>
      <c r="JTT178" s="357"/>
      <c r="JTU178" s="357"/>
      <c r="JTV178" s="356"/>
      <c r="JTW178" s="357"/>
      <c r="JTX178" s="357"/>
      <c r="JTY178" s="357"/>
      <c r="JTZ178" s="357"/>
      <c r="JUA178" s="357"/>
      <c r="JUB178" s="356"/>
      <c r="JUC178" s="357"/>
      <c r="JUD178" s="357"/>
      <c r="JUE178" s="357"/>
      <c r="JUF178" s="357"/>
      <c r="JUG178" s="357"/>
      <c r="JUH178" s="356"/>
      <c r="JUI178" s="357"/>
      <c r="JUJ178" s="357"/>
      <c r="JUK178" s="357"/>
      <c r="JUL178" s="357"/>
      <c r="JUM178" s="357"/>
      <c r="JUN178" s="356"/>
      <c r="JUO178" s="357"/>
      <c r="JUP178" s="357"/>
      <c r="JUQ178" s="357"/>
      <c r="JUR178" s="357"/>
      <c r="JUS178" s="357"/>
      <c r="JUT178" s="356"/>
      <c r="JUU178" s="357"/>
      <c r="JUV178" s="357"/>
      <c r="JUW178" s="357"/>
      <c r="JUX178" s="357"/>
      <c r="JUY178" s="357"/>
      <c r="JUZ178" s="356"/>
      <c r="JVA178" s="357"/>
      <c r="JVB178" s="357"/>
      <c r="JVC178" s="357"/>
      <c r="JVD178" s="357"/>
      <c r="JVE178" s="357"/>
      <c r="JVF178" s="356"/>
      <c r="JVG178" s="357"/>
      <c r="JVH178" s="357"/>
      <c r="JVI178" s="357"/>
      <c r="JVJ178" s="357"/>
      <c r="JVK178" s="357"/>
      <c r="JVL178" s="356"/>
      <c r="JVM178" s="357"/>
      <c r="JVN178" s="357"/>
      <c r="JVO178" s="357"/>
      <c r="JVP178" s="357"/>
      <c r="JVQ178" s="357"/>
      <c r="JVR178" s="356"/>
      <c r="JVS178" s="357"/>
      <c r="JVT178" s="357"/>
      <c r="JVU178" s="357"/>
      <c r="JVV178" s="357"/>
      <c r="JVW178" s="357"/>
      <c r="JVX178" s="356"/>
      <c r="JVY178" s="357"/>
      <c r="JVZ178" s="357"/>
      <c r="JWA178" s="357"/>
      <c r="JWB178" s="357"/>
      <c r="JWC178" s="357"/>
      <c r="JWD178" s="356"/>
      <c r="JWE178" s="357"/>
      <c r="JWF178" s="357"/>
      <c r="JWG178" s="357"/>
      <c r="JWH178" s="357"/>
      <c r="JWI178" s="357"/>
      <c r="JWJ178" s="356"/>
      <c r="JWK178" s="357"/>
      <c r="JWL178" s="357"/>
      <c r="JWM178" s="357"/>
      <c r="JWN178" s="357"/>
      <c r="JWO178" s="357"/>
      <c r="JWP178" s="356"/>
      <c r="JWQ178" s="357"/>
      <c r="JWR178" s="357"/>
      <c r="JWS178" s="357"/>
      <c r="JWT178" s="357"/>
      <c r="JWU178" s="357"/>
      <c r="JWV178" s="356"/>
      <c r="JWW178" s="357"/>
      <c r="JWX178" s="357"/>
      <c r="JWY178" s="357"/>
      <c r="JWZ178" s="357"/>
      <c r="JXA178" s="357"/>
      <c r="JXB178" s="356"/>
      <c r="JXC178" s="357"/>
      <c r="JXD178" s="357"/>
      <c r="JXE178" s="357"/>
      <c r="JXF178" s="357"/>
      <c r="JXG178" s="357"/>
      <c r="JXH178" s="356"/>
      <c r="JXI178" s="357"/>
      <c r="JXJ178" s="357"/>
      <c r="JXK178" s="357"/>
      <c r="JXL178" s="357"/>
      <c r="JXM178" s="357"/>
      <c r="JXN178" s="356"/>
      <c r="JXO178" s="357"/>
      <c r="JXP178" s="357"/>
      <c r="JXQ178" s="357"/>
      <c r="JXR178" s="357"/>
      <c r="JXS178" s="357"/>
      <c r="JXT178" s="356"/>
      <c r="JXU178" s="357"/>
      <c r="JXV178" s="357"/>
      <c r="JXW178" s="357"/>
      <c r="JXX178" s="357"/>
      <c r="JXY178" s="357"/>
      <c r="JXZ178" s="356"/>
      <c r="JYA178" s="357"/>
      <c r="JYB178" s="357"/>
      <c r="JYC178" s="357"/>
      <c r="JYD178" s="357"/>
      <c r="JYE178" s="357"/>
      <c r="JYF178" s="356"/>
      <c r="JYG178" s="357"/>
      <c r="JYH178" s="357"/>
      <c r="JYI178" s="357"/>
      <c r="JYJ178" s="357"/>
      <c r="JYK178" s="357"/>
      <c r="JYL178" s="356"/>
      <c r="JYM178" s="357"/>
      <c r="JYN178" s="357"/>
      <c r="JYO178" s="357"/>
      <c r="JYP178" s="357"/>
      <c r="JYQ178" s="357"/>
      <c r="JYR178" s="356"/>
      <c r="JYS178" s="357"/>
      <c r="JYT178" s="357"/>
      <c r="JYU178" s="357"/>
      <c r="JYV178" s="357"/>
      <c r="JYW178" s="357"/>
      <c r="JYX178" s="356"/>
      <c r="JYY178" s="357"/>
      <c r="JYZ178" s="357"/>
      <c r="JZA178" s="357"/>
      <c r="JZB178" s="357"/>
      <c r="JZC178" s="357"/>
      <c r="JZD178" s="356"/>
      <c r="JZE178" s="357"/>
      <c r="JZF178" s="357"/>
      <c r="JZG178" s="357"/>
      <c r="JZH178" s="357"/>
      <c r="JZI178" s="357"/>
      <c r="JZJ178" s="356"/>
      <c r="JZK178" s="357"/>
      <c r="JZL178" s="357"/>
      <c r="JZM178" s="357"/>
      <c r="JZN178" s="357"/>
      <c r="JZO178" s="357"/>
      <c r="JZP178" s="356"/>
      <c r="JZQ178" s="357"/>
      <c r="JZR178" s="357"/>
      <c r="JZS178" s="357"/>
      <c r="JZT178" s="357"/>
      <c r="JZU178" s="357"/>
      <c r="JZV178" s="356"/>
      <c r="JZW178" s="357"/>
      <c r="JZX178" s="357"/>
      <c r="JZY178" s="357"/>
      <c r="JZZ178" s="357"/>
      <c r="KAA178" s="357"/>
      <c r="KAB178" s="356"/>
      <c r="KAC178" s="357"/>
      <c r="KAD178" s="357"/>
      <c r="KAE178" s="357"/>
      <c r="KAF178" s="357"/>
      <c r="KAG178" s="357"/>
      <c r="KAH178" s="356"/>
      <c r="KAI178" s="357"/>
      <c r="KAJ178" s="357"/>
      <c r="KAK178" s="357"/>
      <c r="KAL178" s="357"/>
      <c r="KAM178" s="357"/>
      <c r="KAN178" s="356"/>
      <c r="KAO178" s="357"/>
      <c r="KAP178" s="357"/>
      <c r="KAQ178" s="357"/>
      <c r="KAR178" s="357"/>
      <c r="KAS178" s="357"/>
      <c r="KAT178" s="356"/>
      <c r="KAU178" s="357"/>
      <c r="KAV178" s="357"/>
      <c r="KAW178" s="357"/>
      <c r="KAX178" s="357"/>
      <c r="KAY178" s="357"/>
      <c r="KAZ178" s="356"/>
      <c r="KBA178" s="357"/>
      <c r="KBB178" s="357"/>
      <c r="KBC178" s="357"/>
      <c r="KBD178" s="357"/>
      <c r="KBE178" s="357"/>
      <c r="KBF178" s="356"/>
      <c r="KBG178" s="357"/>
      <c r="KBH178" s="357"/>
      <c r="KBI178" s="357"/>
      <c r="KBJ178" s="357"/>
      <c r="KBK178" s="357"/>
      <c r="KBL178" s="356"/>
      <c r="KBM178" s="357"/>
      <c r="KBN178" s="357"/>
      <c r="KBO178" s="357"/>
      <c r="KBP178" s="357"/>
      <c r="KBQ178" s="357"/>
      <c r="KBR178" s="356"/>
      <c r="KBS178" s="357"/>
      <c r="KBT178" s="357"/>
      <c r="KBU178" s="357"/>
      <c r="KBV178" s="357"/>
      <c r="KBW178" s="357"/>
      <c r="KBX178" s="356"/>
      <c r="KBY178" s="357"/>
      <c r="KBZ178" s="357"/>
      <c r="KCA178" s="357"/>
      <c r="KCB178" s="357"/>
      <c r="KCC178" s="357"/>
      <c r="KCD178" s="356"/>
      <c r="KCE178" s="357"/>
      <c r="KCF178" s="357"/>
      <c r="KCG178" s="357"/>
      <c r="KCH178" s="357"/>
      <c r="KCI178" s="357"/>
      <c r="KCJ178" s="356"/>
      <c r="KCK178" s="357"/>
      <c r="KCL178" s="357"/>
      <c r="KCM178" s="357"/>
      <c r="KCN178" s="357"/>
      <c r="KCO178" s="357"/>
      <c r="KCP178" s="356"/>
      <c r="KCQ178" s="357"/>
      <c r="KCR178" s="357"/>
      <c r="KCS178" s="357"/>
      <c r="KCT178" s="357"/>
      <c r="KCU178" s="357"/>
      <c r="KCV178" s="356"/>
      <c r="KCW178" s="357"/>
      <c r="KCX178" s="357"/>
      <c r="KCY178" s="357"/>
      <c r="KCZ178" s="357"/>
      <c r="KDA178" s="357"/>
      <c r="KDB178" s="356"/>
      <c r="KDC178" s="357"/>
      <c r="KDD178" s="357"/>
      <c r="KDE178" s="357"/>
      <c r="KDF178" s="357"/>
      <c r="KDG178" s="357"/>
      <c r="KDH178" s="356"/>
      <c r="KDI178" s="357"/>
      <c r="KDJ178" s="357"/>
      <c r="KDK178" s="357"/>
      <c r="KDL178" s="357"/>
      <c r="KDM178" s="357"/>
      <c r="KDN178" s="356"/>
      <c r="KDO178" s="357"/>
      <c r="KDP178" s="357"/>
      <c r="KDQ178" s="357"/>
      <c r="KDR178" s="357"/>
      <c r="KDS178" s="357"/>
      <c r="KDT178" s="356"/>
      <c r="KDU178" s="357"/>
      <c r="KDV178" s="357"/>
      <c r="KDW178" s="357"/>
      <c r="KDX178" s="357"/>
      <c r="KDY178" s="357"/>
      <c r="KDZ178" s="356"/>
      <c r="KEA178" s="357"/>
      <c r="KEB178" s="357"/>
      <c r="KEC178" s="357"/>
      <c r="KED178" s="357"/>
      <c r="KEE178" s="357"/>
      <c r="KEF178" s="356"/>
      <c r="KEG178" s="357"/>
      <c r="KEH178" s="357"/>
      <c r="KEI178" s="357"/>
      <c r="KEJ178" s="357"/>
      <c r="KEK178" s="357"/>
      <c r="KEL178" s="356"/>
      <c r="KEM178" s="357"/>
      <c r="KEN178" s="357"/>
      <c r="KEO178" s="357"/>
      <c r="KEP178" s="357"/>
      <c r="KEQ178" s="357"/>
      <c r="KER178" s="356"/>
      <c r="KES178" s="357"/>
      <c r="KET178" s="357"/>
      <c r="KEU178" s="357"/>
      <c r="KEV178" s="357"/>
      <c r="KEW178" s="357"/>
      <c r="KEX178" s="356"/>
      <c r="KEY178" s="357"/>
      <c r="KEZ178" s="357"/>
      <c r="KFA178" s="357"/>
      <c r="KFB178" s="357"/>
      <c r="KFC178" s="357"/>
      <c r="KFD178" s="356"/>
      <c r="KFE178" s="357"/>
      <c r="KFF178" s="357"/>
      <c r="KFG178" s="357"/>
      <c r="KFH178" s="357"/>
      <c r="KFI178" s="357"/>
      <c r="KFJ178" s="356"/>
      <c r="KFK178" s="357"/>
      <c r="KFL178" s="357"/>
      <c r="KFM178" s="357"/>
      <c r="KFN178" s="357"/>
      <c r="KFO178" s="357"/>
      <c r="KFP178" s="356"/>
      <c r="KFQ178" s="357"/>
      <c r="KFR178" s="357"/>
      <c r="KFS178" s="357"/>
      <c r="KFT178" s="357"/>
      <c r="KFU178" s="357"/>
      <c r="KFV178" s="356"/>
      <c r="KFW178" s="357"/>
      <c r="KFX178" s="357"/>
      <c r="KFY178" s="357"/>
      <c r="KFZ178" s="357"/>
      <c r="KGA178" s="357"/>
      <c r="KGB178" s="356"/>
      <c r="KGC178" s="357"/>
      <c r="KGD178" s="357"/>
      <c r="KGE178" s="357"/>
      <c r="KGF178" s="357"/>
      <c r="KGG178" s="357"/>
      <c r="KGH178" s="356"/>
      <c r="KGI178" s="357"/>
      <c r="KGJ178" s="357"/>
      <c r="KGK178" s="357"/>
      <c r="KGL178" s="357"/>
      <c r="KGM178" s="357"/>
      <c r="KGN178" s="356"/>
      <c r="KGO178" s="357"/>
      <c r="KGP178" s="357"/>
      <c r="KGQ178" s="357"/>
      <c r="KGR178" s="357"/>
      <c r="KGS178" s="357"/>
      <c r="KGT178" s="356"/>
      <c r="KGU178" s="357"/>
      <c r="KGV178" s="357"/>
      <c r="KGW178" s="357"/>
      <c r="KGX178" s="357"/>
      <c r="KGY178" s="357"/>
      <c r="KGZ178" s="356"/>
      <c r="KHA178" s="357"/>
      <c r="KHB178" s="357"/>
      <c r="KHC178" s="357"/>
      <c r="KHD178" s="357"/>
      <c r="KHE178" s="357"/>
      <c r="KHF178" s="356"/>
      <c r="KHG178" s="357"/>
      <c r="KHH178" s="357"/>
      <c r="KHI178" s="357"/>
      <c r="KHJ178" s="357"/>
      <c r="KHK178" s="357"/>
      <c r="KHL178" s="356"/>
      <c r="KHM178" s="357"/>
      <c r="KHN178" s="357"/>
      <c r="KHO178" s="357"/>
      <c r="KHP178" s="357"/>
      <c r="KHQ178" s="357"/>
      <c r="KHR178" s="356"/>
      <c r="KHS178" s="357"/>
      <c r="KHT178" s="357"/>
      <c r="KHU178" s="357"/>
      <c r="KHV178" s="357"/>
      <c r="KHW178" s="357"/>
      <c r="KHX178" s="356"/>
      <c r="KHY178" s="357"/>
      <c r="KHZ178" s="357"/>
      <c r="KIA178" s="357"/>
      <c r="KIB178" s="357"/>
      <c r="KIC178" s="357"/>
      <c r="KID178" s="356"/>
      <c r="KIE178" s="357"/>
      <c r="KIF178" s="357"/>
      <c r="KIG178" s="357"/>
      <c r="KIH178" s="357"/>
      <c r="KII178" s="357"/>
      <c r="KIJ178" s="356"/>
      <c r="KIK178" s="357"/>
      <c r="KIL178" s="357"/>
      <c r="KIM178" s="357"/>
      <c r="KIN178" s="357"/>
      <c r="KIO178" s="357"/>
      <c r="KIP178" s="356"/>
      <c r="KIQ178" s="357"/>
      <c r="KIR178" s="357"/>
      <c r="KIS178" s="357"/>
      <c r="KIT178" s="357"/>
      <c r="KIU178" s="357"/>
      <c r="KIV178" s="356"/>
      <c r="KIW178" s="357"/>
      <c r="KIX178" s="357"/>
      <c r="KIY178" s="357"/>
      <c r="KIZ178" s="357"/>
      <c r="KJA178" s="357"/>
      <c r="KJB178" s="356"/>
      <c r="KJC178" s="357"/>
      <c r="KJD178" s="357"/>
      <c r="KJE178" s="357"/>
      <c r="KJF178" s="357"/>
      <c r="KJG178" s="357"/>
      <c r="KJH178" s="356"/>
      <c r="KJI178" s="357"/>
      <c r="KJJ178" s="357"/>
      <c r="KJK178" s="357"/>
      <c r="KJL178" s="357"/>
      <c r="KJM178" s="357"/>
      <c r="KJN178" s="356"/>
      <c r="KJO178" s="357"/>
      <c r="KJP178" s="357"/>
      <c r="KJQ178" s="357"/>
      <c r="KJR178" s="357"/>
      <c r="KJS178" s="357"/>
      <c r="KJT178" s="356"/>
      <c r="KJU178" s="357"/>
      <c r="KJV178" s="357"/>
      <c r="KJW178" s="357"/>
      <c r="KJX178" s="357"/>
      <c r="KJY178" s="357"/>
      <c r="KJZ178" s="356"/>
      <c r="KKA178" s="357"/>
      <c r="KKB178" s="357"/>
      <c r="KKC178" s="357"/>
      <c r="KKD178" s="357"/>
      <c r="KKE178" s="357"/>
      <c r="KKF178" s="356"/>
      <c r="KKG178" s="357"/>
      <c r="KKH178" s="357"/>
      <c r="KKI178" s="357"/>
      <c r="KKJ178" s="357"/>
      <c r="KKK178" s="357"/>
      <c r="KKL178" s="356"/>
      <c r="KKM178" s="357"/>
      <c r="KKN178" s="357"/>
      <c r="KKO178" s="357"/>
      <c r="KKP178" s="357"/>
      <c r="KKQ178" s="357"/>
      <c r="KKR178" s="356"/>
      <c r="KKS178" s="357"/>
      <c r="KKT178" s="357"/>
      <c r="KKU178" s="357"/>
      <c r="KKV178" s="357"/>
      <c r="KKW178" s="357"/>
      <c r="KKX178" s="356"/>
      <c r="KKY178" s="357"/>
      <c r="KKZ178" s="357"/>
      <c r="KLA178" s="357"/>
      <c r="KLB178" s="357"/>
      <c r="KLC178" s="357"/>
      <c r="KLD178" s="356"/>
      <c r="KLE178" s="357"/>
      <c r="KLF178" s="357"/>
      <c r="KLG178" s="357"/>
      <c r="KLH178" s="357"/>
      <c r="KLI178" s="357"/>
      <c r="KLJ178" s="356"/>
      <c r="KLK178" s="357"/>
      <c r="KLL178" s="357"/>
      <c r="KLM178" s="357"/>
      <c r="KLN178" s="357"/>
      <c r="KLO178" s="357"/>
      <c r="KLP178" s="356"/>
      <c r="KLQ178" s="357"/>
      <c r="KLR178" s="357"/>
      <c r="KLS178" s="357"/>
      <c r="KLT178" s="357"/>
      <c r="KLU178" s="357"/>
      <c r="KLV178" s="356"/>
      <c r="KLW178" s="357"/>
      <c r="KLX178" s="357"/>
      <c r="KLY178" s="357"/>
      <c r="KLZ178" s="357"/>
      <c r="KMA178" s="357"/>
      <c r="KMB178" s="356"/>
      <c r="KMC178" s="357"/>
      <c r="KMD178" s="357"/>
      <c r="KME178" s="357"/>
      <c r="KMF178" s="357"/>
      <c r="KMG178" s="357"/>
      <c r="KMH178" s="356"/>
      <c r="KMI178" s="357"/>
      <c r="KMJ178" s="357"/>
      <c r="KMK178" s="357"/>
      <c r="KML178" s="357"/>
      <c r="KMM178" s="357"/>
      <c r="KMN178" s="356"/>
      <c r="KMO178" s="357"/>
      <c r="KMP178" s="357"/>
      <c r="KMQ178" s="357"/>
      <c r="KMR178" s="357"/>
      <c r="KMS178" s="357"/>
      <c r="KMT178" s="356"/>
      <c r="KMU178" s="357"/>
      <c r="KMV178" s="357"/>
      <c r="KMW178" s="357"/>
      <c r="KMX178" s="357"/>
      <c r="KMY178" s="357"/>
      <c r="KMZ178" s="356"/>
      <c r="KNA178" s="357"/>
      <c r="KNB178" s="357"/>
      <c r="KNC178" s="357"/>
      <c r="KND178" s="357"/>
      <c r="KNE178" s="357"/>
      <c r="KNF178" s="356"/>
      <c r="KNG178" s="357"/>
      <c r="KNH178" s="357"/>
      <c r="KNI178" s="357"/>
      <c r="KNJ178" s="357"/>
      <c r="KNK178" s="357"/>
      <c r="KNL178" s="356"/>
      <c r="KNM178" s="357"/>
      <c r="KNN178" s="357"/>
      <c r="KNO178" s="357"/>
      <c r="KNP178" s="357"/>
      <c r="KNQ178" s="357"/>
      <c r="KNR178" s="356"/>
      <c r="KNS178" s="357"/>
      <c r="KNT178" s="357"/>
      <c r="KNU178" s="357"/>
      <c r="KNV178" s="357"/>
      <c r="KNW178" s="357"/>
      <c r="KNX178" s="356"/>
      <c r="KNY178" s="357"/>
      <c r="KNZ178" s="357"/>
      <c r="KOA178" s="357"/>
      <c r="KOB178" s="357"/>
      <c r="KOC178" s="357"/>
      <c r="KOD178" s="356"/>
      <c r="KOE178" s="357"/>
      <c r="KOF178" s="357"/>
      <c r="KOG178" s="357"/>
      <c r="KOH178" s="357"/>
      <c r="KOI178" s="357"/>
      <c r="KOJ178" s="356"/>
      <c r="KOK178" s="357"/>
      <c r="KOL178" s="357"/>
      <c r="KOM178" s="357"/>
      <c r="KON178" s="357"/>
      <c r="KOO178" s="357"/>
      <c r="KOP178" s="356"/>
      <c r="KOQ178" s="357"/>
      <c r="KOR178" s="357"/>
      <c r="KOS178" s="357"/>
      <c r="KOT178" s="357"/>
      <c r="KOU178" s="357"/>
      <c r="KOV178" s="356"/>
      <c r="KOW178" s="357"/>
      <c r="KOX178" s="357"/>
      <c r="KOY178" s="357"/>
      <c r="KOZ178" s="357"/>
      <c r="KPA178" s="357"/>
      <c r="KPB178" s="356"/>
      <c r="KPC178" s="357"/>
      <c r="KPD178" s="357"/>
      <c r="KPE178" s="357"/>
      <c r="KPF178" s="357"/>
      <c r="KPG178" s="357"/>
      <c r="KPH178" s="356"/>
      <c r="KPI178" s="357"/>
      <c r="KPJ178" s="357"/>
      <c r="KPK178" s="357"/>
      <c r="KPL178" s="357"/>
      <c r="KPM178" s="357"/>
      <c r="KPN178" s="356"/>
      <c r="KPO178" s="357"/>
      <c r="KPP178" s="357"/>
      <c r="KPQ178" s="357"/>
      <c r="KPR178" s="357"/>
      <c r="KPS178" s="357"/>
      <c r="KPT178" s="356"/>
      <c r="KPU178" s="357"/>
      <c r="KPV178" s="357"/>
      <c r="KPW178" s="357"/>
      <c r="KPX178" s="357"/>
      <c r="KPY178" s="357"/>
      <c r="KPZ178" s="356"/>
      <c r="KQA178" s="357"/>
      <c r="KQB178" s="357"/>
      <c r="KQC178" s="357"/>
      <c r="KQD178" s="357"/>
      <c r="KQE178" s="357"/>
      <c r="KQF178" s="356"/>
      <c r="KQG178" s="357"/>
      <c r="KQH178" s="357"/>
      <c r="KQI178" s="357"/>
      <c r="KQJ178" s="357"/>
      <c r="KQK178" s="357"/>
      <c r="KQL178" s="356"/>
      <c r="KQM178" s="357"/>
      <c r="KQN178" s="357"/>
      <c r="KQO178" s="357"/>
      <c r="KQP178" s="357"/>
      <c r="KQQ178" s="357"/>
      <c r="KQR178" s="356"/>
      <c r="KQS178" s="357"/>
      <c r="KQT178" s="357"/>
      <c r="KQU178" s="357"/>
      <c r="KQV178" s="357"/>
      <c r="KQW178" s="357"/>
      <c r="KQX178" s="356"/>
      <c r="KQY178" s="357"/>
      <c r="KQZ178" s="357"/>
      <c r="KRA178" s="357"/>
      <c r="KRB178" s="357"/>
      <c r="KRC178" s="357"/>
      <c r="KRD178" s="356"/>
      <c r="KRE178" s="357"/>
      <c r="KRF178" s="357"/>
      <c r="KRG178" s="357"/>
      <c r="KRH178" s="357"/>
      <c r="KRI178" s="357"/>
      <c r="KRJ178" s="356"/>
      <c r="KRK178" s="357"/>
      <c r="KRL178" s="357"/>
      <c r="KRM178" s="357"/>
      <c r="KRN178" s="357"/>
      <c r="KRO178" s="357"/>
      <c r="KRP178" s="356"/>
      <c r="KRQ178" s="357"/>
      <c r="KRR178" s="357"/>
      <c r="KRS178" s="357"/>
      <c r="KRT178" s="357"/>
      <c r="KRU178" s="357"/>
      <c r="KRV178" s="356"/>
      <c r="KRW178" s="357"/>
      <c r="KRX178" s="357"/>
      <c r="KRY178" s="357"/>
      <c r="KRZ178" s="357"/>
      <c r="KSA178" s="357"/>
      <c r="KSB178" s="356"/>
      <c r="KSC178" s="357"/>
      <c r="KSD178" s="357"/>
      <c r="KSE178" s="357"/>
      <c r="KSF178" s="357"/>
      <c r="KSG178" s="357"/>
      <c r="KSH178" s="356"/>
      <c r="KSI178" s="357"/>
      <c r="KSJ178" s="357"/>
      <c r="KSK178" s="357"/>
      <c r="KSL178" s="357"/>
      <c r="KSM178" s="357"/>
      <c r="KSN178" s="356"/>
      <c r="KSO178" s="357"/>
      <c r="KSP178" s="357"/>
      <c r="KSQ178" s="357"/>
      <c r="KSR178" s="357"/>
      <c r="KSS178" s="357"/>
      <c r="KST178" s="356"/>
      <c r="KSU178" s="357"/>
      <c r="KSV178" s="357"/>
      <c r="KSW178" s="357"/>
      <c r="KSX178" s="357"/>
      <c r="KSY178" s="357"/>
      <c r="KSZ178" s="356"/>
      <c r="KTA178" s="357"/>
      <c r="KTB178" s="357"/>
      <c r="KTC178" s="357"/>
      <c r="KTD178" s="357"/>
      <c r="KTE178" s="357"/>
      <c r="KTF178" s="356"/>
      <c r="KTG178" s="357"/>
      <c r="KTH178" s="357"/>
      <c r="KTI178" s="357"/>
      <c r="KTJ178" s="357"/>
      <c r="KTK178" s="357"/>
      <c r="KTL178" s="356"/>
      <c r="KTM178" s="357"/>
      <c r="KTN178" s="357"/>
      <c r="KTO178" s="357"/>
      <c r="KTP178" s="357"/>
      <c r="KTQ178" s="357"/>
      <c r="KTR178" s="356"/>
      <c r="KTS178" s="357"/>
      <c r="KTT178" s="357"/>
      <c r="KTU178" s="357"/>
      <c r="KTV178" s="357"/>
      <c r="KTW178" s="357"/>
      <c r="KTX178" s="356"/>
      <c r="KTY178" s="357"/>
      <c r="KTZ178" s="357"/>
      <c r="KUA178" s="357"/>
      <c r="KUB178" s="357"/>
      <c r="KUC178" s="357"/>
      <c r="KUD178" s="356"/>
      <c r="KUE178" s="357"/>
      <c r="KUF178" s="357"/>
      <c r="KUG178" s="357"/>
      <c r="KUH178" s="357"/>
      <c r="KUI178" s="357"/>
      <c r="KUJ178" s="356"/>
      <c r="KUK178" s="357"/>
      <c r="KUL178" s="357"/>
      <c r="KUM178" s="357"/>
      <c r="KUN178" s="357"/>
      <c r="KUO178" s="357"/>
      <c r="KUP178" s="356"/>
      <c r="KUQ178" s="357"/>
      <c r="KUR178" s="357"/>
      <c r="KUS178" s="357"/>
      <c r="KUT178" s="357"/>
      <c r="KUU178" s="357"/>
      <c r="KUV178" s="356"/>
      <c r="KUW178" s="357"/>
      <c r="KUX178" s="357"/>
      <c r="KUY178" s="357"/>
      <c r="KUZ178" s="357"/>
      <c r="KVA178" s="357"/>
      <c r="KVB178" s="356"/>
      <c r="KVC178" s="357"/>
      <c r="KVD178" s="357"/>
      <c r="KVE178" s="357"/>
      <c r="KVF178" s="357"/>
      <c r="KVG178" s="357"/>
      <c r="KVH178" s="356"/>
      <c r="KVI178" s="357"/>
      <c r="KVJ178" s="357"/>
      <c r="KVK178" s="357"/>
      <c r="KVL178" s="357"/>
      <c r="KVM178" s="357"/>
      <c r="KVN178" s="356"/>
      <c r="KVO178" s="357"/>
      <c r="KVP178" s="357"/>
      <c r="KVQ178" s="357"/>
      <c r="KVR178" s="357"/>
      <c r="KVS178" s="357"/>
      <c r="KVT178" s="356"/>
      <c r="KVU178" s="357"/>
      <c r="KVV178" s="357"/>
      <c r="KVW178" s="357"/>
      <c r="KVX178" s="357"/>
      <c r="KVY178" s="357"/>
      <c r="KVZ178" s="356"/>
      <c r="KWA178" s="357"/>
      <c r="KWB178" s="357"/>
      <c r="KWC178" s="357"/>
      <c r="KWD178" s="357"/>
      <c r="KWE178" s="357"/>
      <c r="KWF178" s="356"/>
      <c r="KWG178" s="357"/>
      <c r="KWH178" s="357"/>
      <c r="KWI178" s="357"/>
      <c r="KWJ178" s="357"/>
      <c r="KWK178" s="357"/>
      <c r="KWL178" s="356"/>
      <c r="KWM178" s="357"/>
      <c r="KWN178" s="357"/>
      <c r="KWO178" s="357"/>
      <c r="KWP178" s="357"/>
      <c r="KWQ178" s="357"/>
      <c r="KWR178" s="356"/>
      <c r="KWS178" s="357"/>
      <c r="KWT178" s="357"/>
      <c r="KWU178" s="357"/>
      <c r="KWV178" s="357"/>
      <c r="KWW178" s="357"/>
      <c r="KWX178" s="356"/>
      <c r="KWY178" s="357"/>
      <c r="KWZ178" s="357"/>
      <c r="KXA178" s="357"/>
      <c r="KXB178" s="357"/>
      <c r="KXC178" s="357"/>
      <c r="KXD178" s="356"/>
      <c r="KXE178" s="357"/>
      <c r="KXF178" s="357"/>
      <c r="KXG178" s="357"/>
      <c r="KXH178" s="357"/>
      <c r="KXI178" s="357"/>
      <c r="KXJ178" s="356"/>
      <c r="KXK178" s="357"/>
      <c r="KXL178" s="357"/>
      <c r="KXM178" s="357"/>
      <c r="KXN178" s="357"/>
      <c r="KXO178" s="357"/>
      <c r="KXP178" s="356"/>
      <c r="KXQ178" s="357"/>
      <c r="KXR178" s="357"/>
      <c r="KXS178" s="357"/>
      <c r="KXT178" s="357"/>
      <c r="KXU178" s="357"/>
      <c r="KXV178" s="356"/>
      <c r="KXW178" s="357"/>
      <c r="KXX178" s="357"/>
      <c r="KXY178" s="357"/>
      <c r="KXZ178" s="357"/>
      <c r="KYA178" s="357"/>
      <c r="KYB178" s="356"/>
      <c r="KYC178" s="357"/>
      <c r="KYD178" s="357"/>
      <c r="KYE178" s="357"/>
      <c r="KYF178" s="357"/>
      <c r="KYG178" s="357"/>
      <c r="KYH178" s="356"/>
      <c r="KYI178" s="357"/>
      <c r="KYJ178" s="357"/>
      <c r="KYK178" s="357"/>
      <c r="KYL178" s="357"/>
      <c r="KYM178" s="357"/>
      <c r="KYN178" s="356"/>
      <c r="KYO178" s="357"/>
      <c r="KYP178" s="357"/>
      <c r="KYQ178" s="357"/>
      <c r="KYR178" s="357"/>
      <c r="KYS178" s="357"/>
      <c r="KYT178" s="356"/>
      <c r="KYU178" s="357"/>
      <c r="KYV178" s="357"/>
      <c r="KYW178" s="357"/>
      <c r="KYX178" s="357"/>
      <c r="KYY178" s="357"/>
      <c r="KYZ178" s="356"/>
      <c r="KZA178" s="357"/>
      <c r="KZB178" s="357"/>
      <c r="KZC178" s="357"/>
      <c r="KZD178" s="357"/>
      <c r="KZE178" s="357"/>
      <c r="KZF178" s="356"/>
      <c r="KZG178" s="357"/>
      <c r="KZH178" s="357"/>
      <c r="KZI178" s="357"/>
      <c r="KZJ178" s="357"/>
      <c r="KZK178" s="357"/>
      <c r="KZL178" s="356"/>
      <c r="KZM178" s="357"/>
      <c r="KZN178" s="357"/>
      <c r="KZO178" s="357"/>
      <c r="KZP178" s="357"/>
      <c r="KZQ178" s="357"/>
      <c r="KZR178" s="356"/>
      <c r="KZS178" s="357"/>
      <c r="KZT178" s="357"/>
      <c r="KZU178" s="357"/>
      <c r="KZV178" s="357"/>
      <c r="KZW178" s="357"/>
      <c r="KZX178" s="356"/>
      <c r="KZY178" s="357"/>
      <c r="KZZ178" s="357"/>
      <c r="LAA178" s="357"/>
      <c r="LAB178" s="357"/>
      <c r="LAC178" s="357"/>
      <c r="LAD178" s="356"/>
      <c r="LAE178" s="357"/>
      <c r="LAF178" s="357"/>
      <c r="LAG178" s="357"/>
      <c r="LAH178" s="357"/>
      <c r="LAI178" s="357"/>
      <c r="LAJ178" s="356"/>
      <c r="LAK178" s="357"/>
      <c r="LAL178" s="357"/>
      <c r="LAM178" s="357"/>
      <c r="LAN178" s="357"/>
      <c r="LAO178" s="357"/>
      <c r="LAP178" s="356"/>
      <c r="LAQ178" s="357"/>
      <c r="LAR178" s="357"/>
      <c r="LAS178" s="357"/>
      <c r="LAT178" s="357"/>
      <c r="LAU178" s="357"/>
      <c r="LAV178" s="356"/>
      <c r="LAW178" s="357"/>
      <c r="LAX178" s="357"/>
      <c r="LAY178" s="357"/>
      <c r="LAZ178" s="357"/>
      <c r="LBA178" s="357"/>
      <c r="LBB178" s="356"/>
      <c r="LBC178" s="357"/>
      <c r="LBD178" s="357"/>
      <c r="LBE178" s="357"/>
      <c r="LBF178" s="357"/>
      <c r="LBG178" s="357"/>
      <c r="LBH178" s="356"/>
      <c r="LBI178" s="357"/>
      <c r="LBJ178" s="357"/>
      <c r="LBK178" s="357"/>
      <c r="LBL178" s="357"/>
      <c r="LBM178" s="357"/>
      <c r="LBN178" s="356"/>
      <c r="LBO178" s="357"/>
      <c r="LBP178" s="357"/>
      <c r="LBQ178" s="357"/>
      <c r="LBR178" s="357"/>
      <c r="LBS178" s="357"/>
      <c r="LBT178" s="356"/>
      <c r="LBU178" s="357"/>
      <c r="LBV178" s="357"/>
      <c r="LBW178" s="357"/>
      <c r="LBX178" s="357"/>
      <c r="LBY178" s="357"/>
      <c r="LBZ178" s="356"/>
      <c r="LCA178" s="357"/>
      <c r="LCB178" s="357"/>
      <c r="LCC178" s="357"/>
      <c r="LCD178" s="357"/>
      <c r="LCE178" s="357"/>
      <c r="LCF178" s="356"/>
      <c r="LCG178" s="357"/>
      <c r="LCH178" s="357"/>
      <c r="LCI178" s="357"/>
      <c r="LCJ178" s="357"/>
      <c r="LCK178" s="357"/>
      <c r="LCL178" s="356"/>
      <c r="LCM178" s="357"/>
      <c r="LCN178" s="357"/>
      <c r="LCO178" s="357"/>
      <c r="LCP178" s="357"/>
      <c r="LCQ178" s="357"/>
      <c r="LCR178" s="356"/>
      <c r="LCS178" s="357"/>
      <c r="LCT178" s="357"/>
      <c r="LCU178" s="357"/>
      <c r="LCV178" s="357"/>
      <c r="LCW178" s="357"/>
      <c r="LCX178" s="356"/>
      <c r="LCY178" s="357"/>
      <c r="LCZ178" s="357"/>
      <c r="LDA178" s="357"/>
      <c r="LDB178" s="357"/>
      <c r="LDC178" s="357"/>
      <c r="LDD178" s="356"/>
      <c r="LDE178" s="357"/>
      <c r="LDF178" s="357"/>
      <c r="LDG178" s="357"/>
      <c r="LDH178" s="357"/>
      <c r="LDI178" s="357"/>
      <c r="LDJ178" s="356"/>
      <c r="LDK178" s="357"/>
      <c r="LDL178" s="357"/>
      <c r="LDM178" s="357"/>
      <c r="LDN178" s="357"/>
      <c r="LDO178" s="357"/>
      <c r="LDP178" s="356"/>
      <c r="LDQ178" s="357"/>
      <c r="LDR178" s="357"/>
      <c r="LDS178" s="357"/>
      <c r="LDT178" s="357"/>
      <c r="LDU178" s="357"/>
      <c r="LDV178" s="356"/>
      <c r="LDW178" s="357"/>
      <c r="LDX178" s="357"/>
      <c r="LDY178" s="357"/>
      <c r="LDZ178" s="357"/>
      <c r="LEA178" s="357"/>
      <c r="LEB178" s="356"/>
      <c r="LEC178" s="357"/>
      <c r="LED178" s="357"/>
      <c r="LEE178" s="357"/>
      <c r="LEF178" s="357"/>
      <c r="LEG178" s="357"/>
      <c r="LEH178" s="356"/>
      <c r="LEI178" s="357"/>
      <c r="LEJ178" s="357"/>
      <c r="LEK178" s="357"/>
      <c r="LEL178" s="357"/>
      <c r="LEM178" s="357"/>
      <c r="LEN178" s="356"/>
      <c r="LEO178" s="357"/>
      <c r="LEP178" s="357"/>
      <c r="LEQ178" s="357"/>
      <c r="LER178" s="357"/>
      <c r="LES178" s="357"/>
      <c r="LET178" s="356"/>
      <c r="LEU178" s="357"/>
      <c r="LEV178" s="357"/>
      <c r="LEW178" s="357"/>
      <c r="LEX178" s="357"/>
      <c r="LEY178" s="357"/>
      <c r="LEZ178" s="356"/>
      <c r="LFA178" s="357"/>
      <c r="LFB178" s="357"/>
      <c r="LFC178" s="357"/>
      <c r="LFD178" s="357"/>
      <c r="LFE178" s="357"/>
      <c r="LFF178" s="356"/>
      <c r="LFG178" s="357"/>
      <c r="LFH178" s="357"/>
      <c r="LFI178" s="357"/>
      <c r="LFJ178" s="357"/>
      <c r="LFK178" s="357"/>
      <c r="LFL178" s="356"/>
      <c r="LFM178" s="357"/>
      <c r="LFN178" s="357"/>
      <c r="LFO178" s="357"/>
      <c r="LFP178" s="357"/>
      <c r="LFQ178" s="357"/>
      <c r="LFR178" s="356"/>
      <c r="LFS178" s="357"/>
      <c r="LFT178" s="357"/>
      <c r="LFU178" s="357"/>
      <c r="LFV178" s="357"/>
      <c r="LFW178" s="357"/>
      <c r="LFX178" s="356"/>
      <c r="LFY178" s="357"/>
      <c r="LFZ178" s="357"/>
      <c r="LGA178" s="357"/>
      <c r="LGB178" s="357"/>
      <c r="LGC178" s="357"/>
      <c r="LGD178" s="356"/>
      <c r="LGE178" s="357"/>
      <c r="LGF178" s="357"/>
      <c r="LGG178" s="357"/>
      <c r="LGH178" s="357"/>
      <c r="LGI178" s="357"/>
      <c r="LGJ178" s="356"/>
      <c r="LGK178" s="357"/>
      <c r="LGL178" s="357"/>
      <c r="LGM178" s="357"/>
      <c r="LGN178" s="357"/>
      <c r="LGO178" s="357"/>
      <c r="LGP178" s="356"/>
      <c r="LGQ178" s="357"/>
      <c r="LGR178" s="357"/>
      <c r="LGS178" s="357"/>
      <c r="LGT178" s="357"/>
      <c r="LGU178" s="357"/>
      <c r="LGV178" s="356"/>
      <c r="LGW178" s="357"/>
      <c r="LGX178" s="357"/>
      <c r="LGY178" s="357"/>
      <c r="LGZ178" s="357"/>
      <c r="LHA178" s="357"/>
      <c r="LHB178" s="356"/>
      <c r="LHC178" s="357"/>
      <c r="LHD178" s="357"/>
      <c r="LHE178" s="357"/>
      <c r="LHF178" s="357"/>
      <c r="LHG178" s="357"/>
      <c r="LHH178" s="356"/>
      <c r="LHI178" s="357"/>
      <c r="LHJ178" s="357"/>
      <c r="LHK178" s="357"/>
      <c r="LHL178" s="357"/>
      <c r="LHM178" s="357"/>
      <c r="LHN178" s="356"/>
      <c r="LHO178" s="357"/>
      <c r="LHP178" s="357"/>
      <c r="LHQ178" s="357"/>
      <c r="LHR178" s="357"/>
      <c r="LHS178" s="357"/>
      <c r="LHT178" s="356"/>
      <c r="LHU178" s="357"/>
      <c r="LHV178" s="357"/>
      <c r="LHW178" s="357"/>
      <c r="LHX178" s="357"/>
      <c r="LHY178" s="357"/>
      <c r="LHZ178" s="356"/>
      <c r="LIA178" s="357"/>
      <c r="LIB178" s="357"/>
      <c r="LIC178" s="357"/>
      <c r="LID178" s="357"/>
      <c r="LIE178" s="357"/>
      <c r="LIF178" s="356"/>
      <c r="LIG178" s="357"/>
      <c r="LIH178" s="357"/>
      <c r="LII178" s="357"/>
      <c r="LIJ178" s="357"/>
      <c r="LIK178" s="357"/>
      <c r="LIL178" s="356"/>
      <c r="LIM178" s="357"/>
      <c r="LIN178" s="357"/>
      <c r="LIO178" s="357"/>
      <c r="LIP178" s="357"/>
      <c r="LIQ178" s="357"/>
      <c r="LIR178" s="356"/>
      <c r="LIS178" s="357"/>
      <c r="LIT178" s="357"/>
      <c r="LIU178" s="357"/>
      <c r="LIV178" s="357"/>
      <c r="LIW178" s="357"/>
      <c r="LIX178" s="356"/>
      <c r="LIY178" s="357"/>
      <c r="LIZ178" s="357"/>
      <c r="LJA178" s="357"/>
      <c r="LJB178" s="357"/>
      <c r="LJC178" s="357"/>
      <c r="LJD178" s="356"/>
      <c r="LJE178" s="357"/>
      <c r="LJF178" s="357"/>
      <c r="LJG178" s="357"/>
      <c r="LJH178" s="357"/>
      <c r="LJI178" s="357"/>
      <c r="LJJ178" s="356"/>
      <c r="LJK178" s="357"/>
      <c r="LJL178" s="357"/>
      <c r="LJM178" s="357"/>
      <c r="LJN178" s="357"/>
      <c r="LJO178" s="357"/>
      <c r="LJP178" s="356"/>
      <c r="LJQ178" s="357"/>
      <c r="LJR178" s="357"/>
      <c r="LJS178" s="357"/>
      <c r="LJT178" s="357"/>
      <c r="LJU178" s="357"/>
      <c r="LJV178" s="356"/>
      <c r="LJW178" s="357"/>
      <c r="LJX178" s="357"/>
      <c r="LJY178" s="357"/>
      <c r="LJZ178" s="357"/>
      <c r="LKA178" s="357"/>
      <c r="LKB178" s="356"/>
      <c r="LKC178" s="357"/>
      <c r="LKD178" s="357"/>
      <c r="LKE178" s="357"/>
      <c r="LKF178" s="357"/>
      <c r="LKG178" s="357"/>
      <c r="LKH178" s="356"/>
      <c r="LKI178" s="357"/>
      <c r="LKJ178" s="357"/>
      <c r="LKK178" s="357"/>
      <c r="LKL178" s="357"/>
      <c r="LKM178" s="357"/>
      <c r="LKN178" s="356"/>
      <c r="LKO178" s="357"/>
      <c r="LKP178" s="357"/>
      <c r="LKQ178" s="357"/>
      <c r="LKR178" s="357"/>
      <c r="LKS178" s="357"/>
      <c r="LKT178" s="356"/>
      <c r="LKU178" s="357"/>
      <c r="LKV178" s="357"/>
      <c r="LKW178" s="357"/>
      <c r="LKX178" s="357"/>
      <c r="LKY178" s="357"/>
      <c r="LKZ178" s="356"/>
      <c r="LLA178" s="357"/>
      <c r="LLB178" s="357"/>
      <c r="LLC178" s="357"/>
      <c r="LLD178" s="357"/>
      <c r="LLE178" s="357"/>
      <c r="LLF178" s="356"/>
      <c r="LLG178" s="357"/>
      <c r="LLH178" s="357"/>
      <c r="LLI178" s="357"/>
      <c r="LLJ178" s="357"/>
      <c r="LLK178" s="357"/>
      <c r="LLL178" s="356"/>
      <c r="LLM178" s="357"/>
      <c r="LLN178" s="357"/>
      <c r="LLO178" s="357"/>
      <c r="LLP178" s="357"/>
      <c r="LLQ178" s="357"/>
      <c r="LLR178" s="356"/>
      <c r="LLS178" s="357"/>
      <c r="LLT178" s="357"/>
      <c r="LLU178" s="357"/>
      <c r="LLV178" s="357"/>
      <c r="LLW178" s="357"/>
      <c r="LLX178" s="356"/>
      <c r="LLY178" s="357"/>
      <c r="LLZ178" s="357"/>
      <c r="LMA178" s="357"/>
      <c r="LMB178" s="357"/>
      <c r="LMC178" s="357"/>
      <c r="LMD178" s="356"/>
      <c r="LME178" s="357"/>
      <c r="LMF178" s="357"/>
      <c r="LMG178" s="357"/>
      <c r="LMH178" s="357"/>
      <c r="LMI178" s="357"/>
      <c r="LMJ178" s="356"/>
      <c r="LMK178" s="357"/>
      <c r="LML178" s="357"/>
      <c r="LMM178" s="357"/>
      <c r="LMN178" s="357"/>
      <c r="LMO178" s="357"/>
      <c r="LMP178" s="356"/>
      <c r="LMQ178" s="357"/>
      <c r="LMR178" s="357"/>
      <c r="LMS178" s="357"/>
      <c r="LMT178" s="357"/>
      <c r="LMU178" s="357"/>
      <c r="LMV178" s="356"/>
      <c r="LMW178" s="357"/>
      <c r="LMX178" s="357"/>
      <c r="LMY178" s="357"/>
      <c r="LMZ178" s="357"/>
      <c r="LNA178" s="357"/>
      <c r="LNB178" s="356"/>
      <c r="LNC178" s="357"/>
      <c r="LND178" s="357"/>
      <c r="LNE178" s="357"/>
      <c r="LNF178" s="357"/>
      <c r="LNG178" s="357"/>
      <c r="LNH178" s="356"/>
      <c r="LNI178" s="357"/>
      <c r="LNJ178" s="357"/>
      <c r="LNK178" s="357"/>
      <c r="LNL178" s="357"/>
      <c r="LNM178" s="357"/>
      <c r="LNN178" s="356"/>
      <c r="LNO178" s="357"/>
      <c r="LNP178" s="357"/>
      <c r="LNQ178" s="357"/>
      <c r="LNR178" s="357"/>
      <c r="LNS178" s="357"/>
      <c r="LNT178" s="356"/>
      <c r="LNU178" s="357"/>
      <c r="LNV178" s="357"/>
      <c r="LNW178" s="357"/>
      <c r="LNX178" s="357"/>
      <c r="LNY178" s="357"/>
      <c r="LNZ178" s="356"/>
      <c r="LOA178" s="357"/>
      <c r="LOB178" s="357"/>
      <c r="LOC178" s="357"/>
      <c r="LOD178" s="357"/>
      <c r="LOE178" s="357"/>
      <c r="LOF178" s="356"/>
      <c r="LOG178" s="357"/>
      <c r="LOH178" s="357"/>
      <c r="LOI178" s="357"/>
      <c r="LOJ178" s="357"/>
      <c r="LOK178" s="357"/>
      <c r="LOL178" s="356"/>
      <c r="LOM178" s="357"/>
      <c r="LON178" s="357"/>
      <c r="LOO178" s="357"/>
      <c r="LOP178" s="357"/>
      <c r="LOQ178" s="357"/>
      <c r="LOR178" s="356"/>
      <c r="LOS178" s="357"/>
      <c r="LOT178" s="357"/>
      <c r="LOU178" s="357"/>
      <c r="LOV178" s="357"/>
      <c r="LOW178" s="357"/>
      <c r="LOX178" s="356"/>
      <c r="LOY178" s="357"/>
      <c r="LOZ178" s="357"/>
      <c r="LPA178" s="357"/>
      <c r="LPB178" s="357"/>
      <c r="LPC178" s="357"/>
      <c r="LPD178" s="356"/>
      <c r="LPE178" s="357"/>
      <c r="LPF178" s="357"/>
      <c r="LPG178" s="357"/>
      <c r="LPH178" s="357"/>
      <c r="LPI178" s="357"/>
      <c r="LPJ178" s="356"/>
      <c r="LPK178" s="357"/>
      <c r="LPL178" s="357"/>
      <c r="LPM178" s="357"/>
      <c r="LPN178" s="357"/>
      <c r="LPO178" s="357"/>
      <c r="LPP178" s="356"/>
      <c r="LPQ178" s="357"/>
      <c r="LPR178" s="357"/>
      <c r="LPS178" s="357"/>
      <c r="LPT178" s="357"/>
      <c r="LPU178" s="357"/>
      <c r="LPV178" s="356"/>
      <c r="LPW178" s="357"/>
      <c r="LPX178" s="357"/>
      <c r="LPY178" s="357"/>
      <c r="LPZ178" s="357"/>
      <c r="LQA178" s="357"/>
      <c r="LQB178" s="356"/>
      <c r="LQC178" s="357"/>
      <c r="LQD178" s="357"/>
      <c r="LQE178" s="357"/>
      <c r="LQF178" s="357"/>
      <c r="LQG178" s="357"/>
      <c r="LQH178" s="356"/>
      <c r="LQI178" s="357"/>
      <c r="LQJ178" s="357"/>
      <c r="LQK178" s="357"/>
      <c r="LQL178" s="357"/>
      <c r="LQM178" s="357"/>
      <c r="LQN178" s="356"/>
      <c r="LQO178" s="357"/>
      <c r="LQP178" s="357"/>
      <c r="LQQ178" s="357"/>
      <c r="LQR178" s="357"/>
      <c r="LQS178" s="357"/>
      <c r="LQT178" s="356"/>
      <c r="LQU178" s="357"/>
      <c r="LQV178" s="357"/>
      <c r="LQW178" s="357"/>
      <c r="LQX178" s="357"/>
      <c r="LQY178" s="357"/>
      <c r="LQZ178" s="356"/>
      <c r="LRA178" s="357"/>
      <c r="LRB178" s="357"/>
      <c r="LRC178" s="357"/>
      <c r="LRD178" s="357"/>
      <c r="LRE178" s="357"/>
      <c r="LRF178" s="356"/>
      <c r="LRG178" s="357"/>
      <c r="LRH178" s="357"/>
      <c r="LRI178" s="357"/>
      <c r="LRJ178" s="357"/>
      <c r="LRK178" s="357"/>
      <c r="LRL178" s="356"/>
      <c r="LRM178" s="357"/>
      <c r="LRN178" s="357"/>
      <c r="LRO178" s="357"/>
      <c r="LRP178" s="357"/>
      <c r="LRQ178" s="357"/>
      <c r="LRR178" s="356"/>
      <c r="LRS178" s="357"/>
      <c r="LRT178" s="357"/>
      <c r="LRU178" s="357"/>
      <c r="LRV178" s="357"/>
      <c r="LRW178" s="357"/>
      <c r="LRX178" s="356"/>
      <c r="LRY178" s="357"/>
      <c r="LRZ178" s="357"/>
      <c r="LSA178" s="357"/>
      <c r="LSB178" s="357"/>
      <c r="LSC178" s="357"/>
      <c r="LSD178" s="356"/>
      <c r="LSE178" s="357"/>
      <c r="LSF178" s="357"/>
      <c r="LSG178" s="357"/>
      <c r="LSH178" s="357"/>
      <c r="LSI178" s="357"/>
      <c r="LSJ178" s="356"/>
      <c r="LSK178" s="357"/>
      <c r="LSL178" s="357"/>
      <c r="LSM178" s="357"/>
      <c r="LSN178" s="357"/>
      <c r="LSO178" s="357"/>
      <c r="LSP178" s="356"/>
      <c r="LSQ178" s="357"/>
      <c r="LSR178" s="357"/>
      <c r="LSS178" s="357"/>
      <c r="LST178" s="357"/>
      <c r="LSU178" s="357"/>
      <c r="LSV178" s="356"/>
      <c r="LSW178" s="357"/>
      <c r="LSX178" s="357"/>
      <c r="LSY178" s="357"/>
      <c r="LSZ178" s="357"/>
      <c r="LTA178" s="357"/>
      <c r="LTB178" s="356"/>
      <c r="LTC178" s="357"/>
      <c r="LTD178" s="357"/>
      <c r="LTE178" s="357"/>
      <c r="LTF178" s="357"/>
      <c r="LTG178" s="357"/>
      <c r="LTH178" s="356"/>
      <c r="LTI178" s="357"/>
      <c r="LTJ178" s="357"/>
      <c r="LTK178" s="357"/>
      <c r="LTL178" s="357"/>
      <c r="LTM178" s="357"/>
      <c r="LTN178" s="356"/>
      <c r="LTO178" s="357"/>
      <c r="LTP178" s="357"/>
      <c r="LTQ178" s="357"/>
      <c r="LTR178" s="357"/>
      <c r="LTS178" s="357"/>
      <c r="LTT178" s="356"/>
      <c r="LTU178" s="357"/>
      <c r="LTV178" s="357"/>
      <c r="LTW178" s="357"/>
      <c r="LTX178" s="357"/>
      <c r="LTY178" s="357"/>
      <c r="LTZ178" s="356"/>
      <c r="LUA178" s="357"/>
      <c r="LUB178" s="357"/>
      <c r="LUC178" s="357"/>
      <c r="LUD178" s="357"/>
      <c r="LUE178" s="357"/>
      <c r="LUF178" s="356"/>
      <c r="LUG178" s="357"/>
      <c r="LUH178" s="357"/>
      <c r="LUI178" s="357"/>
      <c r="LUJ178" s="357"/>
      <c r="LUK178" s="357"/>
      <c r="LUL178" s="356"/>
      <c r="LUM178" s="357"/>
      <c r="LUN178" s="357"/>
      <c r="LUO178" s="357"/>
      <c r="LUP178" s="357"/>
      <c r="LUQ178" s="357"/>
      <c r="LUR178" s="356"/>
      <c r="LUS178" s="357"/>
      <c r="LUT178" s="357"/>
      <c r="LUU178" s="357"/>
      <c r="LUV178" s="357"/>
      <c r="LUW178" s="357"/>
      <c r="LUX178" s="356"/>
      <c r="LUY178" s="357"/>
      <c r="LUZ178" s="357"/>
      <c r="LVA178" s="357"/>
      <c r="LVB178" s="357"/>
      <c r="LVC178" s="357"/>
      <c r="LVD178" s="356"/>
      <c r="LVE178" s="357"/>
      <c r="LVF178" s="357"/>
      <c r="LVG178" s="357"/>
      <c r="LVH178" s="357"/>
      <c r="LVI178" s="357"/>
      <c r="LVJ178" s="356"/>
      <c r="LVK178" s="357"/>
      <c r="LVL178" s="357"/>
      <c r="LVM178" s="357"/>
      <c r="LVN178" s="357"/>
      <c r="LVO178" s="357"/>
      <c r="LVP178" s="356"/>
      <c r="LVQ178" s="357"/>
      <c r="LVR178" s="357"/>
      <c r="LVS178" s="357"/>
      <c r="LVT178" s="357"/>
      <c r="LVU178" s="357"/>
      <c r="LVV178" s="356"/>
      <c r="LVW178" s="357"/>
      <c r="LVX178" s="357"/>
      <c r="LVY178" s="357"/>
      <c r="LVZ178" s="357"/>
      <c r="LWA178" s="357"/>
      <c r="LWB178" s="356"/>
      <c r="LWC178" s="357"/>
      <c r="LWD178" s="357"/>
      <c r="LWE178" s="357"/>
      <c r="LWF178" s="357"/>
      <c r="LWG178" s="357"/>
      <c r="LWH178" s="356"/>
      <c r="LWI178" s="357"/>
      <c r="LWJ178" s="357"/>
      <c r="LWK178" s="357"/>
      <c r="LWL178" s="357"/>
      <c r="LWM178" s="357"/>
      <c r="LWN178" s="356"/>
      <c r="LWO178" s="357"/>
      <c r="LWP178" s="357"/>
      <c r="LWQ178" s="357"/>
      <c r="LWR178" s="357"/>
      <c r="LWS178" s="357"/>
      <c r="LWT178" s="356"/>
      <c r="LWU178" s="357"/>
      <c r="LWV178" s="357"/>
      <c r="LWW178" s="357"/>
      <c r="LWX178" s="357"/>
      <c r="LWY178" s="357"/>
      <c r="LWZ178" s="356"/>
      <c r="LXA178" s="357"/>
      <c r="LXB178" s="357"/>
      <c r="LXC178" s="357"/>
      <c r="LXD178" s="357"/>
      <c r="LXE178" s="357"/>
      <c r="LXF178" s="356"/>
      <c r="LXG178" s="357"/>
      <c r="LXH178" s="357"/>
      <c r="LXI178" s="357"/>
      <c r="LXJ178" s="357"/>
      <c r="LXK178" s="357"/>
      <c r="LXL178" s="356"/>
      <c r="LXM178" s="357"/>
      <c r="LXN178" s="357"/>
      <c r="LXO178" s="357"/>
      <c r="LXP178" s="357"/>
      <c r="LXQ178" s="357"/>
      <c r="LXR178" s="356"/>
      <c r="LXS178" s="357"/>
      <c r="LXT178" s="357"/>
      <c r="LXU178" s="357"/>
      <c r="LXV178" s="357"/>
      <c r="LXW178" s="357"/>
      <c r="LXX178" s="356"/>
      <c r="LXY178" s="357"/>
      <c r="LXZ178" s="357"/>
      <c r="LYA178" s="357"/>
      <c r="LYB178" s="357"/>
      <c r="LYC178" s="357"/>
      <c r="LYD178" s="356"/>
      <c r="LYE178" s="357"/>
      <c r="LYF178" s="357"/>
      <c r="LYG178" s="357"/>
      <c r="LYH178" s="357"/>
      <c r="LYI178" s="357"/>
      <c r="LYJ178" s="356"/>
      <c r="LYK178" s="357"/>
      <c r="LYL178" s="357"/>
      <c r="LYM178" s="357"/>
      <c r="LYN178" s="357"/>
      <c r="LYO178" s="357"/>
      <c r="LYP178" s="356"/>
      <c r="LYQ178" s="357"/>
      <c r="LYR178" s="357"/>
      <c r="LYS178" s="357"/>
      <c r="LYT178" s="357"/>
      <c r="LYU178" s="357"/>
      <c r="LYV178" s="356"/>
      <c r="LYW178" s="357"/>
      <c r="LYX178" s="357"/>
      <c r="LYY178" s="357"/>
      <c r="LYZ178" s="357"/>
      <c r="LZA178" s="357"/>
      <c r="LZB178" s="356"/>
      <c r="LZC178" s="357"/>
      <c r="LZD178" s="357"/>
      <c r="LZE178" s="357"/>
      <c r="LZF178" s="357"/>
      <c r="LZG178" s="357"/>
      <c r="LZH178" s="356"/>
      <c r="LZI178" s="357"/>
      <c r="LZJ178" s="357"/>
      <c r="LZK178" s="357"/>
      <c r="LZL178" s="357"/>
      <c r="LZM178" s="357"/>
      <c r="LZN178" s="356"/>
      <c r="LZO178" s="357"/>
      <c r="LZP178" s="357"/>
      <c r="LZQ178" s="357"/>
      <c r="LZR178" s="357"/>
      <c r="LZS178" s="357"/>
      <c r="LZT178" s="356"/>
      <c r="LZU178" s="357"/>
      <c r="LZV178" s="357"/>
      <c r="LZW178" s="357"/>
      <c r="LZX178" s="357"/>
      <c r="LZY178" s="357"/>
      <c r="LZZ178" s="356"/>
      <c r="MAA178" s="357"/>
      <c r="MAB178" s="357"/>
      <c r="MAC178" s="357"/>
      <c r="MAD178" s="357"/>
      <c r="MAE178" s="357"/>
      <c r="MAF178" s="356"/>
      <c r="MAG178" s="357"/>
      <c r="MAH178" s="357"/>
      <c r="MAI178" s="357"/>
      <c r="MAJ178" s="357"/>
      <c r="MAK178" s="357"/>
      <c r="MAL178" s="356"/>
      <c r="MAM178" s="357"/>
      <c r="MAN178" s="357"/>
      <c r="MAO178" s="357"/>
      <c r="MAP178" s="357"/>
      <c r="MAQ178" s="357"/>
      <c r="MAR178" s="356"/>
      <c r="MAS178" s="357"/>
      <c r="MAT178" s="357"/>
      <c r="MAU178" s="357"/>
      <c r="MAV178" s="357"/>
      <c r="MAW178" s="357"/>
      <c r="MAX178" s="356"/>
      <c r="MAY178" s="357"/>
      <c r="MAZ178" s="357"/>
      <c r="MBA178" s="357"/>
      <c r="MBB178" s="357"/>
      <c r="MBC178" s="357"/>
      <c r="MBD178" s="356"/>
      <c r="MBE178" s="357"/>
      <c r="MBF178" s="357"/>
      <c r="MBG178" s="357"/>
      <c r="MBH178" s="357"/>
      <c r="MBI178" s="357"/>
      <c r="MBJ178" s="356"/>
      <c r="MBK178" s="357"/>
      <c r="MBL178" s="357"/>
      <c r="MBM178" s="357"/>
      <c r="MBN178" s="357"/>
      <c r="MBO178" s="357"/>
      <c r="MBP178" s="356"/>
      <c r="MBQ178" s="357"/>
      <c r="MBR178" s="357"/>
      <c r="MBS178" s="357"/>
      <c r="MBT178" s="357"/>
      <c r="MBU178" s="357"/>
      <c r="MBV178" s="356"/>
      <c r="MBW178" s="357"/>
      <c r="MBX178" s="357"/>
      <c r="MBY178" s="357"/>
      <c r="MBZ178" s="357"/>
      <c r="MCA178" s="357"/>
      <c r="MCB178" s="356"/>
      <c r="MCC178" s="357"/>
      <c r="MCD178" s="357"/>
      <c r="MCE178" s="357"/>
      <c r="MCF178" s="357"/>
      <c r="MCG178" s="357"/>
      <c r="MCH178" s="356"/>
      <c r="MCI178" s="357"/>
      <c r="MCJ178" s="357"/>
      <c r="MCK178" s="357"/>
      <c r="MCL178" s="357"/>
      <c r="MCM178" s="357"/>
      <c r="MCN178" s="356"/>
      <c r="MCO178" s="357"/>
      <c r="MCP178" s="357"/>
      <c r="MCQ178" s="357"/>
      <c r="MCR178" s="357"/>
      <c r="MCS178" s="357"/>
      <c r="MCT178" s="356"/>
      <c r="MCU178" s="357"/>
      <c r="MCV178" s="357"/>
      <c r="MCW178" s="357"/>
      <c r="MCX178" s="357"/>
      <c r="MCY178" s="357"/>
      <c r="MCZ178" s="356"/>
      <c r="MDA178" s="357"/>
      <c r="MDB178" s="357"/>
      <c r="MDC178" s="357"/>
      <c r="MDD178" s="357"/>
      <c r="MDE178" s="357"/>
      <c r="MDF178" s="356"/>
      <c r="MDG178" s="357"/>
      <c r="MDH178" s="357"/>
      <c r="MDI178" s="357"/>
      <c r="MDJ178" s="357"/>
      <c r="MDK178" s="357"/>
      <c r="MDL178" s="356"/>
      <c r="MDM178" s="357"/>
      <c r="MDN178" s="357"/>
      <c r="MDO178" s="357"/>
      <c r="MDP178" s="357"/>
      <c r="MDQ178" s="357"/>
      <c r="MDR178" s="356"/>
      <c r="MDS178" s="357"/>
      <c r="MDT178" s="357"/>
      <c r="MDU178" s="357"/>
      <c r="MDV178" s="357"/>
      <c r="MDW178" s="357"/>
      <c r="MDX178" s="356"/>
      <c r="MDY178" s="357"/>
      <c r="MDZ178" s="357"/>
      <c r="MEA178" s="357"/>
      <c r="MEB178" s="357"/>
      <c r="MEC178" s="357"/>
      <c r="MED178" s="356"/>
      <c r="MEE178" s="357"/>
      <c r="MEF178" s="357"/>
      <c r="MEG178" s="357"/>
      <c r="MEH178" s="357"/>
      <c r="MEI178" s="357"/>
      <c r="MEJ178" s="356"/>
      <c r="MEK178" s="357"/>
      <c r="MEL178" s="357"/>
      <c r="MEM178" s="357"/>
      <c r="MEN178" s="357"/>
      <c r="MEO178" s="357"/>
      <c r="MEP178" s="356"/>
      <c r="MEQ178" s="357"/>
      <c r="MER178" s="357"/>
      <c r="MES178" s="357"/>
      <c r="MET178" s="357"/>
      <c r="MEU178" s="357"/>
      <c r="MEV178" s="356"/>
      <c r="MEW178" s="357"/>
      <c r="MEX178" s="357"/>
      <c r="MEY178" s="357"/>
      <c r="MEZ178" s="357"/>
      <c r="MFA178" s="357"/>
      <c r="MFB178" s="356"/>
      <c r="MFC178" s="357"/>
      <c r="MFD178" s="357"/>
      <c r="MFE178" s="357"/>
      <c r="MFF178" s="357"/>
      <c r="MFG178" s="357"/>
      <c r="MFH178" s="356"/>
      <c r="MFI178" s="357"/>
      <c r="MFJ178" s="357"/>
      <c r="MFK178" s="357"/>
      <c r="MFL178" s="357"/>
      <c r="MFM178" s="357"/>
      <c r="MFN178" s="356"/>
      <c r="MFO178" s="357"/>
      <c r="MFP178" s="357"/>
      <c r="MFQ178" s="357"/>
      <c r="MFR178" s="357"/>
      <c r="MFS178" s="357"/>
      <c r="MFT178" s="356"/>
      <c r="MFU178" s="357"/>
      <c r="MFV178" s="357"/>
      <c r="MFW178" s="357"/>
      <c r="MFX178" s="357"/>
      <c r="MFY178" s="357"/>
      <c r="MFZ178" s="356"/>
      <c r="MGA178" s="357"/>
      <c r="MGB178" s="357"/>
      <c r="MGC178" s="357"/>
      <c r="MGD178" s="357"/>
      <c r="MGE178" s="357"/>
      <c r="MGF178" s="356"/>
      <c r="MGG178" s="357"/>
      <c r="MGH178" s="357"/>
      <c r="MGI178" s="357"/>
      <c r="MGJ178" s="357"/>
      <c r="MGK178" s="357"/>
      <c r="MGL178" s="356"/>
      <c r="MGM178" s="357"/>
      <c r="MGN178" s="357"/>
      <c r="MGO178" s="357"/>
      <c r="MGP178" s="357"/>
      <c r="MGQ178" s="357"/>
      <c r="MGR178" s="356"/>
      <c r="MGS178" s="357"/>
      <c r="MGT178" s="357"/>
      <c r="MGU178" s="357"/>
      <c r="MGV178" s="357"/>
      <c r="MGW178" s="357"/>
      <c r="MGX178" s="356"/>
      <c r="MGY178" s="357"/>
      <c r="MGZ178" s="357"/>
      <c r="MHA178" s="357"/>
      <c r="MHB178" s="357"/>
      <c r="MHC178" s="357"/>
      <c r="MHD178" s="356"/>
      <c r="MHE178" s="357"/>
      <c r="MHF178" s="357"/>
      <c r="MHG178" s="357"/>
      <c r="MHH178" s="357"/>
      <c r="MHI178" s="357"/>
      <c r="MHJ178" s="356"/>
      <c r="MHK178" s="357"/>
      <c r="MHL178" s="357"/>
      <c r="MHM178" s="357"/>
      <c r="MHN178" s="357"/>
      <c r="MHO178" s="357"/>
      <c r="MHP178" s="356"/>
      <c r="MHQ178" s="357"/>
      <c r="MHR178" s="357"/>
      <c r="MHS178" s="357"/>
      <c r="MHT178" s="357"/>
      <c r="MHU178" s="357"/>
      <c r="MHV178" s="356"/>
      <c r="MHW178" s="357"/>
      <c r="MHX178" s="357"/>
      <c r="MHY178" s="357"/>
      <c r="MHZ178" s="357"/>
      <c r="MIA178" s="357"/>
      <c r="MIB178" s="356"/>
      <c r="MIC178" s="357"/>
      <c r="MID178" s="357"/>
      <c r="MIE178" s="357"/>
      <c r="MIF178" s="357"/>
      <c r="MIG178" s="357"/>
      <c r="MIH178" s="356"/>
      <c r="MII178" s="357"/>
      <c r="MIJ178" s="357"/>
      <c r="MIK178" s="357"/>
      <c r="MIL178" s="357"/>
      <c r="MIM178" s="357"/>
      <c r="MIN178" s="356"/>
      <c r="MIO178" s="357"/>
      <c r="MIP178" s="357"/>
      <c r="MIQ178" s="357"/>
      <c r="MIR178" s="357"/>
      <c r="MIS178" s="357"/>
      <c r="MIT178" s="356"/>
      <c r="MIU178" s="357"/>
      <c r="MIV178" s="357"/>
      <c r="MIW178" s="357"/>
      <c r="MIX178" s="357"/>
      <c r="MIY178" s="357"/>
      <c r="MIZ178" s="356"/>
      <c r="MJA178" s="357"/>
      <c r="MJB178" s="357"/>
      <c r="MJC178" s="357"/>
      <c r="MJD178" s="357"/>
      <c r="MJE178" s="357"/>
      <c r="MJF178" s="356"/>
      <c r="MJG178" s="357"/>
      <c r="MJH178" s="357"/>
      <c r="MJI178" s="357"/>
      <c r="MJJ178" s="357"/>
      <c r="MJK178" s="357"/>
      <c r="MJL178" s="356"/>
      <c r="MJM178" s="357"/>
      <c r="MJN178" s="357"/>
      <c r="MJO178" s="357"/>
      <c r="MJP178" s="357"/>
      <c r="MJQ178" s="357"/>
      <c r="MJR178" s="356"/>
      <c r="MJS178" s="357"/>
      <c r="MJT178" s="357"/>
      <c r="MJU178" s="357"/>
      <c r="MJV178" s="357"/>
      <c r="MJW178" s="357"/>
      <c r="MJX178" s="356"/>
      <c r="MJY178" s="357"/>
      <c r="MJZ178" s="357"/>
      <c r="MKA178" s="357"/>
      <c r="MKB178" s="357"/>
      <c r="MKC178" s="357"/>
      <c r="MKD178" s="356"/>
      <c r="MKE178" s="357"/>
      <c r="MKF178" s="357"/>
      <c r="MKG178" s="357"/>
      <c r="MKH178" s="357"/>
      <c r="MKI178" s="357"/>
      <c r="MKJ178" s="356"/>
      <c r="MKK178" s="357"/>
      <c r="MKL178" s="357"/>
      <c r="MKM178" s="357"/>
      <c r="MKN178" s="357"/>
      <c r="MKO178" s="357"/>
      <c r="MKP178" s="356"/>
      <c r="MKQ178" s="357"/>
      <c r="MKR178" s="357"/>
      <c r="MKS178" s="357"/>
      <c r="MKT178" s="357"/>
      <c r="MKU178" s="357"/>
      <c r="MKV178" s="356"/>
      <c r="MKW178" s="357"/>
      <c r="MKX178" s="357"/>
      <c r="MKY178" s="357"/>
      <c r="MKZ178" s="357"/>
      <c r="MLA178" s="357"/>
      <c r="MLB178" s="356"/>
      <c r="MLC178" s="357"/>
      <c r="MLD178" s="357"/>
      <c r="MLE178" s="357"/>
      <c r="MLF178" s="357"/>
      <c r="MLG178" s="357"/>
      <c r="MLH178" s="356"/>
      <c r="MLI178" s="357"/>
      <c r="MLJ178" s="357"/>
      <c r="MLK178" s="357"/>
      <c r="MLL178" s="357"/>
      <c r="MLM178" s="357"/>
      <c r="MLN178" s="356"/>
      <c r="MLO178" s="357"/>
      <c r="MLP178" s="357"/>
      <c r="MLQ178" s="357"/>
      <c r="MLR178" s="357"/>
      <c r="MLS178" s="357"/>
      <c r="MLT178" s="356"/>
      <c r="MLU178" s="357"/>
      <c r="MLV178" s="357"/>
      <c r="MLW178" s="357"/>
      <c r="MLX178" s="357"/>
      <c r="MLY178" s="357"/>
      <c r="MLZ178" s="356"/>
      <c r="MMA178" s="357"/>
      <c r="MMB178" s="357"/>
      <c r="MMC178" s="357"/>
      <c r="MMD178" s="357"/>
      <c r="MME178" s="357"/>
      <c r="MMF178" s="356"/>
      <c r="MMG178" s="357"/>
      <c r="MMH178" s="357"/>
      <c r="MMI178" s="357"/>
      <c r="MMJ178" s="357"/>
      <c r="MMK178" s="357"/>
      <c r="MML178" s="356"/>
      <c r="MMM178" s="357"/>
      <c r="MMN178" s="357"/>
      <c r="MMO178" s="357"/>
      <c r="MMP178" s="357"/>
      <c r="MMQ178" s="357"/>
      <c r="MMR178" s="356"/>
      <c r="MMS178" s="357"/>
      <c r="MMT178" s="357"/>
      <c r="MMU178" s="357"/>
      <c r="MMV178" s="357"/>
      <c r="MMW178" s="357"/>
      <c r="MMX178" s="356"/>
      <c r="MMY178" s="357"/>
      <c r="MMZ178" s="357"/>
      <c r="MNA178" s="357"/>
      <c r="MNB178" s="357"/>
      <c r="MNC178" s="357"/>
      <c r="MND178" s="356"/>
      <c r="MNE178" s="357"/>
      <c r="MNF178" s="357"/>
      <c r="MNG178" s="357"/>
      <c r="MNH178" s="357"/>
      <c r="MNI178" s="357"/>
      <c r="MNJ178" s="356"/>
      <c r="MNK178" s="357"/>
      <c r="MNL178" s="357"/>
      <c r="MNM178" s="357"/>
      <c r="MNN178" s="357"/>
      <c r="MNO178" s="357"/>
      <c r="MNP178" s="356"/>
      <c r="MNQ178" s="357"/>
      <c r="MNR178" s="357"/>
      <c r="MNS178" s="357"/>
      <c r="MNT178" s="357"/>
      <c r="MNU178" s="357"/>
      <c r="MNV178" s="356"/>
      <c r="MNW178" s="357"/>
      <c r="MNX178" s="357"/>
      <c r="MNY178" s="357"/>
      <c r="MNZ178" s="357"/>
      <c r="MOA178" s="357"/>
      <c r="MOB178" s="356"/>
      <c r="MOC178" s="357"/>
      <c r="MOD178" s="357"/>
      <c r="MOE178" s="357"/>
      <c r="MOF178" s="357"/>
      <c r="MOG178" s="357"/>
      <c r="MOH178" s="356"/>
      <c r="MOI178" s="357"/>
      <c r="MOJ178" s="357"/>
      <c r="MOK178" s="357"/>
      <c r="MOL178" s="357"/>
      <c r="MOM178" s="357"/>
      <c r="MON178" s="356"/>
      <c r="MOO178" s="357"/>
      <c r="MOP178" s="357"/>
      <c r="MOQ178" s="357"/>
      <c r="MOR178" s="357"/>
      <c r="MOS178" s="357"/>
      <c r="MOT178" s="356"/>
      <c r="MOU178" s="357"/>
      <c r="MOV178" s="357"/>
      <c r="MOW178" s="357"/>
      <c r="MOX178" s="357"/>
      <c r="MOY178" s="357"/>
      <c r="MOZ178" s="356"/>
      <c r="MPA178" s="357"/>
      <c r="MPB178" s="357"/>
      <c r="MPC178" s="357"/>
      <c r="MPD178" s="357"/>
      <c r="MPE178" s="357"/>
      <c r="MPF178" s="356"/>
      <c r="MPG178" s="357"/>
      <c r="MPH178" s="357"/>
      <c r="MPI178" s="357"/>
      <c r="MPJ178" s="357"/>
      <c r="MPK178" s="357"/>
      <c r="MPL178" s="356"/>
      <c r="MPM178" s="357"/>
      <c r="MPN178" s="357"/>
      <c r="MPO178" s="357"/>
      <c r="MPP178" s="357"/>
      <c r="MPQ178" s="357"/>
      <c r="MPR178" s="356"/>
      <c r="MPS178" s="357"/>
      <c r="MPT178" s="357"/>
      <c r="MPU178" s="357"/>
      <c r="MPV178" s="357"/>
      <c r="MPW178" s="357"/>
      <c r="MPX178" s="356"/>
      <c r="MPY178" s="357"/>
      <c r="MPZ178" s="357"/>
      <c r="MQA178" s="357"/>
      <c r="MQB178" s="357"/>
      <c r="MQC178" s="357"/>
      <c r="MQD178" s="356"/>
      <c r="MQE178" s="357"/>
      <c r="MQF178" s="357"/>
      <c r="MQG178" s="357"/>
      <c r="MQH178" s="357"/>
      <c r="MQI178" s="357"/>
      <c r="MQJ178" s="356"/>
      <c r="MQK178" s="357"/>
      <c r="MQL178" s="357"/>
      <c r="MQM178" s="357"/>
      <c r="MQN178" s="357"/>
      <c r="MQO178" s="357"/>
      <c r="MQP178" s="356"/>
      <c r="MQQ178" s="357"/>
      <c r="MQR178" s="357"/>
      <c r="MQS178" s="357"/>
      <c r="MQT178" s="357"/>
      <c r="MQU178" s="357"/>
      <c r="MQV178" s="356"/>
      <c r="MQW178" s="357"/>
      <c r="MQX178" s="357"/>
      <c r="MQY178" s="357"/>
      <c r="MQZ178" s="357"/>
      <c r="MRA178" s="357"/>
      <c r="MRB178" s="356"/>
      <c r="MRC178" s="357"/>
      <c r="MRD178" s="357"/>
      <c r="MRE178" s="357"/>
      <c r="MRF178" s="357"/>
      <c r="MRG178" s="357"/>
      <c r="MRH178" s="356"/>
      <c r="MRI178" s="357"/>
      <c r="MRJ178" s="357"/>
      <c r="MRK178" s="357"/>
      <c r="MRL178" s="357"/>
      <c r="MRM178" s="357"/>
      <c r="MRN178" s="356"/>
      <c r="MRO178" s="357"/>
      <c r="MRP178" s="357"/>
      <c r="MRQ178" s="357"/>
      <c r="MRR178" s="357"/>
      <c r="MRS178" s="357"/>
      <c r="MRT178" s="356"/>
      <c r="MRU178" s="357"/>
      <c r="MRV178" s="357"/>
      <c r="MRW178" s="357"/>
      <c r="MRX178" s="357"/>
      <c r="MRY178" s="357"/>
      <c r="MRZ178" s="356"/>
      <c r="MSA178" s="357"/>
      <c r="MSB178" s="357"/>
      <c r="MSC178" s="357"/>
      <c r="MSD178" s="357"/>
      <c r="MSE178" s="357"/>
      <c r="MSF178" s="356"/>
      <c r="MSG178" s="357"/>
      <c r="MSH178" s="357"/>
      <c r="MSI178" s="357"/>
      <c r="MSJ178" s="357"/>
      <c r="MSK178" s="357"/>
      <c r="MSL178" s="356"/>
      <c r="MSM178" s="357"/>
      <c r="MSN178" s="357"/>
      <c r="MSO178" s="357"/>
      <c r="MSP178" s="357"/>
      <c r="MSQ178" s="357"/>
      <c r="MSR178" s="356"/>
      <c r="MSS178" s="357"/>
      <c r="MST178" s="357"/>
      <c r="MSU178" s="357"/>
      <c r="MSV178" s="357"/>
      <c r="MSW178" s="357"/>
      <c r="MSX178" s="356"/>
      <c r="MSY178" s="357"/>
      <c r="MSZ178" s="357"/>
      <c r="MTA178" s="357"/>
      <c r="MTB178" s="357"/>
      <c r="MTC178" s="357"/>
      <c r="MTD178" s="356"/>
      <c r="MTE178" s="357"/>
      <c r="MTF178" s="357"/>
      <c r="MTG178" s="357"/>
      <c r="MTH178" s="357"/>
      <c r="MTI178" s="357"/>
      <c r="MTJ178" s="356"/>
      <c r="MTK178" s="357"/>
      <c r="MTL178" s="357"/>
      <c r="MTM178" s="357"/>
      <c r="MTN178" s="357"/>
      <c r="MTO178" s="357"/>
      <c r="MTP178" s="356"/>
      <c r="MTQ178" s="357"/>
      <c r="MTR178" s="357"/>
      <c r="MTS178" s="357"/>
      <c r="MTT178" s="357"/>
      <c r="MTU178" s="357"/>
      <c r="MTV178" s="356"/>
      <c r="MTW178" s="357"/>
      <c r="MTX178" s="357"/>
      <c r="MTY178" s="357"/>
      <c r="MTZ178" s="357"/>
      <c r="MUA178" s="357"/>
      <c r="MUB178" s="356"/>
      <c r="MUC178" s="357"/>
      <c r="MUD178" s="357"/>
      <c r="MUE178" s="357"/>
      <c r="MUF178" s="357"/>
      <c r="MUG178" s="357"/>
      <c r="MUH178" s="356"/>
      <c r="MUI178" s="357"/>
      <c r="MUJ178" s="357"/>
      <c r="MUK178" s="357"/>
      <c r="MUL178" s="357"/>
      <c r="MUM178" s="357"/>
      <c r="MUN178" s="356"/>
      <c r="MUO178" s="357"/>
      <c r="MUP178" s="357"/>
      <c r="MUQ178" s="357"/>
      <c r="MUR178" s="357"/>
      <c r="MUS178" s="357"/>
      <c r="MUT178" s="356"/>
      <c r="MUU178" s="357"/>
      <c r="MUV178" s="357"/>
      <c r="MUW178" s="357"/>
      <c r="MUX178" s="357"/>
      <c r="MUY178" s="357"/>
      <c r="MUZ178" s="356"/>
      <c r="MVA178" s="357"/>
      <c r="MVB178" s="357"/>
      <c r="MVC178" s="357"/>
      <c r="MVD178" s="357"/>
      <c r="MVE178" s="357"/>
      <c r="MVF178" s="356"/>
      <c r="MVG178" s="357"/>
      <c r="MVH178" s="357"/>
      <c r="MVI178" s="357"/>
      <c r="MVJ178" s="357"/>
      <c r="MVK178" s="357"/>
      <c r="MVL178" s="356"/>
      <c r="MVM178" s="357"/>
      <c r="MVN178" s="357"/>
      <c r="MVO178" s="357"/>
      <c r="MVP178" s="357"/>
      <c r="MVQ178" s="357"/>
      <c r="MVR178" s="356"/>
      <c r="MVS178" s="357"/>
      <c r="MVT178" s="357"/>
      <c r="MVU178" s="357"/>
      <c r="MVV178" s="357"/>
      <c r="MVW178" s="357"/>
      <c r="MVX178" s="356"/>
      <c r="MVY178" s="357"/>
      <c r="MVZ178" s="357"/>
      <c r="MWA178" s="357"/>
      <c r="MWB178" s="357"/>
      <c r="MWC178" s="357"/>
      <c r="MWD178" s="356"/>
      <c r="MWE178" s="357"/>
      <c r="MWF178" s="357"/>
      <c r="MWG178" s="357"/>
      <c r="MWH178" s="357"/>
      <c r="MWI178" s="357"/>
      <c r="MWJ178" s="356"/>
      <c r="MWK178" s="357"/>
      <c r="MWL178" s="357"/>
      <c r="MWM178" s="357"/>
      <c r="MWN178" s="357"/>
      <c r="MWO178" s="357"/>
      <c r="MWP178" s="356"/>
      <c r="MWQ178" s="357"/>
      <c r="MWR178" s="357"/>
      <c r="MWS178" s="357"/>
      <c r="MWT178" s="357"/>
      <c r="MWU178" s="357"/>
      <c r="MWV178" s="356"/>
      <c r="MWW178" s="357"/>
      <c r="MWX178" s="357"/>
      <c r="MWY178" s="357"/>
      <c r="MWZ178" s="357"/>
      <c r="MXA178" s="357"/>
      <c r="MXB178" s="356"/>
      <c r="MXC178" s="357"/>
      <c r="MXD178" s="357"/>
      <c r="MXE178" s="357"/>
      <c r="MXF178" s="357"/>
      <c r="MXG178" s="357"/>
      <c r="MXH178" s="356"/>
      <c r="MXI178" s="357"/>
      <c r="MXJ178" s="357"/>
      <c r="MXK178" s="357"/>
      <c r="MXL178" s="357"/>
      <c r="MXM178" s="357"/>
      <c r="MXN178" s="356"/>
      <c r="MXO178" s="357"/>
      <c r="MXP178" s="357"/>
      <c r="MXQ178" s="357"/>
      <c r="MXR178" s="357"/>
      <c r="MXS178" s="357"/>
      <c r="MXT178" s="356"/>
      <c r="MXU178" s="357"/>
      <c r="MXV178" s="357"/>
      <c r="MXW178" s="357"/>
      <c r="MXX178" s="357"/>
      <c r="MXY178" s="357"/>
      <c r="MXZ178" s="356"/>
      <c r="MYA178" s="357"/>
      <c r="MYB178" s="357"/>
      <c r="MYC178" s="357"/>
      <c r="MYD178" s="357"/>
      <c r="MYE178" s="357"/>
      <c r="MYF178" s="356"/>
      <c r="MYG178" s="357"/>
      <c r="MYH178" s="357"/>
      <c r="MYI178" s="357"/>
      <c r="MYJ178" s="357"/>
      <c r="MYK178" s="357"/>
      <c r="MYL178" s="356"/>
      <c r="MYM178" s="357"/>
      <c r="MYN178" s="357"/>
      <c r="MYO178" s="357"/>
      <c r="MYP178" s="357"/>
      <c r="MYQ178" s="357"/>
      <c r="MYR178" s="356"/>
      <c r="MYS178" s="357"/>
      <c r="MYT178" s="357"/>
      <c r="MYU178" s="357"/>
      <c r="MYV178" s="357"/>
      <c r="MYW178" s="357"/>
      <c r="MYX178" s="356"/>
      <c r="MYY178" s="357"/>
      <c r="MYZ178" s="357"/>
      <c r="MZA178" s="357"/>
      <c r="MZB178" s="357"/>
      <c r="MZC178" s="357"/>
      <c r="MZD178" s="356"/>
      <c r="MZE178" s="357"/>
      <c r="MZF178" s="357"/>
      <c r="MZG178" s="357"/>
      <c r="MZH178" s="357"/>
      <c r="MZI178" s="357"/>
      <c r="MZJ178" s="356"/>
      <c r="MZK178" s="357"/>
      <c r="MZL178" s="357"/>
      <c r="MZM178" s="357"/>
      <c r="MZN178" s="357"/>
      <c r="MZO178" s="357"/>
      <c r="MZP178" s="356"/>
      <c r="MZQ178" s="357"/>
      <c r="MZR178" s="357"/>
      <c r="MZS178" s="357"/>
      <c r="MZT178" s="357"/>
      <c r="MZU178" s="357"/>
      <c r="MZV178" s="356"/>
      <c r="MZW178" s="357"/>
      <c r="MZX178" s="357"/>
      <c r="MZY178" s="357"/>
      <c r="MZZ178" s="357"/>
      <c r="NAA178" s="357"/>
      <c r="NAB178" s="356"/>
      <c r="NAC178" s="357"/>
      <c r="NAD178" s="357"/>
      <c r="NAE178" s="357"/>
      <c r="NAF178" s="357"/>
      <c r="NAG178" s="357"/>
      <c r="NAH178" s="356"/>
      <c r="NAI178" s="357"/>
      <c r="NAJ178" s="357"/>
      <c r="NAK178" s="357"/>
      <c r="NAL178" s="357"/>
      <c r="NAM178" s="357"/>
      <c r="NAN178" s="356"/>
      <c r="NAO178" s="357"/>
      <c r="NAP178" s="357"/>
      <c r="NAQ178" s="357"/>
      <c r="NAR178" s="357"/>
      <c r="NAS178" s="357"/>
      <c r="NAT178" s="356"/>
      <c r="NAU178" s="357"/>
      <c r="NAV178" s="357"/>
      <c r="NAW178" s="357"/>
      <c r="NAX178" s="357"/>
      <c r="NAY178" s="357"/>
      <c r="NAZ178" s="356"/>
      <c r="NBA178" s="357"/>
      <c r="NBB178" s="357"/>
      <c r="NBC178" s="357"/>
      <c r="NBD178" s="357"/>
      <c r="NBE178" s="357"/>
      <c r="NBF178" s="356"/>
      <c r="NBG178" s="357"/>
      <c r="NBH178" s="357"/>
      <c r="NBI178" s="357"/>
      <c r="NBJ178" s="357"/>
      <c r="NBK178" s="357"/>
      <c r="NBL178" s="356"/>
      <c r="NBM178" s="357"/>
      <c r="NBN178" s="357"/>
      <c r="NBO178" s="357"/>
      <c r="NBP178" s="357"/>
      <c r="NBQ178" s="357"/>
      <c r="NBR178" s="356"/>
      <c r="NBS178" s="357"/>
      <c r="NBT178" s="357"/>
      <c r="NBU178" s="357"/>
      <c r="NBV178" s="357"/>
      <c r="NBW178" s="357"/>
      <c r="NBX178" s="356"/>
      <c r="NBY178" s="357"/>
      <c r="NBZ178" s="357"/>
      <c r="NCA178" s="357"/>
      <c r="NCB178" s="357"/>
      <c r="NCC178" s="357"/>
      <c r="NCD178" s="356"/>
      <c r="NCE178" s="357"/>
      <c r="NCF178" s="357"/>
      <c r="NCG178" s="357"/>
      <c r="NCH178" s="357"/>
      <c r="NCI178" s="357"/>
      <c r="NCJ178" s="356"/>
      <c r="NCK178" s="357"/>
      <c r="NCL178" s="357"/>
      <c r="NCM178" s="357"/>
      <c r="NCN178" s="357"/>
      <c r="NCO178" s="357"/>
      <c r="NCP178" s="356"/>
      <c r="NCQ178" s="357"/>
      <c r="NCR178" s="357"/>
      <c r="NCS178" s="357"/>
      <c r="NCT178" s="357"/>
      <c r="NCU178" s="357"/>
      <c r="NCV178" s="356"/>
      <c r="NCW178" s="357"/>
      <c r="NCX178" s="357"/>
      <c r="NCY178" s="357"/>
      <c r="NCZ178" s="357"/>
      <c r="NDA178" s="357"/>
      <c r="NDB178" s="356"/>
      <c r="NDC178" s="357"/>
      <c r="NDD178" s="357"/>
      <c r="NDE178" s="357"/>
      <c r="NDF178" s="357"/>
      <c r="NDG178" s="357"/>
      <c r="NDH178" s="356"/>
      <c r="NDI178" s="357"/>
      <c r="NDJ178" s="357"/>
      <c r="NDK178" s="357"/>
      <c r="NDL178" s="357"/>
      <c r="NDM178" s="357"/>
      <c r="NDN178" s="356"/>
      <c r="NDO178" s="357"/>
      <c r="NDP178" s="357"/>
      <c r="NDQ178" s="357"/>
      <c r="NDR178" s="357"/>
      <c r="NDS178" s="357"/>
      <c r="NDT178" s="356"/>
      <c r="NDU178" s="357"/>
      <c r="NDV178" s="357"/>
      <c r="NDW178" s="357"/>
      <c r="NDX178" s="357"/>
      <c r="NDY178" s="357"/>
      <c r="NDZ178" s="356"/>
      <c r="NEA178" s="357"/>
      <c r="NEB178" s="357"/>
      <c r="NEC178" s="357"/>
      <c r="NED178" s="357"/>
      <c r="NEE178" s="357"/>
      <c r="NEF178" s="356"/>
      <c r="NEG178" s="357"/>
      <c r="NEH178" s="357"/>
      <c r="NEI178" s="357"/>
      <c r="NEJ178" s="357"/>
      <c r="NEK178" s="357"/>
      <c r="NEL178" s="356"/>
      <c r="NEM178" s="357"/>
      <c r="NEN178" s="357"/>
      <c r="NEO178" s="357"/>
      <c r="NEP178" s="357"/>
      <c r="NEQ178" s="357"/>
      <c r="NER178" s="356"/>
      <c r="NES178" s="357"/>
      <c r="NET178" s="357"/>
      <c r="NEU178" s="357"/>
      <c r="NEV178" s="357"/>
      <c r="NEW178" s="357"/>
      <c r="NEX178" s="356"/>
      <c r="NEY178" s="357"/>
      <c r="NEZ178" s="357"/>
      <c r="NFA178" s="357"/>
      <c r="NFB178" s="357"/>
      <c r="NFC178" s="357"/>
      <c r="NFD178" s="356"/>
      <c r="NFE178" s="357"/>
      <c r="NFF178" s="357"/>
      <c r="NFG178" s="357"/>
      <c r="NFH178" s="357"/>
      <c r="NFI178" s="357"/>
      <c r="NFJ178" s="356"/>
      <c r="NFK178" s="357"/>
      <c r="NFL178" s="357"/>
      <c r="NFM178" s="357"/>
      <c r="NFN178" s="357"/>
      <c r="NFO178" s="357"/>
      <c r="NFP178" s="356"/>
      <c r="NFQ178" s="357"/>
      <c r="NFR178" s="357"/>
      <c r="NFS178" s="357"/>
      <c r="NFT178" s="357"/>
      <c r="NFU178" s="357"/>
      <c r="NFV178" s="356"/>
      <c r="NFW178" s="357"/>
      <c r="NFX178" s="357"/>
      <c r="NFY178" s="357"/>
      <c r="NFZ178" s="357"/>
      <c r="NGA178" s="357"/>
      <c r="NGB178" s="356"/>
      <c r="NGC178" s="357"/>
      <c r="NGD178" s="357"/>
      <c r="NGE178" s="357"/>
      <c r="NGF178" s="357"/>
      <c r="NGG178" s="357"/>
      <c r="NGH178" s="356"/>
      <c r="NGI178" s="357"/>
      <c r="NGJ178" s="357"/>
      <c r="NGK178" s="357"/>
      <c r="NGL178" s="357"/>
      <c r="NGM178" s="357"/>
      <c r="NGN178" s="356"/>
      <c r="NGO178" s="357"/>
      <c r="NGP178" s="357"/>
      <c r="NGQ178" s="357"/>
      <c r="NGR178" s="357"/>
      <c r="NGS178" s="357"/>
      <c r="NGT178" s="356"/>
      <c r="NGU178" s="357"/>
      <c r="NGV178" s="357"/>
      <c r="NGW178" s="357"/>
      <c r="NGX178" s="357"/>
      <c r="NGY178" s="357"/>
      <c r="NGZ178" s="356"/>
      <c r="NHA178" s="357"/>
      <c r="NHB178" s="357"/>
      <c r="NHC178" s="357"/>
      <c r="NHD178" s="357"/>
      <c r="NHE178" s="357"/>
      <c r="NHF178" s="356"/>
      <c r="NHG178" s="357"/>
      <c r="NHH178" s="357"/>
      <c r="NHI178" s="357"/>
      <c r="NHJ178" s="357"/>
      <c r="NHK178" s="357"/>
      <c r="NHL178" s="356"/>
      <c r="NHM178" s="357"/>
      <c r="NHN178" s="357"/>
      <c r="NHO178" s="357"/>
      <c r="NHP178" s="357"/>
      <c r="NHQ178" s="357"/>
      <c r="NHR178" s="356"/>
      <c r="NHS178" s="357"/>
      <c r="NHT178" s="357"/>
      <c r="NHU178" s="357"/>
      <c r="NHV178" s="357"/>
      <c r="NHW178" s="357"/>
      <c r="NHX178" s="356"/>
      <c r="NHY178" s="357"/>
      <c r="NHZ178" s="357"/>
      <c r="NIA178" s="357"/>
      <c r="NIB178" s="357"/>
      <c r="NIC178" s="357"/>
      <c r="NID178" s="356"/>
      <c r="NIE178" s="357"/>
      <c r="NIF178" s="357"/>
      <c r="NIG178" s="357"/>
      <c r="NIH178" s="357"/>
      <c r="NII178" s="357"/>
      <c r="NIJ178" s="356"/>
      <c r="NIK178" s="357"/>
      <c r="NIL178" s="357"/>
      <c r="NIM178" s="357"/>
      <c r="NIN178" s="357"/>
      <c r="NIO178" s="357"/>
      <c r="NIP178" s="356"/>
      <c r="NIQ178" s="357"/>
      <c r="NIR178" s="357"/>
      <c r="NIS178" s="357"/>
      <c r="NIT178" s="357"/>
      <c r="NIU178" s="357"/>
      <c r="NIV178" s="356"/>
      <c r="NIW178" s="357"/>
      <c r="NIX178" s="357"/>
      <c r="NIY178" s="357"/>
      <c r="NIZ178" s="357"/>
      <c r="NJA178" s="357"/>
      <c r="NJB178" s="356"/>
      <c r="NJC178" s="357"/>
      <c r="NJD178" s="357"/>
      <c r="NJE178" s="357"/>
      <c r="NJF178" s="357"/>
      <c r="NJG178" s="357"/>
      <c r="NJH178" s="356"/>
      <c r="NJI178" s="357"/>
      <c r="NJJ178" s="357"/>
      <c r="NJK178" s="357"/>
      <c r="NJL178" s="357"/>
      <c r="NJM178" s="357"/>
      <c r="NJN178" s="356"/>
      <c r="NJO178" s="357"/>
      <c r="NJP178" s="357"/>
      <c r="NJQ178" s="357"/>
      <c r="NJR178" s="357"/>
      <c r="NJS178" s="357"/>
      <c r="NJT178" s="356"/>
      <c r="NJU178" s="357"/>
      <c r="NJV178" s="357"/>
      <c r="NJW178" s="357"/>
      <c r="NJX178" s="357"/>
      <c r="NJY178" s="357"/>
      <c r="NJZ178" s="356"/>
      <c r="NKA178" s="357"/>
      <c r="NKB178" s="357"/>
      <c r="NKC178" s="357"/>
      <c r="NKD178" s="357"/>
      <c r="NKE178" s="357"/>
      <c r="NKF178" s="356"/>
      <c r="NKG178" s="357"/>
      <c r="NKH178" s="357"/>
      <c r="NKI178" s="357"/>
      <c r="NKJ178" s="357"/>
      <c r="NKK178" s="357"/>
      <c r="NKL178" s="356"/>
      <c r="NKM178" s="357"/>
      <c r="NKN178" s="357"/>
      <c r="NKO178" s="357"/>
      <c r="NKP178" s="357"/>
      <c r="NKQ178" s="357"/>
      <c r="NKR178" s="356"/>
      <c r="NKS178" s="357"/>
      <c r="NKT178" s="357"/>
      <c r="NKU178" s="357"/>
      <c r="NKV178" s="357"/>
      <c r="NKW178" s="357"/>
      <c r="NKX178" s="356"/>
      <c r="NKY178" s="357"/>
      <c r="NKZ178" s="357"/>
      <c r="NLA178" s="357"/>
      <c r="NLB178" s="357"/>
      <c r="NLC178" s="357"/>
      <c r="NLD178" s="356"/>
      <c r="NLE178" s="357"/>
      <c r="NLF178" s="357"/>
      <c r="NLG178" s="357"/>
      <c r="NLH178" s="357"/>
      <c r="NLI178" s="357"/>
      <c r="NLJ178" s="356"/>
      <c r="NLK178" s="357"/>
      <c r="NLL178" s="357"/>
      <c r="NLM178" s="357"/>
      <c r="NLN178" s="357"/>
      <c r="NLO178" s="357"/>
      <c r="NLP178" s="356"/>
      <c r="NLQ178" s="357"/>
      <c r="NLR178" s="357"/>
      <c r="NLS178" s="357"/>
      <c r="NLT178" s="357"/>
      <c r="NLU178" s="357"/>
      <c r="NLV178" s="356"/>
      <c r="NLW178" s="357"/>
      <c r="NLX178" s="357"/>
      <c r="NLY178" s="357"/>
      <c r="NLZ178" s="357"/>
      <c r="NMA178" s="357"/>
      <c r="NMB178" s="356"/>
      <c r="NMC178" s="357"/>
      <c r="NMD178" s="357"/>
      <c r="NME178" s="357"/>
      <c r="NMF178" s="357"/>
      <c r="NMG178" s="357"/>
      <c r="NMH178" s="356"/>
      <c r="NMI178" s="357"/>
      <c r="NMJ178" s="357"/>
      <c r="NMK178" s="357"/>
      <c r="NML178" s="357"/>
      <c r="NMM178" s="357"/>
      <c r="NMN178" s="356"/>
      <c r="NMO178" s="357"/>
      <c r="NMP178" s="357"/>
      <c r="NMQ178" s="357"/>
      <c r="NMR178" s="357"/>
      <c r="NMS178" s="357"/>
      <c r="NMT178" s="356"/>
      <c r="NMU178" s="357"/>
      <c r="NMV178" s="357"/>
      <c r="NMW178" s="357"/>
      <c r="NMX178" s="357"/>
      <c r="NMY178" s="357"/>
      <c r="NMZ178" s="356"/>
      <c r="NNA178" s="357"/>
      <c r="NNB178" s="357"/>
      <c r="NNC178" s="357"/>
      <c r="NND178" s="357"/>
      <c r="NNE178" s="357"/>
      <c r="NNF178" s="356"/>
      <c r="NNG178" s="357"/>
      <c r="NNH178" s="357"/>
      <c r="NNI178" s="357"/>
      <c r="NNJ178" s="357"/>
      <c r="NNK178" s="357"/>
      <c r="NNL178" s="356"/>
      <c r="NNM178" s="357"/>
      <c r="NNN178" s="357"/>
      <c r="NNO178" s="357"/>
      <c r="NNP178" s="357"/>
      <c r="NNQ178" s="357"/>
      <c r="NNR178" s="356"/>
      <c r="NNS178" s="357"/>
      <c r="NNT178" s="357"/>
      <c r="NNU178" s="357"/>
      <c r="NNV178" s="357"/>
      <c r="NNW178" s="357"/>
      <c r="NNX178" s="356"/>
      <c r="NNY178" s="357"/>
      <c r="NNZ178" s="357"/>
      <c r="NOA178" s="357"/>
      <c r="NOB178" s="357"/>
      <c r="NOC178" s="357"/>
      <c r="NOD178" s="356"/>
      <c r="NOE178" s="357"/>
      <c r="NOF178" s="357"/>
      <c r="NOG178" s="357"/>
      <c r="NOH178" s="357"/>
      <c r="NOI178" s="357"/>
      <c r="NOJ178" s="356"/>
      <c r="NOK178" s="357"/>
      <c r="NOL178" s="357"/>
      <c r="NOM178" s="357"/>
      <c r="NON178" s="357"/>
      <c r="NOO178" s="357"/>
      <c r="NOP178" s="356"/>
      <c r="NOQ178" s="357"/>
      <c r="NOR178" s="357"/>
      <c r="NOS178" s="357"/>
      <c r="NOT178" s="357"/>
      <c r="NOU178" s="357"/>
      <c r="NOV178" s="356"/>
      <c r="NOW178" s="357"/>
      <c r="NOX178" s="357"/>
      <c r="NOY178" s="357"/>
      <c r="NOZ178" s="357"/>
      <c r="NPA178" s="357"/>
      <c r="NPB178" s="356"/>
      <c r="NPC178" s="357"/>
      <c r="NPD178" s="357"/>
      <c r="NPE178" s="357"/>
      <c r="NPF178" s="357"/>
      <c r="NPG178" s="357"/>
      <c r="NPH178" s="356"/>
      <c r="NPI178" s="357"/>
      <c r="NPJ178" s="357"/>
      <c r="NPK178" s="357"/>
      <c r="NPL178" s="357"/>
      <c r="NPM178" s="357"/>
      <c r="NPN178" s="356"/>
      <c r="NPO178" s="357"/>
      <c r="NPP178" s="357"/>
      <c r="NPQ178" s="357"/>
      <c r="NPR178" s="357"/>
      <c r="NPS178" s="357"/>
      <c r="NPT178" s="356"/>
      <c r="NPU178" s="357"/>
      <c r="NPV178" s="357"/>
      <c r="NPW178" s="357"/>
      <c r="NPX178" s="357"/>
      <c r="NPY178" s="357"/>
      <c r="NPZ178" s="356"/>
      <c r="NQA178" s="357"/>
      <c r="NQB178" s="357"/>
      <c r="NQC178" s="357"/>
      <c r="NQD178" s="357"/>
      <c r="NQE178" s="357"/>
      <c r="NQF178" s="356"/>
      <c r="NQG178" s="357"/>
      <c r="NQH178" s="357"/>
      <c r="NQI178" s="357"/>
      <c r="NQJ178" s="357"/>
      <c r="NQK178" s="357"/>
      <c r="NQL178" s="356"/>
      <c r="NQM178" s="357"/>
      <c r="NQN178" s="357"/>
      <c r="NQO178" s="357"/>
      <c r="NQP178" s="357"/>
      <c r="NQQ178" s="357"/>
      <c r="NQR178" s="356"/>
      <c r="NQS178" s="357"/>
      <c r="NQT178" s="357"/>
      <c r="NQU178" s="357"/>
      <c r="NQV178" s="357"/>
      <c r="NQW178" s="357"/>
      <c r="NQX178" s="356"/>
      <c r="NQY178" s="357"/>
      <c r="NQZ178" s="357"/>
      <c r="NRA178" s="357"/>
      <c r="NRB178" s="357"/>
      <c r="NRC178" s="357"/>
      <c r="NRD178" s="356"/>
      <c r="NRE178" s="357"/>
      <c r="NRF178" s="357"/>
      <c r="NRG178" s="357"/>
      <c r="NRH178" s="357"/>
      <c r="NRI178" s="357"/>
      <c r="NRJ178" s="356"/>
      <c r="NRK178" s="357"/>
      <c r="NRL178" s="357"/>
      <c r="NRM178" s="357"/>
      <c r="NRN178" s="357"/>
      <c r="NRO178" s="357"/>
      <c r="NRP178" s="356"/>
      <c r="NRQ178" s="357"/>
      <c r="NRR178" s="357"/>
      <c r="NRS178" s="357"/>
      <c r="NRT178" s="357"/>
      <c r="NRU178" s="357"/>
      <c r="NRV178" s="356"/>
      <c r="NRW178" s="357"/>
      <c r="NRX178" s="357"/>
      <c r="NRY178" s="357"/>
      <c r="NRZ178" s="357"/>
      <c r="NSA178" s="357"/>
      <c r="NSB178" s="356"/>
      <c r="NSC178" s="357"/>
      <c r="NSD178" s="357"/>
      <c r="NSE178" s="357"/>
      <c r="NSF178" s="357"/>
      <c r="NSG178" s="357"/>
      <c r="NSH178" s="356"/>
      <c r="NSI178" s="357"/>
      <c r="NSJ178" s="357"/>
      <c r="NSK178" s="357"/>
      <c r="NSL178" s="357"/>
      <c r="NSM178" s="357"/>
      <c r="NSN178" s="356"/>
      <c r="NSO178" s="357"/>
      <c r="NSP178" s="357"/>
      <c r="NSQ178" s="357"/>
      <c r="NSR178" s="357"/>
      <c r="NSS178" s="357"/>
      <c r="NST178" s="356"/>
      <c r="NSU178" s="357"/>
      <c r="NSV178" s="357"/>
      <c r="NSW178" s="357"/>
      <c r="NSX178" s="357"/>
      <c r="NSY178" s="357"/>
      <c r="NSZ178" s="356"/>
      <c r="NTA178" s="357"/>
      <c r="NTB178" s="357"/>
      <c r="NTC178" s="357"/>
      <c r="NTD178" s="357"/>
      <c r="NTE178" s="357"/>
      <c r="NTF178" s="356"/>
      <c r="NTG178" s="357"/>
      <c r="NTH178" s="357"/>
      <c r="NTI178" s="357"/>
      <c r="NTJ178" s="357"/>
      <c r="NTK178" s="357"/>
      <c r="NTL178" s="356"/>
      <c r="NTM178" s="357"/>
      <c r="NTN178" s="357"/>
      <c r="NTO178" s="357"/>
      <c r="NTP178" s="357"/>
      <c r="NTQ178" s="357"/>
      <c r="NTR178" s="356"/>
      <c r="NTS178" s="357"/>
      <c r="NTT178" s="357"/>
      <c r="NTU178" s="357"/>
      <c r="NTV178" s="357"/>
      <c r="NTW178" s="357"/>
      <c r="NTX178" s="356"/>
      <c r="NTY178" s="357"/>
      <c r="NTZ178" s="357"/>
      <c r="NUA178" s="357"/>
      <c r="NUB178" s="357"/>
      <c r="NUC178" s="357"/>
      <c r="NUD178" s="356"/>
      <c r="NUE178" s="357"/>
      <c r="NUF178" s="357"/>
      <c r="NUG178" s="357"/>
      <c r="NUH178" s="357"/>
      <c r="NUI178" s="357"/>
      <c r="NUJ178" s="356"/>
      <c r="NUK178" s="357"/>
      <c r="NUL178" s="357"/>
      <c r="NUM178" s="357"/>
      <c r="NUN178" s="357"/>
      <c r="NUO178" s="357"/>
      <c r="NUP178" s="356"/>
      <c r="NUQ178" s="357"/>
      <c r="NUR178" s="357"/>
      <c r="NUS178" s="357"/>
      <c r="NUT178" s="357"/>
      <c r="NUU178" s="357"/>
      <c r="NUV178" s="356"/>
      <c r="NUW178" s="357"/>
      <c r="NUX178" s="357"/>
      <c r="NUY178" s="357"/>
      <c r="NUZ178" s="357"/>
      <c r="NVA178" s="357"/>
      <c r="NVB178" s="356"/>
      <c r="NVC178" s="357"/>
      <c r="NVD178" s="357"/>
      <c r="NVE178" s="357"/>
      <c r="NVF178" s="357"/>
      <c r="NVG178" s="357"/>
      <c r="NVH178" s="356"/>
      <c r="NVI178" s="357"/>
      <c r="NVJ178" s="357"/>
      <c r="NVK178" s="357"/>
      <c r="NVL178" s="357"/>
      <c r="NVM178" s="357"/>
      <c r="NVN178" s="356"/>
      <c r="NVO178" s="357"/>
      <c r="NVP178" s="357"/>
      <c r="NVQ178" s="357"/>
      <c r="NVR178" s="357"/>
      <c r="NVS178" s="357"/>
      <c r="NVT178" s="356"/>
      <c r="NVU178" s="357"/>
      <c r="NVV178" s="357"/>
      <c r="NVW178" s="357"/>
      <c r="NVX178" s="357"/>
      <c r="NVY178" s="357"/>
      <c r="NVZ178" s="356"/>
      <c r="NWA178" s="357"/>
      <c r="NWB178" s="357"/>
      <c r="NWC178" s="357"/>
      <c r="NWD178" s="357"/>
      <c r="NWE178" s="357"/>
      <c r="NWF178" s="356"/>
      <c r="NWG178" s="357"/>
      <c r="NWH178" s="357"/>
      <c r="NWI178" s="357"/>
      <c r="NWJ178" s="357"/>
      <c r="NWK178" s="357"/>
      <c r="NWL178" s="356"/>
      <c r="NWM178" s="357"/>
      <c r="NWN178" s="357"/>
      <c r="NWO178" s="357"/>
      <c r="NWP178" s="357"/>
      <c r="NWQ178" s="357"/>
      <c r="NWR178" s="356"/>
      <c r="NWS178" s="357"/>
      <c r="NWT178" s="357"/>
      <c r="NWU178" s="357"/>
      <c r="NWV178" s="357"/>
      <c r="NWW178" s="357"/>
      <c r="NWX178" s="356"/>
      <c r="NWY178" s="357"/>
      <c r="NWZ178" s="357"/>
      <c r="NXA178" s="357"/>
      <c r="NXB178" s="357"/>
      <c r="NXC178" s="357"/>
      <c r="NXD178" s="356"/>
      <c r="NXE178" s="357"/>
      <c r="NXF178" s="357"/>
      <c r="NXG178" s="357"/>
      <c r="NXH178" s="357"/>
      <c r="NXI178" s="357"/>
      <c r="NXJ178" s="356"/>
      <c r="NXK178" s="357"/>
      <c r="NXL178" s="357"/>
      <c r="NXM178" s="357"/>
      <c r="NXN178" s="357"/>
      <c r="NXO178" s="357"/>
      <c r="NXP178" s="356"/>
      <c r="NXQ178" s="357"/>
      <c r="NXR178" s="357"/>
      <c r="NXS178" s="357"/>
      <c r="NXT178" s="357"/>
      <c r="NXU178" s="357"/>
      <c r="NXV178" s="356"/>
      <c r="NXW178" s="357"/>
      <c r="NXX178" s="357"/>
      <c r="NXY178" s="357"/>
      <c r="NXZ178" s="357"/>
      <c r="NYA178" s="357"/>
      <c r="NYB178" s="356"/>
      <c r="NYC178" s="357"/>
      <c r="NYD178" s="357"/>
      <c r="NYE178" s="357"/>
      <c r="NYF178" s="357"/>
      <c r="NYG178" s="357"/>
      <c r="NYH178" s="356"/>
      <c r="NYI178" s="357"/>
      <c r="NYJ178" s="357"/>
      <c r="NYK178" s="357"/>
      <c r="NYL178" s="357"/>
      <c r="NYM178" s="357"/>
      <c r="NYN178" s="356"/>
      <c r="NYO178" s="357"/>
      <c r="NYP178" s="357"/>
      <c r="NYQ178" s="357"/>
      <c r="NYR178" s="357"/>
      <c r="NYS178" s="357"/>
      <c r="NYT178" s="356"/>
      <c r="NYU178" s="357"/>
      <c r="NYV178" s="357"/>
      <c r="NYW178" s="357"/>
      <c r="NYX178" s="357"/>
      <c r="NYY178" s="357"/>
      <c r="NYZ178" s="356"/>
      <c r="NZA178" s="357"/>
      <c r="NZB178" s="357"/>
      <c r="NZC178" s="357"/>
      <c r="NZD178" s="357"/>
      <c r="NZE178" s="357"/>
      <c r="NZF178" s="356"/>
      <c r="NZG178" s="357"/>
      <c r="NZH178" s="357"/>
      <c r="NZI178" s="357"/>
      <c r="NZJ178" s="357"/>
      <c r="NZK178" s="357"/>
      <c r="NZL178" s="356"/>
      <c r="NZM178" s="357"/>
      <c r="NZN178" s="357"/>
      <c r="NZO178" s="357"/>
      <c r="NZP178" s="357"/>
      <c r="NZQ178" s="357"/>
      <c r="NZR178" s="356"/>
      <c r="NZS178" s="357"/>
      <c r="NZT178" s="357"/>
      <c r="NZU178" s="357"/>
      <c r="NZV178" s="357"/>
      <c r="NZW178" s="357"/>
      <c r="NZX178" s="356"/>
      <c r="NZY178" s="357"/>
      <c r="NZZ178" s="357"/>
      <c r="OAA178" s="357"/>
      <c r="OAB178" s="357"/>
      <c r="OAC178" s="357"/>
      <c r="OAD178" s="356"/>
      <c r="OAE178" s="357"/>
      <c r="OAF178" s="357"/>
      <c r="OAG178" s="357"/>
      <c r="OAH178" s="357"/>
      <c r="OAI178" s="357"/>
      <c r="OAJ178" s="356"/>
      <c r="OAK178" s="357"/>
      <c r="OAL178" s="357"/>
      <c r="OAM178" s="357"/>
      <c r="OAN178" s="357"/>
      <c r="OAO178" s="357"/>
      <c r="OAP178" s="356"/>
      <c r="OAQ178" s="357"/>
      <c r="OAR178" s="357"/>
      <c r="OAS178" s="357"/>
      <c r="OAT178" s="357"/>
      <c r="OAU178" s="357"/>
      <c r="OAV178" s="356"/>
      <c r="OAW178" s="357"/>
      <c r="OAX178" s="357"/>
      <c r="OAY178" s="357"/>
      <c r="OAZ178" s="357"/>
      <c r="OBA178" s="357"/>
      <c r="OBB178" s="356"/>
      <c r="OBC178" s="357"/>
      <c r="OBD178" s="357"/>
      <c r="OBE178" s="357"/>
      <c r="OBF178" s="357"/>
      <c r="OBG178" s="357"/>
      <c r="OBH178" s="356"/>
      <c r="OBI178" s="357"/>
      <c r="OBJ178" s="357"/>
      <c r="OBK178" s="357"/>
      <c r="OBL178" s="357"/>
      <c r="OBM178" s="357"/>
      <c r="OBN178" s="356"/>
      <c r="OBO178" s="357"/>
      <c r="OBP178" s="357"/>
      <c r="OBQ178" s="357"/>
      <c r="OBR178" s="357"/>
      <c r="OBS178" s="357"/>
      <c r="OBT178" s="356"/>
      <c r="OBU178" s="357"/>
      <c r="OBV178" s="357"/>
      <c r="OBW178" s="357"/>
      <c r="OBX178" s="357"/>
      <c r="OBY178" s="357"/>
      <c r="OBZ178" s="356"/>
      <c r="OCA178" s="357"/>
      <c r="OCB178" s="357"/>
      <c r="OCC178" s="357"/>
      <c r="OCD178" s="357"/>
      <c r="OCE178" s="357"/>
      <c r="OCF178" s="356"/>
      <c r="OCG178" s="357"/>
      <c r="OCH178" s="357"/>
      <c r="OCI178" s="357"/>
      <c r="OCJ178" s="357"/>
      <c r="OCK178" s="357"/>
      <c r="OCL178" s="356"/>
      <c r="OCM178" s="357"/>
      <c r="OCN178" s="357"/>
      <c r="OCO178" s="357"/>
      <c r="OCP178" s="357"/>
      <c r="OCQ178" s="357"/>
      <c r="OCR178" s="356"/>
      <c r="OCS178" s="357"/>
      <c r="OCT178" s="357"/>
      <c r="OCU178" s="357"/>
      <c r="OCV178" s="357"/>
      <c r="OCW178" s="357"/>
      <c r="OCX178" s="356"/>
      <c r="OCY178" s="357"/>
      <c r="OCZ178" s="357"/>
      <c r="ODA178" s="357"/>
      <c r="ODB178" s="357"/>
      <c r="ODC178" s="357"/>
      <c r="ODD178" s="356"/>
      <c r="ODE178" s="357"/>
      <c r="ODF178" s="357"/>
      <c r="ODG178" s="357"/>
      <c r="ODH178" s="357"/>
      <c r="ODI178" s="357"/>
      <c r="ODJ178" s="356"/>
      <c r="ODK178" s="357"/>
      <c r="ODL178" s="357"/>
      <c r="ODM178" s="357"/>
      <c r="ODN178" s="357"/>
      <c r="ODO178" s="357"/>
      <c r="ODP178" s="356"/>
      <c r="ODQ178" s="357"/>
      <c r="ODR178" s="357"/>
      <c r="ODS178" s="357"/>
      <c r="ODT178" s="357"/>
      <c r="ODU178" s="357"/>
      <c r="ODV178" s="356"/>
      <c r="ODW178" s="357"/>
      <c r="ODX178" s="357"/>
      <c r="ODY178" s="357"/>
      <c r="ODZ178" s="357"/>
      <c r="OEA178" s="357"/>
      <c r="OEB178" s="356"/>
      <c r="OEC178" s="357"/>
      <c r="OED178" s="357"/>
      <c r="OEE178" s="357"/>
      <c r="OEF178" s="357"/>
      <c r="OEG178" s="357"/>
      <c r="OEH178" s="356"/>
      <c r="OEI178" s="357"/>
      <c r="OEJ178" s="357"/>
      <c r="OEK178" s="357"/>
      <c r="OEL178" s="357"/>
      <c r="OEM178" s="357"/>
      <c r="OEN178" s="356"/>
      <c r="OEO178" s="357"/>
      <c r="OEP178" s="357"/>
      <c r="OEQ178" s="357"/>
      <c r="OER178" s="357"/>
      <c r="OES178" s="357"/>
      <c r="OET178" s="356"/>
      <c r="OEU178" s="357"/>
      <c r="OEV178" s="357"/>
      <c r="OEW178" s="357"/>
      <c r="OEX178" s="357"/>
      <c r="OEY178" s="357"/>
      <c r="OEZ178" s="356"/>
      <c r="OFA178" s="357"/>
      <c r="OFB178" s="357"/>
      <c r="OFC178" s="357"/>
      <c r="OFD178" s="357"/>
      <c r="OFE178" s="357"/>
      <c r="OFF178" s="356"/>
      <c r="OFG178" s="357"/>
      <c r="OFH178" s="357"/>
      <c r="OFI178" s="357"/>
      <c r="OFJ178" s="357"/>
      <c r="OFK178" s="357"/>
      <c r="OFL178" s="356"/>
      <c r="OFM178" s="357"/>
      <c r="OFN178" s="357"/>
      <c r="OFO178" s="357"/>
      <c r="OFP178" s="357"/>
      <c r="OFQ178" s="357"/>
      <c r="OFR178" s="356"/>
      <c r="OFS178" s="357"/>
      <c r="OFT178" s="357"/>
      <c r="OFU178" s="357"/>
      <c r="OFV178" s="357"/>
      <c r="OFW178" s="357"/>
      <c r="OFX178" s="356"/>
      <c r="OFY178" s="357"/>
      <c r="OFZ178" s="357"/>
      <c r="OGA178" s="357"/>
      <c r="OGB178" s="357"/>
      <c r="OGC178" s="357"/>
      <c r="OGD178" s="356"/>
      <c r="OGE178" s="357"/>
      <c r="OGF178" s="357"/>
      <c r="OGG178" s="357"/>
      <c r="OGH178" s="357"/>
      <c r="OGI178" s="357"/>
      <c r="OGJ178" s="356"/>
      <c r="OGK178" s="357"/>
      <c r="OGL178" s="357"/>
      <c r="OGM178" s="357"/>
      <c r="OGN178" s="357"/>
      <c r="OGO178" s="357"/>
      <c r="OGP178" s="356"/>
      <c r="OGQ178" s="357"/>
      <c r="OGR178" s="357"/>
      <c r="OGS178" s="357"/>
      <c r="OGT178" s="357"/>
      <c r="OGU178" s="357"/>
      <c r="OGV178" s="356"/>
      <c r="OGW178" s="357"/>
      <c r="OGX178" s="357"/>
      <c r="OGY178" s="357"/>
      <c r="OGZ178" s="357"/>
      <c r="OHA178" s="357"/>
      <c r="OHB178" s="356"/>
      <c r="OHC178" s="357"/>
      <c r="OHD178" s="357"/>
      <c r="OHE178" s="357"/>
      <c r="OHF178" s="357"/>
      <c r="OHG178" s="357"/>
      <c r="OHH178" s="356"/>
      <c r="OHI178" s="357"/>
      <c r="OHJ178" s="357"/>
      <c r="OHK178" s="357"/>
      <c r="OHL178" s="357"/>
      <c r="OHM178" s="357"/>
      <c r="OHN178" s="356"/>
      <c r="OHO178" s="357"/>
      <c r="OHP178" s="357"/>
      <c r="OHQ178" s="357"/>
      <c r="OHR178" s="357"/>
      <c r="OHS178" s="357"/>
      <c r="OHT178" s="356"/>
      <c r="OHU178" s="357"/>
      <c r="OHV178" s="357"/>
      <c r="OHW178" s="357"/>
      <c r="OHX178" s="357"/>
      <c r="OHY178" s="357"/>
      <c r="OHZ178" s="356"/>
      <c r="OIA178" s="357"/>
      <c r="OIB178" s="357"/>
      <c r="OIC178" s="357"/>
      <c r="OID178" s="357"/>
      <c r="OIE178" s="357"/>
      <c r="OIF178" s="356"/>
      <c r="OIG178" s="357"/>
      <c r="OIH178" s="357"/>
      <c r="OII178" s="357"/>
      <c r="OIJ178" s="357"/>
      <c r="OIK178" s="357"/>
      <c r="OIL178" s="356"/>
      <c r="OIM178" s="357"/>
      <c r="OIN178" s="357"/>
      <c r="OIO178" s="357"/>
      <c r="OIP178" s="357"/>
      <c r="OIQ178" s="357"/>
      <c r="OIR178" s="356"/>
      <c r="OIS178" s="357"/>
      <c r="OIT178" s="357"/>
      <c r="OIU178" s="357"/>
      <c r="OIV178" s="357"/>
      <c r="OIW178" s="357"/>
      <c r="OIX178" s="356"/>
      <c r="OIY178" s="357"/>
      <c r="OIZ178" s="357"/>
      <c r="OJA178" s="357"/>
      <c r="OJB178" s="357"/>
      <c r="OJC178" s="357"/>
      <c r="OJD178" s="356"/>
      <c r="OJE178" s="357"/>
      <c r="OJF178" s="357"/>
      <c r="OJG178" s="357"/>
      <c r="OJH178" s="357"/>
      <c r="OJI178" s="357"/>
      <c r="OJJ178" s="356"/>
      <c r="OJK178" s="357"/>
      <c r="OJL178" s="357"/>
      <c r="OJM178" s="357"/>
      <c r="OJN178" s="357"/>
      <c r="OJO178" s="357"/>
      <c r="OJP178" s="356"/>
      <c r="OJQ178" s="357"/>
      <c r="OJR178" s="357"/>
      <c r="OJS178" s="357"/>
      <c r="OJT178" s="357"/>
      <c r="OJU178" s="357"/>
      <c r="OJV178" s="356"/>
      <c r="OJW178" s="357"/>
      <c r="OJX178" s="357"/>
      <c r="OJY178" s="357"/>
      <c r="OJZ178" s="357"/>
      <c r="OKA178" s="357"/>
      <c r="OKB178" s="356"/>
      <c r="OKC178" s="357"/>
      <c r="OKD178" s="357"/>
      <c r="OKE178" s="357"/>
      <c r="OKF178" s="357"/>
      <c r="OKG178" s="357"/>
      <c r="OKH178" s="356"/>
      <c r="OKI178" s="357"/>
      <c r="OKJ178" s="357"/>
      <c r="OKK178" s="357"/>
      <c r="OKL178" s="357"/>
      <c r="OKM178" s="357"/>
      <c r="OKN178" s="356"/>
      <c r="OKO178" s="357"/>
      <c r="OKP178" s="357"/>
      <c r="OKQ178" s="357"/>
      <c r="OKR178" s="357"/>
      <c r="OKS178" s="357"/>
      <c r="OKT178" s="356"/>
      <c r="OKU178" s="357"/>
      <c r="OKV178" s="357"/>
      <c r="OKW178" s="357"/>
      <c r="OKX178" s="357"/>
      <c r="OKY178" s="357"/>
      <c r="OKZ178" s="356"/>
      <c r="OLA178" s="357"/>
      <c r="OLB178" s="357"/>
      <c r="OLC178" s="357"/>
      <c r="OLD178" s="357"/>
      <c r="OLE178" s="357"/>
      <c r="OLF178" s="356"/>
      <c r="OLG178" s="357"/>
      <c r="OLH178" s="357"/>
      <c r="OLI178" s="357"/>
      <c r="OLJ178" s="357"/>
      <c r="OLK178" s="357"/>
      <c r="OLL178" s="356"/>
      <c r="OLM178" s="357"/>
      <c r="OLN178" s="357"/>
      <c r="OLO178" s="357"/>
      <c r="OLP178" s="357"/>
      <c r="OLQ178" s="357"/>
      <c r="OLR178" s="356"/>
      <c r="OLS178" s="357"/>
      <c r="OLT178" s="357"/>
      <c r="OLU178" s="357"/>
      <c r="OLV178" s="357"/>
      <c r="OLW178" s="357"/>
      <c r="OLX178" s="356"/>
      <c r="OLY178" s="357"/>
      <c r="OLZ178" s="357"/>
      <c r="OMA178" s="357"/>
      <c r="OMB178" s="357"/>
      <c r="OMC178" s="357"/>
      <c r="OMD178" s="356"/>
      <c r="OME178" s="357"/>
      <c r="OMF178" s="357"/>
      <c r="OMG178" s="357"/>
      <c r="OMH178" s="357"/>
      <c r="OMI178" s="357"/>
      <c r="OMJ178" s="356"/>
      <c r="OMK178" s="357"/>
      <c r="OML178" s="357"/>
      <c r="OMM178" s="357"/>
      <c r="OMN178" s="357"/>
      <c r="OMO178" s="357"/>
      <c r="OMP178" s="356"/>
      <c r="OMQ178" s="357"/>
      <c r="OMR178" s="357"/>
      <c r="OMS178" s="357"/>
      <c r="OMT178" s="357"/>
      <c r="OMU178" s="357"/>
      <c r="OMV178" s="356"/>
      <c r="OMW178" s="357"/>
      <c r="OMX178" s="357"/>
      <c r="OMY178" s="357"/>
      <c r="OMZ178" s="357"/>
      <c r="ONA178" s="357"/>
      <c r="ONB178" s="356"/>
      <c r="ONC178" s="357"/>
      <c r="OND178" s="357"/>
      <c r="ONE178" s="357"/>
      <c r="ONF178" s="357"/>
      <c r="ONG178" s="357"/>
      <c r="ONH178" s="356"/>
      <c r="ONI178" s="357"/>
      <c r="ONJ178" s="357"/>
      <c r="ONK178" s="357"/>
      <c r="ONL178" s="357"/>
      <c r="ONM178" s="357"/>
      <c r="ONN178" s="356"/>
      <c r="ONO178" s="357"/>
      <c r="ONP178" s="357"/>
      <c r="ONQ178" s="357"/>
      <c r="ONR178" s="357"/>
      <c r="ONS178" s="357"/>
      <c r="ONT178" s="356"/>
      <c r="ONU178" s="357"/>
      <c r="ONV178" s="357"/>
      <c r="ONW178" s="357"/>
      <c r="ONX178" s="357"/>
      <c r="ONY178" s="357"/>
      <c r="ONZ178" s="356"/>
      <c r="OOA178" s="357"/>
      <c r="OOB178" s="357"/>
      <c r="OOC178" s="357"/>
      <c r="OOD178" s="357"/>
      <c r="OOE178" s="357"/>
      <c r="OOF178" s="356"/>
      <c r="OOG178" s="357"/>
      <c r="OOH178" s="357"/>
      <c r="OOI178" s="357"/>
      <c r="OOJ178" s="357"/>
      <c r="OOK178" s="357"/>
      <c r="OOL178" s="356"/>
      <c r="OOM178" s="357"/>
      <c r="OON178" s="357"/>
      <c r="OOO178" s="357"/>
      <c r="OOP178" s="357"/>
      <c r="OOQ178" s="357"/>
      <c r="OOR178" s="356"/>
      <c r="OOS178" s="357"/>
      <c r="OOT178" s="357"/>
      <c r="OOU178" s="357"/>
      <c r="OOV178" s="357"/>
      <c r="OOW178" s="357"/>
      <c r="OOX178" s="356"/>
      <c r="OOY178" s="357"/>
      <c r="OOZ178" s="357"/>
      <c r="OPA178" s="357"/>
      <c r="OPB178" s="357"/>
      <c r="OPC178" s="357"/>
      <c r="OPD178" s="356"/>
      <c r="OPE178" s="357"/>
      <c r="OPF178" s="357"/>
      <c r="OPG178" s="357"/>
      <c r="OPH178" s="357"/>
      <c r="OPI178" s="357"/>
      <c r="OPJ178" s="356"/>
      <c r="OPK178" s="357"/>
      <c r="OPL178" s="357"/>
      <c r="OPM178" s="357"/>
      <c r="OPN178" s="357"/>
      <c r="OPO178" s="357"/>
      <c r="OPP178" s="356"/>
      <c r="OPQ178" s="357"/>
      <c r="OPR178" s="357"/>
      <c r="OPS178" s="357"/>
      <c r="OPT178" s="357"/>
      <c r="OPU178" s="357"/>
      <c r="OPV178" s="356"/>
      <c r="OPW178" s="357"/>
      <c r="OPX178" s="357"/>
      <c r="OPY178" s="357"/>
      <c r="OPZ178" s="357"/>
      <c r="OQA178" s="357"/>
      <c r="OQB178" s="356"/>
      <c r="OQC178" s="357"/>
      <c r="OQD178" s="357"/>
      <c r="OQE178" s="357"/>
      <c r="OQF178" s="357"/>
      <c r="OQG178" s="357"/>
      <c r="OQH178" s="356"/>
      <c r="OQI178" s="357"/>
      <c r="OQJ178" s="357"/>
      <c r="OQK178" s="357"/>
      <c r="OQL178" s="357"/>
      <c r="OQM178" s="357"/>
      <c r="OQN178" s="356"/>
      <c r="OQO178" s="357"/>
      <c r="OQP178" s="357"/>
      <c r="OQQ178" s="357"/>
      <c r="OQR178" s="357"/>
      <c r="OQS178" s="357"/>
      <c r="OQT178" s="356"/>
      <c r="OQU178" s="357"/>
      <c r="OQV178" s="357"/>
      <c r="OQW178" s="357"/>
      <c r="OQX178" s="357"/>
      <c r="OQY178" s="357"/>
      <c r="OQZ178" s="356"/>
      <c r="ORA178" s="357"/>
      <c r="ORB178" s="357"/>
      <c r="ORC178" s="357"/>
      <c r="ORD178" s="357"/>
      <c r="ORE178" s="357"/>
      <c r="ORF178" s="356"/>
      <c r="ORG178" s="357"/>
      <c r="ORH178" s="357"/>
      <c r="ORI178" s="357"/>
      <c r="ORJ178" s="357"/>
      <c r="ORK178" s="357"/>
      <c r="ORL178" s="356"/>
      <c r="ORM178" s="357"/>
      <c r="ORN178" s="357"/>
      <c r="ORO178" s="357"/>
      <c r="ORP178" s="357"/>
      <c r="ORQ178" s="357"/>
      <c r="ORR178" s="356"/>
      <c r="ORS178" s="357"/>
      <c r="ORT178" s="357"/>
      <c r="ORU178" s="357"/>
      <c r="ORV178" s="357"/>
      <c r="ORW178" s="357"/>
      <c r="ORX178" s="356"/>
      <c r="ORY178" s="357"/>
      <c r="ORZ178" s="357"/>
      <c r="OSA178" s="357"/>
      <c r="OSB178" s="357"/>
      <c r="OSC178" s="357"/>
      <c r="OSD178" s="356"/>
      <c r="OSE178" s="357"/>
      <c r="OSF178" s="357"/>
      <c r="OSG178" s="357"/>
      <c r="OSH178" s="357"/>
      <c r="OSI178" s="357"/>
      <c r="OSJ178" s="356"/>
      <c r="OSK178" s="357"/>
      <c r="OSL178" s="357"/>
      <c r="OSM178" s="357"/>
      <c r="OSN178" s="357"/>
      <c r="OSO178" s="357"/>
      <c r="OSP178" s="356"/>
      <c r="OSQ178" s="357"/>
      <c r="OSR178" s="357"/>
      <c r="OSS178" s="357"/>
      <c r="OST178" s="357"/>
      <c r="OSU178" s="357"/>
      <c r="OSV178" s="356"/>
      <c r="OSW178" s="357"/>
      <c r="OSX178" s="357"/>
      <c r="OSY178" s="357"/>
      <c r="OSZ178" s="357"/>
      <c r="OTA178" s="357"/>
      <c r="OTB178" s="356"/>
      <c r="OTC178" s="357"/>
      <c r="OTD178" s="357"/>
      <c r="OTE178" s="357"/>
      <c r="OTF178" s="357"/>
      <c r="OTG178" s="357"/>
      <c r="OTH178" s="356"/>
      <c r="OTI178" s="357"/>
      <c r="OTJ178" s="357"/>
      <c r="OTK178" s="357"/>
      <c r="OTL178" s="357"/>
      <c r="OTM178" s="357"/>
      <c r="OTN178" s="356"/>
      <c r="OTO178" s="357"/>
      <c r="OTP178" s="357"/>
      <c r="OTQ178" s="357"/>
      <c r="OTR178" s="357"/>
      <c r="OTS178" s="357"/>
      <c r="OTT178" s="356"/>
      <c r="OTU178" s="357"/>
      <c r="OTV178" s="357"/>
      <c r="OTW178" s="357"/>
      <c r="OTX178" s="357"/>
      <c r="OTY178" s="357"/>
      <c r="OTZ178" s="356"/>
      <c r="OUA178" s="357"/>
      <c r="OUB178" s="357"/>
      <c r="OUC178" s="357"/>
      <c r="OUD178" s="357"/>
      <c r="OUE178" s="357"/>
      <c r="OUF178" s="356"/>
      <c r="OUG178" s="357"/>
      <c r="OUH178" s="357"/>
      <c r="OUI178" s="357"/>
      <c r="OUJ178" s="357"/>
      <c r="OUK178" s="357"/>
      <c r="OUL178" s="356"/>
      <c r="OUM178" s="357"/>
      <c r="OUN178" s="357"/>
      <c r="OUO178" s="357"/>
      <c r="OUP178" s="357"/>
      <c r="OUQ178" s="357"/>
      <c r="OUR178" s="356"/>
      <c r="OUS178" s="357"/>
      <c r="OUT178" s="357"/>
      <c r="OUU178" s="357"/>
      <c r="OUV178" s="357"/>
      <c r="OUW178" s="357"/>
      <c r="OUX178" s="356"/>
      <c r="OUY178" s="357"/>
      <c r="OUZ178" s="357"/>
      <c r="OVA178" s="357"/>
      <c r="OVB178" s="357"/>
      <c r="OVC178" s="357"/>
      <c r="OVD178" s="356"/>
      <c r="OVE178" s="357"/>
      <c r="OVF178" s="357"/>
      <c r="OVG178" s="357"/>
      <c r="OVH178" s="357"/>
      <c r="OVI178" s="357"/>
      <c r="OVJ178" s="356"/>
      <c r="OVK178" s="357"/>
      <c r="OVL178" s="357"/>
      <c r="OVM178" s="357"/>
      <c r="OVN178" s="357"/>
      <c r="OVO178" s="357"/>
      <c r="OVP178" s="356"/>
      <c r="OVQ178" s="357"/>
      <c r="OVR178" s="357"/>
      <c r="OVS178" s="357"/>
      <c r="OVT178" s="357"/>
      <c r="OVU178" s="357"/>
      <c r="OVV178" s="356"/>
      <c r="OVW178" s="357"/>
      <c r="OVX178" s="357"/>
      <c r="OVY178" s="357"/>
      <c r="OVZ178" s="357"/>
      <c r="OWA178" s="357"/>
      <c r="OWB178" s="356"/>
      <c r="OWC178" s="357"/>
      <c r="OWD178" s="357"/>
      <c r="OWE178" s="357"/>
      <c r="OWF178" s="357"/>
      <c r="OWG178" s="357"/>
      <c r="OWH178" s="356"/>
      <c r="OWI178" s="357"/>
      <c r="OWJ178" s="357"/>
      <c r="OWK178" s="357"/>
      <c r="OWL178" s="357"/>
      <c r="OWM178" s="357"/>
      <c r="OWN178" s="356"/>
      <c r="OWO178" s="357"/>
      <c r="OWP178" s="357"/>
      <c r="OWQ178" s="357"/>
      <c r="OWR178" s="357"/>
      <c r="OWS178" s="357"/>
      <c r="OWT178" s="356"/>
      <c r="OWU178" s="357"/>
      <c r="OWV178" s="357"/>
      <c r="OWW178" s="357"/>
      <c r="OWX178" s="357"/>
      <c r="OWY178" s="357"/>
      <c r="OWZ178" s="356"/>
      <c r="OXA178" s="357"/>
      <c r="OXB178" s="357"/>
      <c r="OXC178" s="357"/>
      <c r="OXD178" s="357"/>
      <c r="OXE178" s="357"/>
      <c r="OXF178" s="356"/>
      <c r="OXG178" s="357"/>
      <c r="OXH178" s="357"/>
      <c r="OXI178" s="357"/>
      <c r="OXJ178" s="357"/>
      <c r="OXK178" s="357"/>
      <c r="OXL178" s="356"/>
      <c r="OXM178" s="357"/>
      <c r="OXN178" s="357"/>
      <c r="OXO178" s="357"/>
      <c r="OXP178" s="357"/>
      <c r="OXQ178" s="357"/>
      <c r="OXR178" s="356"/>
      <c r="OXS178" s="357"/>
      <c r="OXT178" s="357"/>
      <c r="OXU178" s="357"/>
      <c r="OXV178" s="357"/>
      <c r="OXW178" s="357"/>
      <c r="OXX178" s="356"/>
      <c r="OXY178" s="357"/>
      <c r="OXZ178" s="357"/>
      <c r="OYA178" s="357"/>
      <c r="OYB178" s="357"/>
      <c r="OYC178" s="357"/>
      <c r="OYD178" s="356"/>
      <c r="OYE178" s="357"/>
      <c r="OYF178" s="357"/>
      <c r="OYG178" s="357"/>
      <c r="OYH178" s="357"/>
      <c r="OYI178" s="357"/>
      <c r="OYJ178" s="356"/>
      <c r="OYK178" s="357"/>
      <c r="OYL178" s="357"/>
      <c r="OYM178" s="357"/>
      <c r="OYN178" s="357"/>
      <c r="OYO178" s="357"/>
      <c r="OYP178" s="356"/>
      <c r="OYQ178" s="357"/>
      <c r="OYR178" s="357"/>
      <c r="OYS178" s="357"/>
      <c r="OYT178" s="357"/>
      <c r="OYU178" s="357"/>
      <c r="OYV178" s="356"/>
      <c r="OYW178" s="357"/>
      <c r="OYX178" s="357"/>
      <c r="OYY178" s="357"/>
      <c r="OYZ178" s="357"/>
      <c r="OZA178" s="357"/>
      <c r="OZB178" s="356"/>
      <c r="OZC178" s="357"/>
      <c r="OZD178" s="357"/>
      <c r="OZE178" s="357"/>
      <c r="OZF178" s="357"/>
      <c r="OZG178" s="357"/>
      <c r="OZH178" s="356"/>
      <c r="OZI178" s="357"/>
      <c r="OZJ178" s="357"/>
      <c r="OZK178" s="357"/>
      <c r="OZL178" s="357"/>
      <c r="OZM178" s="357"/>
      <c r="OZN178" s="356"/>
      <c r="OZO178" s="357"/>
      <c r="OZP178" s="357"/>
      <c r="OZQ178" s="357"/>
      <c r="OZR178" s="357"/>
      <c r="OZS178" s="357"/>
      <c r="OZT178" s="356"/>
      <c r="OZU178" s="357"/>
      <c r="OZV178" s="357"/>
      <c r="OZW178" s="357"/>
      <c r="OZX178" s="357"/>
      <c r="OZY178" s="357"/>
      <c r="OZZ178" s="356"/>
      <c r="PAA178" s="357"/>
      <c r="PAB178" s="357"/>
      <c r="PAC178" s="357"/>
      <c r="PAD178" s="357"/>
      <c r="PAE178" s="357"/>
      <c r="PAF178" s="356"/>
      <c r="PAG178" s="357"/>
      <c r="PAH178" s="357"/>
      <c r="PAI178" s="357"/>
      <c r="PAJ178" s="357"/>
      <c r="PAK178" s="357"/>
      <c r="PAL178" s="356"/>
      <c r="PAM178" s="357"/>
      <c r="PAN178" s="357"/>
      <c r="PAO178" s="357"/>
      <c r="PAP178" s="357"/>
      <c r="PAQ178" s="357"/>
      <c r="PAR178" s="356"/>
      <c r="PAS178" s="357"/>
      <c r="PAT178" s="357"/>
      <c r="PAU178" s="357"/>
      <c r="PAV178" s="357"/>
      <c r="PAW178" s="357"/>
      <c r="PAX178" s="356"/>
      <c r="PAY178" s="357"/>
      <c r="PAZ178" s="357"/>
      <c r="PBA178" s="357"/>
      <c r="PBB178" s="357"/>
      <c r="PBC178" s="357"/>
      <c r="PBD178" s="356"/>
      <c r="PBE178" s="357"/>
      <c r="PBF178" s="357"/>
      <c r="PBG178" s="357"/>
      <c r="PBH178" s="357"/>
      <c r="PBI178" s="357"/>
      <c r="PBJ178" s="356"/>
      <c r="PBK178" s="357"/>
      <c r="PBL178" s="357"/>
      <c r="PBM178" s="357"/>
      <c r="PBN178" s="357"/>
      <c r="PBO178" s="357"/>
      <c r="PBP178" s="356"/>
      <c r="PBQ178" s="357"/>
      <c r="PBR178" s="357"/>
      <c r="PBS178" s="357"/>
      <c r="PBT178" s="357"/>
      <c r="PBU178" s="357"/>
      <c r="PBV178" s="356"/>
      <c r="PBW178" s="357"/>
      <c r="PBX178" s="357"/>
      <c r="PBY178" s="357"/>
      <c r="PBZ178" s="357"/>
      <c r="PCA178" s="357"/>
      <c r="PCB178" s="356"/>
      <c r="PCC178" s="357"/>
      <c r="PCD178" s="357"/>
      <c r="PCE178" s="357"/>
      <c r="PCF178" s="357"/>
      <c r="PCG178" s="357"/>
      <c r="PCH178" s="356"/>
      <c r="PCI178" s="357"/>
      <c r="PCJ178" s="357"/>
      <c r="PCK178" s="357"/>
      <c r="PCL178" s="357"/>
      <c r="PCM178" s="357"/>
      <c r="PCN178" s="356"/>
      <c r="PCO178" s="357"/>
      <c r="PCP178" s="357"/>
      <c r="PCQ178" s="357"/>
      <c r="PCR178" s="357"/>
      <c r="PCS178" s="357"/>
      <c r="PCT178" s="356"/>
      <c r="PCU178" s="357"/>
      <c r="PCV178" s="357"/>
      <c r="PCW178" s="357"/>
      <c r="PCX178" s="357"/>
      <c r="PCY178" s="357"/>
      <c r="PCZ178" s="356"/>
      <c r="PDA178" s="357"/>
      <c r="PDB178" s="357"/>
      <c r="PDC178" s="357"/>
      <c r="PDD178" s="357"/>
      <c r="PDE178" s="357"/>
      <c r="PDF178" s="356"/>
      <c r="PDG178" s="357"/>
      <c r="PDH178" s="357"/>
      <c r="PDI178" s="357"/>
      <c r="PDJ178" s="357"/>
      <c r="PDK178" s="357"/>
      <c r="PDL178" s="356"/>
      <c r="PDM178" s="357"/>
      <c r="PDN178" s="357"/>
      <c r="PDO178" s="357"/>
      <c r="PDP178" s="357"/>
      <c r="PDQ178" s="357"/>
      <c r="PDR178" s="356"/>
      <c r="PDS178" s="357"/>
      <c r="PDT178" s="357"/>
      <c r="PDU178" s="357"/>
      <c r="PDV178" s="357"/>
      <c r="PDW178" s="357"/>
      <c r="PDX178" s="356"/>
      <c r="PDY178" s="357"/>
      <c r="PDZ178" s="357"/>
      <c r="PEA178" s="357"/>
      <c r="PEB178" s="357"/>
      <c r="PEC178" s="357"/>
      <c r="PED178" s="356"/>
      <c r="PEE178" s="357"/>
      <c r="PEF178" s="357"/>
      <c r="PEG178" s="357"/>
      <c r="PEH178" s="357"/>
      <c r="PEI178" s="357"/>
      <c r="PEJ178" s="356"/>
      <c r="PEK178" s="357"/>
      <c r="PEL178" s="357"/>
      <c r="PEM178" s="357"/>
      <c r="PEN178" s="357"/>
      <c r="PEO178" s="357"/>
      <c r="PEP178" s="356"/>
      <c r="PEQ178" s="357"/>
      <c r="PER178" s="357"/>
      <c r="PES178" s="357"/>
      <c r="PET178" s="357"/>
      <c r="PEU178" s="357"/>
      <c r="PEV178" s="356"/>
      <c r="PEW178" s="357"/>
      <c r="PEX178" s="357"/>
      <c r="PEY178" s="357"/>
      <c r="PEZ178" s="357"/>
      <c r="PFA178" s="357"/>
      <c r="PFB178" s="356"/>
      <c r="PFC178" s="357"/>
      <c r="PFD178" s="357"/>
      <c r="PFE178" s="357"/>
      <c r="PFF178" s="357"/>
      <c r="PFG178" s="357"/>
      <c r="PFH178" s="356"/>
      <c r="PFI178" s="357"/>
      <c r="PFJ178" s="357"/>
      <c r="PFK178" s="357"/>
      <c r="PFL178" s="357"/>
      <c r="PFM178" s="357"/>
      <c r="PFN178" s="356"/>
      <c r="PFO178" s="357"/>
      <c r="PFP178" s="357"/>
      <c r="PFQ178" s="357"/>
      <c r="PFR178" s="357"/>
      <c r="PFS178" s="357"/>
      <c r="PFT178" s="356"/>
      <c r="PFU178" s="357"/>
      <c r="PFV178" s="357"/>
      <c r="PFW178" s="357"/>
      <c r="PFX178" s="357"/>
      <c r="PFY178" s="357"/>
      <c r="PFZ178" s="356"/>
      <c r="PGA178" s="357"/>
      <c r="PGB178" s="357"/>
      <c r="PGC178" s="357"/>
      <c r="PGD178" s="357"/>
      <c r="PGE178" s="357"/>
      <c r="PGF178" s="356"/>
      <c r="PGG178" s="357"/>
      <c r="PGH178" s="357"/>
      <c r="PGI178" s="357"/>
      <c r="PGJ178" s="357"/>
      <c r="PGK178" s="357"/>
      <c r="PGL178" s="356"/>
      <c r="PGM178" s="357"/>
      <c r="PGN178" s="357"/>
      <c r="PGO178" s="357"/>
      <c r="PGP178" s="357"/>
      <c r="PGQ178" s="357"/>
      <c r="PGR178" s="356"/>
      <c r="PGS178" s="357"/>
      <c r="PGT178" s="357"/>
      <c r="PGU178" s="357"/>
      <c r="PGV178" s="357"/>
      <c r="PGW178" s="357"/>
      <c r="PGX178" s="356"/>
      <c r="PGY178" s="357"/>
      <c r="PGZ178" s="357"/>
      <c r="PHA178" s="357"/>
      <c r="PHB178" s="357"/>
      <c r="PHC178" s="357"/>
      <c r="PHD178" s="356"/>
      <c r="PHE178" s="357"/>
      <c r="PHF178" s="357"/>
      <c r="PHG178" s="357"/>
      <c r="PHH178" s="357"/>
      <c r="PHI178" s="357"/>
      <c r="PHJ178" s="356"/>
      <c r="PHK178" s="357"/>
      <c r="PHL178" s="357"/>
      <c r="PHM178" s="357"/>
      <c r="PHN178" s="357"/>
      <c r="PHO178" s="357"/>
      <c r="PHP178" s="356"/>
      <c r="PHQ178" s="357"/>
      <c r="PHR178" s="357"/>
      <c r="PHS178" s="357"/>
      <c r="PHT178" s="357"/>
      <c r="PHU178" s="357"/>
      <c r="PHV178" s="356"/>
      <c r="PHW178" s="357"/>
      <c r="PHX178" s="357"/>
      <c r="PHY178" s="357"/>
      <c r="PHZ178" s="357"/>
      <c r="PIA178" s="357"/>
      <c r="PIB178" s="356"/>
      <c r="PIC178" s="357"/>
      <c r="PID178" s="357"/>
      <c r="PIE178" s="357"/>
      <c r="PIF178" s="357"/>
      <c r="PIG178" s="357"/>
      <c r="PIH178" s="356"/>
      <c r="PII178" s="357"/>
      <c r="PIJ178" s="357"/>
      <c r="PIK178" s="357"/>
      <c r="PIL178" s="357"/>
      <c r="PIM178" s="357"/>
      <c r="PIN178" s="356"/>
      <c r="PIO178" s="357"/>
      <c r="PIP178" s="357"/>
      <c r="PIQ178" s="357"/>
      <c r="PIR178" s="357"/>
      <c r="PIS178" s="357"/>
      <c r="PIT178" s="356"/>
      <c r="PIU178" s="357"/>
      <c r="PIV178" s="357"/>
      <c r="PIW178" s="357"/>
      <c r="PIX178" s="357"/>
      <c r="PIY178" s="357"/>
      <c r="PIZ178" s="356"/>
      <c r="PJA178" s="357"/>
      <c r="PJB178" s="357"/>
      <c r="PJC178" s="357"/>
      <c r="PJD178" s="357"/>
      <c r="PJE178" s="357"/>
      <c r="PJF178" s="356"/>
      <c r="PJG178" s="357"/>
      <c r="PJH178" s="357"/>
      <c r="PJI178" s="357"/>
      <c r="PJJ178" s="357"/>
      <c r="PJK178" s="357"/>
      <c r="PJL178" s="356"/>
      <c r="PJM178" s="357"/>
      <c r="PJN178" s="357"/>
      <c r="PJO178" s="357"/>
      <c r="PJP178" s="357"/>
      <c r="PJQ178" s="357"/>
      <c r="PJR178" s="356"/>
      <c r="PJS178" s="357"/>
      <c r="PJT178" s="357"/>
      <c r="PJU178" s="357"/>
      <c r="PJV178" s="357"/>
      <c r="PJW178" s="357"/>
      <c r="PJX178" s="356"/>
      <c r="PJY178" s="357"/>
      <c r="PJZ178" s="357"/>
      <c r="PKA178" s="357"/>
      <c r="PKB178" s="357"/>
      <c r="PKC178" s="357"/>
      <c r="PKD178" s="356"/>
      <c r="PKE178" s="357"/>
      <c r="PKF178" s="357"/>
      <c r="PKG178" s="357"/>
      <c r="PKH178" s="357"/>
      <c r="PKI178" s="357"/>
      <c r="PKJ178" s="356"/>
      <c r="PKK178" s="357"/>
      <c r="PKL178" s="357"/>
      <c r="PKM178" s="357"/>
      <c r="PKN178" s="357"/>
      <c r="PKO178" s="357"/>
      <c r="PKP178" s="356"/>
      <c r="PKQ178" s="357"/>
      <c r="PKR178" s="357"/>
      <c r="PKS178" s="357"/>
      <c r="PKT178" s="357"/>
      <c r="PKU178" s="357"/>
      <c r="PKV178" s="356"/>
      <c r="PKW178" s="357"/>
      <c r="PKX178" s="357"/>
      <c r="PKY178" s="357"/>
      <c r="PKZ178" s="357"/>
      <c r="PLA178" s="357"/>
      <c r="PLB178" s="356"/>
      <c r="PLC178" s="357"/>
      <c r="PLD178" s="357"/>
      <c r="PLE178" s="357"/>
      <c r="PLF178" s="357"/>
      <c r="PLG178" s="357"/>
      <c r="PLH178" s="356"/>
      <c r="PLI178" s="357"/>
      <c r="PLJ178" s="357"/>
      <c r="PLK178" s="357"/>
      <c r="PLL178" s="357"/>
      <c r="PLM178" s="357"/>
      <c r="PLN178" s="356"/>
      <c r="PLO178" s="357"/>
      <c r="PLP178" s="357"/>
      <c r="PLQ178" s="357"/>
      <c r="PLR178" s="357"/>
      <c r="PLS178" s="357"/>
      <c r="PLT178" s="356"/>
      <c r="PLU178" s="357"/>
      <c r="PLV178" s="357"/>
      <c r="PLW178" s="357"/>
      <c r="PLX178" s="357"/>
      <c r="PLY178" s="357"/>
      <c r="PLZ178" s="356"/>
      <c r="PMA178" s="357"/>
      <c r="PMB178" s="357"/>
      <c r="PMC178" s="357"/>
      <c r="PMD178" s="357"/>
      <c r="PME178" s="357"/>
      <c r="PMF178" s="356"/>
      <c r="PMG178" s="357"/>
      <c r="PMH178" s="357"/>
      <c r="PMI178" s="357"/>
      <c r="PMJ178" s="357"/>
      <c r="PMK178" s="357"/>
      <c r="PML178" s="356"/>
      <c r="PMM178" s="357"/>
      <c r="PMN178" s="357"/>
      <c r="PMO178" s="357"/>
      <c r="PMP178" s="357"/>
      <c r="PMQ178" s="357"/>
      <c r="PMR178" s="356"/>
      <c r="PMS178" s="357"/>
      <c r="PMT178" s="357"/>
      <c r="PMU178" s="357"/>
      <c r="PMV178" s="357"/>
      <c r="PMW178" s="357"/>
      <c r="PMX178" s="356"/>
      <c r="PMY178" s="357"/>
      <c r="PMZ178" s="357"/>
      <c r="PNA178" s="357"/>
      <c r="PNB178" s="357"/>
      <c r="PNC178" s="357"/>
      <c r="PND178" s="356"/>
      <c r="PNE178" s="357"/>
      <c r="PNF178" s="357"/>
      <c r="PNG178" s="357"/>
      <c r="PNH178" s="357"/>
      <c r="PNI178" s="357"/>
      <c r="PNJ178" s="356"/>
      <c r="PNK178" s="357"/>
      <c r="PNL178" s="357"/>
      <c r="PNM178" s="357"/>
      <c r="PNN178" s="357"/>
      <c r="PNO178" s="357"/>
      <c r="PNP178" s="356"/>
      <c r="PNQ178" s="357"/>
      <c r="PNR178" s="357"/>
      <c r="PNS178" s="357"/>
      <c r="PNT178" s="357"/>
      <c r="PNU178" s="357"/>
      <c r="PNV178" s="356"/>
      <c r="PNW178" s="357"/>
      <c r="PNX178" s="357"/>
      <c r="PNY178" s="357"/>
      <c r="PNZ178" s="357"/>
      <c r="POA178" s="357"/>
      <c r="POB178" s="356"/>
      <c r="POC178" s="357"/>
      <c r="POD178" s="357"/>
      <c r="POE178" s="357"/>
      <c r="POF178" s="357"/>
      <c r="POG178" s="357"/>
      <c r="POH178" s="356"/>
      <c r="POI178" s="357"/>
      <c r="POJ178" s="357"/>
      <c r="POK178" s="357"/>
      <c r="POL178" s="357"/>
      <c r="POM178" s="357"/>
      <c r="PON178" s="356"/>
      <c r="POO178" s="357"/>
      <c r="POP178" s="357"/>
      <c r="POQ178" s="357"/>
      <c r="POR178" s="357"/>
      <c r="POS178" s="357"/>
      <c r="POT178" s="356"/>
      <c r="POU178" s="357"/>
      <c r="POV178" s="357"/>
      <c r="POW178" s="357"/>
      <c r="POX178" s="357"/>
      <c r="POY178" s="357"/>
      <c r="POZ178" s="356"/>
      <c r="PPA178" s="357"/>
      <c r="PPB178" s="357"/>
      <c r="PPC178" s="357"/>
      <c r="PPD178" s="357"/>
      <c r="PPE178" s="357"/>
      <c r="PPF178" s="356"/>
      <c r="PPG178" s="357"/>
      <c r="PPH178" s="357"/>
      <c r="PPI178" s="357"/>
      <c r="PPJ178" s="357"/>
      <c r="PPK178" s="357"/>
      <c r="PPL178" s="356"/>
      <c r="PPM178" s="357"/>
      <c r="PPN178" s="357"/>
      <c r="PPO178" s="357"/>
      <c r="PPP178" s="357"/>
      <c r="PPQ178" s="357"/>
      <c r="PPR178" s="356"/>
      <c r="PPS178" s="357"/>
      <c r="PPT178" s="357"/>
      <c r="PPU178" s="357"/>
      <c r="PPV178" s="357"/>
      <c r="PPW178" s="357"/>
      <c r="PPX178" s="356"/>
      <c r="PPY178" s="357"/>
      <c r="PPZ178" s="357"/>
      <c r="PQA178" s="357"/>
      <c r="PQB178" s="357"/>
      <c r="PQC178" s="357"/>
      <c r="PQD178" s="356"/>
      <c r="PQE178" s="357"/>
      <c r="PQF178" s="357"/>
      <c r="PQG178" s="357"/>
      <c r="PQH178" s="357"/>
      <c r="PQI178" s="357"/>
      <c r="PQJ178" s="356"/>
      <c r="PQK178" s="357"/>
      <c r="PQL178" s="357"/>
      <c r="PQM178" s="357"/>
      <c r="PQN178" s="357"/>
      <c r="PQO178" s="357"/>
      <c r="PQP178" s="356"/>
      <c r="PQQ178" s="357"/>
      <c r="PQR178" s="357"/>
      <c r="PQS178" s="357"/>
      <c r="PQT178" s="357"/>
      <c r="PQU178" s="357"/>
      <c r="PQV178" s="356"/>
      <c r="PQW178" s="357"/>
      <c r="PQX178" s="357"/>
      <c r="PQY178" s="357"/>
      <c r="PQZ178" s="357"/>
      <c r="PRA178" s="357"/>
      <c r="PRB178" s="356"/>
      <c r="PRC178" s="357"/>
      <c r="PRD178" s="357"/>
      <c r="PRE178" s="357"/>
      <c r="PRF178" s="357"/>
      <c r="PRG178" s="357"/>
      <c r="PRH178" s="356"/>
      <c r="PRI178" s="357"/>
      <c r="PRJ178" s="357"/>
      <c r="PRK178" s="357"/>
      <c r="PRL178" s="357"/>
      <c r="PRM178" s="357"/>
      <c r="PRN178" s="356"/>
      <c r="PRO178" s="357"/>
      <c r="PRP178" s="357"/>
      <c r="PRQ178" s="357"/>
      <c r="PRR178" s="357"/>
      <c r="PRS178" s="357"/>
      <c r="PRT178" s="356"/>
      <c r="PRU178" s="357"/>
      <c r="PRV178" s="357"/>
      <c r="PRW178" s="357"/>
      <c r="PRX178" s="357"/>
      <c r="PRY178" s="357"/>
      <c r="PRZ178" s="356"/>
      <c r="PSA178" s="357"/>
      <c r="PSB178" s="357"/>
      <c r="PSC178" s="357"/>
      <c r="PSD178" s="357"/>
      <c r="PSE178" s="357"/>
      <c r="PSF178" s="356"/>
      <c r="PSG178" s="357"/>
      <c r="PSH178" s="357"/>
      <c r="PSI178" s="357"/>
      <c r="PSJ178" s="357"/>
      <c r="PSK178" s="357"/>
      <c r="PSL178" s="356"/>
      <c r="PSM178" s="357"/>
      <c r="PSN178" s="357"/>
      <c r="PSO178" s="357"/>
      <c r="PSP178" s="357"/>
      <c r="PSQ178" s="357"/>
      <c r="PSR178" s="356"/>
      <c r="PSS178" s="357"/>
      <c r="PST178" s="357"/>
      <c r="PSU178" s="357"/>
      <c r="PSV178" s="357"/>
      <c r="PSW178" s="357"/>
      <c r="PSX178" s="356"/>
      <c r="PSY178" s="357"/>
      <c r="PSZ178" s="357"/>
      <c r="PTA178" s="357"/>
      <c r="PTB178" s="357"/>
      <c r="PTC178" s="357"/>
      <c r="PTD178" s="356"/>
      <c r="PTE178" s="357"/>
      <c r="PTF178" s="357"/>
      <c r="PTG178" s="357"/>
      <c r="PTH178" s="357"/>
      <c r="PTI178" s="357"/>
      <c r="PTJ178" s="356"/>
      <c r="PTK178" s="357"/>
      <c r="PTL178" s="357"/>
      <c r="PTM178" s="357"/>
      <c r="PTN178" s="357"/>
      <c r="PTO178" s="357"/>
      <c r="PTP178" s="356"/>
      <c r="PTQ178" s="357"/>
      <c r="PTR178" s="357"/>
      <c r="PTS178" s="357"/>
      <c r="PTT178" s="357"/>
      <c r="PTU178" s="357"/>
      <c r="PTV178" s="356"/>
      <c r="PTW178" s="357"/>
      <c r="PTX178" s="357"/>
      <c r="PTY178" s="357"/>
      <c r="PTZ178" s="357"/>
      <c r="PUA178" s="357"/>
      <c r="PUB178" s="356"/>
      <c r="PUC178" s="357"/>
      <c r="PUD178" s="357"/>
      <c r="PUE178" s="357"/>
      <c r="PUF178" s="357"/>
      <c r="PUG178" s="357"/>
      <c r="PUH178" s="356"/>
      <c r="PUI178" s="357"/>
      <c r="PUJ178" s="357"/>
      <c r="PUK178" s="357"/>
      <c r="PUL178" s="357"/>
      <c r="PUM178" s="357"/>
      <c r="PUN178" s="356"/>
      <c r="PUO178" s="357"/>
      <c r="PUP178" s="357"/>
      <c r="PUQ178" s="357"/>
      <c r="PUR178" s="357"/>
      <c r="PUS178" s="357"/>
      <c r="PUT178" s="356"/>
      <c r="PUU178" s="357"/>
      <c r="PUV178" s="357"/>
      <c r="PUW178" s="357"/>
      <c r="PUX178" s="357"/>
      <c r="PUY178" s="357"/>
      <c r="PUZ178" s="356"/>
      <c r="PVA178" s="357"/>
      <c r="PVB178" s="357"/>
      <c r="PVC178" s="357"/>
      <c r="PVD178" s="357"/>
      <c r="PVE178" s="357"/>
      <c r="PVF178" s="356"/>
      <c r="PVG178" s="357"/>
      <c r="PVH178" s="357"/>
      <c r="PVI178" s="357"/>
      <c r="PVJ178" s="357"/>
      <c r="PVK178" s="357"/>
      <c r="PVL178" s="356"/>
      <c r="PVM178" s="357"/>
      <c r="PVN178" s="357"/>
      <c r="PVO178" s="357"/>
      <c r="PVP178" s="357"/>
      <c r="PVQ178" s="357"/>
      <c r="PVR178" s="356"/>
      <c r="PVS178" s="357"/>
      <c r="PVT178" s="357"/>
      <c r="PVU178" s="357"/>
      <c r="PVV178" s="357"/>
      <c r="PVW178" s="357"/>
      <c r="PVX178" s="356"/>
      <c r="PVY178" s="357"/>
      <c r="PVZ178" s="357"/>
      <c r="PWA178" s="357"/>
      <c r="PWB178" s="357"/>
      <c r="PWC178" s="357"/>
      <c r="PWD178" s="356"/>
      <c r="PWE178" s="357"/>
      <c r="PWF178" s="357"/>
      <c r="PWG178" s="357"/>
      <c r="PWH178" s="357"/>
      <c r="PWI178" s="357"/>
      <c r="PWJ178" s="356"/>
      <c r="PWK178" s="357"/>
      <c r="PWL178" s="357"/>
      <c r="PWM178" s="357"/>
      <c r="PWN178" s="357"/>
      <c r="PWO178" s="357"/>
      <c r="PWP178" s="356"/>
      <c r="PWQ178" s="357"/>
      <c r="PWR178" s="357"/>
      <c r="PWS178" s="357"/>
      <c r="PWT178" s="357"/>
      <c r="PWU178" s="357"/>
      <c r="PWV178" s="356"/>
      <c r="PWW178" s="357"/>
      <c r="PWX178" s="357"/>
      <c r="PWY178" s="357"/>
      <c r="PWZ178" s="357"/>
      <c r="PXA178" s="357"/>
      <c r="PXB178" s="356"/>
      <c r="PXC178" s="357"/>
      <c r="PXD178" s="357"/>
      <c r="PXE178" s="357"/>
      <c r="PXF178" s="357"/>
      <c r="PXG178" s="357"/>
      <c r="PXH178" s="356"/>
      <c r="PXI178" s="357"/>
      <c r="PXJ178" s="357"/>
      <c r="PXK178" s="357"/>
      <c r="PXL178" s="357"/>
      <c r="PXM178" s="357"/>
      <c r="PXN178" s="356"/>
      <c r="PXO178" s="357"/>
      <c r="PXP178" s="357"/>
      <c r="PXQ178" s="357"/>
      <c r="PXR178" s="357"/>
      <c r="PXS178" s="357"/>
      <c r="PXT178" s="356"/>
      <c r="PXU178" s="357"/>
      <c r="PXV178" s="357"/>
      <c r="PXW178" s="357"/>
      <c r="PXX178" s="357"/>
      <c r="PXY178" s="357"/>
      <c r="PXZ178" s="356"/>
      <c r="PYA178" s="357"/>
      <c r="PYB178" s="357"/>
      <c r="PYC178" s="357"/>
      <c r="PYD178" s="357"/>
      <c r="PYE178" s="357"/>
      <c r="PYF178" s="356"/>
      <c r="PYG178" s="357"/>
      <c r="PYH178" s="357"/>
      <c r="PYI178" s="357"/>
      <c r="PYJ178" s="357"/>
      <c r="PYK178" s="357"/>
      <c r="PYL178" s="356"/>
      <c r="PYM178" s="357"/>
      <c r="PYN178" s="357"/>
      <c r="PYO178" s="357"/>
      <c r="PYP178" s="357"/>
      <c r="PYQ178" s="357"/>
      <c r="PYR178" s="356"/>
      <c r="PYS178" s="357"/>
      <c r="PYT178" s="357"/>
      <c r="PYU178" s="357"/>
      <c r="PYV178" s="357"/>
      <c r="PYW178" s="357"/>
      <c r="PYX178" s="356"/>
      <c r="PYY178" s="357"/>
      <c r="PYZ178" s="357"/>
      <c r="PZA178" s="357"/>
      <c r="PZB178" s="357"/>
      <c r="PZC178" s="357"/>
      <c r="PZD178" s="356"/>
      <c r="PZE178" s="357"/>
      <c r="PZF178" s="357"/>
      <c r="PZG178" s="357"/>
      <c r="PZH178" s="357"/>
      <c r="PZI178" s="357"/>
      <c r="PZJ178" s="356"/>
      <c r="PZK178" s="357"/>
      <c r="PZL178" s="357"/>
      <c r="PZM178" s="357"/>
      <c r="PZN178" s="357"/>
      <c r="PZO178" s="357"/>
      <c r="PZP178" s="356"/>
      <c r="PZQ178" s="357"/>
      <c r="PZR178" s="357"/>
      <c r="PZS178" s="357"/>
      <c r="PZT178" s="357"/>
      <c r="PZU178" s="357"/>
      <c r="PZV178" s="356"/>
      <c r="PZW178" s="357"/>
      <c r="PZX178" s="357"/>
      <c r="PZY178" s="357"/>
      <c r="PZZ178" s="357"/>
      <c r="QAA178" s="357"/>
      <c r="QAB178" s="356"/>
      <c r="QAC178" s="357"/>
      <c r="QAD178" s="357"/>
      <c r="QAE178" s="357"/>
      <c r="QAF178" s="357"/>
      <c r="QAG178" s="357"/>
      <c r="QAH178" s="356"/>
      <c r="QAI178" s="357"/>
      <c r="QAJ178" s="357"/>
      <c r="QAK178" s="357"/>
      <c r="QAL178" s="357"/>
      <c r="QAM178" s="357"/>
      <c r="QAN178" s="356"/>
      <c r="QAO178" s="357"/>
      <c r="QAP178" s="357"/>
      <c r="QAQ178" s="357"/>
      <c r="QAR178" s="357"/>
      <c r="QAS178" s="357"/>
      <c r="QAT178" s="356"/>
      <c r="QAU178" s="357"/>
      <c r="QAV178" s="357"/>
      <c r="QAW178" s="357"/>
      <c r="QAX178" s="357"/>
      <c r="QAY178" s="357"/>
      <c r="QAZ178" s="356"/>
      <c r="QBA178" s="357"/>
      <c r="QBB178" s="357"/>
      <c r="QBC178" s="357"/>
      <c r="QBD178" s="357"/>
      <c r="QBE178" s="357"/>
      <c r="QBF178" s="356"/>
      <c r="QBG178" s="357"/>
      <c r="QBH178" s="357"/>
      <c r="QBI178" s="357"/>
      <c r="QBJ178" s="357"/>
      <c r="QBK178" s="357"/>
      <c r="QBL178" s="356"/>
      <c r="QBM178" s="357"/>
      <c r="QBN178" s="357"/>
      <c r="QBO178" s="357"/>
      <c r="QBP178" s="357"/>
      <c r="QBQ178" s="357"/>
      <c r="QBR178" s="356"/>
      <c r="QBS178" s="357"/>
      <c r="QBT178" s="357"/>
      <c r="QBU178" s="357"/>
      <c r="QBV178" s="357"/>
      <c r="QBW178" s="357"/>
      <c r="QBX178" s="356"/>
      <c r="QBY178" s="357"/>
      <c r="QBZ178" s="357"/>
      <c r="QCA178" s="357"/>
      <c r="QCB178" s="357"/>
      <c r="QCC178" s="357"/>
      <c r="QCD178" s="356"/>
      <c r="QCE178" s="357"/>
      <c r="QCF178" s="357"/>
      <c r="QCG178" s="357"/>
      <c r="QCH178" s="357"/>
      <c r="QCI178" s="357"/>
      <c r="QCJ178" s="356"/>
      <c r="QCK178" s="357"/>
      <c r="QCL178" s="357"/>
      <c r="QCM178" s="357"/>
      <c r="QCN178" s="357"/>
      <c r="QCO178" s="357"/>
      <c r="QCP178" s="356"/>
      <c r="QCQ178" s="357"/>
      <c r="QCR178" s="357"/>
      <c r="QCS178" s="357"/>
      <c r="QCT178" s="357"/>
      <c r="QCU178" s="357"/>
      <c r="QCV178" s="356"/>
      <c r="QCW178" s="357"/>
      <c r="QCX178" s="357"/>
      <c r="QCY178" s="357"/>
      <c r="QCZ178" s="357"/>
      <c r="QDA178" s="357"/>
      <c r="QDB178" s="356"/>
      <c r="QDC178" s="357"/>
      <c r="QDD178" s="357"/>
      <c r="QDE178" s="357"/>
      <c r="QDF178" s="357"/>
      <c r="QDG178" s="357"/>
      <c r="QDH178" s="356"/>
      <c r="QDI178" s="357"/>
      <c r="QDJ178" s="357"/>
      <c r="QDK178" s="357"/>
      <c r="QDL178" s="357"/>
      <c r="QDM178" s="357"/>
      <c r="QDN178" s="356"/>
      <c r="QDO178" s="357"/>
      <c r="QDP178" s="357"/>
      <c r="QDQ178" s="357"/>
      <c r="QDR178" s="357"/>
      <c r="QDS178" s="357"/>
      <c r="QDT178" s="356"/>
      <c r="QDU178" s="357"/>
      <c r="QDV178" s="357"/>
      <c r="QDW178" s="357"/>
      <c r="QDX178" s="357"/>
      <c r="QDY178" s="357"/>
      <c r="QDZ178" s="356"/>
      <c r="QEA178" s="357"/>
      <c r="QEB178" s="357"/>
      <c r="QEC178" s="357"/>
      <c r="QED178" s="357"/>
      <c r="QEE178" s="357"/>
      <c r="QEF178" s="356"/>
      <c r="QEG178" s="357"/>
      <c r="QEH178" s="357"/>
      <c r="QEI178" s="357"/>
      <c r="QEJ178" s="357"/>
      <c r="QEK178" s="357"/>
      <c r="QEL178" s="356"/>
      <c r="QEM178" s="357"/>
      <c r="QEN178" s="357"/>
      <c r="QEO178" s="357"/>
      <c r="QEP178" s="357"/>
      <c r="QEQ178" s="357"/>
      <c r="QER178" s="356"/>
      <c r="QES178" s="357"/>
      <c r="QET178" s="357"/>
      <c r="QEU178" s="357"/>
      <c r="QEV178" s="357"/>
      <c r="QEW178" s="357"/>
      <c r="QEX178" s="356"/>
      <c r="QEY178" s="357"/>
      <c r="QEZ178" s="357"/>
      <c r="QFA178" s="357"/>
      <c r="QFB178" s="357"/>
      <c r="QFC178" s="357"/>
      <c r="QFD178" s="356"/>
      <c r="QFE178" s="357"/>
      <c r="QFF178" s="357"/>
      <c r="QFG178" s="357"/>
      <c r="QFH178" s="357"/>
      <c r="QFI178" s="357"/>
      <c r="QFJ178" s="356"/>
      <c r="QFK178" s="357"/>
      <c r="QFL178" s="357"/>
      <c r="QFM178" s="357"/>
      <c r="QFN178" s="357"/>
      <c r="QFO178" s="357"/>
      <c r="QFP178" s="356"/>
      <c r="QFQ178" s="357"/>
      <c r="QFR178" s="357"/>
      <c r="QFS178" s="357"/>
      <c r="QFT178" s="357"/>
      <c r="QFU178" s="357"/>
      <c r="QFV178" s="356"/>
      <c r="QFW178" s="357"/>
      <c r="QFX178" s="357"/>
      <c r="QFY178" s="357"/>
      <c r="QFZ178" s="357"/>
      <c r="QGA178" s="357"/>
      <c r="QGB178" s="356"/>
      <c r="QGC178" s="357"/>
      <c r="QGD178" s="357"/>
      <c r="QGE178" s="357"/>
      <c r="QGF178" s="357"/>
      <c r="QGG178" s="357"/>
      <c r="QGH178" s="356"/>
      <c r="QGI178" s="357"/>
      <c r="QGJ178" s="357"/>
      <c r="QGK178" s="357"/>
      <c r="QGL178" s="357"/>
      <c r="QGM178" s="357"/>
      <c r="QGN178" s="356"/>
      <c r="QGO178" s="357"/>
      <c r="QGP178" s="357"/>
      <c r="QGQ178" s="357"/>
      <c r="QGR178" s="357"/>
      <c r="QGS178" s="357"/>
      <c r="QGT178" s="356"/>
      <c r="QGU178" s="357"/>
      <c r="QGV178" s="357"/>
      <c r="QGW178" s="357"/>
      <c r="QGX178" s="357"/>
      <c r="QGY178" s="357"/>
      <c r="QGZ178" s="356"/>
      <c r="QHA178" s="357"/>
      <c r="QHB178" s="357"/>
      <c r="QHC178" s="357"/>
      <c r="QHD178" s="357"/>
      <c r="QHE178" s="357"/>
      <c r="QHF178" s="356"/>
      <c r="QHG178" s="357"/>
      <c r="QHH178" s="357"/>
      <c r="QHI178" s="357"/>
      <c r="QHJ178" s="357"/>
      <c r="QHK178" s="357"/>
      <c r="QHL178" s="356"/>
      <c r="QHM178" s="357"/>
      <c r="QHN178" s="357"/>
      <c r="QHO178" s="357"/>
      <c r="QHP178" s="357"/>
      <c r="QHQ178" s="357"/>
      <c r="QHR178" s="356"/>
      <c r="QHS178" s="357"/>
      <c r="QHT178" s="357"/>
      <c r="QHU178" s="357"/>
      <c r="QHV178" s="357"/>
      <c r="QHW178" s="357"/>
      <c r="QHX178" s="356"/>
      <c r="QHY178" s="357"/>
      <c r="QHZ178" s="357"/>
      <c r="QIA178" s="357"/>
      <c r="QIB178" s="357"/>
      <c r="QIC178" s="357"/>
      <c r="QID178" s="356"/>
      <c r="QIE178" s="357"/>
      <c r="QIF178" s="357"/>
      <c r="QIG178" s="357"/>
      <c r="QIH178" s="357"/>
      <c r="QII178" s="357"/>
      <c r="QIJ178" s="356"/>
      <c r="QIK178" s="357"/>
      <c r="QIL178" s="357"/>
      <c r="QIM178" s="357"/>
      <c r="QIN178" s="357"/>
      <c r="QIO178" s="357"/>
      <c r="QIP178" s="356"/>
      <c r="QIQ178" s="357"/>
      <c r="QIR178" s="357"/>
      <c r="QIS178" s="357"/>
      <c r="QIT178" s="357"/>
      <c r="QIU178" s="357"/>
      <c r="QIV178" s="356"/>
      <c r="QIW178" s="357"/>
      <c r="QIX178" s="357"/>
      <c r="QIY178" s="357"/>
      <c r="QIZ178" s="357"/>
      <c r="QJA178" s="357"/>
      <c r="QJB178" s="356"/>
      <c r="QJC178" s="357"/>
      <c r="QJD178" s="357"/>
      <c r="QJE178" s="357"/>
      <c r="QJF178" s="357"/>
      <c r="QJG178" s="357"/>
      <c r="QJH178" s="356"/>
      <c r="QJI178" s="357"/>
      <c r="QJJ178" s="357"/>
      <c r="QJK178" s="357"/>
      <c r="QJL178" s="357"/>
      <c r="QJM178" s="357"/>
      <c r="QJN178" s="356"/>
      <c r="QJO178" s="357"/>
      <c r="QJP178" s="357"/>
      <c r="QJQ178" s="357"/>
      <c r="QJR178" s="357"/>
      <c r="QJS178" s="357"/>
      <c r="QJT178" s="356"/>
      <c r="QJU178" s="357"/>
      <c r="QJV178" s="357"/>
      <c r="QJW178" s="357"/>
      <c r="QJX178" s="357"/>
      <c r="QJY178" s="357"/>
      <c r="QJZ178" s="356"/>
      <c r="QKA178" s="357"/>
      <c r="QKB178" s="357"/>
      <c r="QKC178" s="357"/>
      <c r="QKD178" s="357"/>
      <c r="QKE178" s="357"/>
      <c r="QKF178" s="356"/>
      <c r="QKG178" s="357"/>
      <c r="QKH178" s="357"/>
      <c r="QKI178" s="357"/>
      <c r="QKJ178" s="357"/>
      <c r="QKK178" s="357"/>
      <c r="QKL178" s="356"/>
      <c r="QKM178" s="357"/>
      <c r="QKN178" s="357"/>
      <c r="QKO178" s="357"/>
      <c r="QKP178" s="357"/>
      <c r="QKQ178" s="357"/>
      <c r="QKR178" s="356"/>
      <c r="QKS178" s="357"/>
      <c r="QKT178" s="357"/>
      <c r="QKU178" s="357"/>
      <c r="QKV178" s="357"/>
      <c r="QKW178" s="357"/>
      <c r="QKX178" s="356"/>
      <c r="QKY178" s="357"/>
      <c r="QKZ178" s="357"/>
      <c r="QLA178" s="357"/>
      <c r="QLB178" s="357"/>
      <c r="QLC178" s="357"/>
      <c r="QLD178" s="356"/>
      <c r="QLE178" s="357"/>
      <c r="QLF178" s="357"/>
      <c r="QLG178" s="357"/>
      <c r="QLH178" s="357"/>
      <c r="QLI178" s="357"/>
      <c r="QLJ178" s="356"/>
      <c r="QLK178" s="357"/>
      <c r="QLL178" s="357"/>
      <c r="QLM178" s="357"/>
      <c r="QLN178" s="357"/>
      <c r="QLO178" s="357"/>
      <c r="QLP178" s="356"/>
      <c r="QLQ178" s="357"/>
      <c r="QLR178" s="357"/>
      <c r="QLS178" s="357"/>
      <c r="QLT178" s="357"/>
      <c r="QLU178" s="357"/>
      <c r="QLV178" s="356"/>
      <c r="QLW178" s="357"/>
      <c r="QLX178" s="357"/>
      <c r="QLY178" s="357"/>
      <c r="QLZ178" s="357"/>
      <c r="QMA178" s="357"/>
      <c r="QMB178" s="356"/>
      <c r="QMC178" s="357"/>
      <c r="QMD178" s="357"/>
      <c r="QME178" s="357"/>
      <c r="QMF178" s="357"/>
      <c r="QMG178" s="357"/>
      <c r="QMH178" s="356"/>
      <c r="QMI178" s="357"/>
      <c r="QMJ178" s="357"/>
      <c r="QMK178" s="357"/>
      <c r="QML178" s="357"/>
      <c r="QMM178" s="357"/>
      <c r="QMN178" s="356"/>
      <c r="QMO178" s="357"/>
      <c r="QMP178" s="357"/>
      <c r="QMQ178" s="357"/>
      <c r="QMR178" s="357"/>
      <c r="QMS178" s="357"/>
      <c r="QMT178" s="356"/>
      <c r="QMU178" s="357"/>
      <c r="QMV178" s="357"/>
      <c r="QMW178" s="357"/>
      <c r="QMX178" s="357"/>
      <c r="QMY178" s="357"/>
      <c r="QMZ178" s="356"/>
      <c r="QNA178" s="357"/>
      <c r="QNB178" s="357"/>
      <c r="QNC178" s="357"/>
      <c r="QND178" s="357"/>
      <c r="QNE178" s="357"/>
      <c r="QNF178" s="356"/>
      <c r="QNG178" s="357"/>
      <c r="QNH178" s="357"/>
      <c r="QNI178" s="357"/>
      <c r="QNJ178" s="357"/>
      <c r="QNK178" s="357"/>
      <c r="QNL178" s="356"/>
      <c r="QNM178" s="357"/>
      <c r="QNN178" s="357"/>
      <c r="QNO178" s="357"/>
      <c r="QNP178" s="357"/>
      <c r="QNQ178" s="357"/>
      <c r="QNR178" s="356"/>
      <c r="QNS178" s="357"/>
      <c r="QNT178" s="357"/>
      <c r="QNU178" s="357"/>
      <c r="QNV178" s="357"/>
      <c r="QNW178" s="357"/>
      <c r="QNX178" s="356"/>
      <c r="QNY178" s="357"/>
      <c r="QNZ178" s="357"/>
      <c r="QOA178" s="357"/>
      <c r="QOB178" s="357"/>
      <c r="QOC178" s="357"/>
      <c r="QOD178" s="356"/>
      <c r="QOE178" s="357"/>
      <c r="QOF178" s="357"/>
      <c r="QOG178" s="357"/>
      <c r="QOH178" s="357"/>
      <c r="QOI178" s="357"/>
      <c r="QOJ178" s="356"/>
      <c r="QOK178" s="357"/>
      <c r="QOL178" s="357"/>
      <c r="QOM178" s="357"/>
      <c r="QON178" s="357"/>
      <c r="QOO178" s="357"/>
      <c r="QOP178" s="356"/>
      <c r="QOQ178" s="357"/>
      <c r="QOR178" s="357"/>
      <c r="QOS178" s="357"/>
      <c r="QOT178" s="357"/>
      <c r="QOU178" s="357"/>
      <c r="QOV178" s="356"/>
      <c r="QOW178" s="357"/>
      <c r="QOX178" s="357"/>
      <c r="QOY178" s="357"/>
      <c r="QOZ178" s="357"/>
      <c r="QPA178" s="357"/>
      <c r="QPB178" s="356"/>
      <c r="QPC178" s="357"/>
      <c r="QPD178" s="357"/>
      <c r="QPE178" s="357"/>
      <c r="QPF178" s="357"/>
      <c r="QPG178" s="357"/>
      <c r="QPH178" s="356"/>
      <c r="QPI178" s="357"/>
      <c r="QPJ178" s="357"/>
      <c r="QPK178" s="357"/>
      <c r="QPL178" s="357"/>
      <c r="QPM178" s="357"/>
      <c r="QPN178" s="356"/>
      <c r="QPO178" s="357"/>
      <c r="QPP178" s="357"/>
      <c r="QPQ178" s="357"/>
      <c r="QPR178" s="357"/>
      <c r="QPS178" s="357"/>
      <c r="QPT178" s="356"/>
      <c r="QPU178" s="357"/>
      <c r="QPV178" s="357"/>
      <c r="QPW178" s="357"/>
      <c r="QPX178" s="357"/>
      <c r="QPY178" s="357"/>
      <c r="QPZ178" s="356"/>
      <c r="QQA178" s="357"/>
      <c r="QQB178" s="357"/>
      <c r="QQC178" s="357"/>
      <c r="QQD178" s="357"/>
      <c r="QQE178" s="357"/>
      <c r="QQF178" s="356"/>
      <c r="QQG178" s="357"/>
      <c r="QQH178" s="357"/>
      <c r="QQI178" s="357"/>
      <c r="QQJ178" s="357"/>
      <c r="QQK178" s="357"/>
      <c r="QQL178" s="356"/>
      <c r="QQM178" s="357"/>
      <c r="QQN178" s="357"/>
      <c r="QQO178" s="357"/>
      <c r="QQP178" s="357"/>
      <c r="QQQ178" s="357"/>
      <c r="QQR178" s="356"/>
      <c r="QQS178" s="357"/>
      <c r="QQT178" s="357"/>
      <c r="QQU178" s="357"/>
      <c r="QQV178" s="357"/>
      <c r="QQW178" s="357"/>
      <c r="QQX178" s="356"/>
      <c r="QQY178" s="357"/>
      <c r="QQZ178" s="357"/>
      <c r="QRA178" s="357"/>
      <c r="QRB178" s="357"/>
      <c r="QRC178" s="357"/>
      <c r="QRD178" s="356"/>
      <c r="QRE178" s="357"/>
      <c r="QRF178" s="357"/>
      <c r="QRG178" s="357"/>
      <c r="QRH178" s="357"/>
      <c r="QRI178" s="357"/>
      <c r="QRJ178" s="356"/>
      <c r="QRK178" s="357"/>
      <c r="QRL178" s="357"/>
      <c r="QRM178" s="357"/>
      <c r="QRN178" s="357"/>
      <c r="QRO178" s="357"/>
      <c r="QRP178" s="356"/>
      <c r="QRQ178" s="357"/>
      <c r="QRR178" s="357"/>
      <c r="QRS178" s="357"/>
      <c r="QRT178" s="357"/>
      <c r="QRU178" s="357"/>
      <c r="QRV178" s="356"/>
      <c r="QRW178" s="357"/>
      <c r="QRX178" s="357"/>
      <c r="QRY178" s="357"/>
      <c r="QRZ178" s="357"/>
      <c r="QSA178" s="357"/>
      <c r="QSB178" s="356"/>
      <c r="QSC178" s="357"/>
      <c r="QSD178" s="357"/>
      <c r="QSE178" s="357"/>
      <c r="QSF178" s="357"/>
      <c r="QSG178" s="357"/>
      <c r="QSH178" s="356"/>
      <c r="QSI178" s="357"/>
      <c r="QSJ178" s="357"/>
      <c r="QSK178" s="357"/>
      <c r="QSL178" s="357"/>
      <c r="QSM178" s="357"/>
      <c r="QSN178" s="356"/>
      <c r="QSO178" s="357"/>
      <c r="QSP178" s="357"/>
      <c r="QSQ178" s="357"/>
      <c r="QSR178" s="357"/>
      <c r="QSS178" s="357"/>
      <c r="QST178" s="356"/>
      <c r="QSU178" s="357"/>
      <c r="QSV178" s="357"/>
      <c r="QSW178" s="357"/>
      <c r="QSX178" s="357"/>
      <c r="QSY178" s="357"/>
      <c r="QSZ178" s="356"/>
      <c r="QTA178" s="357"/>
      <c r="QTB178" s="357"/>
      <c r="QTC178" s="357"/>
      <c r="QTD178" s="357"/>
      <c r="QTE178" s="357"/>
      <c r="QTF178" s="356"/>
      <c r="QTG178" s="357"/>
      <c r="QTH178" s="357"/>
      <c r="QTI178" s="357"/>
      <c r="QTJ178" s="357"/>
      <c r="QTK178" s="357"/>
      <c r="QTL178" s="356"/>
      <c r="QTM178" s="357"/>
      <c r="QTN178" s="357"/>
      <c r="QTO178" s="357"/>
      <c r="QTP178" s="357"/>
      <c r="QTQ178" s="357"/>
      <c r="QTR178" s="356"/>
      <c r="QTS178" s="357"/>
      <c r="QTT178" s="357"/>
      <c r="QTU178" s="357"/>
      <c r="QTV178" s="357"/>
      <c r="QTW178" s="357"/>
      <c r="QTX178" s="356"/>
      <c r="QTY178" s="357"/>
      <c r="QTZ178" s="357"/>
      <c r="QUA178" s="357"/>
      <c r="QUB178" s="357"/>
      <c r="QUC178" s="357"/>
      <c r="QUD178" s="356"/>
      <c r="QUE178" s="357"/>
      <c r="QUF178" s="357"/>
      <c r="QUG178" s="357"/>
      <c r="QUH178" s="357"/>
      <c r="QUI178" s="357"/>
      <c r="QUJ178" s="356"/>
      <c r="QUK178" s="357"/>
      <c r="QUL178" s="357"/>
      <c r="QUM178" s="357"/>
      <c r="QUN178" s="357"/>
      <c r="QUO178" s="357"/>
      <c r="QUP178" s="356"/>
      <c r="QUQ178" s="357"/>
      <c r="QUR178" s="357"/>
      <c r="QUS178" s="357"/>
      <c r="QUT178" s="357"/>
      <c r="QUU178" s="357"/>
      <c r="QUV178" s="356"/>
      <c r="QUW178" s="357"/>
      <c r="QUX178" s="357"/>
      <c r="QUY178" s="357"/>
      <c r="QUZ178" s="357"/>
      <c r="QVA178" s="357"/>
      <c r="QVB178" s="356"/>
      <c r="QVC178" s="357"/>
      <c r="QVD178" s="357"/>
      <c r="QVE178" s="357"/>
      <c r="QVF178" s="357"/>
      <c r="QVG178" s="357"/>
      <c r="QVH178" s="356"/>
      <c r="QVI178" s="357"/>
      <c r="QVJ178" s="357"/>
      <c r="QVK178" s="357"/>
      <c r="QVL178" s="357"/>
      <c r="QVM178" s="357"/>
      <c r="QVN178" s="356"/>
      <c r="QVO178" s="357"/>
      <c r="QVP178" s="357"/>
      <c r="QVQ178" s="357"/>
      <c r="QVR178" s="357"/>
      <c r="QVS178" s="357"/>
      <c r="QVT178" s="356"/>
      <c r="QVU178" s="357"/>
      <c r="QVV178" s="357"/>
      <c r="QVW178" s="357"/>
      <c r="QVX178" s="357"/>
      <c r="QVY178" s="357"/>
      <c r="QVZ178" s="356"/>
      <c r="QWA178" s="357"/>
      <c r="QWB178" s="357"/>
      <c r="QWC178" s="357"/>
      <c r="QWD178" s="357"/>
      <c r="QWE178" s="357"/>
      <c r="QWF178" s="356"/>
      <c r="QWG178" s="357"/>
      <c r="QWH178" s="357"/>
      <c r="QWI178" s="357"/>
      <c r="QWJ178" s="357"/>
      <c r="QWK178" s="357"/>
      <c r="QWL178" s="356"/>
      <c r="QWM178" s="357"/>
      <c r="QWN178" s="357"/>
      <c r="QWO178" s="357"/>
      <c r="QWP178" s="357"/>
      <c r="QWQ178" s="357"/>
      <c r="QWR178" s="356"/>
      <c r="QWS178" s="357"/>
      <c r="QWT178" s="357"/>
      <c r="QWU178" s="357"/>
      <c r="QWV178" s="357"/>
      <c r="QWW178" s="357"/>
      <c r="QWX178" s="356"/>
      <c r="QWY178" s="357"/>
      <c r="QWZ178" s="357"/>
      <c r="QXA178" s="357"/>
      <c r="QXB178" s="357"/>
      <c r="QXC178" s="357"/>
      <c r="QXD178" s="356"/>
      <c r="QXE178" s="357"/>
      <c r="QXF178" s="357"/>
      <c r="QXG178" s="357"/>
      <c r="QXH178" s="357"/>
      <c r="QXI178" s="357"/>
      <c r="QXJ178" s="356"/>
      <c r="QXK178" s="357"/>
      <c r="QXL178" s="357"/>
      <c r="QXM178" s="357"/>
      <c r="QXN178" s="357"/>
      <c r="QXO178" s="357"/>
      <c r="QXP178" s="356"/>
      <c r="QXQ178" s="357"/>
      <c r="QXR178" s="357"/>
      <c r="QXS178" s="357"/>
      <c r="QXT178" s="357"/>
      <c r="QXU178" s="357"/>
      <c r="QXV178" s="356"/>
      <c r="QXW178" s="357"/>
      <c r="QXX178" s="357"/>
      <c r="QXY178" s="357"/>
      <c r="QXZ178" s="357"/>
      <c r="QYA178" s="357"/>
      <c r="QYB178" s="356"/>
      <c r="QYC178" s="357"/>
      <c r="QYD178" s="357"/>
      <c r="QYE178" s="357"/>
      <c r="QYF178" s="357"/>
      <c r="QYG178" s="357"/>
      <c r="QYH178" s="356"/>
      <c r="QYI178" s="357"/>
      <c r="QYJ178" s="357"/>
      <c r="QYK178" s="357"/>
      <c r="QYL178" s="357"/>
      <c r="QYM178" s="357"/>
      <c r="QYN178" s="356"/>
      <c r="QYO178" s="357"/>
      <c r="QYP178" s="357"/>
      <c r="QYQ178" s="357"/>
      <c r="QYR178" s="357"/>
      <c r="QYS178" s="357"/>
      <c r="QYT178" s="356"/>
      <c r="QYU178" s="357"/>
      <c r="QYV178" s="357"/>
      <c r="QYW178" s="357"/>
      <c r="QYX178" s="357"/>
      <c r="QYY178" s="357"/>
      <c r="QYZ178" s="356"/>
      <c r="QZA178" s="357"/>
      <c r="QZB178" s="357"/>
      <c r="QZC178" s="357"/>
      <c r="QZD178" s="357"/>
      <c r="QZE178" s="357"/>
      <c r="QZF178" s="356"/>
      <c r="QZG178" s="357"/>
      <c r="QZH178" s="357"/>
      <c r="QZI178" s="357"/>
      <c r="QZJ178" s="357"/>
      <c r="QZK178" s="357"/>
      <c r="QZL178" s="356"/>
      <c r="QZM178" s="357"/>
      <c r="QZN178" s="357"/>
      <c r="QZO178" s="357"/>
      <c r="QZP178" s="357"/>
      <c r="QZQ178" s="357"/>
      <c r="QZR178" s="356"/>
      <c r="QZS178" s="357"/>
      <c r="QZT178" s="357"/>
      <c r="QZU178" s="357"/>
      <c r="QZV178" s="357"/>
      <c r="QZW178" s="357"/>
      <c r="QZX178" s="356"/>
      <c r="QZY178" s="357"/>
      <c r="QZZ178" s="357"/>
      <c r="RAA178" s="357"/>
      <c r="RAB178" s="357"/>
      <c r="RAC178" s="357"/>
      <c r="RAD178" s="356"/>
      <c r="RAE178" s="357"/>
      <c r="RAF178" s="357"/>
      <c r="RAG178" s="357"/>
      <c r="RAH178" s="357"/>
      <c r="RAI178" s="357"/>
      <c r="RAJ178" s="356"/>
      <c r="RAK178" s="357"/>
      <c r="RAL178" s="357"/>
      <c r="RAM178" s="357"/>
      <c r="RAN178" s="357"/>
      <c r="RAO178" s="357"/>
      <c r="RAP178" s="356"/>
      <c r="RAQ178" s="357"/>
      <c r="RAR178" s="357"/>
      <c r="RAS178" s="357"/>
      <c r="RAT178" s="357"/>
      <c r="RAU178" s="357"/>
      <c r="RAV178" s="356"/>
      <c r="RAW178" s="357"/>
      <c r="RAX178" s="357"/>
      <c r="RAY178" s="357"/>
      <c r="RAZ178" s="357"/>
      <c r="RBA178" s="357"/>
      <c r="RBB178" s="356"/>
      <c r="RBC178" s="357"/>
      <c r="RBD178" s="357"/>
      <c r="RBE178" s="357"/>
      <c r="RBF178" s="357"/>
      <c r="RBG178" s="357"/>
      <c r="RBH178" s="356"/>
      <c r="RBI178" s="357"/>
      <c r="RBJ178" s="357"/>
      <c r="RBK178" s="357"/>
      <c r="RBL178" s="357"/>
      <c r="RBM178" s="357"/>
      <c r="RBN178" s="356"/>
      <c r="RBO178" s="357"/>
      <c r="RBP178" s="357"/>
      <c r="RBQ178" s="357"/>
      <c r="RBR178" s="357"/>
      <c r="RBS178" s="357"/>
      <c r="RBT178" s="356"/>
      <c r="RBU178" s="357"/>
      <c r="RBV178" s="357"/>
      <c r="RBW178" s="357"/>
      <c r="RBX178" s="357"/>
      <c r="RBY178" s="357"/>
      <c r="RBZ178" s="356"/>
      <c r="RCA178" s="357"/>
      <c r="RCB178" s="357"/>
      <c r="RCC178" s="357"/>
      <c r="RCD178" s="357"/>
      <c r="RCE178" s="357"/>
      <c r="RCF178" s="356"/>
      <c r="RCG178" s="357"/>
      <c r="RCH178" s="357"/>
      <c r="RCI178" s="357"/>
      <c r="RCJ178" s="357"/>
      <c r="RCK178" s="357"/>
      <c r="RCL178" s="356"/>
      <c r="RCM178" s="357"/>
      <c r="RCN178" s="357"/>
      <c r="RCO178" s="357"/>
      <c r="RCP178" s="357"/>
      <c r="RCQ178" s="357"/>
      <c r="RCR178" s="356"/>
      <c r="RCS178" s="357"/>
      <c r="RCT178" s="357"/>
      <c r="RCU178" s="357"/>
      <c r="RCV178" s="357"/>
      <c r="RCW178" s="357"/>
      <c r="RCX178" s="356"/>
      <c r="RCY178" s="357"/>
      <c r="RCZ178" s="357"/>
      <c r="RDA178" s="357"/>
      <c r="RDB178" s="357"/>
      <c r="RDC178" s="357"/>
      <c r="RDD178" s="356"/>
      <c r="RDE178" s="357"/>
      <c r="RDF178" s="357"/>
      <c r="RDG178" s="357"/>
      <c r="RDH178" s="357"/>
      <c r="RDI178" s="357"/>
      <c r="RDJ178" s="356"/>
      <c r="RDK178" s="357"/>
      <c r="RDL178" s="357"/>
      <c r="RDM178" s="357"/>
      <c r="RDN178" s="357"/>
      <c r="RDO178" s="357"/>
      <c r="RDP178" s="356"/>
      <c r="RDQ178" s="357"/>
      <c r="RDR178" s="357"/>
      <c r="RDS178" s="357"/>
      <c r="RDT178" s="357"/>
      <c r="RDU178" s="357"/>
      <c r="RDV178" s="356"/>
      <c r="RDW178" s="357"/>
      <c r="RDX178" s="357"/>
      <c r="RDY178" s="357"/>
      <c r="RDZ178" s="357"/>
      <c r="REA178" s="357"/>
      <c r="REB178" s="356"/>
      <c r="REC178" s="357"/>
      <c r="RED178" s="357"/>
      <c r="REE178" s="357"/>
      <c r="REF178" s="357"/>
      <c r="REG178" s="357"/>
      <c r="REH178" s="356"/>
      <c r="REI178" s="357"/>
      <c r="REJ178" s="357"/>
      <c r="REK178" s="357"/>
      <c r="REL178" s="357"/>
      <c r="REM178" s="357"/>
      <c r="REN178" s="356"/>
      <c r="REO178" s="357"/>
      <c r="REP178" s="357"/>
      <c r="REQ178" s="357"/>
      <c r="RER178" s="357"/>
      <c r="RES178" s="357"/>
      <c r="RET178" s="356"/>
      <c r="REU178" s="357"/>
      <c r="REV178" s="357"/>
      <c r="REW178" s="357"/>
      <c r="REX178" s="357"/>
      <c r="REY178" s="357"/>
      <c r="REZ178" s="356"/>
      <c r="RFA178" s="357"/>
      <c r="RFB178" s="357"/>
      <c r="RFC178" s="357"/>
      <c r="RFD178" s="357"/>
      <c r="RFE178" s="357"/>
      <c r="RFF178" s="356"/>
      <c r="RFG178" s="357"/>
      <c r="RFH178" s="357"/>
      <c r="RFI178" s="357"/>
      <c r="RFJ178" s="357"/>
      <c r="RFK178" s="357"/>
      <c r="RFL178" s="356"/>
      <c r="RFM178" s="357"/>
      <c r="RFN178" s="357"/>
      <c r="RFO178" s="357"/>
      <c r="RFP178" s="357"/>
      <c r="RFQ178" s="357"/>
      <c r="RFR178" s="356"/>
      <c r="RFS178" s="357"/>
      <c r="RFT178" s="357"/>
      <c r="RFU178" s="357"/>
      <c r="RFV178" s="357"/>
      <c r="RFW178" s="357"/>
      <c r="RFX178" s="356"/>
      <c r="RFY178" s="357"/>
      <c r="RFZ178" s="357"/>
      <c r="RGA178" s="357"/>
      <c r="RGB178" s="357"/>
      <c r="RGC178" s="357"/>
      <c r="RGD178" s="356"/>
      <c r="RGE178" s="357"/>
      <c r="RGF178" s="357"/>
      <c r="RGG178" s="357"/>
      <c r="RGH178" s="357"/>
      <c r="RGI178" s="357"/>
      <c r="RGJ178" s="356"/>
      <c r="RGK178" s="357"/>
      <c r="RGL178" s="357"/>
      <c r="RGM178" s="357"/>
      <c r="RGN178" s="357"/>
      <c r="RGO178" s="357"/>
      <c r="RGP178" s="356"/>
      <c r="RGQ178" s="357"/>
      <c r="RGR178" s="357"/>
      <c r="RGS178" s="357"/>
      <c r="RGT178" s="357"/>
      <c r="RGU178" s="357"/>
      <c r="RGV178" s="356"/>
      <c r="RGW178" s="357"/>
      <c r="RGX178" s="357"/>
      <c r="RGY178" s="357"/>
      <c r="RGZ178" s="357"/>
      <c r="RHA178" s="357"/>
      <c r="RHB178" s="356"/>
      <c r="RHC178" s="357"/>
      <c r="RHD178" s="357"/>
      <c r="RHE178" s="357"/>
      <c r="RHF178" s="357"/>
      <c r="RHG178" s="357"/>
      <c r="RHH178" s="356"/>
      <c r="RHI178" s="357"/>
      <c r="RHJ178" s="357"/>
      <c r="RHK178" s="357"/>
      <c r="RHL178" s="357"/>
      <c r="RHM178" s="357"/>
      <c r="RHN178" s="356"/>
      <c r="RHO178" s="357"/>
      <c r="RHP178" s="357"/>
      <c r="RHQ178" s="357"/>
      <c r="RHR178" s="357"/>
      <c r="RHS178" s="357"/>
      <c r="RHT178" s="356"/>
      <c r="RHU178" s="357"/>
      <c r="RHV178" s="357"/>
      <c r="RHW178" s="357"/>
      <c r="RHX178" s="357"/>
      <c r="RHY178" s="357"/>
      <c r="RHZ178" s="356"/>
      <c r="RIA178" s="357"/>
      <c r="RIB178" s="357"/>
      <c r="RIC178" s="357"/>
      <c r="RID178" s="357"/>
      <c r="RIE178" s="357"/>
      <c r="RIF178" s="356"/>
      <c r="RIG178" s="357"/>
      <c r="RIH178" s="357"/>
      <c r="RII178" s="357"/>
      <c r="RIJ178" s="357"/>
      <c r="RIK178" s="357"/>
      <c r="RIL178" s="356"/>
      <c r="RIM178" s="357"/>
      <c r="RIN178" s="357"/>
      <c r="RIO178" s="357"/>
      <c r="RIP178" s="357"/>
      <c r="RIQ178" s="357"/>
      <c r="RIR178" s="356"/>
      <c r="RIS178" s="357"/>
      <c r="RIT178" s="357"/>
      <c r="RIU178" s="357"/>
      <c r="RIV178" s="357"/>
      <c r="RIW178" s="357"/>
      <c r="RIX178" s="356"/>
      <c r="RIY178" s="357"/>
      <c r="RIZ178" s="357"/>
      <c r="RJA178" s="357"/>
      <c r="RJB178" s="357"/>
      <c r="RJC178" s="357"/>
      <c r="RJD178" s="356"/>
      <c r="RJE178" s="357"/>
      <c r="RJF178" s="357"/>
      <c r="RJG178" s="357"/>
      <c r="RJH178" s="357"/>
      <c r="RJI178" s="357"/>
      <c r="RJJ178" s="356"/>
      <c r="RJK178" s="357"/>
      <c r="RJL178" s="357"/>
      <c r="RJM178" s="357"/>
      <c r="RJN178" s="357"/>
      <c r="RJO178" s="357"/>
      <c r="RJP178" s="356"/>
      <c r="RJQ178" s="357"/>
      <c r="RJR178" s="357"/>
      <c r="RJS178" s="357"/>
      <c r="RJT178" s="357"/>
      <c r="RJU178" s="357"/>
      <c r="RJV178" s="356"/>
      <c r="RJW178" s="357"/>
      <c r="RJX178" s="357"/>
      <c r="RJY178" s="357"/>
      <c r="RJZ178" s="357"/>
      <c r="RKA178" s="357"/>
      <c r="RKB178" s="356"/>
      <c r="RKC178" s="357"/>
      <c r="RKD178" s="357"/>
      <c r="RKE178" s="357"/>
      <c r="RKF178" s="357"/>
      <c r="RKG178" s="357"/>
      <c r="RKH178" s="356"/>
      <c r="RKI178" s="357"/>
      <c r="RKJ178" s="357"/>
      <c r="RKK178" s="357"/>
      <c r="RKL178" s="357"/>
      <c r="RKM178" s="357"/>
      <c r="RKN178" s="356"/>
      <c r="RKO178" s="357"/>
      <c r="RKP178" s="357"/>
      <c r="RKQ178" s="357"/>
      <c r="RKR178" s="357"/>
      <c r="RKS178" s="357"/>
      <c r="RKT178" s="356"/>
      <c r="RKU178" s="357"/>
      <c r="RKV178" s="357"/>
      <c r="RKW178" s="357"/>
      <c r="RKX178" s="357"/>
      <c r="RKY178" s="357"/>
      <c r="RKZ178" s="356"/>
      <c r="RLA178" s="357"/>
      <c r="RLB178" s="357"/>
      <c r="RLC178" s="357"/>
      <c r="RLD178" s="357"/>
      <c r="RLE178" s="357"/>
      <c r="RLF178" s="356"/>
      <c r="RLG178" s="357"/>
      <c r="RLH178" s="357"/>
      <c r="RLI178" s="357"/>
      <c r="RLJ178" s="357"/>
      <c r="RLK178" s="357"/>
      <c r="RLL178" s="356"/>
      <c r="RLM178" s="357"/>
      <c r="RLN178" s="357"/>
      <c r="RLO178" s="357"/>
      <c r="RLP178" s="357"/>
      <c r="RLQ178" s="357"/>
      <c r="RLR178" s="356"/>
      <c r="RLS178" s="357"/>
      <c r="RLT178" s="357"/>
      <c r="RLU178" s="357"/>
      <c r="RLV178" s="357"/>
      <c r="RLW178" s="357"/>
      <c r="RLX178" s="356"/>
      <c r="RLY178" s="357"/>
      <c r="RLZ178" s="357"/>
      <c r="RMA178" s="357"/>
      <c r="RMB178" s="357"/>
      <c r="RMC178" s="357"/>
      <c r="RMD178" s="356"/>
      <c r="RME178" s="357"/>
      <c r="RMF178" s="357"/>
      <c r="RMG178" s="357"/>
      <c r="RMH178" s="357"/>
      <c r="RMI178" s="357"/>
      <c r="RMJ178" s="356"/>
      <c r="RMK178" s="357"/>
      <c r="RML178" s="357"/>
      <c r="RMM178" s="357"/>
      <c r="RMN178" s="357"/>
      <c r="RMO178" s="357"/>
      <c r="RMP178" s="356"/>
      <c r="RMQ178" s="357"/>
      <c r="RMR178" s="357"/>
      <c r="RMS178" s="357"/>
      <c r="RMT178" s="357"/>
      <c r="RMU178" s="357"/>
      <c r="RMV178" s="356"/>
      <c r="RMW178" s="357"/>
      <c r="RMX178" s="357"/>
      <c r="RMY178" s="357"/>
      <c r="RMZ178" s="357"/>
      <c r="RNA178" s="357"/>
      <c r="RNB178" s="356"/>
      <c r="RNC178" s="357"/>
      <c r="RND178" s="357"/>
      <c r="RNE178" s="357"/>
      <c r="RNF178" s="357"/>
      <c r="RNG178" s="357"/>
      <c r="RNH178" s="356"/>
      <c r="RNI178" s="357"/>
      <c r="RNJ178" s="357"/>
      <c r="RNK178" s="357"/>
      <c r="RNL178" s="357"/>
      <c r="RNM178" s="357"/>
      <c r="RNN178" s="356"/>
      <c r="RNO178" s="357"/>
      <c r="RNP178" s="357"/>
      <c r="RNQ178" s="357"/>
      <c r="RNR178" s="357"/>
      <c r="RNS178" s="357"/>
      <c r="RNT178" s="356"/>
      <c r="RNU178" s="357"/>
      <c r="RNV178" s="357"/>
      <c r="RNW178" s="357"/>
      <c r="RNX178" s="357"/>
      <c r="RNY178" s="357"/>
      <c r="RNZ178" s="356"/>
      <c r="ROA178" s="357"/>
      <c r="ROB178" s="357"/>
      <c r="ROC178" s="357"/>
      <c r="ROD178" s="357"/>
      <c r="ROE178" s="357"/>
      <c r="ROF178" s="356"/>
      <c r="ROG178" s="357"/>
      <c r="ROH178" s="357"/>
      <c r="ROI178" s="357"/>
      <c r="ROJ178" s="357"/>
      <c r="ROK178" s="357"/>
      <c r="ROL178" s="356"/>
      <c r="ROM178" s="357"/>
      <c r="RON178" s="357"/>
      <c r="ROO178" s="357"/>
      <c r="ROP178" s="357"/>
      <c r="ROQ178" s="357"/>
      <c r="ROR178" s="356"/>
      <c r="ROS178" s="357"/>
      <c r="ROT178" s="357"/>
      <c r="ROU178" s="357"/>
      <c r="ROV178" s="357"/>
      <c r="ROW178" s="357"/>
      <c r="ROX178" s="356"/>
      <c r="ROY178" s="357"/>
      <c r="ROZ178" s="357"/>
      <c r="RPA178" s="357"/>
      <c r="RPB178" s="357"/>
      <c r="RPC178" s="357"/>
      <c r="RPD178" s="356"/>
      <c r="RPE178" s="357"/>
      <c r="RPF178" s="357"/>
      <c r="RPG178" s="357"/>
      <c r="RPH178" s="357"/>
      <c r="RPI178" s="357"/>
      <c r="RPJ178" s="356"/>
      <c r="RPK178" s="357"/>
      <c r="RPL178" s="357"/>
      <c r="RPM178" s="357"/>
      <c r="RPN178" s="357"/>
      <c r="RPO178" s="357"/>
      <c r="RPP178" s="356"/>
      <c r="RPQ178" s="357"/>
      <c r="RPR178" s="357"/>
      <c r="RPS178" s="357"/>
      <c r="RPT178" s="357"/>
      <c r="RPU178" s="357"/>
      <c r="RPV178" s="356"/>
      <c r="RPW178" s="357"/>
      <c r="RPX178" s="357"/>
      <c r="RPY178" s="357"/>
      <c r="RPZ178" s="357"/>
      <c r="RQA178" s="357"/>
      <c r="RQB178" s="356"/>
      <c r="RQC178" s="357"/>
      <c r="RQD178" s="357"/>
      <c r="RQE178" s="357"/>
      <c r="RQF178" s="357"/>
      <c r="RQG178" s="357"/>
      <c r="RQH178" s="356"/>
      <c r="RQI178" s="357"/>
      <c r="RQJ178" s="357"/>
      <c r="RQK178" s="357"/>
      <c r="RQL178" s="357"/>
      <c r="RQM178" s="357"/>
      <c r="RQN178" s="356"/>
      <c r="RQO178" s="357"/>
      <c r="RQP178" s="357"/>
      <c r="RQQ178" s="357"/>
      <c r="RQR178" s="357"/>
      <c r="RQS178" s="357"/>
      <c r="RQT178" s="356"/>
      <c r="RQU178" s="357"/>
      <c r="RQV178" s="357"/>
      <c r="RQW178" s="357"/>
      <c r="RQX178" s="357"/>
      <c r="RQY178" s="357"/>
      <c r="RQZ178" s="356"/>
      <c r="RRA178" s="357"/>
      <c r="RRB178" s="357"/>
      <c r="RRC178" s="357"/>
      <c r="RRD178" s="357"/>
      <c r="RRE178" s="357"/>
      <c r="RRF178" s="356"/>
      <c r="RRG178" s="357"/>
      <c r="RRH178" s="357"/>
      <c r="RRI178" s="357"/>
      <c r="RRJ178" s="357"/>
      <c r="RRK178" s="357"/>
      <c r="RRL178" s="356"/>
      <c r="RRM178" s="357"/>
      <c r="RRN178" s="357"/>
      <c r="RRO178" s="357"/>
      <c r="RRP178" s="357"/>
      <c r="RRQ178" s="357"/>
      <c r="RRR178" s="356"/>
      <c r="RRS178" s="357"/>
      <c r="RRT178" s="357"/>
      <c r="RRU178" s="357"/>
      <c r="RRV178" s="357"/>
      <c r="RRW178" s="357"/>
      <c r="RRX178" s="356"/>
      <c r="RRY178" s="357"/>
      <c r="RRZ178" s="357"/>
      <c r="RSA178" s="357"/>
      <c r="RSB178" s="357"/>
      <c r="RSC178" s="357"/>
      <c r="RSD178" s="356"/>
      <c r="RSE178" s="357"/>
      <c r="RSF178" s="357"/>
      <c r="RSG178" s="357"/>
      <c r="RSH178" s="357"/>
      <c r="RSI178" s="357"/>
      <c r="RSJ178" s="356"/>
      <c r="RSK178" s="357"/>
      <c r="RSL178" s="357"/>
      <c r="RSM178" s="357"/>
      <c r="RSN178" s="357"/>
      <c r="RSO178" s="357"/>
      <c r="RSP178" s="356"/>
      <c r="RSQ178" s="357"/>
      <c r="RSR178" s="357"/>
      <c r="RSS178" s="357"/>
      <c r="RST178" s="357"/>
      <c r="RSU178" s="357"/>
      <c r="RSV178" s="356"/>
      <c r="RSW178" s="357"/>
      <c r="RSX178" s="357"/>
      <c r="RSY178" s="357"/>
      <c r="RSZ178" s="357"/>
      <c r="RTA178" s="357"/>
      <c r="RTB178" s="356"/>
      <c r="RTC178" s="357"/>
      <c r="RTD178" s="357"/>
      <c r="RTE178" s="357"/>
      <c r="RTF178" s="357"/>
      <c r="RTG178" s="357"/>
      <c r="RTH178" s="356"/>
      <c r="RTI178" s="357"/>
      <c r="RTJ178" s="357"/>
      <c r="RTK178" s="357"/>
      <c r="RTL178" s="357"/>
      <c r="RTM178" s="357"/>
      <c r="RTN178" s="356"/>
      <c r="RTO178" s="357"/>
      <c r="RTP178" s="357"/>
      <c r="RTQ178" s="357"/>
      <c r="RTR178" s="357"/>
      <c r="RTS178" s="357"/>
      <c r="RTT178" s="356"/>
      <c r="RTU178" s="357"/>
      <c r="RTV178" s="357"/>
      <c r="RTW178" s="357"/>
      <c r="RTX178" s="357"/>
      <c r="RTY178" s="357"/>
      <c r="RTZ178" s="356"/>
      <c r="RUA178" s="357"/>
      <c r="RUB178" s="357"/>
      <c r="RUC178" s="357"/>
      <c r="RUD178" s="357"/>
      <c r="RUE178" s="357"/>
      <c r="RUF178" s="356"/>
      <c r="RUG178" s="357"/>
      <c r="RUH178" s="357"/>
      <c r="RUI178" s="357"/>
      <c r="RUJ178" s="357"/>
      <c r="RUK178" s="357"/>
      <c r="RUL178" s="356"/>
      <c r="RUM178" s="357"/>
      <c r="RUN178" s="357"/>
      <c r="RUO178" s="357"/>
      <c r="RUP178" s="357"/>
      <c r="RUQ178" s="357"/>
      <c r="RUR178" s="356"/>
      <c r="RUS178" s="357"/>
      <c r="RUT178" s="357"/>
      <c r="RUU178" s="357"/>
      <c r="RUV178" s="357"/>
      <c r="RUW178" s="357"/>
      <c r="RUX178" s="356"/>
      <c r="RUY178" s="357"/>
      <c r="RUZ178" s="357"/>
      <c r="RVA178" s="357"/>
      <c r="RVB178" s="357"/>
      <c r="RVC178" s="357"/>
      <c r="RVD178" s="356"/>
      <c r="RVE178" s="357"/>
      <c r="RVF178" s="357"/>
      <c r="RVG178" s="357"/>
      <c r="RVH178" s="357"/>
      <c r="RVI178" s="357"/>
      <c r="RVJ178" s="356"/>
      <c r="RVK178" s="357"/>
      <c r="RVL178" s="357"/>
      <c r="RVM178" s="357"/>
      <c r="RVN178" s="357"/>
      <c r="RVO178" s="357"/>
      <c r="RVP178" s="356"/>
      <c r="RVQ178" s="357"/>
      <c r="RVR178" s="357"/>
      <c r="RVS178" s="357"/>
      <c r="RVT178" s="357"/>
      <c r="RVU178" s="357"/>
      <c r="RVV178" s="356"/>
      <c r="RVW178" s="357"/>
      <c r="RVX178" s="357"/>
      <c r="RVY178" s="357"/>
      <c r="RVZ178" s="357"/>
      <c r="RWA178" s="357"/>
      <c r="RWB178" s="356"/>
      <c r="RWC178" s="357"/>
      <c r="RWD178" s="357"/>
      <c r="RWE178" s="357"/>
      <c r="RWF178" s="357"/>
      <c r="RWG178" s="357"/>
      <c r="RWH178" s="356"/>
      <c r="RWI178" s="357"/>
      <c r="RWJ178" s="357"/>
      <c r="RWK178" s="357"/>
      <c r="RWL178" s="357"/>
      <c r="RWM178" s="357"/>
      <c r="RWN178" s="356"/>
      <c r="RWO178" s="357"/>
      <c r="RWP178" s="357"/>
      <c r="RWQ178" s="357"/>
      <c r="RWR178" s="357"/>
      <c r="RWS178" s="357"/>
      <c r="RWT178" s="356"/>
      <c r="RWU178" s="357"/>
      <c r="RWV178" s="357"/>
      <c r="RWW178" s="357"/>
      <c r="RWX178" s="357"/>
      <c r="RWY178" s="357"/>
      <c r="RWZ178" s="356"/>
      <c r="RXA178" s="357"/>
      <c r="RXB178" s="357"/>
      <c r="RXC178" s="357"/>
      <c r="RXD178" s="357"/>
      <c r="RXE178" s="357"/>
      <c r="RXF178" s="356"/>
      <c r="RXG178" s="357"/>
      <c r="RXH178" s="357"/>
      <c r="RXI178" s="357"/>
      <c r="RXJ178" s="357"/>
      <c r="RXK178" s="357"/>
      <c r="RXL178" s="356"/>
      <c r="RXM178" s="357"/>
      <c r="RXN178" s="357"/>
      <c r="RXO178" s="357"/>
      <c r="RXP178" s="357"/>
      <c r="RXQ178" s="357"/>
      <c r="RXR178" s="356"/>
      <c r="RXS178" s="357"/>
      <c r="RXT178" s="357"/>
      <c r="RXU178" s="357"/>
      <c r="RXV178" s="357"/>
      <c r="RXW178" s="357"/>
      <c r="RXX178" s="356"/>
      <c r="RXY178" s="357"/>
      <c r="RXZ178" s="357"/>
      <c r="RYA178" s="357"/>
      <c r="RYB178" s="357"/>
      <c r="RYC178" s="357"/>
      <c r="RYD178" s="356"/>
      <c r="RYE178" s="357"/>
      <c r="RYF178" s="357"/>
      <c r="RYG178" s="357"/>
      <c r="RYH178" s="357"/>
      <c r="RYI178" s="357"/>
      <c r="RYJ178" s="356"/>
      <c r="RYK178" s="357"/>
      <c r="RYL178" s="357"/>
      <c r="RYM178" s="357"/>
      <c r="RYN178" s="357"/>
      <c r="RYO178" s="357"/>
      <c r="RYP178" s="356"/>
      <c r="RYQ178" s="357"/>
      <c r="RYR178" s="357"/>
      <c r="RYS178" s="357"/>
      <c r="RYT178" s="357"/>
      <c r="RYU178" s="357"/>
      <c r="RYV178" s="356"/>
      <c r="RYW178" s="357"/>
      <c r="RYX178" s="357"/>
      <c r="RYY178" s="357"/>
      <c r="RYZ178" s="357"/>
      <c r="RZA178" s="357"/>
      <c r="RZB178" s="356"/>
      <c r="RZC178" s="357"/>
      <c r="RZD178" s="357"/>
      <c r="RZE178" s="357"/>
      <c r="RZF178" s="357"/>
      <c r="RZG178" s="357"/>
      <c r="RZH178" s="356"/>
      <c r="RZI178" s="357"/>
      <c r="RZJ178" s="357"/>
      <c r="RZK178" s="357"/>
      <c r="RZL178" s="357"/>
      <c r="RZM178" s="357"/>
      <c r="RZN178" s="356"/>
      <c r="RZO178" s="357"/>
      <c r="RZP178" s="357"/>
      <c r="RZQ178" s="357"/>
      <c r="RZR178" s="357"/>
      <c r="RZS178" s="357"/>
      <c r="RZT178" s="356"/>
      <c r="RZU178" s="357"/>
      <c r="RZV178" s="357"/>
      <c r="RZW178" s="357"/>
      <c r="RZX178" s="357"/>
      <c r="RZY178" s="357"/>
      <c r="RZZ178" s="356"/>
      <c r="SAA178" s="357"/>
      <c r="SAB178" s="357"/>
      <c r="SAC178" s="357"/>
      <c r="SAD178" s="357"/>
      <c r="SAE178" s="357"/>
      <c r="SAF178" s="356"/>
      <c r="SAG178" s="357"/>
      <c r="SAH178" s="357"/>
      <c r="SAI178" s="357"/>
      <c r="SAJ178" s="357"/>
      <c r="SAK178" s="357"/>
      <c r="SAL178" s="356"/>
      <c r="SAM178" s="357"/>
      <c r="SAN178" s="357"/>
      <c r="SAO178" s="357"/>
      <c r="SAP178" s="357"/>
      <c r="SAQ178" s="357"/>
      <c r="SAR178" s="356"/>
      <c r="SAS178" s="357"/>
      <c r="SAT178" s="357"/>
      <c r="SAU178" s="357"/>
      <c r="SAV178" s="357"/>
      <c r="SAW178" s="357"/>
      <c r="SAX178" s="356"/>
      <c r="SAY178" s="357"/>
      <c r="SAZ178" s="357"/>
      <c r="SBA178" s="357"/>
      <c r="SBB178" s="357"/>
      <c r="SBC178" s="357"/>
      <c r="SBD178" s="356"/>
      <c r="SBE178" s="357"/>
      <c r="SBF178" s="357"/>
      <c r="SBG178" s="357"/>
      <c r="SBH178" s="357"/>
      <c r="SBI178" s="357"/>
      <c r="SBJ178" s="356"/>
      <c r="SBK178" s="357"/>
      <c r="SBL178" s="357"/>
      <c r="SBM178" s="357"/>
      <c r="SBN178" s="357"/>
      <c r="SBO178" s="357"/>
      <c r="SBP178" s="356"/>
      <c r="SBQ178" s="357"/>
      <c r="SBR178" s="357"/>
      <c r="SBS178" s="357"/>
      <c r="SBT178" s="357"/>
      <c r="SBU178" s="357"/>
      <c r="SBV178" s="356"/>
      <c r="SBW178" s="357"/>
      <c r="SBX178" s="357"/>
      <c r="SBY178" s="357"/>
      <c r="SBZ178" s="357"/>
      <c r="SCA178" s="357"/>
      <c r="SCB178" s="356"/>
      <c r="SCC178" s="357"/>
      <c r="SCD178" s="357"/>
      <c r="SCE178" s="357"/>
      <c r="SCF178" s="357"/>
      <c r="SCG178" s="357"/>
      <c r="SCH178" s="356"/>
      <c r="SCI178" s="357"/>
      <c r="SCJ178" s="357"/>
      <c r="SCK178" s="357"/>
      <c r="SCL178" s="357"/>
      <c r="SCM178" s="357"/>
      <c r="SCN178" s="356"/>
      <c r="SCO178" s="357"/>
      <c r="SCP178" s="357"/>
      <c r="SCQ178" s="357"/>
      <c r="SCR178" s="357"/>
      <c r="SCS178" s="357"/>
      <c r="SCT178" s="356"/>
      <c r="SCU178" s="357"/>
      <c r="SCV178" s="357"/>
      <c r="SCW178" s="357"/>
      <c r="SCX178" s="357"/>
      <c r="SCY178" s="357"/>
      <c r="SCZ178" s="356"/>
      <c r="SDA178" s="357"/>
      <c r="SDB178" s="357"/>
      <c r="SDC178" s="357"/>
      <c r="SDD178" s="357"/>
      <c r="SDE178" s="357"/>
      <c r="SDF178" s="356"/>
      <c r="SDG178" s="357"/>
      <c r="SDH178" s="357"/>
      <c r="SDI178" s="357"/>
      <c r="SDJ178" s="357"/>
      <c r="SDK178" s="357"/>
      <c r="SDL178" s="356"/>
      <c r="SDM178" s="357"/>
      <c r="SDN178" s="357"/>
      <c r="SDO178" s="357"/>
      <c r="SDP178" s="357"/>
      <c r="SDQ178" s="357"/>
      <c r="SDR178" s="356"/>
      <c r="SDS178" s="357"/>
      <c r="SDT178" s="357"/>
      <c r="SDU178" s="357"/>
      <c r="SDV178" s="357"/>
      <c r="SDW178" s="357"/>
      <c r="SDX178" s="356"/>
      <c r="SDY178" s="357"/>
      <c r="SDZ178" s="357"/>
      <c r="SEA178" s="357"/>
      <c r="SEB178" s="357"/>
      <c r="SEC178" s="357"/>
      <c r="SED178" s="356"/>
      <c r="SEE178" s="357"/>
      <c r="SEF178" s="357"/>
      <c r="SEG178" s="357"/>
      <c r="SEH178" s="357"/>
      <c r="SEI178" s="357"/>
      <c r="SEJ178" s="356"/>
      <c r="SEK178" s="357"/>
      <c r="SEL178" s="357"/>
      <c r="SEM178" s="357"/>
      <c r="SEN178" s="357"/>
      <c r="SEO178" s="357"/>
      <c r="SEP178" s="356"/>
      <c r="SEQ178" s="357"/>
      <c r="SER178" s="357"/>
      <c r="SES178" s="357"/>
      <c r="SET178" s="357"/>
      <c r="SEU178" s="357"/>
      <c r="SEV178" s="356"/>
      <c r="SEW178" s="357"/>
      <c r="SEX178" s="357"/>
      <c r="SEY178" s="357"/>
      <c r="SEZ178" s="357"/>
      <c r="SFA178" s="357"/>
      <c r="SFB178" s="356"/>
      <c r="SFC178" s="357"/>
      <c r="SFD178" s="357"/>
      <c r="SFE178" s="357"/>
      <c r="SFF178" s="357"/>
      <c r="SFG178" s="357"/>
      <c r="SFH178" s="356"/>
      <c r="SFI178" s="357"/>
      <c r="SFJ178" s="357"/>
      <c r="SFK178" s="357"/>
      <c r="SFL178" s="357"/>
      <c r="SFM178" s="357"/>
      <c r="SFN178" s="356"/>
      <c r="SFO178" s="357"/>
      <c r="SFP178" s="357"/>
      <c r="SFQ178" s="357"/>
      <c r="SFR178" s="357"/>
      <c r="SFS178" s="357"/>
      <c r="SFT178" s="356"/>
      <c r="SFU178" s="357"/>
      <c r="SFV178" s="357"/>
      <c r="SFW178" s="357"/>
      <c r="SFX178" s="357"/>
      <c r="SFY178" s="357"/>
      <c r="SFZ178" s="356"/>
      <c r="SGA178" s="357"/>
      <c r="SGB178" s="357"/>
      <c r="SGC178" s="357"/>
      <c r="SGD178" s="357"/>
      <c r="SGE178" s="357"/>
      <c r="SGF178" s="356"/>
      <c r="SGG178" s="357"/>
      <c r="SGH178" s="357"/>
      <c r="SGI178" s="357"/>
      <c r="SGJ178" s="357"/>
      <c r="SGK178" s="357"/>
      <c r="SGL178" s="356"/>
      <c r="SGM178" s="357"/>
      <c r="SGN178" s="357"/>
      <c r="SGO178" s="357"/>
      <c r="SGP178" s="357"/>
      <c r="SGQ178" s="357"/>
      <c r="SGR178" s="356"/>
      <c r="SGS178" s="357"/>
      <c r="SGT178" s="357"/>
      <c r="SGU178" s="357"/>
      <c r="SGV178" s="357"/>
      <c r="SGW178" s="357"/>
      <c r="SGX178" s="356"/>
      <c r="SGY178" s="357"/>
      <c r="SGZ178" s="357"/>
      <c r="SHA178" s="357"/>
      <c r="SHB178" s="357"/>
      <c r="SHC178" s="357"/>
      <c r="SHD178" s="356"/>
      <c r="SHE178" s="357"/>
      <c r="SHF178" s="357"/>
      <c r="SHG178" s="357"/>
      <c r="SHH178" s="357"/>
      <c r="SHI178" s="357"/>
      <c r="SHJ178" s="356"/>
      <c r="SHK178" s="357"/>
      <c r="SHL178" s="357"/>
      <c r="SHM178" s="357"/>
      <c r="SHN178" s="357"/>
      <c r="SHO178" s="357"/>
      <c r="SHP178" s="356"/>
      <c r="SHQ178" s="357"/>
      <c r="SHR178" s="357"/>
      <c r="SHS178" s="357"/>
      <c r="SHT178" s="357"/>
      <c r="SHU178" s="357"/>
      <c r="SHV178" s="356"/>
      <c r="SHW178" s="357"/>
      <c r="SHX178" s="357"/>
      <c r="SHY178" s="357"/>
      <c r="SHZ178" s="357"/>
      <c r="SIA178" s="357"/>
      <c r="SIB178" s="356"/>
      <c r="SIC178" s="357"/>
      <c r="SID178" s="357"/>
      <c r="SIE178" s="357"/>
      <c r="SIF178" s="357"/>
      <c r="SIG178" s="357"/>
      <c r="SIH178" s="356"/>
      <c r="SII178" s="357"/>
      <c r="SIJ178" s="357"/>
      <c r="SIK178" s="357"/>
      <c r="SIL178" s="357"/>
      <c r="SIM178" s="357"/>
      <c r="SIN178" s="356"/>
      <c r="SIO178" s="357"/>
      <c r="SIP178" s="357"/>
      <c r="SIQ178" s="357"/>
      <c r="SIR178" s="357"/>
      <c r="SIS178" s="357"/>
      <c r="SIT178" s="356"/>
      <c r="SIU178" s="357"/>
      <c r="SIV178" s="357"/>
      <c r="SIW178" s="357"/>
      <c r="SIX178" s="357"/>
      <c r="SIY178" s="357"/>
      <c r="SIZ178" s="356"/>
      <c r="SJA178" s="357"/>
      <c r="SJB178" s="357"/>
      <c r="SJC178" s="357"/>
      <c r="SJD178" s="357"/>
      <c r="SJE178" s="357"/>
      <c r="SJF178" s="356"/>
      <c r="SJG178" s="357"/>
      <c r="SJH178" s="357"/>
      <c r="SJI178" s="357"/>
      <c r="SJJ178" s="357"/>
      <c r="SJK178" s="357"/>
      <c r="SJL178" s="356"/>
      <c r="SJM178" s="357"/>
      <c r="SJN178" s="357"/>
      <c r="SJO178" s="357"/>
      <c r="SJP178" s="357"/>
      <c r="SJQ178" s="357"/>
      <c r="SJR178" s="356"/>
      <c r="SJS178" s="357"/>
      <c r="SJT178" s="357"/>
      <c r="SJU178" s="357"/>
      <c r="SJV178" s="357"/>
      <c r="SJW178" s="357"/>
      <c r="SJX178" s="356"/>
      <c r="SJY178" s="357"/>
      <c r="SJZ178" s="357"/>
      <c r="SKA178" s="357"/>
      <c r="SKB178" s="357"/>
      <c r="SKC178" s="357"/>
      <c r="SKD178" s="356"/>
      <c r="SKE178" s="357"/>
      <c r="SKF178" s="357"/>
      <c r="SKG178" s="357"/>
      <c r="SKH178" s="357"/>
      <c r="SKI178" s="357"/>
      <c r="SKJ178" s="356"/>
      <c r="SKK178" s="357"/>
      <c r="SKL178" s="357"/>
      <c r="SKM178" s="357"/>
      <c r="SKN178" s="357"/>
      <c r="SKO178" s="357"/>
      <c r="SKP178" s="356"/>
      <c r="SKQ178" s="357"/>
      <c r="SKR178" s="357"/>
      <c r="SKS178" s="357"/>
      <c r="SKT178" s="357"/>
      <c r="SKU178" s="357"/>
      <c r="SKV178" s="356"/>
      <c r="SKW178" s="357"/>
      <c r="SKX178" s="357"/>
      <c r="SKY178" s="357"/>
      <c r="SKZ178" s="357"/>
      <c r="SLA178" s="357"/>
      <c r="SLB178" s="356"/>
      <c r="SLC178" s="357"/>
      <c r="SLD178" s="357"/>
      <c r="SLE178" s="357"/>
      <c r="SLF178" s="357"/>
      <c r="SLG178" s="357"/>
      <c r="SLH178" s="356"/>
      <c r="SLI178" s="357"/>
      <c r="SLJ178" s="357"/>
      <c r="SLK178" s="357"/>
      <c r="SLL178" s="357"/>
      <c r="SLM178" s="357"/>
      <c r="SLN178" s="356"/>
      <c r="SLO178" s="357"/>
      <c r="SLP178" s="357"/>
      <c r="SLQ178" s="357"/>
      <c r="SLR178" s="357"/>
      <c r="SLS178" s="357"/>
      <c r="SLT178" s="356"/>
      <c r="SLU178" s="357"/>
      <c r="SLV178" s="357"/>
      <c r="SLW178" s="357"/>
      <c r="SLX178" s="357"/>
      <c r="SLY178" s="357"/>
      <c r="SLZ178" s="356"/>
      <c r="SMA178" s="357"/>
      <c r="SMB178" s="357"/>
      <c r="SMC178" s="357"/>
      <c r="SMD178" s="357"/>
      <c r="SME178" s="357"/>
      <c r="SMF178" s="356"/>
      <c r="SMG178" s="357"/>
      <c r="SMH178" s="357"/>
      <c r="SMI178" s="357"/>
      <c r="SMJ178" s="357"/>
      <c r="SMK178" s="357"/>
      <c r="SML178" s="356"/>
      <c r="SMM178" s="357"/>
      <c r="SMN178" s="357"/>
      <c r="SMO178" s="357"/>
      <c r="SMP178" s="357"/>
      <c r="SMQ178" s="357"/>
      <c r="SMR178" s="356"/>
      <c r="SMS178" s="357"/>
      <c r="SMT178" s="357"/>
      <c r="SMU178" s="357"/>
      <c r="SMV178" s="357"/>
      <c r="SMW178" s="357"/>
      <c r="SMX178" s="356"/>
      <c r="SMY178" s="357"/>
      <c r="SMZ178" s="357"/>
      <c r="SNA178" s="357"/>
      <c r="SNB178" s="357"/>
      <c r="SNC178" s="357"/>
      <c r="SND178" s="356"/>
      <c r="SNE178" s="357"/>
      <c r="SNF178" s="357"/>
      <c r="SNG178" s="357"/>
      <c r="SNH178" s="357"/>
      <c r="SNI178" s="357"/>
      <c r="SNJ178" s="356"/>
      <c r="SNK178" s="357"/>
      <c r="SNL178" s="357"/>
      <c r="SNM178" s="357"/>
      <c r="SNN178" s="357"/>
      <c r="SNO178" s="357"/>
      <c r="SNP178" s="356"/>
      <c r="SNQ178" s="357"/>
      <c r="SNR178" s="357"/>
      <c r="SNS178" s="357"/>
      <c r="SNT178" s="357"/>
      <c r="SNU178" s="357"/>
      <c r="SNV178" s="356"/>
      <c r="SNW178" s="357"/>
      <c r="SNX178" s="357"/>
      <c r="SNY178" s="357"/>
      <c r="SNZ178" s="357"/>
      <c r="SOA178" s="357"/>
      <c r="SOB178" s="356"/>
      <c r="SOC178" s="357"/>
      <c r="SOD178" s="357"/>
      <c r="SOE178" s="357"/>
      <c r="SOF178" s="357"/>
      <c r="SOG178" s="357"/>
      <c r="SOH178" s="356"/>
      <c r="SOI178" s="357"/>
      <c r="SOJ178" s="357"/>
      <c r="SOK178" s="357"/>
      <c r="SOL178" s="357"/>
      <c r="SOM178" s="357"/>
      <c r="SON178" s="356"/>
      <c r="SOO178" s="357"/>
      <c r="SOP178" s="357"/>
      <c r="SOQ178" s="357"/>
      <c r="SOR178" s="357"/>
      <c r="SOS178" s="357"/>
      <c r="SOT178" s="356"/>
      <c r="SOU178" s="357"/>
      <c r="SOV178" s="357"/>
      <c r="SOW178" s="357"/>
      <c r="SOX178" s="357"/>
      <c r="SOY178" s="357"/>
      <c r="SOZ178" s="356"/>
      <c r="SPA178" s="357"/>
      <c r="SPB178" s="357"/>
      <c r="SPC178" s="357"/>
      <c r="SPD178" s="357"/>
      <c r="SPE178" s="357"/>
      <c r="SPF178" s="356"/>
      <c r="SPG178" s="357"/>
      <c r="SPH178" s="357"/>
      <c r="SPI178" s="357"/>
      <c r="SPJ178" s="357"/>
      <c r="SPK178" s="357"/>
      <c r="SPL178" s="356"/>
      <c r="SPM178" s="357"/>
      <c r="SPN178" s="357"/>
      <c r="SPO178" s="357"/>
      <c r="SPP178" s="357"/>
      <c r="SPQ178" s="357"/>
      <c r="SPR178" s="356"/>
      <c r="SPS178" s="357"/>
      <c r="SPT178" s="357"/>
      <c r="SPU178" s="357"/>
      <c r="SPV178" s="357"/>
      <c r="SPW178" s="357"/>
      <c r="SPX178" s="356"/>
      <c r="SPY178" s="357"/>
      <c r="SPZ178" s="357"/>
      <c r="SQA178" s="357"/>
      <c r="SQB178" s="357"/>
      <c r="SQC178" s="357"/>
      <c r="SQD178" s="356"/>
      <c r="SQE178" s="357"/>
      <c r="SQF178" s="357"/>
      <c r="SQG178" s="357"/>
      <c r="SQH178" s="357"/>
      <c r="SQI178" s="357"/>
      <c r="SQJ178" s="356"/>
      <c r="SQK178" s="357"/>
      <c r="SQL178" s="357"/>
      <c r="SQM178" s="357"/>
      <c r="SQN178" s="357"/>
      <c r="SQO178" s="357"/>
      <c r="SQP178" s="356"/>
      <c r="SQQ178" s="357"/>
      <c r="SQR178" s="357"/>
      <c r="SQS178" s="357"/>
      <c r="SQT178" s="357"/>
      <c r="SQU178" s="357"/>
      <c r="SQV178" s="356"/>
      <c r="SQW178" s="357"/>
      <c r="SQX178" s="357"/>
      <c r="SQY178" s="357"/>
      <c r="SQZ178" s="357"/>
      <c r="SRA178" s="357"/>
      <c r="SRB178" s="356"/>
      <c r="SRC178" s="357"/>
      <c r="SRD178" s="357"/>
      <c r="SRE178" s="357"/>
      <c r="SRF178" s="357"/>
      <c r="SRG178" s="357"/>
      <c r="SRH178" s="356"/>
      <c r="SRI178" s="357"/>
      <c r="SRJ178" s="357"/>
      <c r="SRK178" s="357"/>
      <c r="SRL178" s="357"/>
      <c r="SRM178" s="357"/>
      <c r="SRN178" s="356"/>
      <c r="SRO178" s="357"/>
      <c r="SRP178" s="357"/>
      <c r="SRQ178" s="357"/>
      <c r="SRR178" s="357"/>
      <c r="SRS178" s="357"/>
      <c r="SRT178" s="356"/>
      <c r="SRU178" s="357"/>
      <c r="SRV178" s="357"/>
      <c r="SRW178" s="357"/>
      <c r="SRX178" s="357"/>
      <c r="SRY178" s="357"/>
      <c r="SRZ178" s="356"/>
      <c r="SSA178" s="357"/>
      <c r="SSB178" s="357"/>
      <c r="SSC178" s="357"/>
      <c r="SSD178" s="357"/>
      <c r="SSE178" s="357"/>
      <c r="SSF178" s="356"/>
      <c r="SSG178" s="357"/>
      <c r="SSH178" s="357"/>
      <c r="SSI178" s="357"/>
      <c r="SSJ178" s="357"/>
      <c r="SSK178" s="357"/>
      <c r="SSL178" s="356"/>
      <c r="SSM178" s="357"/>
      <c r="SSN178" s="357"/>
      <c r="SSO178" s="357"/>
      <c r="SSP178" s="357"/>
      <c r="SSQ178" s="357"/>
      <c r="SSR178" s="356"/>
      <c r="SSS178" s="357"/>
      <c r="SST178" s="357"/>
      <c r="SSU178" s="357"/>
      <c r="SSV178" s="357"/>
      <c r="SSW178" s="357"/>
      <c r="SSX178" s="356"/>
      <c r="SSY178" s="357"/>
      <c r="SSZ178" s="357"/>
      <c r="STA178" s="357"/>
      <c r="STB178" s="357"/>
      <c r="STC178" s="357"/>
      <c r="STD178" s="356"/>
      <c r="STE178" s="357"/>
      <c r="STF178" s="357"/>
      <c r="STG178" s="357"/>
      <c r="STH178" s="357"/>
      <c r="STI178" s="357"/>
      <c r="STJ178" s="356"/>
      <c r="STK178" s="357"/>
      <c r="STL178" s="357"/>
      <c r="STM178" s="357"/>
      <c r="STN178" s="357"/>
      <c r="STO178" s="357"/>
      <c r="STP178" s="356"/>
      <c r="STQ178" s="357"/>
      <c r="STR178" s="357"/>
      <c r="STS178" s="357"/>
      <c r="STT178" s="357"/>
      <c r="STU178" s="357"/>
      <c r="STV178" s="356"/>
      <c r="STW178" s="357"/>
      <c r="STX178" s="357"/>
      <c r="STY178" s="357"/>
      <c r="STZ178" s="357"/>
      <c r="SUA178" s="357"/>
      <c r="SUB178" s="356"/>
      <c r="SUC178" s="357"/>
      <c r="SUD178" s="357"/>
      <c r="SUE178" s="357"/>
      <c r="SUF178" s="357"/>
      <c r="SUG178" s="357"/>
      <c r="SUH178" s="356"/>
      <c r="SUI178" s="357"/>
      <c r="SUJ178" s="357"/>
      <c r="SUK178" s="357"/>
      <c r="SUL178" s="357"/>
      <c r="SUM178" s="357"/>
      <c r="SUN178" s="356"/>
      <c r="SUO178" s="357"/>
      <c r="SUP178" s="357"/>
      <c r="SUQ178" s="357"/>
      <c r="SUR178" s="357"/>
      <c r="SUS178" s="357"/>
      <c r="SUT178" s="356"/>
      <c r="SUU178" s="357"/>
      <c r="SUV178" s="357"/>
      <c r="SUW178" s="357"/>
      <c r="SUX178" s="357"/>
      <c r="SUY178" s="357"/>
      <c r="SUZ178" s="356"/>
      <c r="SVA178" s="357"/>
      <c r="SVB178" s="357"/>
      <c r="SVC178" s="357"/>
      <c r="SVD178" s="357"/>
      <c r="SVE178" s="357"/>
      <c r="SVF178" s="356"/>
      <c r="SVG178" s="357"/>
      <c r="SVH178" s="357"/>
      <c r="SVI178" s="357"/>
      <c r="SVJ178" s="357"/>
      <c r="SVK178" s="357"/>
      <c r="SVL178" s="356"/>
      <c r="SVM178" s="357"/>
      <c r="SVN178" s="357"/>
      <c r="SVO178" s="357"/>
      <c r="SVP178" s="357"/>
      <c r="SVQ178" s="357"/>
      <c r="SVR178" s="356"/>
      <c r="SVS178" s="357"/>
      <c r="SVT178" s="357"/>
      <c r="SVU178" s="357"/>
      <c r="SVV178" s="357"/>
      <c r="SVW178" s="357"/>
      <c r="SVX178" s="356"/>
      <c r="SVY178" s="357"/>
      <c r="SVZ178" s="357"/>
      <c r="SWA178" s="357"/>
      <c r="SWB178" s="357"/>
      <c r="SWC178" s="357"/>
      <c r="SWD178" s="356"/>
      <c r="SWE178" s="357"/>
      <c r="SWF178" s="357"/>
      <c r="SWG178" s="357"/>
      <c r="SWH178" s="357"/>
      <c r="SWI178" s="357"/>
      <c r="SWJ178" s="356"/>
      <c r="SWK178" s="357"/>
      <c r="SWL178" s="357"/>
      <c r="SWM178" s="357"/>
      <c r="SWN178" s="357"/>
      <c r="SWO178" s="357"/>
      <c r="SWP178" s="356"/>
      <c r="SWQ178" s="357"/>
      <c r="SWR178" s="357"/>
      <c r="SWS178" s="357"/>
      <c r="SWT178" s="357"/>
      <c r="SWU178" s="357"/>
      <c r="SWV178" s="356"/>
      <c r="SWW178" s="357"/>
      <c r="SWX178" s="357"/>
      <c r="SWY178" s="357"/>
      <c r="SWZ178" s="357"/>
      <c r="SXA178" s="357"/>
      <c r="SXB178" s="356"/>
      <c r="SXC178" s="357"/>
      <c r="SXD178" s="357"/>
      <c r="SXE178" s="357"/>
      <c r="SXF178" s="357"/>
      <c r="SXG178" s="357"/>
      <c r="SXH178" s="356"/>
      <c r="SXI178" s="357"/>
      <c r="SXJ178" s="357"/>
      <c r="SXK178" s="357"/>
      <c r="SXL178" s="357"/>
      <c r="SXM178" s="357"/>
      <c r="SXN178" s="356"/>
      <c r="SXO178" s="357"/>
      <c r="SXP178" s="357"/>
      <c r="SXQ178" s="357"/>
      <c r="SXR178" s="357"/>
      <c r="SXS178" s="357"/>
      <c r="SXT178" s="356"/>
      <c r="SXU178" s="357"/>
      <c r="SXV178" s="357"/>
      <c r="SXW178" s="357"/>
      <c r="SXX178" s="357"/>
      <c r="SXY178" s="357"/>
      <c r="SXZ178" s="356"/>
      <c r="SYA178" s="357"/>
      <c r="SYB178" s="357"/>
      <c r="SYC178" s="357"/>
      <c r="SYD178" s="357"/>
      <c r="SYE178" s="357"/>
      <c r="SYF178" s="356"/>
      <c r="SYG178" s="357"/>
      <c r="SYH178" s="357"/>
      <c r="SYI178" s="357"/>
      <c r="SYJ178" s="357"/>
      <c r="SYK178" s="357"/>
      <c r="SYL178" s="356"/>
      <c r="SYM178" s="357"/>
      <c r="SYN178" s="357"/>
      <c r="SYO178" s="357"/>
      <c r="SYP178" s="357"/>
      <c r="SYQ178" s="357"/>
      <c r="SYR178" s="356"/>
      <c r="SYS178" s="357"/>
      <c r="SYT178" s="357"/>
      <c r="SYU178" s="357"/>
      <c r="SYV178" s="357"/>
      <c r="SYW178" s="357"/>
      <c r="SYX178" s="356"/>
      <c r="SYY178" s="357"/>
      <c r="SYZ178" s="357"/>
      <c r="SZA178" s="357"/>
      <c r="SZB178" s="357"/>
      <c r="SZC178" s="357"/>
      <c r="SZD178" s="356"/>
      <c r="SZE178" s="357"/>
      <c r="SZF178" s="357"/>
      <c r="SZG178" s="357"/>
      <c r="SZH178" s="357"/>
      <c r="SZI178" s="357"/>
      <c r="SZJ178" s="356"/>
      <c r="SZK178" s="357"/>
      <c r="SZL178" s="357"/>
      <c r="SZM178" s="357"/>
      <c r="SZN178" s="357"/>
      <c r="SZO178" s="357"/>
      <c r="SZP178" s="356"/>
      <c r="SZQ178" s="357"/>
      <c r="SZR178" s="357"/>
      <c r="SZS178" s="357"/>
      <c r="SZT178" s="357"/>
      <c r="SZU178" s="357"/>
      <c r="SZV178" s="356"/>
      <c r="SZW178" s="357"/>
      <c r="SZX178" s="357"/>
      <c r="SZY178" s="357"/>
      <c r="SZZ178" s="357"/>
      <c r="TAA178" s="357"/>
      <c r="TAB178" s="356"/>
      <c r="TAC178" s="357"/>
      <c r="TAD178" s="357"/>
      <c r="TAE178" s="357"/>
      <c r="TAF178" s="357"/>
      <c r="TAG178" s="357"/>
      <c r="TAH178" s="356"/>
      <c r="TAI178" s="357"/>
      <c r="TAJ178" s="357"/>
      <c r="TAK178" s="357"/>
      <c r="TAL178" s="357"/>
      <c r="TAM178" s="357"/>
      <c r="TAN178" s="356"/>
      <c r="TAO178" s="357"/>
      <c r="TAP178" s="357"/>
      <c r="TAQ178" s="357"/>
      <c r="TAR178" s="357"/>
      <c r="TAS178" s="357"/>
      <c r="TAT178" s="356"/>
      <c r="TAU178" s="357"/>
      <c r="TAV178" s="357"/>
      <c r="TAW178" s="357"/>
      <c r="TAX178" s="357"/>
      <c r="TAY178" s="357"/>
      <c r="TAZ178" s="356"/>
      <c r="TBA178" s="357"/>
      <c r="TBB178" s="357"/>
      <c r="TBC178" s="357"/>
      <c r="TBD178" s="357"/>
      <c r="TBE178" s="357"/>
      <c r="TBF178" s="356"/>
      <c r="TBG178" s="357"/>
      <c r="TBH178" s="357"/>
      <c r="TBI178" s="357"/>
      <c r="TBJ178" s="357"/>
      <c r="TBK178" s="357"/>
      <c r="TBL178" s="356"/>
      <c r="TBM178" s="357"/>
      <c r="TBN178" s="357"/>
      <c r="TBO178" s="357"/>
      <c r="TBP178" s="357"/>
      <c r="TBQ178" s="357"/>
      <c r="TBR178" s="356"/>
      <c r="TBS178" s="357"/>
      <c r="TBT178" s="357"/>
      <c r="TBU178" s="357"/>
      <c r="TBV178" s="357"/>
      <c r="TBW178" s="357"/>
      <c r="TBX178" s="356"/>
      <c r="TBY178" s="357"/>
      <c r="TBZ178" s="357"/>
      <c r="TCA178" s="357"/>
      <c r="TCB178" s="357"/>
      <c r="TCC178" s="357"/>
      <c r="TCD178" s="356"/>
      <c r="TCE178" s="357"/>
      <c r="TCF178" s="357"/>
      <c r="TCG178" s="357"/>
      <c r="TCH178" s="357"/>
      <c r="TCI178" s="357"/>
      <c r="TCJ178" s="356"/>
      <c r="TCK178" s="357"/>
      <c r="TCL178" s="357"/>
      <c r="TCM178" s="357"/>
      <c r="TCN178" s="357"/>
      <c r="TCO178" s="357"/>
      <c r="TCP178" s="356"/>
      <c r="TCQ178" s="357"/>
      <c r="TCR178" s="357"/>
      <c r="TCS178" s="357"/>
      <c r="TCT178" s="357"/>
      <c r="TCU178" s="357"/>
      <c r="TCV178" s="356"/>
      <c r="TCW178" s="357"/>
      <c r="TCX178" s="357"/>
      <c r="TCY178" s="357"/>
      <c r="TCZ178" s="357"/>
      <c r="TDA178" s="357"/>
      <c r="TDB178" s="356"/>
      <c r="TDC178" s="357"/>
      <c r="TDD178" s="357"/>
      <c r="TDE178" s="357"/>
      <c r="TDF178" s="357"/>
      <c r="TDG178" s="357"/>
      <c r="TDH178" s="356"/>
      <c r="TDI178" s="357"/>
      <c r="TDJ178" s="357"/>
      <c r="TDK178" s="357"/>
      <c r="TDL178" s="357"/>
      <c r="TDM178" s="357"/>
      <c r="TDN178" s="356"/>
      <c r="TDO178" s="357"/>
      <c r="TDP178" s="357"/>
      <c r="TDQ178" s="357"/>
      <c r="TDR178" s="357"/>
      <c r="TDS178" s="357"/>
      <c r="TDT178" s="356"/>
      <c r="TDU178" s="357"/>
      <c r="TDV178" s="357"/>
      <c r="TDW178" s="357"/>
      <c r="TDX178" s="357"/>
      <c r="TDY178" s="357"/>
      <c r="TDZ178" s="356"/>
      <c r="TEA178" s="357"/>
      <c r="TEB178" s="357"/>
      <c r="TEC178" s="357"/>
      <c r="TED178" s="357"/>
      <c r="TEE178" s="357"/>
      <c r="TEF178" s="356"/>
      <c r="TEG178" s="357"/>
      <c r="TEH178" s="357"/>
      <c r="TEI178" s="357"/>
      <c r="TEJ178" s="357"/>
      <c r="TEK178" s="357"/>
      <c r="TEL178" s="356"/>
      <c r="TEM178" s="357"/>
      <c r="TEN178" s="357"/>
      <c r="TEO178" s="357"/>
      <c r="TEP178" s="357"/>
      <c r="TEQ178" s="357"/>
      <c r="TER178" s="356"/>
      <c r="TES178" s="357"/>
      <c r="TET178" s="357"/>
      <c r="TEU178" s="357"/>
      <c r="TEV178" s="357"/>
      <c r="TEW178" s="357"/>
      <c r="TEX178" s="356"/>
      <c r="TEY178" s="357"/>
      <c r="TEZ178" s="357"/>
      <c r="TFA178" s="357"/>
      <c r="TFB178" s="357"/>
      <c r="TFC178" s="357"/>
      <c r="TFD178" s="356"/>
      <c r="TFE178" s="357"/>
      <c r="TFF178" s="357"/>
      <c r="TFG178" s="357"/>
      <c r="TFH178" s="357"/>
      <c r="TFI178" s="357"/>
      <c r="TFJ178" s="356"/>
      <c r="TFK178" s="357"/>
      <c r="TFL178" s="357"/>
      <c r="TFM178" s="357"/>
      <c r="TFN178" s="357"/>
      <c r="TFO178" s="357"/>
      <c r="TFP178" s="356"/>
      <c r="TFQ178" s="357"/>
      <c r="TFR178" s="357"/>
      <c r="TFS178" s="357"/>
      <c r="TFT178" s="357"/>
      <c r="TFU178" s="357"/>
      <c r="TFV178" s="356"/>
      <c r="TFW178" s="357"/>
      <c r="TFX178" s="357"/>
      <c r="TFY178" s="357"/>
      <c r="TFZ178" s="357"/>
      <c r="TGA178" s="357"/>
      <c r="TGB178" s="356"/>
      <c r="TGC178" s="357"/>
      <c r="TGD178" s="357"/>
      <c r="TGE178" s="357"/>
      <c r="TGF178" s="357"/>
      <c r="TGG178" s="357"/>
      <c r="TGH178" s="356"/>
      <c r="TGI178" s="357"/>
      <c r="TGJ178" s="357"/>
      <c r="TGK178" s="357"/>
      <c r="TGL178" s="357"/>
      <c r="TGM178" s="357"/>
      <c r="TGN178" s="356"/>
      <c r="TGO178" s="357"/>
      <c r="TGP178" s="357"/>
      <c r="TGQ178" s="357"/>
      <c r="TGR178" s="357"/>
      <c r="TGS178" s="357"/>
      <c r="TGT178" s="356"/>
      <c r="TGU178" s="357"/>
      <c r="TGV178" s="357"/>
      <c r="TGW178" s="357"/>
      <c r="TGX178" s="357"/>
      <c r="TGY178" s="357"/>
      <c r="TGZ178" s="356"/>
      <c r="THA178" s="357"/>
      <c r="THB178" s="357"/>
      <c r="THC178" s="357"/>
      <c r="THD178" s="357"/>
      <c r="THE178" s="357"/>
      <c r="THF178" s="356"/>
      <c r="THG178" s="357"/>
      <c r="THH178" s="357"/>
      <c r="THI178" s="357"/>
      <c r="THJ178" s="357"/>
      <c r="THK178" s="357"/>
      <c r="THL178" s="356"/>
      <c r="THM178" s="357"/>
      <c r="THN178" s="357"/>
      <c r="THO178" s="357"/>
      <c r="THP178" s="357"/>
      <c r="THQ178" s="357"/>
      <c r="THR178" s="356"/>
      <c r="THS178" s="357"/>
      <c r="THT178" s="357"/>
      <c r="THU178" s="357"/>
      <c r="THV178" s="357"/>
      <c r="THW178" s="357"/>
      <c r="THX178" s="356"/>
      <c r="THY178" s="357"/>
      <c r="THZ178" s="357"/>
      <c r="TIA178" s="357"/>
      <c r="TIB178" s="357"/>
      <c r="TIC178" s="357"/>
      <c r="TID178" s="356"/>
      <c r="TIE178" s="357"/>
      <c r="TIF178" s="357"/>
      <c r="TIG178" s="357"/>
      <c r="TIH178" s="357"/>
      <c r="TII178" s="357"/>
      <c r="TIJ178" s="356"/>
      <c r="TIK178" s="357"/>
      <c r="TIL178" s="357"/>
      <c r="TIM178" s="357"/>
      <c r="TIN178" s="357"/>
      <c r="TIO178" s="357"/>
      <c r="TIP178" s="356"/>
      <c r="TIQ178" s="357"/>
      <c r="TIR178" s="357"/>
      <c r="TIS178" s="357"/>
      <c r="TIT178" s="357"/>
      <c r="TIU178" s="357"/>
      <c r="TIV178" s="356"/>
      <c r="TIW178" s="357"/>
      <c r="TIX178" s="357"/>
      <c r="TIY178" s="357"/>
      <c r="TIZ178" s="357"/>
      <c r="TJA178" s="357"/>
      <c r="TJB178" s="356"/>
      <c r="TJC178" s="357"/>
      <c r="TJD178" s="357"/>
      <c r="TJE178" s="357"/>
      <c r="TJF178" s="357"/>
      <c r="TJG178" s="357"/>
      <c r="TJH178" s="356"/>
      <c r="TJI178" s="357"/>
      <c r="TJJ178" s="357"/>
      <c r="TJK178" s="357"/>
      <c r="TJL178" s="357"/>
      <c r="TJM178" s="357"/>
      <c r="TJN178" s="356"/>
      <c r="TJO178" s="357"/>
      <c r="TJP178" s="357"/>
      <c r="TJQ178" s="357"/>
      <c r="TJR178" s="357"/>
      <c r="TJS178" s="357"/>
      <c r="TJT178" s="356"/>
      <c r="TJU178" s="357"/>
      <c r="TJV178" s="357"/>
      <c r="TJW178" s="357"/>
      <c r="TJX178" s="357"/>
      <c r="TJY178" s="357"/>
      <c r="TJZ178" s="356"/>
      <c r="TKA178" s="357"/>
      <c r="TKB178" s="357"/>
      <c r="TKC178" s="357"/>
      <c r="TKD178" s="357"/>
      <c r="TKE178" s="357"/>
      <c r="TKF178" s="356"/>
      <c r="TKG178" s="357"/>
      <c r="TKH178" s="357"/>
      <c r="TKI178" s="357"/>
      <c r="TKJ178" s="357"/>
      <c r="TKK178" s="357"/>
      <c r="TKL178" s="356"/>
      <c r="TKM178" s="357"/>
      <c r="TKN178" s="357"/>
      <c r="TKO178" s="357"/>
      <c r="TKP178" s="357"/>
      <c r="TKQ178" s="357"/>
      <c r="TKR178" s="356"/>
      <c r="TKS178" s="357"/>
      <c r="TKT178" s="357"/>
      <c r="TKU178" s="357"/>
      <c r="TKV178" s="357"/>
      <c r="TKW178" s="357"/>
      <c r="TKX178" s="356"/>
      <c r="TKY178" s="357"/>
      <c r="TKZ178" s="357"/>
      <c r="TLA178" s="357"/>
      <c r="TLB178" s="357"/>
      <c r="TLC178" s="357"/>
      <c r="TLD178" s="356"/>
      <c r="TLE178" s="357"/>
      <c r="TLF178" s="357"/>
      <c r="TLG178" s="357"/>
      <c r="TLH178" s="357"/>
      <c r="TLI178" s="357"/>
      <c r="TLJ178" s="356"/>
      <c r="TLK178" s="357"/>
      <c r="TLL178" s="357"/>
      <c r="TLM178" s="357"/>
      <c r="TLN178" s="357"/>
      <c r="TLO178" s="357"/>
      <c r="TLP178" s="356"/>
      <c r="TLQ178" s="357"/>
      <c r="TLR178" s="357"/>
      <c r="TLS178" s="357"/>
      <c r="TLT178" s="357"/>
      <c r="TLU178" s="357"/>
      <c r="TLV178" s="356"/>
      <c r="TLW178" s="357"/>
      <c r="TLX178" s="357"/>
      <c r="TLY178" s="357"/>
      <c r="TLZ178" s="357"/>
      <c r="TMA178" s="357"/>
      <c r="TMB178" s="356"/>
      <c r="TMC178" s="357"/>
      <c r="TMD178" s="357"/>
      <c r="TME178" s="357"/>
      <c r="TMF178" s="357"/>
      <c r="TMG178" s="357"/>
      <c r="TMH178" s="356"/>
      <c r="TMI178" s="357"/>
      <c r="TMJ178" s="357"/>
      <c r="TMK178" s="357"/>
      <c r="TML178" s="357"/>
      <c r="TMM178" s="357"/>
      <c r="TMN178" s="356"/>
      <c r="TMO178" s="357"/>
      <c r="TMP178" s="357"/>
      <c r="TMQ178" s="357"/>
      <c r="TMR178" s="357"/>
      <c r="TMS178" s="357"/>
      <c r="TMT178" s="356"/>
      <c r="TMU178" s="357"/>
      <c r="TMV178" s="357"/>
      <c r="TMW178" s="357"/>
      <c r="TMX178" s="357"/>
      <c r="TMY178" s="357"/>
      <c r="TMZ178" s="356"/>
      <c r="TNA178" s="357"/>
      <c r="TNB178" s="357"/>
      <c r="TNC178" s="357"/>
      <c r="TND178" s="357"/>
      <c r="TNE178" s="357"/>
      <c r="TNF178" s="356"/>
      <c r="TNG178" s="357"/>
      <c r="TNH178" s="357"/>
      <c r="TNI178" s="357"/>
      <c r="TNJ178" s="357"/>
      <c r="TNK178" s="357"/>
      <c r="TNL178" s="356"/>
      <c r="TNM178" s="357"/>
      <c r="TNN178" s="357"/>
      <c r="TNO178" s="357"/>
      <c r="TNP178" s="357"/>
      <c r="TNQ178" s="357"/>
      <c r="TNR178" s="356"/>
      <c r="TNS178" s="357"/>
      <c r="TNT178" s="357"/>
      <c r="TNU178" s="357"/>
      <c r="TNV178" s="357"/>
      <c r="TNW178" s="357"/>
      <c r="TNX178" s="356"/>
      <c r="TNY178" s="357"/>
      <c r="TNZ178" s="357"/>
      <c r="TOA178" s="357"/>
      <c r="TOB178" s="357"/>
      <c r="TOC178" s="357"/>
      <c r="TOD178" s="356"/>
      <c r="TOE178" s="357"/>
      <c r="TOF178" s="357"/>
      <c r="TOG178" s="357"/>
      <c r="TOH178" s="357"/>
      <c r="TOI178" s="357"/>
      <c r="TOJ178" s="356"/>
      <c r="TOK178" s="357"/>
      <c r="TOL178" s="357"/>
      <c r="TOM178" s="357"/>
      <c r="TON178" s="357"/>
      <c r="TOO178" s="357"/>
      <c r="TOP178" s="356"/>
      <c r="TOQ178" s="357"/>
      <c r="TOR178" s="357"/>
      <c r="TOS178" s="357"/>
      <c r="TOT178" s="357"/>
      <c r="TOU178" s="357"/>
      <c r="TOV178" s="356"/>
      <c r="TOW178" s="357"/>
      <c r="TOX178" s="357"/>
      <c r="TOY178" s="357"/>
      <c r="TOZ178" s="357"/>
      <c r="TPA178" s="357"/>
      <c r="TPB178" s="356"/>
      <c r="TPC178" s="357"/>
      <c r="TPD178" s="357"/>
      <c r="TPE178" s="357"/>
      <c r="TPF178" s="357"/>
      <c r="TPG178" s="357"/>
      <c r="TPH178" s="356"/>
      <c r="TPI178" s="357"/>
      <c r="TPJ178" s="357"/>
      <c r="TPK178" s="357"/>
      <c r="TPL178" s="357"/>
      <c r="TPM178" s="357"/>
      <c r="TPN178" s="356"/>
      <c r="TPO178" s="357"/>
      <c r="TPP178" s="357"/>
      <c r="TPQ178" s="357"/>
      <c r="TPR178" s="357"/>
      <c r="TPS178" s="357"/>
      <c r="TPT178" s="356"/>
      <c r="TPU178" s="357"/>
      <c r="TPV178" s="357"/>
      <c r="TPW178" s="357"/>
      <c r="TPX178" s="357"/>
      <c r="TPY178" s="357"/>
      <c r="TPZ178" s="356"/>
      <c r="TQA178" s="357"/>
      <c r="TQB178" s="357"/>
      <c r="TQC178" s="357"/>
      <c r="TQD178" s="357"/>
      <c r="TQE178" s="357"/>
      <c r="TQF178" s="356"/>
      <c r="TQG178" s="357"/>
      <c r="TQH178" s="357"/>
      <c r="TQI178" s="357"/>
      <c r="TQJ178" s="357"/>
      <c r="TQK178" s="357"/>
      <c r="TQL178" s="356"/>
      <c r="TQM178" s="357"/>
      <c r="TQN178" s="357"/>
      <c r="TQO178" s="357"/>
      <c r="TQP178" s="357"/>
      <c r="TQQ178" s="357"/>
      <c r="TQR178" s="356"/>
      <c r="TQS178" s="357"/>
      <c r="TQT178" s="357"/>
      <c r="TQU178" s="357"/>
      <c r="TQV178" s="357"/>
      <c r="TQW178" s="357"/>
      <c r="TQX178" s="356"/>
      <c r="TQY178" s="357"/>
      <c r="TQZ178" s="357"/>
      <c r="TRA178" s="357"/>
      <c r="TRB178" s="357"/>
      <c r="TRC178" s="357"/>
      <c r="TRD178" s="356"/>
      <c r="TRE178" s="357"/>
      <c r="TRF178" s="357"/>
      <c r="TRG178" s="357"/>
      <c r="TRH178" s="357"/>
      <c r="TRI178" s="357"/>
      <c r="TRJ178" s="356"/>
      <c r="TRK178" s="357"/>
      <c r="TRL178" s="357"/>
      <c r="TRM178" s="357"/>
      <c r="TRN178" s="357"/>
      <c r="TRO178" s="357"/>
      <c r="TRP178" s="356"/>
      <c r="TRQ178" s="357"/>
      <c r="TRR178" s="357"/>
      <c r="TRS178" s="357"/>
      <c r="TRT178" s="357"/>
      <c r="TRU178" s="357"/>
      <c r="TRV178" s="356"/>
      <c r="TRW178" s="357"/>
      <c r="TRX178" s="357"/>
      <c r="TRY178" s="357"/>
      <c r="TRZ178" s="357"/>
      <c r="TSA178" s="357"/>
      <c r="TSB178" s="356"/>
      <c r="TSC178" s="357"/>
      <c r="TSD178" s="357"/>
      <c r="TSE178" s="357"/>
      <c r="TSF178" s="357"/>
      <c r="TSG178" s="357"/>
      <c r="TSH178" s="356"/>
      <c r="TSI178" s="357"/>
      <c r="TSJ178" s="357"/>
      <c r="TSK178" s="357"/>
      <c r="TSL178" s="357"/>
      <c r="TSM178" s="357"/>
      <c r="TSN178" s="356"/>
      <c r="TSO178" s="357"/>
      <c r="TSP178" s="357"/>
      <c r="TSQ178" s="357"/>
      <c r="TSR178" s="357"/>
      <c r="TSS178" s="357"/>
      <c r="TST178" s="356"/>
      <c r="TSU178" s="357"/>
      <c r="TSV178" s="357"/>
      <c r="TSW178" s="357"/>
      <c r="TSX178" s="357"/>
      <c r="TSY178" s="357"/>
      <c r="TSZ178" s="356"/>
      <c r="TTA178" s="357"/>
      <c r="TTB178" s="357"/>
      <c r="TTC178" s="357"/>
      <c r="TTD178" s="357"/>
      <c r="TTE178" s="357"/>
      <c r="TTF178" s="356"/>
      <c r="TTG178" s="357"/>
      <c r="TTH178" s="357"/>
      <c r="TTI178" s="357"/>
      <c r="TTJ178" s="357"/>
      <c r="TTK178" s="357"/>
      <c r="TTL178" s="356"/>
      <c r="TTM178" s="357"/>
      <c r="TTN178" s="357"/>
      <c r="TTO178" s="357"/>
      <c r="TTP178" s="357"/>
      <c r="TTQ178" s="357"/>
      <c r="TTR178" s="356"/>
      <c r="TTS178" s="357"/>
      <c r="TTT178" s="357"/>
      <c r="TTU178" s="357"/>
      <c r="TTV178" s="357"/>
      <c r="TTW178" s="357"/>
      <c r="TTX178" s="356"/>
      <c r="TTY178" s="357"/>
      <c r="TTZ178" s="357"/>
      <c r="TUA178" s="357"/>
      <c r="TUB178" s="357"/>
      <c r="TUC178" s="357"/>
      <c r="TUD178" s="356"/>
      <c r="TUE178" s="357"/>
      <c r="TUF178" s="357"/>
      <c r="TUG178" s="357"/>
      <c r="TUH178" s="357"/>
      <c r="TUI178" s="357"/>
      <c r="TUJ178" s="356"/>
      <c r="TUK178" s="357"/>
      <c r="TUL178" s="357"/>
      <c r="TUM178" s="357"/>
      <c r="TUN178" s="357"/>
      <c r="TUO178" s="357"/>
      <c r="TUP178" s="356"/>
      <c r="TUQ178" s="357"/>
      <c r="TUR178" s="357"/>
      <c r="TUS178" s="357"/>
      <c r="TUT178" s="357"/>
      <c r="TUU178" s="357"/>
      <c r="TUV178" s="356"/>
      <c r="TUW178" s="357"/>
      <c r="TUX178" s="357"/>
      <c r="TUY178" s="357"/>
      <c r="TUZ178" s="357"/>
      <c r="TVA178" s="357"/>
      <c r="TVB178" s="356"/>
      <c r="TVC178" s="357"/>
      <c r="TVD178" s="357"/>
      <c r="TVE178" s="357"/>
      <c r="TVF178" s="357"/>
      <c r="TVG178" s="357"/>
      <c r="TVH178" s="356"/>
      <c r="TVI178" s="357"/>
      <c r="TVJ178" s="357"/>
      <c r="TVK178" s="357"/>
      <c r="TVL178" s="357"/>
      <c r="TVM178" s="357"/>
      <c r="TVN178" s="356"/>
      <c r="TVO178" s="357"/>
      <c r="TVP178" s="357"/>
      <c r="TVQ178" s="357"/>
      <c r="TVR178" s="357"/>
      <c r="TVS178" s="357"/>
      <c r="TVT178" s="356"/>
      <c r="TVU178" s="357"/>
      <c r="TVV178" s="357"/>
      <c r="TVW178" s="357"/>
      <c r="TVX178" s="357"/>
      <c r="TVY178" s="357"/>
      <c r="TVZ178" s="356"/>
      <c r="TWA178" s="357"/>
      <c r="TWB178" s="357"/>
      <c r="TWC178" s="357"/>
      <c r="TWD178" s="357"/>
      <c r="TWE178" s="357"/>
      <c r="TWF178" s="356"/>
      <c r="TWG178" s="357"/>
      <c r="TWH178" s="357"/>
      <c r="TWI178" s="357"/>
      <c r="TWJ178" s="357"/>
      <c r="TWK178" s="357"/>
      <c r="TWL178" s="356"/>
      <c r="TWM178" s="357"/>
      <c r="TWN178" s="357"/>
      <c r="TWO178" s="357"/>
      <c r="TWP178" s="357"/>
      <c r="TWQ178" s="357"/>
      <c r="TWR178" s="356"/>
      <c r="TWS178" s="357"/>
      <c r="TWT178" s="357"/>
      <c r="TWU178" s="357"/>
      <c r="TWV178" s="357"/>
      <c r="TWW178" s="357"/>
      <c r="TWX178" s="356"/>
      <c r="TWY178" s="357"/>
      <c r="TWZ178" s="357"/>
      <c r="TXA178" s="357"/>
      <c r="TXB178" s="357"/>
      <c r="TXC178" s="357"/>
      <c r="TXD178" s="356"/>
      <c r="TXE178" s="357"/>
      <c r="TXF178" s="357"/>
      <c r="TXG178" s="357"/>
      <c r="TXH178" s="357"/>
      <c r="TXI178" s="357"/>
      <c r="TXJ178" s="356"/>
      <c r="TXK178" s="357"/>
      <c r="TXL178" s="357"/>
      <c r="TXM178" s="357"/>
      <c r="TXN178" s="357"/>
      <c r="TXO178" s="357"/>
      <c r="TXP178" s="356"/>
      <c r="TXQ178" s="357"/>
      <c r="TXR178" s="357"/>
      <c r="TXS178" s="357"/>
      <c r="TXT178" s="357"/>
      <c r="TXU178" s="357"/>
      <c r="TXV178" s="356"/>
      <c r="TXW178" s="357"/>
      <c r="TXX178" s="357"/>
      <c r="TXY178" s="357"/>
      <c r="TXZ178" s="357"/>
      <c r="TYA178" s="357"/>
      <c r="TYB178" s="356"/>
      <c r="TYC178" s="357"/>
      <c r="TYD178" s="357"/>
      <c r="TYE178" s="357"/>
      <c r="TYF178" s="357"/>
      <c r="TYG178" s="357"/>
      <c r="TYH178" s="356"/>
      <c r="TYI178" s="357"/>
      <c r="TYJ178" s="357"/>
      <c r="TYK178" s="357"/>
      <c r="TYL178" s="357"/>
      <c r="TYM178" s="357"/>
      <c r="TYN178" s="356"/>
      <c r="TYO178" s="357"/>
      <c r="TYP178" s="357"/>
      <c r="TYQ178" s="357"/>
      <c r="TYR178" s="357"/>
      <c r="TYS178" s="357"/>
      <c r="TYT178" s="356"/>
      <c r="TYU178" s="357"/>
      <c r="TYV178" s="357"/>
      <c r="TYW178" s="357"/>
      <c r="TYX178" s="357"/>
      <c r="TYY178" s="357"/>
      <c r="TYZ178" s="356"/>
      <c r="TZA178" s="357"/>
      <c r="TZB178" s="357"/>
      <c r="TZC178" s="357"/>
      <c r="TZD178" s="357"/>
      <c r="TZE178" s="357"/>
      <c r="TZF178" s="356"/>
      <c r="TZG178" s="357"/>
      <c r="TZH178" s="357"/>
      <c r="TZI178" s="357"/>
      <c r="TZJ178" s="357"/>
      <c r="TZK178" s="357"/>
      <c r="TZL178" s="356"/>
      <c r="TZM178" s="357"/>
      <c r="TZN178" s="357"/>
      <c r="TZO178" s="357"/>
      <c r="TZP178" s="357"/>
      <c r="TZQ178" s="357"/>
      <c r="TZR178" s="356"/>
      <c r="TZS178" s="357"/>
      <c r="TZT178" s="357"/>
      <c r="TZU178" s="357"/>
      <c r="TZV178" s="357"/>
      <c r="TZW178" s="357"/>
      <c r="TZX178" s="356"/>
      <c r="TZY178" s="357"/>
      <c r="TZZ178" s="357"/>
      <c r="UAA178" s="357"/>
      <c r="UAB178" s="357"/>
      <c r="UAC178" s="357"/>
      <c r="UAD178" s="356"/>
      <c r="UAE178" s="357"/>
      <c r="UAF178" s="357"/>
      <c r="UAG178" s="357"/>
      <c r="UAH178" s="357"/>
      <c r="UAI178" s="357"/>
      <c r="UAJ178" s="356"/>
      <c r="UAK178" s="357"/>
      <c r="UAL178" s="357"/>
      <c r="UAM178" s="357"/>
      <c r="UAN178" s="357"/>
      <c r="UAO178" s="357"/>
      <c r="UAP178" s="356"/>
      <c r="UAQ178" s="357"/>
      <c r="UAR178" s="357"/>
      <c r="UAS178" s="357"/>
      <c r="UAT178" s="357"/>
      <c r="UAU178" s="357"/>
      <c r="UAV178" s="356"/>
      <c r="UAW178" s="357"/>
      <c r="UAX178" s="357"/>
      <c r="UAY178" s="357"/>
      <c r="UAZ178" s="357"/>
      <c r="UBA178" s="357"/>
      <c r="UBB178" s="356"/>
      <c r="UBC178" s="357"/>
      <c r="UBD178" s="357"/>
      <c r="UBE178" s="357"/>
      <c r="UBF178" s="357"/>
      <c r="UBG178" s="357"/>
      <c r="UBH178" s="356"/>
      <c r="UBI178" s="357"/>
      <c r="UBJ178" s="357"/>
      <c r="UBK178" s="357"/>
      <c r="UBL178" s="357"/>
      <c r="UBM178" s="357"/>
      <c r="UBN178" s="356"/>
      <c r="UBO178" s="357"/>
      <c r="UBP178" s="357"/>
      <c r="UBQ178" s="357"/>
      <c r="UBR178" s="357"/>
      <c r="UBS178" s="357"/>
      <c r="UBT178" s="356"/>
      <c r="UBU178" s="357"/>
      <c r="UBV178" s="357"/>
      <c r="UBW178" s="357"/>
      <c r="UBX178" s="357"/>
      <c r="UBY178" s="357"/>
      <c r="UBZ178" s="356"/>
      <c r="UCA178" s="357"/>
      <c r="UCB178" s="357"/>
      <c r="UCC178" s="357"/>
      <c r="UCD178" s="357"/>
      <c r="UCE178" s="357"/>
      <c r="UCF178" s="356"/>
      <c r="UCG178" s="357"/>
      <c r="UCH178" s="357"/>
      <c r="UCI178" s="357"/>
      <c r="UCJ178" s="357"/>
      <c r="UCK178" s="357"/>
      <c r="UCL178" s="356"/>
      <c r="UCM178" s="357"/>
      <c r="UCN178" s="357"/>
      <c r="UCO178" s="357"/>
      <c r="UCP178" s="357"/>
      <c r="UCQ178" s="357"/>
      <c r="UCR178" s="356"/>
      <c r="UCS178" s="357"/>
      <c r="UCT178" s="357"/>
      <c r="UCU178" s="357"/>
      <c r="UCV178" s="357"/>
      <c r="UCW178" s="357"/>
      <c r="UCX178" s="356"/>
      <c r="UCY178" s="357"/>
      <c r="UCZ178" s="357"/>
      <c r="UDA178" s="357"/>
      <c r="UDB178" s="357"/>
      <c r="UDC178" s="357"/>
      <c r="UDD178" s="356"/>
      <c r="UDE178" s="357"/>
      <c r="UDF178" s="357"/>
      <c r="UDG178" s="357"/>
      <c r="UDH178" s="357"/>
      <c r="UDI178" s="357"/>
      <c r="UDJ178" s="356"/>
      <c r="UDK178" s="357"/>
      <c r="UDL178" s="357"/>
      <c r="UDM178" s="357"/>
      <c r="UDN178" s="357"/>
      <c r="UDO178" s="357"/>
      <c r="UDP178" s="356"/>
      <c r="UDQ178" s="357"/>
      <c r="UDR178" s="357"/>
      <c r="UDS178" s="357"/>
      <c r="UDT178" s="357"/>
      <c r="UDU178" s="357"/>
      <c r="UDV178" s="356"/>
      <c r="UDW178" s="357"/>
      <c r="UDX178" s="357"/>
      <c r="UDY178" s="357"/>
      <c r="UDZ178" s="357"/>
      <c r="UEA178" s="357"/>
      <c r="UEB178" s="356"/>
      <c r="UEC178" s="357"/>
      <c r="UED178" s="357"/>
      <c r="UEE178" s="357"/>
      <c r="UEF178" s="357"/>
      <c r="UEG178" s="357"/>
      <c r="UEH178" s="356"/>
      <c r="UEI178" s="357"/>
      <c r="UEJ178" s="357"/>
      <c r="UEK178" s="357"/>
      <c r="UEL178" s="357"/>
      <c r="UEM178" s="357"/>
      <c r="UEN178" s="356"/>
      <c r="UEO178" s="357"/>
      <c r="UEP178" s="357"/>
      <c r="UEQ178" s="357"/>
      <c r="UER178" s="357"/>
      <c r="UES178" s="357"/>
      <c r="UET178" s="356"/>
      <c r="UEU178" s="357"/>
      <c r="UEV178" s="357"/>
      <c r="UEW178" s="357"/>
      <c r="UEX178" s="357"/>
      <c r="UEY178" s="357"/>
      <c r="UEZ178" s="356"/>
      <c r="UFA178" s="357"/>
      <c r="UFB178" s="357"/>
      <c r="UFC178" s="357"/>
      <c r="UFD178" s="357"/>
      <c r="UFE178" s="357"/>
      <c r="UFF178" s="356"/>
      <c r="UFG178" s="357"/>
      <c r="UFH178" s="357"/>
      <c r="UFI178" s="357"/>
      <c r="UFJ178" s="357"/>
      <c r="UFK178" s="357"/>
      <c r="UFL178" s="356"/>
      <c r="UFM178" s="357"/>
      <c r="UFN178" s="357"/>
      <c r="UFO178" s="357"/>
      <c r="UFP178" s="357"/>
      <c r="UFQ178" s="357"/>
      <c r="UFR178" s="356"/>
      <c r="UFS178" s="357"/>
      <c r="UFT178" s="357"/>
      <c r="UFU178" s="357"/>
      <c r="UFV178" s="357"/>
      <c r="UFW178" s="357"/>
      <c r="UFX178" s="356"/>
      <c r="UFY178" s="357"/>
      <c r="UFZ178" s="357"/>
      <c r="UGA178" s="357"/>
      <c r="UGB178" s="357"/>
      <c r="UGC178" s="357"/>
      <c r="UGD178" s="356"/>
      <c r="UGE178" s="357"/>
      <c r="UGF178" s="357"/>
      <c r="UGG178" s="357"/>
      <c r="UGH178" s="357"/>
      <c r="UGI178" s="357"/>
      <c r="UGJ178" s="356"/>
      <c r="UGK178" s="357"/>
      <c r="UGL178" s="357"/>
      <c r="UGM178" s="357"/>
      <c r="UGN178" s="357"/>
      <c r="UGO178" s="357"/>
      <c r="UGP178" s="356"/>
      <c r="UGQ178" s="357"/>
      <c r="UGR178" s="357"/>
      <c r="UGS178" s="357"/>
      <c r="UGT178" s="357"/>
      <c r="UGU178" s="357"/>
      <c r="UGV178" s="356"/>
      <c r="UGW178" s="357"/>
      <c r="UGX178" s="357"/>
      <c r="UGY178" s="357"/>
      <c r="UGZ178" s="357"/>
      <c r="UHA178" s="357"/>
      <c r="UHB178" s="356"/>
      <c r="UHC178" s="357"/>
      <c r="UHD178" s="357"/>
      <c r="UHE178" s="357"/>
      <c r="UHF178" s="357"/>
      <c r="UHG178" s="357"/>
      <c r="UHH178" s="356"/>
      <c r="UHI178" s="357"/>
      <c r="UHJ178" s="357"/>
      <c r="UHK178" s="357"/>
      <c r="UHL178" s="357"/>
      <c r="UHM178" s="357"/>
      <c r="UHN178" s="356"/>
      <c r="UHO178" s="357"/>
      <c r="UHP178" s="357"/>
      <c r="UHQ178" s="357"/>
      <c r="UHR178" s="357"/>
      <c r="UHS178" s="357"/>
      <c r="UHT178" s="356"/>
      <c r="UHU178" s="357"/>
      <c r="UHV178" s="357"/>
      <c r="UHW178" s="357"/>
      <c r="UHX178" s="357"/>
      <c r="UHY178" s="357"/>
      <c r="UHZ178" s="356"/>
      <c r="UIA178" s="357"/>
      <c r="UIB178" s="357"/>
      <c r="UIC178" s="357"/>
      <c r="UID178" s="357"/>
      <c r="UIE178" s="357"/>
      <c r="UIF178" s="356"/>
      <c r="UIG178" s="357"/>
      <c r="UIH178" s="357"/>
      <c r="UII178" s="357"/>
      <c r="UIJ178" s="357"/>
      <c r="UIK178" s="357"/>
      <c r="UIL178" s="356"/>
      <c r="UIM178" s="357"/>
      <c r="UIN178" s="357"/>
      <c r="UIO178" s="357"/>
      <c r="UIP178" s="357"/>
      <c r="UIQ178" s="357"/>
      <c r="UIR178" s="356"/>
      <c r="UIS178" s="357"/>
      <c r="UIT178" s="357"/>
      <c r="UIU178" s="357"/>
      <c r="UIV178" s="357"/>
      <c r="UIW178" s="357"/>
      <c r="UIX178" s="356"/>
      <c r="UIY178" s="357"/>
      <c r="UIZ178" s="357"/>
      <c r="UJA178" s="357"/>
      <c r="UJB178" s="357"/>
      <c r="UJC178" s="357"/>
      <c r="UJD178" s="356"/>
      <c r="UJE178" s="357"/>
      <c r="UJF178" s="357"/>
      <c r="UJG178" s="357"/>
      <c r="UJH178" s="357"/>
      <c r="UJI178" s="357"/>
      <c r="UJJ178" s="356"/>
      <c r="UJK178" s="357"/>
      <c r="UJL178" s="357"/>
      <c r="UJM178" s="357"/>
      <c r="UJN178" s="357"/>
      <c r="UJO178" s="357"/>
      <c r="UJP178" s="356"/>
      <c r="UJQ178" s="357"/>
      <c r="UJR178" s="357"/>
      <c r="UJS178" s="357"/>
      <c r="UJT178" s="357"/>
      <c r="UJU178" s="357"/>
      <c r="UJV178" s="356"/>
      <c r="UJW178" s="357"/>
      <c r="UJX178" s="357"/>
      <c r="UJY178" s="357"/>
      <c r="UJZ178" s="357"/>
      <c r="UKA178" s="357"/>
      <c r="UKB178" s="356"/>
      <c r="UKC178" s="357"/>
      <c r="UKD178" s="357"/>
      <c r="UKE178" s="357"/>
      <c r="UKF178" s="357"/>
      <c r="UKG178" s="357"/>
      <c r="UKH178" s="356"/>
      <c r="UKI178" s="357"/>
      <c r="UKJ178" s="357"/>
      <c r="UKK178" s="357"/>
      <c r="UKL178" s="357"/>
      <c r="UKM178" s="357"/>
      <c r="UKN178" s="356"/>
      <c r="UKO178" s="357"/>
      <c r="UKP178" s="357"/>
      <c r="UKQ178" s="357"/>
      <c r="UKR178" s="357"/>
      <c r="UKS178" s="357"/>
      <c r="UKT178" s="356"/>
      <c r="UKU178" s="357"/>
      <c r="UKV178" s="357"/>
      <c r="UKW178" s="357"/>
      <c r="UKX178" s="357"/>
      <c r="UKY178" s="357"/>
      <c r="UKZ178" s="356"/>
      <c r="ULA178" s="357"/>
      <c r="ULB178" s="357"/>
      <c r="ULC178" s="357"/>
      <c r="ULD178" s="357"/>
      <c r="ULE178" s="357"/>
      <c r="ULF178" s="356"/>
      <c r="ULG178" s="357"/>
      <c r="ULH178" s="357"/>
      <c r="ULI178" s="357"/>
      <c r="ULJ178" s="357"/>
      <c r="ULK178" s="357"/>
      <c r="ULL178" s="356"/>
      <c r="ULM178" s="357"/>
      <c r="ULN178" s="357"/>
      <c r="ULO178" s="357"/>
      <c r="ULP178" s="357"/>
      <c r="ULQ178" s="357"/>
      <c r="ULR178" s="356"/>
      <c r="ULS178" s="357"/>
      <c r="ULT178" s="357"/>
      <c r="ULU178" s="357"/>
      <c r="ULV178" s="357"/>
      <c r="ULW178" s="357"/>
      <c r="ULX178" s="356"/>
      <c r="ULY178" s="357"/>
      <c r="ULZ178" s="357"/>
      <c r="UMA178" s="357"/>
      <c r="UMB178" s="357"/>
      <c r="UMC178" s="357"/>
      <c r="UMD178" s="356"/>
      <c r="UME178" s="357"/>
      <c r="UMF178" s="357"/>
      <c r="UMG178" s="357"/>
      <c r="UMH178" s="357"/>
      <c r="UMI178" s="357"/>
      <c r="UMJ178" s="356"/>
      <c r="UMK178" s="357"/>
      <c r="UML178" s="357"/>
      <c r="UMM178" s="357"/>
      <c r="UMN178" s="357"/>
      <c r="UMO178" s="357"/>
      <c r="UMP178" s="356"/>
      <c r="UMQ178" s="357"/>
      <c r="UMR178" s="357"/>
      <c r="UMS178" s="357"/>
      <c r="UMT178" s="357"/>
      <c r="UMU178" s="357"/>
      <c r="UMV178" s="356"/>
      <c r="UMW178" s="357"/>
      <c r="UMX178" s="357"/>
      <c r="UMY178" s="357"/>
      <c r="UMZ178" s="357"/>
      <c r="UNA178" s="357"/>
      <c r="UNB178" s="356"/>
      <c r="UNC178" s="357"/>
      <c r="UND178" s="357"/>
      <c r="UNE178" s="357"/>
      <c r="UNF178" s="357"/>
      <c r="UNG178" s="357"/>
      <c r="UNH178" s="356"/>
      <c r="UNI178" s="357"/>
      <c r="UNJ178" s="357"/>
      <c r="UNK178" s="357"/>
      <c r="UNL178" s="357"/>
      <c r="UNM178" s="357"/>
      <c r="UNN178" s="356"/>
      <c r="UNO178" s="357"/>
      <c r="UNP178" s="357"/>
      <c r="UNQ178" s="357"/>
      <c r="UNR178" s="357"/>
      <c r="UNS178" s="357"/>
      <c r="UNT178" s="356"/>
      <c r="UNU178" s="357"/>
      <c r="UNV178" s="357"/>
      <c r="UNW178" s="357"/>
      <c r="UNX178" s="357"/>
      <c r="UNY178" s="357"/>
      <c r="UNZ178" s="356"/>
      <c r="UOA178" s="357"/>
      <c r="UOB178" s="357"/>
      <c r="UOC178" s="357"/>
      <c r="UOD178" s="357"/>
      <c r="UOE178" s="357"/>
      <c r="UOF178" s="356"/>
      <c r="UOG178" s="357"/>
      <c r="UOH178" s="357"/>
      <c r="UOI178" s="357"/>
      <c r="UOJ178" s="357"/>
      <c r="UOK178" s="357"/>
      <c r="UOL178" s="356"/>
      <c r="UOM178" s="357"/>
      <c r="UON178" s="357"/>
      <c r="UOO178" s="357"/>
      <c r="UOP178" s="357"/>
      <c r="UOQ178" s="357"/>
      <c r="UOR178" s="356"/>
      <c r="UOS178" s="357"/>
      <c r="UOT178" s="357"/>
      <c r="UOU178" s="357"/>
      <c r="UOV178" s="357"/>
      <c r="UOW178" s="357"/>
      <c r="UOX178" s="356"/>
      <c r="UOY178" s="357"/>
      <c r="UOZ178" s="357"/>
      <c r="UPA178" s="357"/>
      <c r="UPB178" s="357"/>
      <c r="UPC178" s="357"/>
      <c r="UPD178" s="356"/>
      <c r="UPE178" s="357"/>
      <c r="UPF178" s="357"/>
      <c r="UPG178" s="357"/>
      <c r="UPH178" s="357"/>
      <c r="UPI178" s="357"/>
      <c r="UPJ178" s="356"/>
      <c r="UPK178" s="357"/>
      <c r="UPL178" s="357"/>
      <c r="UPM178" s="357"/>
      <c r="UPN178" s="357"/>
      <c r="UPO178" s="357"/>
      <c r="UPP178" s="356"/>
      <c r="UPQ178" s="357"/>
      <c r="UPR178" s="357"/>
      <c r="UPS178" s="357"/>
      <c r="UPT178" s="357"/>
      <c r="UPU178" s="357"/>
      <c r="UPV178" s="356"/>
      <c r="UPW178" s="357"/>
      <c r="UPX178" s="357"/>
      <c r="UPY178" s="357"/>
      <c r="UPZ178" s="357"/>
      <c r="UQA178" s="357"/>
      <c r="UQB178" s="356"/>
      <c r="UQC178" s="357"/>
      <c r="UQD178" s="357"/>
      <c r="UQE178" s="357"/>
      <c r="UQF178" s="357"/>
      <c r="UQG178" s="357"/>
      <c r="UQH178" s="356"/>
      <c r="UQI178" s="357"/>
      <c r="UQJ178" s="357"/>
      <c r="UQK178" s="357"/>
      <c r="UQL178" s="357"/>
      <c r="UQM178" s="357"/>
      <c r="UQN178" s="356"/>
      <c r="UQO178" s="357"/>
      <c r="UQP178" s="357"/>
      <c r="UQQ178" s="357"/>
      <c r="UQR178" s="357"/>
      <c r="UQS178" s="357"/>
      <c r="UQT178" s="356"/>
      <c r="UQU178" s="357"/>
      <c r="UQV178" s="357"/>
      <c r="UQW178" s="357"/>
      <c r="UQX178" s="357"/>
      <c r="UQY178" s="357"/>
      <c r="UQZ178" s="356"/>
      <c r="URA178" s="357"/>
      <c r="URB178" s="357"/>
      <c r="URC178" s="357"/>
      <c r="URD178" s="357"/>
      <c r="URE178" s="357"/>
      <c r="URF178" s="356"/>
      <c r="URG178" s="357"/>
      <c r="URH178" s="357"/>
      <c r="URI178" s="357"/>
      <c r="URJ178" s="357"/>
      <c r="URK178" s="357"/>
      <c r="URL178" s="356"/>
      <c r="URM178" s="357"/>
      <c r="URN178" s="357"/>
      <c r="URO178" s="357"/>
      <c r="URP178" s="357"/>
      <c r="URQ178" s="357"/>
      <c r="URR178" s="356"/>
      <c r="URS178" s="357"/>
      <c r="URT178" s="357"/>
      <c r="URU178" s="357"/>
      <c r="URV178" s="357"/>
      <c r="URW178" s="357"/>
      <c r="URX178" s="356"/>
      <c r="URY178" s="357"/>
      <c r="URZ178" s="357"/>
      <c r="USA178" s="357"/>
      <c r="USB178" s="357"/>
      <c r="USC178" s="357"/>
      <c r="USD178" s="356"/>
      <c r="USE178" s="357"/>
      <c r="USF178" s="357"/>
      <c r="USG178" s="357"/>
      <c r="USH178" s="357"/>
      <c r="USI178" s="357"/>
      <c r="USJ178" s="356"/>
      <c r="USK178" s="357"/>
      <c r="USL178" s="357"/>
      <c r="USM178" s="357"/>
      <c r="USN178" s="357"/>
      <c r="USO178" s="357"/>
      <c r="USP178" s="356"/>
      <c r="USQ178" s="357"/>
      <c r="USR178" s="357"/>
      <c r="USS178" s="357"/>
      <c r="UST178" s="357"/>
      <c r="USU178" s="357"/>
      <c r="USV178" s="356"/>
      <c r="USW178" s="357"/>
      <c r="USX178" s="357"/>
      <c r="USY178" s="357"/>
      <c r="USZ178" s="357"/>
      <c r="UTA178" s="357"/>
      <c r="UTB178" s="356"/>
      <c r="UTC178" s="357"/>
      <c r="UTD178" s="357"/>
      <c r="UTE178" s="357"/>
      <c r="UTF178" s="357"/>
      <c r="UTG178" s="357"/>
      <c r="UTH178" s="356"/>
      <c r="UTI178" s="357"/>
      <c r="UTJ178" s="357"/>
      <c r="UTK178" s="357"/>
      <c r="UTL178" s="357"/>
      <c r="UTM178" s="357"/>
      <c r="UTN178" s="356"/>
      <c r="UTO178" s="357"/>
      <c r="UTP178" s="357"/>
      <c r="UTQ178" s="357"/>
      <c r="UTR178" s="357"/>
      <c r="UTS178" s="357"/>
      <c r="UTT178" s="356"/>
      <c r="UTU178" s="357"/>
      <c r="UTV178" s="357"/>
      <c r="UTW178" s="357"/>
      <c r="UTX178" s="357"/>
      <c r="UTY178" s="357"/>
      <c r="UTZ178" s="356"/>
      <c r="UUA178" s="357"/>
      <c r="UUB178" s="357"/>
      <c r="UUC178" s="357"/>
      <c r="UUD178" s="357"/>
      <c r="UUE178" s="357"/>
      <c r="UUF178" s="356"/>
      <c r="UUG178" s="357"/>
      <c r="UUH178" s="357"/>
      <c r="UUI178" s="357"/>
      <c r="UUJ178" s="357"/>
      <c r="UUK178" s="357"/>
      <c r="UUL178" s="356"/>
      <c r="UUM178" s="357"/>
      <c r="UUN178" s="357"/>
      <c r="UUO178" s="357"/>
      <c r="UUP178" s="357"/>
      <c r="UUQ178" s="357"/>
      <c r="UUR178" s="356"/>
      <c r="UUS178" s="357"/>
      <c r="UUT178" s="357"/>
      <c r="UUU178" s="357"/>
      <c r="UUV178" s="357"/>
      <c r="UUW178" s="357"/>
      <c r="UUX178" s="356"/>
      <c r="UUY178" s="357"/>
      <c r="UUZ178" s="357"/>
      <c r="UVA178" s="357"/>
      <c r="UVB178" s="357"/>
      <c r="UVC178" s="357"/>
      <c r="UVD178" s="356"/>
      <c r="UVE178" s="357"/>
      <c r="UVF178" s="357"/>
      <c r="UVG178" s="357"/>
      <c r="UVH178" s="357"/>
      <c r="UVI178" s="357"/>
      <c r="UVJ178" s="356"/>
      <c r="UVK178" s="357"/>
      <c r="UVL178" s="357"/>
      <c r="UVM178" s="357"/>
      <c r="UVN178" s="357"/>
      <c r="UVO178" s="357"/>
      <c r="UVP178" s="356"/>
      <c r="UVQ178" s="357"/>
      <c r="UVR178" s="357"/>
      <c r="UVS178" s="357"/>
      <c r="UVT178" s="357"/>
      <c r="UVU178" s="357"/>
      <c r="UVV178" s="356"/>
      <c r="UVW178" s="357"/>
      <c r="UVX178" s="357"/>
      <c r="UVY178" s="357"/>
      <c r="UVZ178" s="357"/>
      <c r="UWA178" s="357"/>
      <c r="UWB178" s="356"/>
      <c r="UWC178" s="357"/>
      <c r="UWD178" s="357"/>
      <c r="UWE178" s="357"/>
      <c r="UWF178" s="357"/>
      <c r="UWG178" s="357"/>
      <c r="UWH178" s="356"/>
      <c r="UWI178" s="357"/>
      <c r="UWJ178" s="357"/>
      <c r="UWK178" s="357"/>
      <c r="UWL178" s="357"/>
      <c r="UWM178" s="357"/>
      <c r="UWN178" s="356"/>
      <c r="UWO178" s="357"/>
      <c r="UWP178" s="357"/>
      <c r="UWQ178" s="357"/>
      <c r="UWR178" s="357"/>
      <c r="UWS178" s="357"/>
      <c r="UWT178" s="356"/>
      <c r="UWU178" s="357"/>
      <c r="UWV178" s="357"/>
      <c r="UWW178" s="357"/>
      <c r="UWX178" s="357"/>
      <c r="UWY178" s="357"/>
      <c r="UWZ178" s="356"/>
      <c r="UXA178" s="357"/>
      <c r="UXB178" s="357"/>
      <c r="UXC178" s="357"/>
      <c r="UXD178" s="357"/>
      <c r="UXE178" s="357"/>
      <c r="UXF178" s="356"/>
      <c r="UXG178" s="357"/>
      <c r="UXH178" s="357"/>
      <c r="UXI178" s="357"/>
      <c r="UXJ178" s="357"/>
      <c r="UXK178" s="357"/>
      <c r="UXL178" s="356"/>
      <c r="UXM178" s="357"/>
      <c r="UXN178" s="357"/>
      <c r="UXO178" s="357"/>
      <c r="UXP178" s="357"/>
      <c r="UXQ178" s="357"/>
      <c r="UXR178" s="356"/>
      <c r="UXS178" s="357"/>
      <c r="UXT178" s="357"/>
      <c r="UXU178" s="357"/>
      <c r="UXV178" s="357"/>
      <c r="UXW178" s="357"/>
      <c r="UXX178" s="356"/>
      <c r="UXY178" s="357"/>
      <c r="UXZ178" s="357"/>
      <c r="UYA178" s="357"/>
      <c r="UYB178" s="357"/>
      <c r="UYC178" s="357"/>
      <c r="UYD178" s="356"/>
      <c r="UYE178" s="357"/>
      <c r="UYF178" s="357"/>
      <c r="UYG178" s="357"/>
      <c r="UYH178" s="357"/>
      <c r="UYI178" s="357"/>
      <c r="UYJ178" s="356"/>
      <c r="UYK178" s="357"/>
      <c r="UYL178" s="357"/>
      <c r="UYM178" s="357"/>
      <c r="UYN178" s="357"/>
      <c r="UYO178" s="357"/>
      <c r="UYP178" s="356"/>
      <c r="UYQ178" s="357"/>
      <c r="UYR178" s="357"/>
      <c r="UYS178" s="357"/>
      <c r="UYT178" s="357"/>
      <c r="UYU178" s="357"/>
      <c r="UYV178" s="356"/>
      <c r="UYW178" s="357"/>
      <c r="UYX178" s="357"/>
      <c r="UYY178" s="357"/>
      <c r="UYZ178" s="357"/>
      <c r="UZA178" s="357"/>
      <c r="UZB178" s="356"/>
      <c r="UZC178" s="357"/>
      <c r="UZD178" s="357"/>
      <c r="UZE178" s="357"/>
      <c r="UZF178" s="357"/>
      <c r="UZG178" s="357"/>
      <c r="UZH178" s="356"/>
      <c r="UZI178" s="357"/>
      <c r="UZJ178" s="357"/>
      <c r="UZK178" s="357"/>
      <c r="UZL178" s="357"/>
      <c r="UZM178" s="357"/>
      <c r="UZN178" s="356"/>
      <c r="UZO178" s="357"/>
      <c r="UZP178" s="357"/>
      <c r="UZQ178" s="357"/>
      <c r="UZR178" s="357"/>
      <c r="UZS178" s="357"/>
      <c r="UZT178" s="356"/>
      <c r="UZU178" s="357"/>
      <c r="UZV178" s="357"/>
      <c r="UZW178" s="357"/>
      <c r="UZX178" s="357"/>
      <c r="UZY178" s="357"/>
      <c r="UZZ178" s="356"/>
      <c r="VAA178" s="357"/>
      <c r="VAB178" s="357"/>
      <c r="VAC178" s="357"/>
      <c r="VAD178" s="357"/>
      <c r="VAE178" s="357"/>
      <c r="VAF178" s="356"/>
      <c r="VAG178" s="357"/>
      <c r="VAH178" s="357"/>
      <c r="VAI178" s="357"/>
      <c r="VAJ178" s="357"/>
      <c r="VAK178" s="357"/>
      <c r="VAL178" s="356"/>
      <c r="VAM178" s="357"/>
      <c r="VAN178" s="357"/>
      <c r="VAO178" s="357"/>
      <c r="VAP178" s="357"/>
      <c r="VAQ178" s="357"/>
      <c r="VAR178" s="356"/>
      <c r="VAS178" s="357"/>
      <c r="VAT178" s="357"/>
      <c r="VAU178" s="357"/>
      <c r="VAV178" s="357"/>
      <c r="VAW178" s="357"/>
      <c r="VAX178" s="356"/>
      <c r="VAY178" s="357"/>
      <c r="VAZ178" s="357"/>
      <c r="VBA178" s="357"/>
      <c r="VBB178" s="357"/>
      <c r="VBC178" s="357"/>
      <c r="VBD178" s="356"/>
      <c r="VBE178" s="357"/>
      <c r="VBF178" s="357"/>
      <c r="VBG178" s="357"/>
      <c r="VBH178" s="357"/>
      <c r="VBI178" s="357"/>
      <c r="VBJ178" s="356"/>
      <c r="VBK178" s="357"/>
      <c r="VBL178" s="357"/>
      <c r="VBM178" s="357"/>
      <c r="VBN178" s="357"/>
      <c r="VBO178" s="357"/>
      <c r="VBP178" s="356"/>
      <c r="VBQ178" s="357"/>
      <c r="VBR178" s="357"/>
      <c r="VBS178" s="357"/>
      <c r="VBT178" s="357"/>
      <c r="VBU178" s="357"/>
      <c r="VBV178" s="356"/>
      <c r="VBW178" s="357"/>
      <c r="VBX178" s="357"/>
      <c r="VBY178" s="357"/>
      <c r="VBZ178" s="357"/>
      <c r="VCA178" s="357"/>
      <c r="VCB178" s="356"/>
      <c r="VCC178" s="357"/>
      <c r="VCD178" s="357"/>
      <c r="VCE178" s="357"/>
      <c r="VCF178" s="357"/>
      <c r="VCG178" s="357"/>
      <c r="VCH178" s="356"/>
      <c r="VCI178" s="357"/>
      <c r="VCJ178" s="357"/>
      <c r="VCK178" s="357"/>
      <c r="VCL178" s="357"/>
      <c r="VCM178" s="357"/>
      <c r="VCN178" s="356"/>
      <c r="VCO178" s="357"/>
      <c r="VCP178" s="357"/>
      <c r="VCQ178" s="357"/>
      <c r="VCR178" s="357"/>
      <c r="VCS178" s="357"/>
      <c r="VCT178" s="356"/>
      <c r="VCU178" s="357"/>
      <c r="VCV178" s="357"/>
      <c r="VCW178" s="357"/>
      <c r="VCX178" s="357"/>
      <c r="VCY178" s="357"/>
      <c r="VCZ178" s="356"/>
      <c r="VDA178" s="357"/>
      <c r="VDB178" s="357"/>
      <c r="VDC178" s="357"/>
      <c r="VDD178" s="357"/>
      <c r="VDE178" s="357"/>
      <c r="VDF178" s="356"/>
      <c r="VDG178" s="357"/>
      <c r="VDH178" s="357"/>
      <c r="VDI178" s="357"/>
      <c r="VDJ178" s="357"/>
      <c r="VDK178" s="357"/>
      <c r="VDL178" s="356"/>
      <c r="VDM178" s="357"/>
      <c r="VDN178" s="357"/>
      <c r="VDO178" s="357"/>
      <c r="VDP178" s="357"/>
      <c r="VDQ178" s="357"/>
      <c r="VDR178" s="356"/>
      <c r="VDS178" s="357"/>
      <c r="VDT178" s="357"/>
      <c r="VDU178" s="357"/>
      <c r="VDV178" s="357"/>
      <c r="VDW178" s="357"/>
      <c r="VDX178" s="356"/>
      <c r="VDY178" s="357"/>
      <c r="VDZ178" s="357"/>
      <c r="VEA178" s="357"/>
      <c r="VEB178" s="357"/>
      <c r="VEC178" s="357"/>
      <c r="VED178" s="356"/>
      <c r="VEE178" s="357"/>
      <c r="VEF178" s="357"/>
      <c r="VEG178" s="357"/>
      <c r="VEH178" s="357"/>
      <c r="VEI178" s="357"/>
      <c r="VEJ178" s="356"/>
      <c r="VEK178" s="357"/>
      <c r="VEL178" s="357"/>
      <c r="VEM178" s="357"/>
      <c r="VEN178" s="357"/>
      <c r="VEO178" s="357"/>
      <c r="VEP178" s="356"/>
      <c r="VEQ178" s="357"/>
      <c r="VER178" s="357"/>
      <c r="VES178" s="357"/>
      <c r="VET178" s="357"/>
      <c r="VEU178" s="357"/>
      <c r="VEV178" s="356"/>
      <c r="VEW178" s="357"/>
      <c r="VEX178" s="357"/>
      <c r="VEY178" s="357"/>
      <c r="VEZ178" s="357"/>
      <c r="VFA178" s="357"/>
      <c r="VFB178" s="356"/>
      <c r="VFC178" s="357"/>
      <c r="VFD178" s="357"/>
      <c r="VFE178" s="357"/>
      <c r="VFF178" s="357"/>
      <c r="VFG178" s="357"/>
      <c r="VFH178" s="356"/>
      <c r="VFI178" s="357"/>
      <c r="VFJ178" s="357"/>
      <c r="VFK178" s="357"/>
      <c r="VFL178" s="357"/>
      <c r="VFM178" s="357"/>
      <c r="VFN178" s="356"/>
      <c r="VFO178" s="357"/>
      <c r="VFP178" s="357"/>
      <c r="VFQ178" s="357"/>
      <c r="VFR178" s="357"/>
      <c r="VFS178" s="357"/>
      <c r="VFT178" s="356"/>
      <c r="VFU178" s="357"/>
      <c r="VFV178" s="357"/>
      <c r="VFW178" s="357"/>
      <c r="VFX178" s="357"/>
      <c r="VFY178" s="357"/>
      <c r="VFZ178" s="356"/>
      <c r="VGA178" s="357"/>
      <c r="VGB178" s="357"/>
      <c r="VGC178" s="357"/>
      <c r="VGD178" s="357"/>
      <c r="VGE178" s="357"/>
      <c r="VGF178" s="356"/>
      <c r="VGG178" s="357"/>
      <c r="VGH178" s="357"/>
      <c r="VGI178" s="357"/>
      <c r="VGJ178" s="357"/>
      <c r="VGK178" s="357"/>
      <c r="VGL178" s="356"/>
      <c r="VGM178" s="357"/>
      <c r="VGN178" s="357"/>
      <c r="VGO178" s="357"/>
      <c r="VGP178" s="357"/>
      <c r="VGQ178" s="357"/>
      <c r="VGR178" s="356"/>
      <c r="VGS178" s="357"/>
      <c r="VGT178" s="357"/>
      <c r="VGU178" s="357"/>
      <c r="VGV178" s="357"/>
      <c r="VGW178" s="357"/>
      <c r="VGX178" s="356"/>
      <c r="VGY178" s="357"/>
      <c r="VGZ178" s="357"/>
      <c r="VHA178" s="357"/>
      <c r="VHB178" s="357"/>
      <c r="VHC178" s="357"/>
      <c r="VHD178" s="356"/>
      <c r="VHE178" s="357"/>
      <c r="VHF178" s="357"/>
      <c r="VHG178" s="357"/>
      <c r="VHH178" s="357"/>
      <c r="VHI178" s="357"/>
      <c r="VHJ178" s="356"/>
      <c r="VHK178" s="357"/>
      <c r="VHL178" s="357"/>
      <c r="VHM178" s="357"/>
      <c r="VHN178" s="357"/>
      <c r="VHO178" s="357"/>
      <c r="VHP178" s="356"/>
      <c r="VHQ178" s="357"/>
      <c r="VHR178" s="357"/>
      <c r="VHS178" s="357"/>
      <c r="VHT178" s="357"/>
      <c r="VHU178" s="357"/>
      <c r="VHV178" s="356"/>
      <c r="VHW178" s="357"/>
      <c r="VHX178" s="357"/>
      <c r="VHY178" s="357"/>
      <c r="VHZ178" s="357"/>
      <c r="VIA178" s="357"/>
      <c r="VIB178" s="356"/>
      <c r="VIC178" s="357"/>
      <c r="VID178" s="357"/>
      <c r="VIE178" s="357"/>
      <c r="VIF178" s="357"/>
      <c r="VIG178" s="357"/>
      <c r="VIH178" s="356"/>
      <c r="VII178" s="357"/>
      <c r="VIJ178" s="357"/>
      <c r="VIK178" s="357"/>
      <c r="VIL178" s="357"/>
      <c r="VIM178" s="357"/>
      <c r="VIN178" s="356"/>
      <c r="VIO178" s="357"/>
      <c r="VIP178" s="357"/>
      <c r="VIQ178" s="357"/>
      <c r="VIR178" s="357"/>
      <c r="VIS178" s="357"/>
      <c r="VIT178" s="356"/>
      <c r="VIU178" s="357"/>
      <c r="VIV178" s="357"/>
      <c r="VIW178" s="357"/>
      <c r="VIX178" s="357"/>
      <c r="VIY178" s="357"/>
      <c r="VIZ178" s="356"/>
      <c r="VJA178" s="357"/>
      <c r="VJB178" s="357"/>
      <c r="VJC178" s="357"/>
      <c r="VJD178" s="357"/>
      <c r="VJE178" s="357"/>
      <c r="VJF178" s="356"/>
      <c r="VJG178" s="357"/>
      <c r="VJH178" s="357"/>
      <c r="VJI178" s="357"/>
      <c r="VJJ178" s="357"/>
      <c r="VJK178" s="357"/>
      <c r="VJL178" s="356"/>
      <c r="VJM178" s="357"/>
      <c r="VJN178" s="357"/>
      <c r="VJO178" s="357"/>
      <c r="VJP178" s="357"/>
      <c r="VJQ178" s="357"/>
      <c r="VJR178" s="356"/>
      <c r="VJS178" s="357"/>
      <c r="VJT178" s="357"/>
      <c r="VJU178" s="357"/>
      <c r="VJV178" s="357"/>
      <c r="VJW178" s="357"/>
      <c r="VJX178" s="356"/>
      <c r="VJY178" s="357"/>
      <c r="VJZ178" s="357"/>
      <c r="VKA178" s="357"/>
      <c r="VKB178" s="357"/>
      <c r="VKC178" s="357"/>
      <c r="VKD178" s="356"/>
      <c r="VKE178" s="357"/>
      <c r="VKF178" s="357"/>
      <c r="VKG178" s="357"/>
      <c r="VKH178" s="357"/>
      <c r="VKI178" s="357"/>
      <c r="VKJ178" s="356"/>
      <c r="VKK178" s="357"/>
      <c r="VKL178" s="357"/>
      <c r="VKM178" s="357"/>
      <c r="VKN178" s="357"/>
      <c r="VKO178" s="357"/>
      <c r="VKP178" s="356"/>
      <c r="VKQ178" s="357"/>
      <c r="VKR178" s="357"/>
      <c r="VKS178" s="357"/>
      <c r="VKT178" s="357"/>
      <c r="VKU178" s="357"/>
      <c r="VKV178" s="356"/>
      <c r="VKW178" s="357"/>
      <c r="VKX178" s="357"/>
      <c r="VKY178" s="357"/>
      <c r="VKZ178" s="357"/>
      <c r="VLA178" s="357"/>
      <c r="VLB178" s="356"/>
      <c r="VLC178" s="357"/>
      <c r="VLD178" s="357"/>
      <c r="VLE178" s="357"/>
      <c r="VLF178" s="357"/>
      <c r="VLG178" s="357"/>
      <c r="VLH178" s="356"/>
      <c r="VLI178" s="357"/>
      <c r="VLJ178" s="357"/>
      <c r="VLK178" s="357"/>
      <c r="VLL178" s="357"/>
      <c r="VLM178" s="357"/>
      <c r="VLN178" s="356"/>
      <c r="VLO178" s="357"/>
      <c r="VLP178" s="357"/>
      <c r="VLQ178" s="357"/>
      <c r="VLR178" s="357"/>
      <c r="VLS178" s="357"/>
      <c r="VLT178" s="356"/>
      <c r="VLU178" s="357"/>
      <c r="VLV178" s="357"/>
      <c r="VLW178" s="357"/>
      <c r="VLX178" s="357"/>
      <c r="VLY178" s="357"/>
      <c r="VLZ178" s="356"/>
      <c r="VMA178" s="357"/>
      <c r="VMB178" s="357"/>
      <c r="VMC178" s="357"/>
      <c r="VMD178" s="357"/>
      <c r="VME178" s="357"/>
      <c r="VMF178" s="356"/>
      <c r="VMG178" s="357"/>
      <c r="VMH178" s="357"/>
      <c r="VMI178" s="357"/>
      <c r="VMJ178" s="357"/>
      <c r="VMK178" s="357"/>
      <c r="VML178" s="356"/>
      <c r="VMM178" s="357"/>
      <c r="VMN178" s="357"/>
      <c r="VMO178" s="357"/>
      <c r="VMP178" s="357"/>
      <c r="VMQ178" s="357"/>
      <c r="VMR178" s="356"/>
      <c r="VMS178" s="357"/>
      <c r="VMT178" s="357"/>
      <c r="VMU178" s="357"/>
      <c r="VMV178" s="357"/>
      <c r="VMW178" s="357"/>
      <c r="VMX178" s="356"/>
      <c r="VMY178" s="357"/>
      <c r="VMZ178" s="357"/>
      <c r="VNA178" s="357"/>
      <c r="VNB178" s="357"/>
      <c r="VNC178" s="357"/>
      <c r="VND178" s="356"/>
      <c r="VNE178" s="357"/>
      <c r="VNF178" s="357"/>
      <c r="VNG178" s="357"/>
      <c r="VNH178" s="357"/>
      <c r="VNI178" s="357"/>
      <c r="VNJ178" s="356"/>
      <c r="VNK178" s="357"/>
      <c r="VNL178" s="357"/>
      <c r="VNM178" s="357"/>
      <c r="VNN178" s="357"/>
      <c r="VNO178" s="357"/>
      <c r="VNP178" s="356"/>
      <c r="VNQ178" s="357"/>
      <c r="VNR178" s="357"/>
      <c r="VNS178" s="357"/>
      <c r="VNT178" s="357"/>
      <c r="VNU178" s="357"/>
      <c r="VNV178" s="356"/>
      <c r="VNW178" s="357"/>
      <c r="VNX178" s="357"/>
      <c r="VNY178" s="357"/>
      <c r="VNZ178" s="357"/>
      <c r="VOA178" s="357"/>
      <c r="VOB178" s="356"/>
      <c r="VOC178" s="357"/>
      <c r="VOD178" s="357"/>
      <c r="VOE178" s="357"/>
      <c r="VOF178" s="357"/>
      <c r="VOG178" s="357"/>
      <c r="VOH178" s="356"/>
      <c r="VOI178" s="357"/>
      <c r="VOJ178" s="357"/>
      <c r="VOK178" s="357"/>
      <c r="VOL178" s="357"/>
      <c r="VOM178" s="357"/>
      <c r="VON178" s="356"/>
      <c r="VOO178" s="357"/>
      <c r="VOP178" s="357"/>
      <c r="VOQ178" s="357"/>
      <c r="VOR178" s="357"/>
      <c r="VOS178" s="357"/>
      <c r="VOT178" s="356"/>
      <c r="VOU178" s="357"/>
      <c r="VOV178" s="357"/>
      <c r="VOW178" s="357"/>
      <c r="VOX178" s="357"/>
      <c r="VOY178" s="357"/>
      <c r="VOZ178" s="356"/>
      <c r="VPA178" s="357"/>
      <c r="VPB178" s="357"/>
      <c r="VPC178" s="357"/>
      <c r="VPD178" s="357"/>
      <c r="VPE178" s="357"/>
      <c r="VPF178" s="356"/>
      <c r="VPG178" s="357"/>
      <c r="VPH178" s="357"/>
      <c r="VPI178" s="357"/>
      <c r="VPJ178" s="357"/>
      <c r="VPK178" s="357"/>
      <c r="VPL178" s="356"/>
      <c r="VPM178" s="357"/>
      <c r="VPN178" s="357"/>
      <c r="VPO178" s="357"/>
      <c r="VPP178" s="357"/>
      <c r="VPQ178" s="357"/>
      <c r="VPR178" s="356"/>
      <c r="VPS178" s="357"/>
      <c r="VPT178" s="357"/>
      <c r="VPU178" s="357"/>
      <c r="VPV178" s="357"/>
      <c r="VPW178" s="357"/>
      <c r="VPX178" s="356"/>
      <c r="VPY178" s="357"/>
      <c r="VPZ178" s="357"/>
      <c r="VQA178" s="357"/>
      <c r="VQB178" s="357"/>
      <c r="VQC178" s="357"/>
      <c r="VQD178" s="356"/>
      <c r="VQE178" s="357"/>
      <c r="VQF178" s="357"/>
      <c r="VQG178" s="357"/>
      <c r="VQH178" s="357"/>
      <c r="VQI178" s="357"/>
      <c r="VQJ178" s="356"/>
      <c r="VQK178" s="357"/>
      <c r="VQL178" s="357"/>
      <c r="VQM178" s="357"/>
      <c r="VQN178" s="357"/>
      <c r="VQO178" s="357"/>
      <c r="VQP178" s="356"/>
      <c r="VQQ178" s="357"/>
      <c r="VQR178" s="357"/>
      <c r="VQS178" s="357"/>
      <c r="VQT178" s="357"/>
      <c r="VQU178" s="357"/>
      <c r="VQV178" s="356"/>
      <c r="VQW178" s="357"/>
      <c r="VQX178" s="357"/>
      <c r="VQY178" s="357"/>
      <c r="VQZ178" s="357"/>
      <c r="VRA178" s="357"/>
      <c r="VRB178" s="356"/>
      <c r="VRC178" s="357"/>
      <c r="VRD178" s="357"/>
      <c r="VRE178" s="357"/>
      <c r="VRF178" s="357"/>
      <c r="VRG178" s="357"/>
      <c r="VRH178" s="356"/>
      <c r="VRI178" s="357"/>
      <c r="VRJ178" s="357"/>
      <c r="VRK178" s="357"/>
      <c r="VRL178" s="357"/>
      <c r="VRM178" s="357"/>
      <c r="VRN178" s="356"/>
      <c r="VRO178" s="357"/>
      <c r="VRP178" s="357"/>
      <c r="VRQ178" s="357"/>
      <c r="VRR178" s="357"/>
      <c r="VRS178" s="357"/>
      <c r="VRT178" s="356"/>
      <c r="VRU178" s="357"/>
      <c r="VRV178" s="357"/>
      <c r="VRW178" s="357"/>
      <c r="VRX178" s="357"/>
      <c r="VRY178" s="357"/>
      <c r="VRZ178" s="356"/>
      <c r="VSA178" s="357"/>
      <c r="VSB178" s="357"/>
      <c r="VSC178" s="357"/>
      <c r="VSD178" s="357"/>
      <c r="VSE178" s="357"/>
      <c r="VSF178" s="356"/>
      <c r="VSG178" s="357"/>
      <c r="VSH178" s="357"/>
      <c r="VSI178" s="357"/>
      <c r="VSJ178" s="357"/>
      <c r="VSK178" s="357"/>
      <c r="VSL178" s="356"/>
      <c r="VSM178" s="357"/>
      <c r="VSN178" s="357"/>
      <c r="VSO178" s="357"/>
      <c r="VSP178" s="357"/>
      <c r="VSQ178" s="357"/>
      <c r="VSR178" s="356"/>
      <c r="VSS178" s="357"/>
      <c r="VST178" s="357"/>
      <c r="VSU178" s="357"/>
      <c r="VSV178" s="357"/>
      <c r="VSW178" s="357"/>
      <c r="VSX178" s="356"/>
      <c r="VSY178" s="357"/>
      <c r="VSZ178" s="357"/>
      <c r="VTA178" s="357"/>
      <c r="VTB178" s="357"/>
      <c r="VTC178" s="357"/>
      <c r="VTD178" s="356"/>
      <c r="VTE178" s="357"/>
      <c r="VTF178" s="357"/>
      <c r="VTG178" s="357"/>
      <c r="VTH178" s="357"/>
      <c r="VTI178" s="357"/>
      <c r="VTJ178" s="356"/>
      <c r="VTK178" s="357"/>
      <c r="VTL178" s="357"/>
      <c r="VTM178" s="357"/>
      <c r="VTN178" s="357"/>
      <c r="VTO178" s="357"/>
      <c r="VTP178" s="356"/>
      <c r="VTQ178" s="357"/>
      <c r="VTR178" s="357"/>
      <c r="VTS178" s="357"/>
      <c r="VTT178" s="357"/>
      <c r="VTU178" s="357"/>
      <c r="VTV178" s="356"/>
      <c r="VTW178" s="357"/>
      <c r="VTX178" s="357"/>
      <c r="VTY178" s="357"/>
      <c r="VTZ178" s="357"/>
      <c r="VUA178" s="357"/>
      <c r="VUB178" s="356"/>
      <c r="VUC178" s="357"/>
      <c r="VUD178" s="357"/>
      <c r="VUE178" s="357"/>
      <c r="VUF178" s="357"/>
      <c r="VUG178" s="357"/>
      <c r="VUH178" s="356"/>
      <c r="VUI178" s="357"/>
      <c r="VUJ178" s="357"/>
      <c r="VUK178" s="357"/>
      <c r="VUL178" s="357"/>
      <c r="VUM178" s="357"/>
      <c r="VUN178" s="356"/>
      <c r="VUO178" s="357"/>
      <c r="VUP178" s="357"/>
      <c r="VUQ178" s="357"/>
      <c r="VUR178" s="357"/>
      <c r="VUS178" s="357"/>
      <c r="VUT178" s="356"/>
      <c r="VUU178" s="357"/>
      <c r="VUV178" s="357"/>
      <c r="VUW178" s="357"/>
      <c r="VUX178" s="357"/>
      <c r="VUY178" s="357"/>
      <c r="VUZ178" s="356"/>
      <c r="VVA178" s="357"/>
      <c r="VVB178" s="357"/>
      <c r="VVC178" s="357"/>
      <c r="VVD178" s="357"/>
      <c r="VVE178" s="357"/>
      <c r="VVF178" s="356"/>
      <c r="VVG178" s="357"/>
      <c r="VVH178" s="357"/>
      <c r="VVI178" s="357"/>
      <c r="VVJ178" s="357"/>
      <c r="VVK178" s="357"/>
      <c r="VVL178" s="356"/>
      <c r="VVM178" s="357"/>
      <c r="VVN178" s="357"/>
      <c r="VVO178" s="357"/>
      <c r="VVP178" s="357"/>
      <c r="VVQ178" s="357"/>
      <c r="VVR178" s="356"/>
      <c r="VVS178" s="357"/>
      <c r="VVT178" s="357"/>
      <c r="VVU178" s="357"/>
      <c r="VVV178" s="357"/>
      <c r="VVW178" s="357"/>
      <c r="VVX178" s="356"/>
      <c r="VVY178" s="357"/>
      <c r="VVZ178" s="357"/>
      <c r="VWA178" s="357"/>
      <c r="VWB178" s="357"/>
      <c r="VWC178" s="357"/>
      <c r="VWD178" s="356"/>
      <c r="VWE178" s="357"/>
      <c r="VWF178" s="357"/>
      <c r="VWG178" s="357"/>
      <c r="VWH178" s="357"/>
      <c r="VWI178" s="357"/>
      <c r="VWJ178" s="356"/>
      <c r="VWK178" s="357"/>
      <c r="VWL178" s="357"/>
      <c r="VWM178" s="357"/>
      <c r="VWN178" s="357"/>
      <c r="VWO178" s="357"/>
      <c r="VWP178" s="356"/>
      <c r="VWQ178" s="357"/>
      <c r="VWR178" s="357"/>
      <c r="VWS178" s="357"/>
      <c r="VWT178" s="357"/>
      <c r="VWU178" s="357"/>
      <c r="VWV178" s="356"/>
      <c r="VWW178" s="357"/>
      <c r="VWX178" s="357"/>
      <c r="VWY178" s="357"/>
      <c r="VWZ178" s="357"/>
      <c r="VXA178" s="357"/>
      <c r="VXB178" s="356"/>
      <c r="VXC178" s="357"/>
      <c r="VXD178" s="357"/>
      <c r="VXE178" s="357"/>
      <c r="VXF178" s="357"/>
      <c r="VXG178" s="357"/>
      <c r="VXH178" s="356"/>
      <c r="VXI178" s="357"/>
      <c r="VXJ178" s="357"/>
      <c r="VXK178" s="357"/>
      <c r="VXL178" s="357"/>
      <c r="VXM178" s="357"/>
      <c r="VXN178" s="356"/>
      <c r="VXO178" s="357"/>
      <c r="VXP178" s="357"/>
      <c r="VXQ178" s="357"/>
      <c r="VXR178" s="357"/>
      <c r="VXS178" s="357"/>
      <c r="VXT178" s="356"/>
      <c r="VXU178" s="357"/>
      <c r="VXV178" s="357"/>
      <c r="VXW178" s="357"/>
      <c r="VXX178" s="357"/>
      <c r="VXY178" s="357"/>
      <c r="VXZ178" s="356"/>
      <c r="VYA178" s="357"/>
      <c r="VYB178" s="357"/>
      <c r="VYC178" s="357"/>
      <c r="VYD178" s="357"/>
      <c r="VYE178" s="357"/>
      <c r="VYF178" s="356"/>
      <c r="VYG178" s="357"/>
      <c r="VYH178" s="357"/>
      <c r="VYI178" s="357"/>
      <c r="VYJ178" s="357"/>
      <c r="VYK178" s="357"/>
      <c r="VYL178" s="356"/>
      <c r="VYM178" s="357"/>
      <c r="VYN178" s="357"/>
      <c r="VYO178" s="357"/>
      <c r="VYP178" s="357"/>
      <c r="VYQ178" s="357"/>
      <c r="VYR178" s="356"/>
      <c r="VYS178" s="357"/>
      <c r="VYT178" s="357"/>
      <c r="VYU178" s="357"/>
      <c r="VYV178" s="357"/>
      <c r="VYW178" s="357"/>
      <c r="VYX178" s="356"/>
      <c r="VYY178" s="357"/>
      <c r="VYZ178" s="357"/>
      <c r="VZA178" s="357"/>
      <c r="VZB178" s="357"/>
      <c r="VZC178" s="357"/>
      <c r="VZD178" s="356"/>
      <c r="VZE178" s="357"/>
      <c r="VZF178" s="357"/>
      <c r="VZG178" s="357"/>
      <c r="VZH178" s="357"/>
      <c r="VZI178" s="357"/>
      <c r="VZJ178" s="356"/>
      <c r="VZK178" s="357"/>
      <c r="VZL178" s="357"/>
      <c r="VZM178" s="357"/>
      <c r="VZN178" s="357"/>
      <c r="VZO178" s="357"/>
      <c r="VZP178" s="356"/>
      <c r="VZQ178" s="357"/>
      <c r="VZR178" s="357"/>
      <c r="VZS178" s="357"/>
      <c r="VZT178" s="357"/>
      <c r="VZU178" s="357"/>
      <c r="VZV178" s="356"/>
      <c r="VZW178" s="357"/>
      <c r="VZX178" s="357"/>
      <c r="VZY178" s="357"/>
      <c r="VZZ178" s="357"/>
      <c r="WAA178" s="357"/>
      <c r="WAB178" s="356"/>
      <c r="WAC178" s="357"/>
      <c r="WAD178" s="357"/>
      <c r="WAE178" s="357"/>
      <c r="WAF178" s="357"/>
      <c r="WAG178" s="357"/>
      <c r="WAH178" s="356"/>
      <c r="WAI178" s="357"/>
      <c r="WAJ178" s="357"/>
      <c r="WAK178" s="357"/>
      <c r="WAL178" s="357"/>
      <c r="WAM178" s="357"/>
      <c r="WAN178" s="356"/>
      <c r="WAO178" s="357"/>
      <c r="WAP178" s="357"/>
      <c r="WAQ178" s="357"/>
      <c r="WAR178" s="357"/>
      <c r="WAS178" s="357"/>
      <c r="WAT178" s="356"/>
      <c r="WAU178" s="357"/>
      <c r="WAV178" s="357"/>
      <c r="WAW178" s="357"/>
      <c r="WAX178" s="357"/>
      <c r="WAY178" s="357"/>
      <c r="WAZ178" s="356"/>
      <c r="WBA178" s="357"/>
      <c r="WBB178" s="357"/>
      <c r="WBC178" s="357"/>
      <c r="WBD178" s="357"/>
      <c r="WBE178" s="357"/>
      <c r="WBF178" s="356"/>
      <c r="WBG178" s="357"/>
      <c r="WBH178" s="357"/>
      <c r="WBI178" s="357"/>
      <c r="WBJ178" s="357"/>
      <c r="WBK178" s="357"/>
      <c r="WBL178" s="356"/>
      <c r="WBM178" s="357"/>
      <c r="WBN178" s="357"/>
      <c r="WBO178" s="357"/>
      <c r="WBP178" s="357"/>
      <c r="WBQ178" s="357"/>
      <c r="WBR178" s="356"/>
      <c r="WBS178" s="357"/>
      <c r="WBT178" s="357"/>
      <c r="WBU178" s="357"/>
      <c r="WBV178" s="357"/>
      <c r="WBW178" s="357"/>
      <c r="WBX178" s="356"/>
      <c r="WBY178" s="357"/>
      <c r="WBZ178" s="357"/>
      <c r="WCA178" s="357"/>
      <c r="WCB178" s="357"/>
      <c r="WCC178" s="357"/>
      <c r="WCD178" s="356"/>
      <c r="WCE178" s="357"/>
      <c r="WCF178" s="357"/>
      <c r="WCG178" s="357"/>
      <c r="WCH178" s="357"/>
      <c r="WCI178" s="357"/>
      <c r="WCJ178" s="356"/>
      <c r="WCK178" s="357"/>
      <c r="WCL178" s="357"/>
      <c r="WCM178" s="357"/>
      <c r="WCN178" s="357"/>
      <c r="WCO178" s="357"/>
      <c r="WCP178" s="356"/>
      <c r="WCQ178" s="357"/>
      <c r="WCR178" s="357"/>
      <c r="WCS178" s="357"/>
      <c r="WCT178" s="357"/>
      <c r="WCU178" s="357"/>
      <c r="WCV178" s="356"/>
      <c r="WCW178" s="357"/>
      <c r="WCX178" s="357"/>
      <c r="WCY178" s="357"/>
      <c r="WCZ178" s="357"/>
      <c r="WDA178" s="357"/>
      <c r="WDB178" s="356"/>
      <c r="WDC178" s="357"/>
      <c r="WDD178" s="357"/>
      <c r="WDE178" s="357"/>
      <c r="WDF178" s="357"/>
      <c r="WDG178" s="357"/>
      <c r="WDH178" s="356"/>
      <c r="WDI178" s="357"/>
      <c r="WDJ178" s="357"/>
      <c r="WDK178" s="357"/>
      <c r="WDL178" s="357"/>
      <c r="WDM178" s="357"/>
      <c r="WDN178" s="356"/>
      <c r="WDO178" s="357"/>
      <c r="WDP178" s="357"/>
      <c r="WDQ178" s="357"/>
      <c r="WDR178" s="357"/>
      <c r="WDS178" s="357"/>
      <c r="WDT178" s="356"/>
      <c r="WDU178" s="357"/>
      <c r="WDV178" s="357"/>
      <c r="WDW178" s="357"/>
      <c r="WDX178" s="357"/>
      <c r="WDY178" s="357"/>
      <c r="WDZ178" s="356"/>
      <c r="WEA178" s="357"/>
      <c r="WEB178" s="357"/>
      <c r="WEC178" s="357"/>
      <c r="WED178" s="357"/>
      <c r="WEE178" s="357"/>
      <c r="WEF178" s="356"/>
      <c r="WEG178" s="357"/>
      <c r="WEH178" s="357"/>
      <c r="WEI178" s="357"/>
      <c r="WEJ178" s="357"/>
      <c r="WEK178" s="357"/>
      <c r="WEL178" s="356"/>
      <c r="WEM178" s="357"/>
      <c r="WEN178" s="357"/>
      <c r="WEO178" s="357"/>
      <c r="WEP178" s="357"/>
      <c r="WEQ178" s="357"/>
      <c r="WER178" s="356"/>
      <c r="WES178" s="357"/>
      <c r="WET178" s="357"/>
      <c r="WEU178" s="357"/>
      <c r="WEV178" s="357"/>
      <c r="WEW178" s="357"/>
      <c r="WEX178" s="356"/>
      <c r="WEY178" s="357"/>
      <c r="WEZ178" s="357"/>
      <c r="WFA178" s="357"/>
      <c r="WFB178" s="357"/>
      <c r="WFC178" s="357"/>
      <c r="WFD178" s="356"/>
      <c r="WFE178" s="357"/>
      <c r="WFF178" s="357"/>
      <c r="WFG178" s="357"/>
      <c r="WFH178" s="357"/>
      <c r="WFI178" s="357"/>
      <c r="WFJ178" s="356"/>
      <c r="WFK178" s="357"/>
      <c r="WFL178" s="357"/>
      <c r="WFM178" s="357"/>
      <c r="WFN178" s="357"/>
      <c r="WFO178" s="357"/>
      <c r="WFP178" s="356"/>
      <c r="WFQ178" s="357"/>
      <c r="WFR178" s="357"/>
      <c r="WFS178" s="357"/>
      <c r="WFT178" s="357"/>
      <c r="WFU178" s="357"/>
      <c r="WFV178" s="356"/>
      <c r="WFW178" s="357"/>
      <c r="WFX178" s="357"/>
      <c r="WFY178" s="357"/>
      <c r="WFZ178" s="357"/>
      <c r="WGA178" s="357"/>
      <c r="WGB178" s="356"/>
      <c r="WGC178" s="357"/>
      <c r="WGD178" s="357"/>
      <c r="WGE178" s="357"/>
      <c r="WGF178" s="357"/>
      <c r="WGG178" s="357"/>
      <c r="WGH178" s="356"/>
      <c r="WGI178" s="357"/>
      <c r="WGJ178" s="357"/>
      <c r="WGK178" s="357"/>
      <c r="WGL178" s="357"/>
      <c r="WGM178" s="357"/>
      <c r="WGN178" s="356"/>
      <c r="WGO178" s="357"/>
      <c r="WGP178" s="357"/>
      <c r="WGQ178" s="357"/>
      <c r="WGR178" s="357"/>
      <c r="WGS178" s="357"/>
      <c r="WGT178" s="356"/>
      <c r="WGU178" s="357"/>
      <c r="WGV178" s="357"/>
      <c r="WGW178" s="357"/>
      <c r="WGX178" s="357"/>
      <c r="WGY178" s="357"/>
      <c r="WGZ178" s="356"/>
      <c r="WHA178" s="357"/>
      <c r="WHB178" s="357"/>
      <c r="WHC178" s="357"/>
      <c r="WHD178" s="357"/>
      <c r="WHE178" s="357"/>
      <c r="WHF178" s="356"/>
      <c r="WHG178" s="357"/>
      <c r="WHH178" s="357"/>
      <c r="WHI178" s="357"/>
      <c r="WHJ178" s="357"/>
      <c r="WHK178" s="357"/>
      <c r="WHL178" s="356"/>
      <c r="WHM178" s="357"/>
      <c r="WHN178" s="357"/>
      <c r="WHO178" s="357"/>
      <c r="WHP178" s="357"/>
      <c r="WHQ178" s="357"/>
      <c r="WHR178" s="356"/>
      <c r="WHS178" s="357"/>
      <c r="WHT178" s="357"/>
      <c r="WHU178" s="357"/>
      <c r="WHV178" s="357"/>
      <c r="WHW178" s="357"/>
      <c r="WHX178" s="356"/>
      <c r="WHY178" s="357"/>
      <c r="WHZ178" s="357"/>
      <c r="WIA178" s="357"/>
      <c r="WIB178" s="357"/>
      <c r="WIC178" s="357"/>
      <c r="WID178" s="356"/>
      <c r="WIE178" s="357"/>
      <c r="WIF178" s="357"/>
      <c r="WIG178" s="357"/>
      <c r="WIH178" s="357"/>
      <c r="WII178" s="357"/>
      <c r="WIJ178" s="356"/>
      <c r="WIK178" s="357"/>
      <c r="WIL178" s="357"/>
      <c r="WIM178" s="357"/>
      <c r="WIN178" s="357"/>
      <c r="WIO178" s="357"/>
      <c r="WIP178" s="356"/>
      <c r="WIQ178" s="357"/>
      <c r="WIR178" s="357"/>
      <c r="WIS178" s="357"/>
      <c r="WIT178" s="357"/>
      <c r="WIU178" s="357"/>
      <c r="WIV178" s="356"/>
      <c r="WIW178" s="357"/>
      <c r="WIX178" s="357"/>
      <c r="WIY178" s="357"/>
      <c r="WIZ178" s="357"/>
      <c r="WJA178" s="357"/>
      <c r="WJB178" s="356"/>
      <c r="WJC178" s="357"/>
      <c r="WJD178" s="357"/>
      <c r="WJE178" s="357"/>
      <c r="WJF178" s="357"/>
      <c r="WJG178" s="357"/>
      <c r="WJH178" s="356"/>
      <c r="WJI178" s="357"/>
      <c r="WJJ178" s="357"/>
      <c r="WJK178" s="357"/>
      <c r="WJL178" s="357"/>
      <c r="WJM178" s="357"/>
      <c r="WJN178" s="356"/>
      <c r="WJO178" s="357"/>
      <c r="WJP178" s="357"/>
      <c r="WJQ178" s="357"/>
      <c r="WJR178" s="357"/>
      <c r="WJS178" s="357"/>
      <c r="WJT178" s="356"/>
      <c r="WJU178" s="357"/>
      <c r="WJV178" s="357"/>
      <c r="WJW178" s="357"/>
      <c r="WJX178" s="357"/>
      <c r="WJY178" s="357"/>
      <c r="WJZ178" s="356"/>
      <c r="WKA178" s="357"/>
      <c r="WKB178" s="357"/>
      <c r="WKC178" s="357"/>
      <c r="WKD178" s="357"/>
      <c r="WKE178" s="357"/>
      <c r="WKF178" s="356"/>
      <c r="WKG178" s="357"/>
      <c r="WKH178" s="357"/>
      <c r="WKI178" s="357"/>
      <c r="WKJ178" s="357"/>
      <c r="WKK178" s="357"/>
      <c r="WKL178" s="356"/>
      <c r="WKM178" s="357"/>
      <c r="WKN178" s="357"/>
      <c r="WKO178" s="357"/>
      <c r="WKP178" s="357"/>
      <c r="WKQ178" s="357"/>
      <c r="WKR178" s="356"/>
      <c r="WKS178" s="357"/>
      <c r="WKT178" s="357"/>
      <c r="WKU178" s="357"/>
      <c r="WKV178" s="357"/>
      <c r="WKW178" s="357"/>
      <c r="WKX178" s="356"/>
      <c r="WKY178" s="357"/>
      <c r="WKZ178" s="357"/>
      <c r="WLA178" s="357"/>
      <c r="WLB178" s="357"/>
      <c r="WLC178" s="357"/>
      <c r="WLD178" s="356"/>
      <c r="WLE178" s="357"/>
      <c r="WLF178" s="357"/>
      <c r="WLG178" s="357"/>
      <c r="WLH178" s="357"/>
      <c r="WLI178" s="357"/>
      <c r="WLJ178" s="356"/>
      <c r="WLK178" s="357"/>
      <c r="WLL178" s="357"/>
      <c r="WLM178" s="357"/>
      <c r="WLN178" s="357"/>
      <c r="WLO178" s="357"/>
      <c r="WLP178" s="356"/>
      <c r="WLQ178" s="357"/>
      <c r="WLR178" s="357"/>
      <c r="WLS178" s="357"/>
      <c r="WLT178" s="357"/>
      <c r="WLU178" s="357"/>
      <c r="WLV178" s="356"/>
      <c r="WLW178" s="357"/>
      <c r="WLX178" s="357"/>
      <c r="WLY178" s="357"/>
      <c r="WLZ178" s="357"/>
      <c r="WMA178" s="357"/>
      <c r="WMB178" s="356"/>
      <c r="WMC178" s="357"/>
      <c r="WMD178" s="357"/>
      <c r="WME178" s="357"/>
      <c r="WMF178" s="357"/>
      <c r="WMG178" s="357"/>
      <c r="WMH178" s="356"/>
      <c r="WMI178" s="357"/>
      <c r="WMJ178" s="357"/>
      <c r="WMK178" s="357"/>
      <c r="WML178" s="357"/>
      <c r="WMM178" s="357"/>
      <c r="WMN178" s="356"/>
      <c r="WMO178" s="357"/>
      <c r="WMP178" s="357"/>
      <c r="WMQ178" s="357"/>
      <c r="WMR178" s="357"/>
      <c r="WMS178" s="357"/>
      <c r="WMT178" s="356"/>
      <c r="WMU178" s="357"/>
      <c r="WMV178" s="357"/>
      <c r="WMW178" s="357"/>
      <c r="WMX178" s="357"/>
      <c r="WMY178" s="357"/>
      <c r="WMZ178" s="356"/>
      <c r="WNA178" s="357"/>
      <c r="WNB178" s="357"/>
      <c r="WNC178" s="357"/>
      <c r="WND178" s="357"/>
      <c r="WNE178" s="357"/>
      <c r="WNF178" s="356"/>
      <c r="WNG178" s="357"/>
      <c r="WNH178" s="357"/>
      <c r="WNI178" s="357"/>
      <c r="WNJ178" s="357"/>
      <c r="WNK178" s="357"/>
      <c r="WNL178" s="356"/>
      <c r="WNM178" s="357"/>
      <c r="WNN178" s="357"/>
      <c r="WNO178" s="357"/>
      <c r="WNP178" s="357"/>
      <c r="WNQ178" s="357"/>
      <c r="WNR178" s="356"/>
      <c r="WNS178" s="357"/>
      <c r="WNT178" s="357"/>
      <c r="WNU178" s="357"/>
      <c r="WNV178" s="357"/>
      <c r="WNW178" s="357"/>
      <c r="WNX178" s="356"/>
      <c r="WNY178" s="357"/>
      <c r="WNZ178" s="357"/>
      <c r="WOA178" s="357"/>
      <c r="WOB178" s="357"/>
      <c r="WOC178" s="357"/>
      <c r="WOD178" s="356"/>
      <c r="WOE178" s="357"/>
      <c r="WOF178" s="357"/>
      <c r="WOG178" s="357"/>
      <c r="WOH178" s="357"/>
      <c r="WOI178" s="357"/>
      <c r="WOJ178" s="356"/>
      <c r="WOK178" s="357"/>
      <c r="WOL178" s="357"/>
      <c r="WOM178" s="357"/>
      <c r="WON178" s="357"/>
      <c r="WOO178" s="357"/>
      <c r="WOP178" s="356"/>
      <c r="WOQ178" s="357"/>
      <c r="WOR178" s="357"/>
      <c r="WOS178" s="357"/>
      <c r="WOT178" s="357"/>
      <c r="WOU178" s="357"/>
      <c r="WOV178" s="356"/>
      <c r="WOW178" s="357"/>
      <c r="WOX178" s="357"/>
      <c r="WOY178" s="357"/>
      <c r="WOZ178" s="357"/>
      <c r="WPA178" s="357"/>
      <c r="WPB178" s="356"/>
      <c r="WPC178" s="357"/>
      <c r="WPD178" s="357"/>
      <c r="WPE178" s="357"/>
      <c r="WPF178" s="357"/>
      <c r="WPG178" s="357"/>
      <c r="WPH178" s="356"/>
      <c r="WPI178" s="357"/>
      <c r="WPJ178" s="357"/>
      <c r="WPK178" s="357"/>
      <c r="WPL178" s="357"/>
      <c r="WPM178" s="357"/>
      <c r="WPN178" s="356"/>
      <c r="WPO178" s="357"/>
      <c r="WPP178" s="357"/>
      <c r="WPQ178" s="357"/>
      <c r="WPR178" s="357"/>
      <c r="WPS178" s="357"/>
      <c r="WPT178" s="356"/>
      <c r="WPU178" s="357"/>
      <c r="WPV178" s="357"/>
      <c r="WPW178" s="357"/>
      <c r="WPX178" s="357"/>
      <c r="WPY178" s="357"/>
      <c r="WPZ178" s="356"/>
      <c r="WQA178" s="357"/>
      <c r="WQB178" s="357"/>
      <c r="WQC178" s="357"/>
      <c r="WQD178" s="357"/>
      <c r="WQE178" s="357"/>
      <c r="WQF178" s="356"/>
      <c r="WQG178" s="357"/>
      <c r="WQH178" s="357"/>
      <c r="WQI178" s="357"/>
      <c r="WQJ178" s="357"/>
      <c r="WQK178" s="357"/>
      <c r="WQL178" s="356"/>
      <c r="WQM178" s="357"/>
      <c r="WQN178" s="357"/>
      <c r="WQO178" s="357"/>
      <c r="WQP178" s="357"/>
      <c r="WQQ178" s="357"/>
      <c r="WQR178" s="356"/>
      <c r="WQS178" s="357"/>
      <c r="WQT178" s="357"/>
      <c r="WQU178" s="357"/>
      <c r="WQV178" s="357"/>
      <c r="WQW178" s="357"/>
      <c r="WQX178" s="356"/>
      <c r="WQY178" s="357"/>
      <c r="WQZ178" s="357"/>
      <c r="WRA178" s="357"/>
      <c r="WRB178" s="357"/>
      <c r="WRC178" s="357"/>
      <c r="WRD178" s="356"/>
      <c r="WRE178" s="357"/>
      <c r="WRF178" s="357"/>
      <c r="WRG178" s="357"/>
      <c r="WRH178" s="357"/>
      <c r="WRI178" s="357"/>
      <c r="WRJ178" s="356"/>
      <c r="WRK178" s="357"/>
      <c r="WRL178" s="357"/>
      <c r="WRM178" s="357"/>
      <c r="WRN178" s="357"/>
      <c r="WRO178" s="357"/>
      <c r="WRP178" s="356"/>
      <c r="WRQ178" s="357"/>
      <c r="WRR178" s="357"/>
      <c r="WRS178" s="357"/>
      <c r="WRT178" s="357"/>
      <c r="WRU178" s="357"/>
      <c r="WRV178" s="356"/>
      <c r="WRW178" s="357"/>
      <c r="WRX178" s="357"/>
      <c r="WRY178" s="357"/>
      <c r="WRZ178" s="357"/>
      <c r="WSA178" s="357"/>
      <c r="WSB178" s="356"/>
      <c r="WSC178" s="357"/>
      <c r="WSD178" s="357"/>
      <c r="WSE178" s="357"/>
      <c r="WSF178" s="357"/>
      <c r="WSG178" s="357"/>
      <c r="WSH178" s="356"/>
      <c r="WSI178" s="357"/>
      <c r="WSJ178" s="357"/>
      <c r="WSK178" s="357"/>
      <c r="WSL178" s="357"/>
      <c r="WSM178" s="357"/>
      <c r="WSN178" s="356"/>
      <c r="WSO178" s="357"/>
      <c r="WSP178" s="357"/>
      <c r="WSQ178" s="357"/>
      <c r="WSR178" s="357"/>
      <c r="WSS178" s="357"/>
      <c r="WST178" s="356"/>
      <c r="WSU178" s="357"/>
      <c r="WSV178" s="357"/>
      <c r="WSW178" s="357"/>
      <c r="WSX178" s="357"/>
      <c r="WSY178" s="357"/>
      <c r="WSZ178" s="356"/>
      <c r="WTA178" s="357"/>
      <c r="WTB178" s="357"/>
      <c r="WTC178" s="357"/>
      <c r="WTD178" s="357"/>
      <c r="WTE178" s="357"/>
      <c r="WTF178" s="356"/>
      <c r="WTG178" s="357"/>
      <c r="WTH178" s="357"/>
      <c r="WTI178" s="357"/>
      <c r="WTJ178" s="357"/>
      <c r="WTK178" s="357"/>
      <c r="WTL178" s="356"/>
      <c r="WTM178" s="357"/>
      <c r="WTN178" s="357"/>
      <c r="WTO178" s="357"/>
      <c r="WTP178" s="357"/>
      <c r="WTQ178" s="357"/>
      <c r="WTR178" s="356"/>
      <c r="WTS178" s="357"/>
      <c r="WTT178" s="357"/>
      <c r="WTU178" s="357"/>
      <c r="WTV178" s="357"/>
      <c r="WTW178" s="357"/>
      <c r="WTX178" s="356"/>
      <c r="WTY178" s="357"/>
      <c r="WTZ178" s="357"/>
      <c r="WUA178" s="357"/>
      <c r="WUB178" s="357"/>
      <c r="WUC178" s="357"/>
      <c r="WUD178" s="356"/>
      <c r="WUE178" s="357"/>
      <c r="WUF178" s="357"/>
      <c r="WUG178" s="357"/>
      <c r="WUH178" s="357"/>
      <c r="WUI178" s="357"/>
      <c r="WUJ178" s="356"/>
      <c r="WUK178" s="357"/>
      <c r="WUL178" s="357"/>
      <c r="WUM178" s="357"/>
      <c r="WUN178" s="357"/>
      <c r="WUO178" s="357"/>
      <c r="WUP178" s="356"/>
      <c r="WUQ178" s="357"/>
      <c r="WUR178" s="357"/>
      <c r="WUS178" s="357"/>
      <c r="WUT178" s="357"/>
      <c r="WUU178" s="357"/>
      <c r="WUV178" s="356"/>
      <c r="WUW178" s="357"/>
      <c r="WUX178" s="357"/>
      <c r="WUY178" s="357"/>
      <c r="WUZ178" s="357"/>
      <c r="WVA178" s="357"/>
      <c r="WVB178" s="356"/>
      <c r="WVC178" s="357"/>
      <c r="WVD178" s="357"/>
      <c r="WVE178" s="357"/>
      <c r="WVF178" s="357"/>
      <c r="WVG178" s="357"/>
      <c r="WVH178" s="356"/>
      <c r="WVI178" s="357"/>
      <c r="WVJ178" s="357"/>
      <c r="WVK178" s="357"/>
      <c r="WVL178" s="357"/>
      <c r="WVM178" s="357"/>
      <c r="WVN178" s="356"/>
      <c r="WVO178" s="357"/>
      <c r="WVP178" s="357"/>
      <c r="WVQ178" s="357"/>
      <c r="WVR178" s="357"/>
      <c r="WVS178" s="357"/>
      <c r="WVT178" s="356"/>
      <c r="WVU178" s="357"/>
      <c r="WVV178" s="357"/>
      <c r="WVW178" s="357"/>
      <c r="WVX178" s="357"/>
      <c r="WVY178" s="357"/>
      <c r="WVZ178" s="356"/>
      <c r="WWA178" s="357"/>
      <c r="WWB178" s="357"/>
      <c r="WWC178" s="357"/>
      <c r="WWD178" s="357"/>
      <c r="WWE178" s="357"/>
      <c r="WWF178" s="356"/>
      <c r="WWG178" s="357"/>
      <c r="WWH178" s="357"/>
      <c r="WWI178" s="357"/>
      <c r="WWJ178" s="357"/>
      <c r="WWK178" s="357"/>
      <c r="WWL178" s="356"/>
      <c r="WWM178" s="357"/>
      <c r="WWN178" s="357"/>
      <c r="WWO178" s="357"/>
      <c r="WWP178" s="357"/>
      <c r="WWQ178" s="357"/>
      <c r="WWR178" s="356"/>
      <c r="WWS178" s="357"/>
      <c r="WWT178" s="357"/>
      <c r="WWU178" s="357"/>
      <c r="WWV178" s="357"/>
      <c r="WWW178" s="357"/>
      <c r="WWX178" s="356"/>
      <c r="WWY178" s="357"/>
      <c r="WWZ178" s="357"/>
      <c r="WXA178" s="357"/>
      <c r="WXB178" s="357"/>
      <c r="WXC178" s="357"/>
      <c r="WXD178" s="356"/>
      <c r="WXE178" s="357"/>
      <c r="WXF178" s="357"/>
      <c r="WXG178" s="357"/>
      <c r="WXH178" s="357"/>
      <c r="WXI178" s="357"/>
      <c r="WXJ178" s="356"/>
      <c r="WXK178" s="357"/>
      <c r="WXL178" s="357"/>
      <c r="WXM178" s="357"/>
      <c r="WXN178" s="357"/>
      <c r="WXO178" s="357"/>
      <c r="WXP178" s="356"/>
      <c r="WXQ178" s="357"/>
      <c r="WXR178" s="357"/>
      <c r="WXS178" s="357"/>
      <c r="WXT178" s="357"/>
      <c r="WXU178" s="357"/>
      <c r="WXV178" s="356"/>
      <c r="WXW178" s="357"/>
      <c r="WXX178" s="357"/>
      <c r="WXY178" s="357"/>
      <c r="WXZ178" s="357"/>
      <c r="WYA178" s="357"/>
      <c r="WYB178" s="356"/>
      <c r="WYC178" s="357"/>
      <c r="WYD178" s="357"/>
      <c r="WYE178" s="357"/>
      <c r="WYF178" s="357"/>
      <c r="WYG178" s="357"/>
      <c r="WYH178" s="356"/>
      <c r="WYI178" s="357"/>
      <c r="WYJ178" s="357"/>
      <c r="WYK178" s="357"/>
      <c r="WYL178" s="357"/>
      <c r="WYM178" s="357"/>
      <c r="WYN178" s="356"/>
      <c r="WYO178" s="357"/>
      <c r="WYP178" s="357"/>
      <c r="WYQ178" s="357"/>
      <c r="WYR178" s="357"/>
      <c r="WYS178" s="357"/>
      <c r="WYT178" s="356"/>
      <c r="WYU178" s="357"/>
      <c r="WYV178" s="357"/>
      <c r="WYW178" s="357"/>
      <c r="WYX178" s="357"/>
      <c r="WYY178" s="357"/>
      <c r="WYZ178" s="356"/>
      <c r="WZA178" s="357"/>
      <c r="WZB178" s="357"/>
      <c r="WZC178" s="357"/>
      <c r="WZD178" s="357"/>
      <c r="WZE178" s="357"/>
      <c r="WZF178" s="356"/>
      <c r="WZG178" s="357"/>
      <c r="WZH178" s="357"/>
      <c r="WZI178" s="357"/>
      <c r="WZJ178" s="357"/>
      <c r="WZK178" s="357"/>
      <c r="WZL178" s="356"/>
      <c r="WZM178" s="357"/>
      <c r="WZN178" s="357"/>
      <c r="WZO178" s="357"/>
      <c r="WZP178" s="357"/>
      <c r="WZQ178" s="357"/>
      <c r="WZR178" s="356"/>
      <c r="WZS178" s="357"/>
      <c r="WZT178" s="357"/>
      <c r="WZU178" s="357"/>
      <c r="WZV178" s="357"/>
      <c r="WZW178" s="357"/>
      <c r="WZX178" s="356"/>
      <c r="WZY178" s="357"/>
      <c r="WZZ178" s="357"/>
      <c r="XAA178" s="357"/>
      <c r="XAB178" s="357"/>
      <c r="XAC178" s="357"/>
      <c r="XAD178" s="356"/>
      <c r="XAE178" s="357"/>
      <c r="XAF178" s="357"/>
      <c r="XAG178" s="357"/>
      <c r="XAH178" s="357"/>
      <c r="XAI178" s="357"/>
      <c r="XAJ178" s="356"/>
      <c r="XAK178" s="357"/>
      <c r="XAL178" s="357"/>
      <c r="XAM178" s="357"/>
      <c r="XAN178" s="357"/>
      <c r="XAO178" s="357"/>
      <c r="XAP178" s="356"/>
      <c r="XAQ178" s="357"/>
      <c r="XAR178" s="357"/>
      <c r="XAS178" s="357"/>
      <c r="XAT178" s="357"/>
      <c r="XAU178" s="357"/>
      <c r="XAV178" s="356"/>
      <c r="XAW178" s="357"/>
      <c r="XAX178" s="357"/>
      <c r="XAY178" s="357"/>
      <c r="XAZ178" s="357"/>
      <c r="XBA178" s="357"/>
      <c r="XBB178" s="356"/>
      <c r="XBC178" s="357"/>
      <c r="XBD178" s="357"/>
      <c r="XBE178" s="357"/>
      <c r="XBF178" s="357"/>
      <c r="XBG178" s="357"/>
      <c r="XBH178" s="356"/>
      <c r="XBI178" s="357"/>
      <c r="XBJ178" s="357"/>
      <c r="XBK178" s="357"/>
      <c r="XBL178" s="357"/>
      <c r="XBM178" s="357"/>
      <c r="XBN178" s="356"/>
      <c r="XBO178" s="357"/>
      <c r="XBP178" s="357"/>
      <c r="XBQ178" s="357"/>
      <c r="XBR178" s="357"/>
      <c r="XBS178" s="357"/>
      <c r="XBT178" s="356"/>
      <c r="XBU178" s="357"/>
      <c r="XBV178" s="357"/>
      <c r="XBW178" s="357"/>
      <c r="XBX178" s="357"/>
      <c r="XBY178" s="357"/>
      <c r="XBZ178" s="356"/>
      <c r="XCA178" s="357"/>
      <c r="XCB178" s="357"/>
      <c r="XCC178" s="357"/>
      <c r="XCD178" s="357"/>
      <c r="XCE178" s="357"/>
      <c r="XCF178" s="356"/>
      <c r="XCG178" s="357"/>
      <c r="XCH178" s="357"/>
      <c r="XCI178" s="357"/>
      <c r="XCJ178" s="357"/>
      <c r="XCK178" s="357"/>
      <c r="XCL178" s="356"/>
      <c r="XCM178" s="357"/>
      <c r="XCN178" s="357"/>
      <c r="XCO178" s="357"/>
      <c r="XCP178" s="357"/>
      <c r="XCQ178" s="357"/>
      <c r="XCR178" s="356"/>
      <c r="XCS178" s="357"/>
      <c r="XCT178" s="357"/>
      <c r="XCU178" s="357"/>
      <c r="XCV178" s="357"/>
      <c r="XCW178" s="357"/>
      <c r="XCX178" s="356"/>
      <c r="XCY178" s="357"/>
      <c r="XCZ178" s="357"/>
      <c r="XDA178" s="357"/>
      <c r="XDB178" s="357"/>
      <c r="XDC178" s="357"/>
      <c r="XDD178" s="356"/>
      <c r="XDE178" s="357"/>
      <c r="XDF178" s="357"/>
      <c r="XDG178" s="357"/>
      <c r="XDH178" s="357"/>
      <c r="XDI178" s="357"/>
      <c r="XDJ178" s="356"/>
      <c r="XDK178" s="357"/>
      <c r="XDL178" s="357"/>
      <c r="XDM178" s="357"/>
      <c r="XDN178" s="357"/>
      <c r="XDO178" s="357"/>
      <c r="XDP178" s="356"/>
      <c r="XDQ178" s="357"/>
      <c r="XDR178" s="357"/>
      <c r="XDS178" s="357"/>
      <c r="XDT178" s="357"/>
      <c r="XDU178" s="357"/>
      <c r="XDV178" s="356"/>
      <c r="XDW178" s="357"/>
      <c r="XDX178" s="357"/>
      <c r="XDY178" s="357"/>
      <c r="XDZ178" s="357"/>
      <c r="XEA178" s="357"/>
      <c r="XEB178" s="356"/>
      <c r="XEC178" s="357"/>
      <c r="XED178" s="357"/>
      <c r="XEE178" s="357"/>
      <c r="XEF178" s="357"/>
      <c r="XEG178" s="357"/>
      <c r="XEH178" s="356"/>
      <c r="XEI178" s="357"/>
      <c r="XEJ178" s="357"/>
      <c r="XEK178" s="357"/>
      <c r="XEL178" s="357"/>
      <c r="XEM178" s="357"/>
      <c r="XEN178" s="356"/>
      <c r="XEO178" s="357"/>
      <c r="XEP178" s="357"/>
      <c r="XEQ178" s="357"/>
      <c r="XER178" s="357"/>
      <c r="XES178" s="357"/>
      <c r="XET178" s="356"/>
      <c r="XEU178" s="357"/>
      <c r="XEV178" s="357"/>
      <c r="XEW178" s="357"/>
    </row>
    <row r="179" spans="1:16377" s="116" customFormat="1" ht="51" x14ac:dyDescent="0.2">
      <c r="A179" s="178" t="str">
        <f t="shared" ref="A179:C179" si="60">A149</f>
        <v>Year</v>
      </c>
      <c r="B179" s="179" t="str">
        <f t="shared" si="60"/>
        <v>Residential</v>
      </c>
      <c r="C179" s="179" t="str">
        <f t="shared" si="60"/>
        <v>General Service &lt; 50 kW</v>
      </c>
      <c r="D179" s="179" t="str">
        <f>D149</f>
        <v>General Service &gt; 50 to 4999 kW</v>
      </c>
      <c r="E179" s="180" t="str">
        <f>E149</f>
        <v>Street Lights</v>
      </c>
      <c r="F179" s="180" t="str">
        <f>F149</f>
        <v>Total</v>
      </c>
      <c r="G179"/>
      <c r="H179"/>
      <c r="I179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</row>
    <row r="180" spans="1:16377" s="116" customFormat="1" x14ac:dyDescent="0.2">
      <c r="A180" s="358" t="s">
        <v>127</v>
      </c>
      <c r="B180" s="358"/>
      <c r="C180" s="358"/>
      <c r="D180" s="358"/>
      <c r="E180" s="358"/>
      <c r="F180" s="358"/>
      <c r="G180"/>
      <c r="H180"/>
      <c r="I180"/>
      <c r="J180" s="90"/>
      <c r="K180" s="90"/>
      <c r="L180" s="90"/>
      <c r="M180" s="90"/>
      <c r="N180" s="90"/>
    </row>
    <row r="181" spans="1:16377" s="116" customFormat="1" x14ac:dyDescent="0.2">
      <c r="A181" s="181" t="str">
        <f>A145</f>
        <v>2024 Bridge</v>
      </c>
      <c r="B181" s="182">
        <f>'Rate Class Customer Model'!B21</f>
        <v>1371.4166666666667</v>
      </c>
      <c r="C181" s="182">
        <f>'Rate Class Customer Model'!C21</f>
        <v>233.91666666666666</v>
      </c>
      <c r="D181" s="182">
        <f>'Rate Class Customer Model'!D21</f>
        <v>15.333333333333334</v>
      </c>
      <c r="E181" s="182">
        <f>'Rate Class Customer Model'!E21</f>
        <v>622</v>
      </c>
      <c r="F181" s="182">
        <f>SUM(B181:E181)</f>
        <v>2242.666666666667</v>
      </c>
      <c r="G181"/>
      <c r="H181"/>
      <c r="I181"/>
      <c r="J181" s="90"/>
      <c r="K181" s="90"/>
      <c r="L181" s="90"/>
      <c r="M181" s="90"/>
      <c r="N181" s="90"/>
    </row>
    <row r="182" spans="1:16377" s="116" customFormat="1" x14ac:dyDescent="0.2">
      <c r="A182" s="181" t="str">
        <f>A146</f>
        <v>2025 Test</v>
      </c>
      <c r="B182" s="182">
        <f>'Rate Class Customer Model'!B22</f>
        <v>1367.7381869430576</v>
      </c>
      <c r="C182" s="182">
        <f>'Rate Class Customer Model'!C22</f>
        <v>233.89168135108605</v>
      </c>
      <c r="D182" s="182">
        <f>'Rate Class Customer Model'!D22</f>
        <v>15.02796266523036</v>
      </c>
      <c r="E182" s="182">
        <f>'Rate Class Customer Model'!E22</f>
        <v>622</v>
      </c>
      <c r="F182" s="182">
        <f>SUM(B182:E182)</f>
        <v>2238.6578309593742</v>
      </c>
      <c r="G182"/>
      <c r="H182"/>
      <c r="I182"/>
      <c r="J182" s="90"/>
      <c r="K182" s="90"/>
      <c r="L182" s="90"/>
      <c r="M182" s="90"/>
      <c r="N182" s="90"/>
    </row>
    <row r="183" spans="1:16377" x14ac:dyDescent="0.2">
      <c r="F183"/>
      <c r="G183"/>
      <c r="H183"/>
      <c r="I183"/>
    </row>
    <row r="184" spans="1:16377" x14ac:dyDescent="0.2">
      <c r="A184" s="359" t="s">
        <v>184</v>
      </c>
      <c r="B184" s="360"/>
      <c r="C184" s="360"/>
      <c r="D184" s="360"/>
      <c r="E184" s="360"/>
      <c r="F184"/>
      <c r="G184"/>
      <c r="H184"/>
      <c r="I184"/>
      <c r="J184" s="92"/>
      <c r="K184" s="92"/>
      <c r="L184" s="92"/>
    </row>
    <row r="185" spans="1:16377" s="116" customFormat="1" ht="51" x14ac:dyDescent="0.2">
      <c r="A185" s="183" t="str">
        <f>A179</f>
        <v>Year</v>
      </c>
      <c r="B185" s="180" t="str">
        <f t="shared" ref="B185:C185" si="61">B179</f>
        <v>Residential</v>
      </c>
      <c r="C185" s="180" t="str">
        <f t="shared" si="61"/>
        <v>General Service &lt; 50 kW</v>
      </c>
      <c r="D185" s="180" t="str">
        <f>D179</f>
        <v>General Service &gt; 50 to 4999 kW</v>
      </c>
      <c r="E185" s="180" t="str">
        <f>E179</f>
        <v>Street Lights</v>
      </c>
      <c r="F185"/>
      <c r="G185"/>
      <c r="H185"/>
      <c r="I185"/>
      <c r="J185" s="90"/>
      <c r="K185" s="90"/>
      <c r="L185" s="90"/>
      <c r="M185" s="90"/>
    </row>
    <row r="186" spans="1:16377" x14ac:dyDescent="0.2">
      <c r="A186" s="361" t="s">
        <v>128</v>
      </c>
      <c r="B186" s="362"/>
      <c r="C186" s="362"/>
      <c r="D186" s="362"/>
      <c r="E186" s="363"/>
      <c r="F186"/>
      <c r="G186"/>
      <c r="H186"/>
      <c r="I186"/>
      <c r="J186" s="92"/>
      <c r="K186" s="92"/>
    </row>
    <row r="187" spans="1:16377" x14ac:dyDescent="0.2">
      <c r="A187" s="136">
        <f>A175</f>
        <v>2023</v>
      </c>
      <c r="B187" s="156" t="e">
        <f>'Rate Class Energy Model'!#REF!</f>
        <v>#REF!</v>
      </c>
      <c r="C187" s="156" t="e">
        <f>'Rate Class Energy Model'!#REF!</f>
        <v>#REF!</v>
      </c>
      <c r="D187" s="156" t="e">
        <f>'Rate Class Energy Model'!#REF!</f>
        <v>#REF!</v>
      </c>
      <c r="E187" s="156" t="e">
        <f>'Rate Class Energy Model'!#REF!</f>
        <v>#REF!</v>
      </c>
      <c r="F187"/>
      <c r="G187"/>
      <c r="H187"/>
      <c r="I187"/>
      <c r="J187" s="92"/>
      <c r="K187" s="92"/>
    </row>
    <row r="188" spans="1:16377" x14ac:dyDescent="0.2">
      <c r="A188" s="105"/>
      <c r="B188" s="117"/>
      <c r="C188" s="117"/>
      <c r="D188" s="117"/>
      <c r="E188" s="117"/>
      <c r="F188"/>
      <c r="G188"/>
      <c r="H188"/>
      <c r="I188"/>
    </row>
    <row r="189" spans="1:16377" x14ac:dyDescent="0.2">
      <c r="A189" s="377" t="s">
        <v>185</v>
      </c>
      <c r="B189" s="372"/>
      <c r="C189" s="372"/>
      <c r="D189" s="372"/>
      <c r="E189" s="372"/>
      <c r="F189"/>
      <c r="G189"/>
      <c r="H189"/>
      <c r="I189"/>
    </row>
    <row r="190" spans="1:16377" s="116" customFormat="1" ht="51" x14ac:dyDescent="0.2">
      <c r="A190" s="183" t="str">
        <f t="shared" ref="A190:C190" si="62">A185</f>
        <v>Year</v>
      </c>
      <c r="B190" s="180" t="str">
        <f t="shared" si="62"/>
        <v>Residential</v>
      </c>
      <c r="C190" s="180" t="str">
        <f t="shared" si="62"/>
        <v>General Service &lt; 50 kW</v>
      </c>
      <c r="D190" s="180" t="str">
        <f>D185</f>
        <v>General Service &gt; 50 to 4999 kW</v>
      </c>
      <c r="E190" s="180" t="str">
        <f>E185</f>
        <v>Street Lights</v>
      </c>
      <c r="F190"/>
      <c r="G190"/>
      <c r="H190"/>
      <c r="I190"/>
      <c r="J190" s="90"/>
      <c r="K190" s="90"/>
      <c r="L190" s="90"/>
      <c r="M190" s="90"/>
    </row>
    <row r="191" spans="1:16377" x14ac:dyDescent="0.2">
      <c r="A191" s="361" t="s">
        <v>129</v>
      </c>
      <c r="B191" s="362"/>
      <c r="C191" s="362"/>
      <c r="D191" s="362"/>
      <c r="E191" s="363"/>
      <c r="F191"/>
      <c r="G191"/>
      <c r="H191"/>
      <c r="I191"/>
      <c r="J191" s="92"/>
      <c r="K191" s="92"/>
    </row>
    <row r="192" spans="1:16377" x14ac:dyDescent="0.2">
      <c r="A192" s="157" t="str">
        <f>A181</f>
        <v>2024 Bridge</v>
      </c>
      <c r="B192" s="156" t="e">
        <f t="shared" ref="B192:C192" si="63">B187</f>
        <v>#REF!</v>
      </c>
      <c r="C192" s="156" t="e">
        <f t="shared" si="63"/>
        <v>#REF!</v>
      </c>
      <c r="D192" s="156" t="e">
        <f>D187</f>
        <v>#REF!</v>
      </c>
      <c r="E192" s="156">
        <f>'Rate Class Energy Model'!K21</f>
        <v>570.85673633440513</v>
      </c>
      <c r="F192"/>
      <c r="G192"/>
      <c r="H192"/>
      <c r="I192"/>
      <c r="J192" s="92"/>
      <c r="K192" s="92"/>
    </row>
    <row r="193" spans="1:14" x14ac:dyDescent="0.2">
      <c r="A193" s="157" t="str">
        <f>A182</f>
        <v>2025 Test</v>
      </c>
      <c r="B193" s="156" t="e">
        <f>B192</f>
        <v>#REF!</v>
      </c>
      <c r="C193" s="156" t="e">
        <f t="shared" ref="C193:E193" si="64">C192</f>
        <v>#REF!</v>
      </c>
      <c r="D193" s="156" t="e">
        <f t="shared" si="64"/>
        <v>#REF!</v>
      </c>
      <c r="E193" s="156">
        <f t="shared" si="64"/>
        <v>570.85673633440513</v>
      </c>
      <c r="F193"/>
      <c r="G193"/>
      <c r="H193"/>
      <c r="I193"/>
      <c r="J193" s="92"/>
      <c r="K193" s="92"/>
    </row>
    <row r="194" spans="1:14" x14ac:dyDescent="0.2">
      <c r="F194"/>
      <c r="G194"/>
      <c r="H194"/>
      <c r="I194"/>
    </row>
    <row r="195" spans="1:14" x14ac:dyDescent="0.2">
      <c r="A195" s="377" t="s">
        <v>186</v>
      </c>
      <c r="B195" s="372"/>
      <c r="C195" s="372"/>
      <c r="D195" s="372"/>
      <c r="E195" s="372"/>
      <c r="F195"/>
      <c r="G195"/>
      <c r="H195"/>
      <c r="I195"/>
      <c r="M195" s="106"/>
    </row>
    <row r="196" spans="1:14" s="116" customFormat="1" ht="51" x14ac:dyDescent="0.2">
      <c r="A196" s="183" t="str">
        <f>A179</f>
        <v>Year</v>
      </c>
      <c r="B196" s="180" t="str">
        <f t="shared" ref="B196:C196" si="65">B179</f>
        <v>Residential</v>
      </c>
      <c r="C196" s="180" t="str">
        <f t="shared" si="65"/>
        <v>General Service &lt; 50 kW</v>
      </c>
      <c r="D196" s="180" t="str">
        <f t="shared" ref="D196:F196" si="66">D179</f>
        <v>General Service &gt; 50 to 4999 kW</v>
      </c>
      <c r="E196" s="180" t="str">
        <f t="shared" si="66"/>
        <v>Street Lights</v>
      </c>
      <c r="F196" s="180" t="str">
        <f t="shared" si="66"/>
        <v>Total</v>
      </c>
      <c r="G196"/>
      <c r="H196"/>
      <c r="I196"/>
      <c r="J196" s="90"/>
      <c r="K196" s="90"/>
      <c r="L196" s="90"/>
      <c r="M196" s="90"/>
      <c r="N196" s="90"/>
    </row>
    <row r="197" spans="1:14" x14ac:dyDescent="0.2">
      <c r="A197" s="361" t="s">
        <v>130</v>
      </c>
      <c r="B197" s="362"/>
      <c r="C197" s="362"/>
      <c r="D197" s="362"/>
      <c r="E197" s="362"/>
      <c r="F197" s="362"/>
      <c r="G197"/>
      <c r="H197"/>
      <c r="I197"/>
      <c r="J197" s="92"/>
      <c r="K197" s="92"/>
      <c r="L197" s="92"/>
      <c r="M197" s="92"/>
    </row>
    <row r="198" spans="1:14" x14ac:dyDescent="0.2">
      <c r="A198" s="136" t="str">
        <f>A192</f>
        <v>2024 Bridge</v>
      </c>
      <c r="B198" s="184" t="e">
        <f>B192*B181/1000000</f>
        <v>#REF!</v>
      </c>
      <c r="C198" s="184" t="e">
        <f t="shared" ref="C198:C199" si="67">C192*C181/1000000</f>
        <v>#REF!</v>
      </c>
      <c r="D198" s="184" t="e">
        <f t="shared" ref="D198:E199" si="68">D192*D181/1000000</f>
        <v>#REF!</v>
      </c>
      <c r="E198" s="184">
        <f t="shared" si="68"/>
        <v>0.35507289000000003</v>
      </c>
      <c r="F198" s="184" t="e">
        <f>SUM(B198:E198)</f>
        <v>#REF!</v>
      </c>
      <c r="G198"/>
      <c r="H198"/>
      <c r="I198"/>
      <c r="J198" s="92"/>
      <c r="K198" s="92"/>
      <c r="L198" s="92"/>
      <c r="M198" s="92"/>
    </row>
    <row r="199" spans="1:14" x14ac:dyDescent="0.2">
      <c r="A199" s="136" t="str">
        <f>A193</f>
        <v>2025 Test</v>
      </c>
      <c r="B199" s="184" t="e">
        <f>B193*B182/1000000</f>
        <v>#REF!</v>
      </c>
      <c r="C199" s="184" t="e">
        <f t="shared" si="67"/>
        <v>#REF!</v>
      </c>
      <c r="D199" s="184" t="e">
        <f t="shared" si="68"/>
        <v>#REF!</v>
      </c>
      <c r="E199" s="184">
        <f t="shared" si="68"/>
        <v>0.35507289000000003</v>
      </c>
      <c r="F199" s="184" t="e">
        <f>SUM(B199:E199)</f>
        <v>#REF!</v>
      </c>
      <c r="G199"/>
      <c r="H199"/>
      <c r="I199"/>
      <c r="J199" s="92"/>
      <c r="K199" s="92"/>
      <c r="L199" s="92"/>
      <c r="M199" s="92"/>
    </row>
    <row r="200" spans="1:14" x14ac:dyDescent="0.2">
      <c r="F200"/>
      <c r="G200"/>
      <c r="H200"/>
      <c r="I200"/>
    </row>
    <row r="201" spans="1:14" x14ac:dyDescent="0.2">
      <c r="B201" s="372" t="s">
        <v>187</v>
      </c>
      <c r="C201" s="372"/>
      <c r="D201" s="372"/>
      <c r="E201" s="372"/>
      <c r="F201"/>
      <c r="G201"/>
      <c r="H201"/>
      <c r="I201"/>
    </row>
    <row r="202" spans="1:14" ht="51" x14ac:dyDescent="0.2">
      <c r="B202" s="88" t="str">
        <f>B196</f>
        <v>Residential</v>
      </c>
      <c r="C202" s="88" t="str">
        <f t="shared" ref="C202" si="69">C196</f>
        <v>General Service &lt; 50 kW</v>
      </c>
      <c r="D202" s="88" t="str">
        <f>D196</f>
        <v>General Service &gt; 50 to 4999 kW</v>
      </c>
      <c r="E202" s="88" t="str">
        <f>E196</f>
        <v>Street Lights</v>
      </c>
      <c r="F202"/>
      <c r="G202"/>
      <c r="H202"/>
      <c r="I202"/>
      <c r="J202" s="92"/>
      <c r="K202" s="92"/>
    </row>
    <row r="203" spans="1:14" x14ac:dyDescent="0.2">
      <c r="B203" s="359" t="s">
        <v>131</v>
      </c>
      <c r="C203" s="360"/>
      <c r="D203" s="360"/>
      <c r="E203" s="360"/>
      <c r="F203"/>
      <c r="G203"/>
      <c r="H203"/>
      <c r="I203"/>
      <c r="J203" s="92"/>
      <c r="K203" s="92"/>
    </row>
    <row r="204" spans="1:14" x14ac:dyDescent="0.2">
      <c r="B204" s="125">
        <f>'Rate Class Energy Model'!H31</f>
        <v>0.8388960051232367</v>
      </c>
      <c r="C204" s="125">
        <f>'Rate Class Energy Model'!I31</f>
        <v>0.8388960051232367</v>
      </c>
      <c r="D204" s="125">
        <f>'Rate Class Energy Model'!J31</f>
        <v>0.6777920102464734</v>
      </c>
      <c r="E204" s="125">
        <f>'Rate Class Energy Model'!K31</f>
        <v>0</v>
      </c>
      <c r="F204"/>
      <c r="G204"/>
      <c r="H204"/>
      <c r="I204"/>
      <c r="J204" s="92"/>
      <c r="K204" s="92"/>
    </row>
    <row r="205" spans="1:14" x14ac:dyDescent="0.2">
      <c r="B205" s="118"/>
      <c r="C205" s="118"/>
      <c r="D205" s="118"/>
      <c r="E205" s="118"/>
      <c r="F205"/>
      <c r="G205"/>
      <c r="H205"/>
      <c r="I205"/>
    </row>
    <row r="206" spans="1:14" s="90" customFormat="1" x14ac:dyDescent="0.2">
      <c r="F206"/>
      <c r="G206"/>
      <c r="H206"/>
      <c r="I206"/>
    </row>
    <row r="207" spans="1:14" s="92" customFormat="1" x14ac:dyDescent="0.2"/>
    <row r="208" spans="1:14" x14ac:dyDescent="0.2">
      <c r="A208" s="372" t="s">
        <v>188</v>
      </c>
      <c r="B208" s="372"/>
      <c r="C208" s="372"/>
      <c r="D208" s="372"/>
      <c r="E208" s="372"/>
      <c r="F208"/>
      <c r="G208"/>
      <c r="H208"/>
      <c r="I208"/>
      <c r="J208"/>
      <c r="K208"/>
      <c r="L208"/>
      <c r="M208"/>
      <c r="N208" s="98"/>
    </row>
    <row r="209" spans="1:13" ht="38.25" customHeight="1" x14ac:dyDescent="0.2">
      <c r="A209" s="126" t="s">
        <v>65</v>
      </c>
      <c r="B209" s="127" t="str">
        <f t="shared" ref="B209:E209" si="70">B202</f>
        <v>Residential</v>
      </c>
      <c r="C209" s="127" t="str">
        <f t="shared" si="70"/>
        <v>General Service &lt; 50 kW</v>
      </c>
      <c r="D209" s="127" t="str">
        <f t="shared" si="70"/>
        <v>General Service &gt; 50 to 4999 kW</v>
      </c>
      <c r="E209" s="127" t="str">
        <f t="shared" si="70"/>
        <v>Street Lights</v>
      </c>
      <c r="F209" s="127" t="s">
        <v>8</v>
      </c>
      <c r="G209"/>
      <c r="H209"/>
      <c r="I209"/>
      <c r="J209"/>
      <c r="K209"/>
      <c r="L209"/>
      <c r="M209"/>
    </row>
    <row r="210" spans="1:13" x14ac:dyDescent="0.2">
      <c r="A210" s="364" t="s">
        <v>132</v>
      </c>
      <c r="B210" s="364"/>
      <c r="C210" s="364"/>
      <c r="D210" s="364"/>
      <c r="E210" s="364"/>
      <c r="F210" s="364"/>
      <c r="G210"/>
      <c r="H210"/>
      <c r="I210"/>
      <c r="J210"/>
      <c r="K210"/>
      <c r="L210"/>
      <c r="M210"/>
    </row>
    <row r="211" spans="1:13" x14ac:dyDescent="0.2">
      <c r="A211" s="136" t="str">
        <f t="shared" ref="A211:E212" si="71">A198</f>
        <v>2024 Bridge</v>
      </c>
      <c r="B211" s="184" t="e">
        <f t="shared" si="71"/>
        <v>#REF!</v>
      </c>
      <c r="C211" s="184" t="e">
        <f t="shared" si="71"/>
        <v>#REF!</v>
      </c>
      <c r="D211" s="184" t="e">
        <f t="shared" si="71"/>
        <v>#REF!</v>
      </c>
      <c r="E211" s="184">
        <f t="shared" si="71"/>
        <v>0.35507289000000003</v>
      </c>
      <c r="F211" s="184" t="e">
        <f>SUM(B211:E211)</f>
        <v>#REF!</v>
      </c>
      <c r="G211"/>
      <c r="H211"/>
      <c r="I211"/>
      <c r="J211"/>
      <c r="K211"/>
      <c r="L211"/>
      <c r="M211"/>
    </row>
    <row r="212" spans="1:13" x14ac:dyDescent="0.2">
      <c r="A212" s="136" t="str">
        <f t="shared" si="71"/>
        <v>2025 Test</v>
      </c>
      <c r="B212" s="184" t="e">
        <f t="shared" si="71"/>
        <v>#REF!</v>
      </c>
      <c r="C212" s="184" t="e">
        <f t="shared" si="71"/>
        <v>#REF!</v>
      </c>
      <c r="D212" s="184" t="e">
        <f t="shared" si="71"/>
        <v>#REF!</v>
      </c>
      <c r="E212" s="184">
        <f t="shared" si="71"/>
        <v>0.35507289000000003</v>
      </c>
      <c r="F212" s="184" t="e">
        <f>SUM(B212:E212)</f>
        <v>#REF!</v>
      </c>
      <c r="G212"/>
      <c r="H212"/>
      <c r="I212"/>
      <c r="J212"/>
      <c r="K212"/>
      <c r="L212"/>
      <c r="M212"/>
    </row>
    <row r="213" spans="1:13" x14ac:dyDescent="0.2">
      <c r="A213" s="364" t="s">
        <v>133</v>
      </c>
      <c r="B213" s="364"/>
      <c r="C213" s="364"/>
      <c r="D213" s="364"/>
      <c r="E213" s="364"/>
      <c r="F213" s="364"/>
      <c r="G213"/>
      <c r="H213"/>
      <c r="I213"/>
      <c r="J213"/>
      <c r="K213"/>
      <c r="L213"/>
      <c r="M213"/>
    </row>
    <row r="214" spans="1:13" x14ac:dyDescent="0.2">
      <c r="A214" s="157" t="str">
        <f>A192</f>
        <v>2024 Bridge</v>
      </c>
      <c r="B214" s="185" t="e">
        <f>'Rate Class Energy Model'!#REF!/1000000</f>
        <v>#REF!</v>
      </c>
      <c r="C214" s="185" t="e">
        <f>'Rate Class Energy Model'!#REF!/1000000</f>
        <v>#REF!</v>
      </c>
      <c r="D214" s="185" t="e">
        <f>'Rate Class Energy Model'!#REF!/1000000</f>
        <v>#REF!</v>
      </c>
      <c r="E214" s="185" t="e">
        <f>'Rate Class Energy Model'!#REF!/1000000</f>
        <v>#REF!</v>
      </c>
      <c r="F214" s="184" t="e">
        <f>SUM(B214:E214)</f>
        <v>#REF!</v>
      </c>
      <c r="G214"/>
      <c r="H214"/>
      <c r="I214"/>
      <c r="J214"/>
      <c r="K214"/>
      <c r="L214"/>
      <c r="M214"/>
    </row>
    <row r="215" spans="1:13" x14ac:dyDescent="0.2">
      <c r="A215" s="157" t="str">
        <f>A193</f>
        <v>2025 Test</v>
      </c>
      <c r="B215" s="185">
        <f>'Rate Class Energy Model'!H35/1000000</f>
        <v>9.7389553226082115E-2</v>
      </c>
      <c r="C215" s="185">
        <f>'Rate Class Energy Model'!I35/1000000</f>
        <v>5.1835107584191492E-2</v>
      </c>
      <c r="D215" s="185">
        <f>'Rate Class Energy Model'!J35/1000000</f>
        <v>0.132830988384563</v>
      </c>
      <c r="E215" s="185">
        <f>'Rate Class Energy Model'!K35/1000000</f>
        <v>0</v>
      </c>
      <c r="F215" s="184">
        <f>SUM(B215:E215)</f>
        <v>0.28205564919483661</v>
      </c>
      <c r="G215"/>
      <c r="H215"/>
      <c r="I215"/>
      <c r="J215"/>
      <c r="K215"/>
      <c r="L215"/>
      <c r="M215"/>
    </row>
    <row r="216" spans="1:13" x14ac:dyDescent="0.2">
      <c r="A216" s="364" t="s">
        <v>134</v>
      </c>
      <c r="B216" s="364"/>
      <c r="C216" s="364"/>
      <c r="D216" s="364"/>
      <c r="E216" s="364"/>
      <c r="F216" s="364"/>
      <c r="G216"/>
      <c r="H216"/>
      <c r="I216"/>
      <c r="J216"/>
      <c r="K216"/>
      <c r="L216"/>
      <c r="M216"/>
    </row>
    <row r="217" spans="1:13" x14ac:dyDescent="0.2">
      <c r="A217" s="136" t="str">
        <f>A211</f>
        <v>2024 Bridge</v>
      </c>
      <c r="B217" s="186" t="e">
        <f>B211+B214</f>
        <v>#REF!</v>
      </c>
      <c r="C217" s="186" t="e">
        <f t="shared" ref="C217:E217" si="72">C211+C214</f>
        <v>#REF!</v>
      </c>
      <c r="D217" s="186" t="e">
        <f t="shared" si="72"/>
        <v>#REF!</v>
      </c>
      <c r="E217" s="186" t="e">
        <f t="shared" si="72"/>
        <v>#REF!</v>
      </c>
      <c r="F217" s="184" t="e">
        <f>SUM(B217:E217)</f>
        <v>#REF!</v>
      </c>
      <c r="G217"/>
      <c r="H217"/>
      <c r="I217"/>
      <c r="J217"/>
      <c r="K217"/>
      <c r="L217"/>
      <c r="M217"/>
    </row>
    <row r="218" spans="1:13" x14ac:dyDescent="0.2">
      <c r="A218" s="136" t="str">
        <f>A212</f>
        <v>2025 Test</v>
      </c>
      <c r="B218" s="186" t="e">
        <f>B212+B215</f>
        <v>#REF!</v>
      </c>
      <c r="C218" s="186" t="e">
        <f t="shared" ref="C218:E218" si="73">C212+C215</f>
        <v>#REF!</v>
      </c>
      <c r="D218" s="186" t="e">
        <f t="shared" si="73"/>
        <v>#REF!</v>
      </c>
      <c r="E218" s="186">
        <f t="shared" si="73"/>
        <v>0.35507289000000003</v>
      </c>
      <c r="F218" s="184" t="e">
        <f>SUM(B218:E218)</f>
        <v>#REF!</v>
      </c>
      <c r="G218"/>
      <c r="H218"/>
      <c r="I218"/>
      <c r="J218"/>
      <c r="K218"/>
      <c r="L218"/>
      <c r="M218"/>
    </row>
    <row r="219" spans="1:13" x14ac:dyDescent="0.2">
      <c r="A219" s="105"/>
      <c r="B219" s="120"/>
      <c r="C219" s="120"/>
      <c r="D219" s="120"/>
      <c r="E219" s="120"/>
      <c r="F219" s="120"/>
      <c r="G219" s="120"/>
      <c r="H219" s="120"/>
      <c r="I219" s="120"/>
      <c r="J219" s="119"/>
      <c r="K219" s="92"/>
      <c r="L219" s="92"/>
      <c r="M219" s="92"/>
    </row>
    <row r="220" spans="1:13" x14ac:dyDescent="0.2">
      <c r="A220" s="105"/>
      <c r="B220" s="117"/>
      <c r="C220" s="117"/>
      <c r="D220" s="117"/>
      <c r="E220" s="117"/>
    </row>
    <row r="221" spans="1:13" ht="12.95" customHeight="1" x14ac:dyDescent="0.2">
      <c r="A221" s="309" t="s">
        <v>189</v>
      </c>
      <c r="B221" s="309"/>
      <c r="C221"/>
      <c r="D221"/>
      <c r="E221"/>
      <c r="F221" s="92"/>
      <c r="G221" s="92"/>
      <c r="H221" s="92"/>
      <c r="I221" s="92"/>
    </row>
    <row r="222" spans="1:13" ht="51" x14ac:dyDescent="0.2">
      <c r="A222" s="126" t="s">
        <v>65</v>
      </c>
      <c r="B222" s="127" t="str">
        <f>D209</f>
        <v>General Service &gt; 50 to 4999 kW</v>
      </c>
      <c r="C222"/>
      <c r="D222"/>
      <c r="E222"/>
      <c r="F222" s="92"/>
      <c r="G222" s="92"/>
      <c r="H222" s="92"/>
    </row>
    <row r="223" spans="1:13" x14ac:dyDescent="0.2">
      <c r="A223" s="307" t="s">
        <v>135</v>
      </c>
      <c r="B223" s="308"/>
      <c r="C223"/>
      <c r="D223"/>
      <c r="E223"/>
      <c r="F223" s="92"/>
      <c r="G223" s="92"/>
      <c r="H223" s="92"/>
    </row>
    <row r="224" spans="1:13" x14ac:dyDescent="0.2">
      <c r="A224" s="136">
        <f>A166</f>
        <v>2014</v>
      </c>
      <c r="B224" s="187">
        <f>'Rate Class Load Model'!B16</f>
        <v>3.143524088310228E-3</v>
      </c>
      <c r="C224"/>
      <c r="D224"/>
      <c r="E224"/>
      <c r="F224" s="92"/>
      <c r="G224" s="92"/>
      <c r="H224" s="92"/>
    </row>
    <row r="225" spans="1:10" x14ac:dyDescent="0.2">
      <c r="A225" s="136">
        <f t="shared" ref="A225:A233" si="74">A167</f>
        <v>2015</v>
      </c>
      <c r="B225" s="187">
        <f>'Rate Class Load Model'!B17</f>
        <v>2.8755965530013676E-3</v>
      </c>
      <c r="C225"/>
      <c r="D225"/>
      <c r="E225"/>
      <c r="F225" s="92"/>
      <c r="G225" s="92"/>
      <c r="H225" s="92"/>
    </row>
    <row r="226" spans="1:10" x14ac:dyDescent="0.2">
      <c r="A226" s="136">
        <f t="shared" si="74"/>
        <v>2016</v>
      </c>
      <c r="B226" s="187">
        <f>'Rate Class Load Model'!B18</f>
        <v>2.5321119013567823E-3</v>
      </c>
      <c r="C226"/>
      <c r="D226"/>
      <c r="E226"/>
      <c r="F226" s="92"/>
      <c r="G226" s="92"/>
      <c r="H226" s="92"/>
    </row>
    <row r="227" spans="1:10" x14ac:dyDescent="0.2">
      <c r="A227" s="136">
        <f t="shared" si="74"/>
        <v>2017</v>
      </c>
      <c r="B227" s="187">
        <f>'Rate Class Load Model'!B19</f>
        <v>3.2007641361518038E-3</v>
      </c>
      <c r="C227"/>
      <c r="D227"/>
      <c r="E227"/>
      <c r="F227" s="92"/>
      <c r="G227" s="92"/>
      <c r="H227" s="92"/>
    </row>
    <row r="228" spans="1:10" x14ac:dyDescent="0.2">
      <c r="A228" s="136">
        <f t="shared" si="74"/>
        <v>2018</v>
      </c>
      <c r="B228" s="187">
        <f>'Rate Class Load Model'!B20</f>
        <v>3.5183851736434288E-3</v>
      </c>
      <c r="C228"/>
      <c r="D228"/>
      <c r="E228"/>
      <c r="F228" s="92"/>
      <c r="G228" s="92"/>
      <c r="H228" s="92"/>
    </row>
    <row r="229" spans="1:10" x14ac:dyDescent="0.2">
      <c r="A229" s="136">
        <f t="shared" si="74"/>
        <v>2019</v>
      </c>
      <c r="B229" s="187">
        <f>'Rate Class Load Model'!B21</f>
        <v>3.1332793022656406E-3</v>
      </c>
      <c r="C229"/>
      <c r="D229"/>
      <c r="E229"/>
      <c r="F229" s="92"/>
      <c r="G229" s="92"/>
      <c r="H229" s="92"/>
    </row>
    <row r="230" spans="1:10" x14ac:dyDescent="0.2">
      <c r="A230" s="136">
        <f t="shared" si="74"/>
        <v>2020</v>
      </c>
      <c r="B230" s="187">
        <f>'Rate Class Load Model'!B22</f>
        <v>2.845269946635324E-3</v>
      </c>
      <c r="C230"/>
      <c r="D230"/>
      <c r="E230"/>
      <c r="F230" s="92"/>
      <c r="G230" s="92"/>
      <c r="H230" s="92"/>
    </row>
    <row r="231" spans="1:10" x14ac:dyDescent="0.2">
      <c r="A231" s="136">
        <f t="shared" si="74"/>
        <v>2021</v>
      </c>
      <c r="B231" s="187">
        <f>'Rate Class Load Model'!B23</f>
        <v>2.8273873836797319E-3</v>
      </c>
      <c r="C231"/>
      <c r="D231"/>
      <c r="E231"/>
      <c r="F231" s="92"/>
      <c r="G231" s="92"/>
      <c r="H231" s="92"/>
    </row>
    <row r="232" spans="1:10" x14ac:dyDescent="0.2">
      <c r="A232" s="136">
        <f t="shared" si="74"/>
        <v>2022</v>
      </c>
      <c r="B232" s="187">
        <f>'Rate Class Load Model'!B24</f>
        <v>2.9905865143703856E-3</v>
      </c>
      <c r="C232"/>
      <c r="D232"/>
      <c r="E232"/>
      <c r="F232" s="92"/>
      <c r="G232" s="92"/>
      <c r="H232" s="92"/>
    </row>
    <row r="233" spans="1:10" x14ac:dyDescent="0.2">
      <c r="A233" s="136">
        <f t="shared" si="74"/>
        <v>2023</v>
      </c>
      <c r="B233" s="187">
        <f>'Rate Class Load Model'!B25</f>
        <v>3.0090787759730251E-3</v>
      </c>
      <c r="C233"/>
      <c r="D233"/>
      <c r="E233"/>
      <c r="F233" s="92"/>
      <c r="G233" s="92"/>
      <c r="H233" s="92"/>
    </row>
    <row r="234" spans="1:10" x14ac:dyDescent="0.2">
      <c r="A234" s="310"/>
      <c r="B234" s="311"/>
      <c r="C234"/>
      <c r="D234"/>
      <c r="E234"/>
      <c r="F234" s="92"/>
      <c r="G234" s="92"/>
      <c r="H234" s="92"/>
    </row>
    <row r="235" spans="1:10" x14ac:dyDescent="0.2">
      <c r="A235" s="128" t="s">
        <v>10</v>
      </c>
      <c r="B235" s="188">
        <f>'Rate Class Load Model'!B30</f>
        <v>3.0075983775387717E-3</v>
      </c>
      <c r="C235"/>
      <c r="D235"/>
      <c r="E235"/>
      <c r="F235" s="92"/>
      <c r="G235" s="92"/>
      <c r="H235" s="92"/>
    </row>
    <row r="237" spans="1:10" x14ac:dyDescent="0.2">
      <c r="A237" s="98" t="s">
        <v>190</v>
      </c>
      <c r="B237" s="98"/>
      <c r="C237"/>
      <c r="D237"/>
      <c r="E237"/>
      <c r="F237"/>
      <c r="G237" s="92"/>
      <c r="H237" s="92"/>
      <c r="I237" s="92"/>
      <c r="J237" s="92"/>
    </row>
    <row r="238" spans="1:10" ht="38.25" customHeight="1" x14ac:dyDescent="0.2">
      <c r="A238" s="126" t="s">
        <v>65</v>
      </c>
      <c r="B238" s="127" t="str">
        <f>D209</f>
        <v>General Service &gt; 50 to 4999 kW</v>
      </c>
      <c r="C238" s="127" t="str">
        <f>E209</f>
        <v>Street Lights</v>
      </c>
      <c r="D238"/>
      <c r="E238"/>
      <c r="F238"/>
      <c r="G238" s="92"/>
      <c r="H238" s="92"/>
      <c r="I238" s="92"/>
      <c r="J238" s="92"/>
    </row>
    <row r="239" spans="1:10" x14ac:dyDescent="0.2">
      <c r="A239" s="307" t="s">
        <v>136</v>
      </c>
      <c r="B239" s="308"/>
      <c r="C239" s="308"/>
      <c r="D239"/>
      <c r="E239"/>
      <c r="F239"/>
      <c r="G239" s="92"/>
      <c r="H239" s="92"/>
      <c r="I239" s="92"/>
      <c r="J239" s="92"/>
    </row>
    <row r="240" spans="1:10" x14ac:dyDescent="0.2">
      <c r="A240" s="136" t="str">
        <f>A217</f>
        <v>2024 Bridge</v>
      </c>
      <c r="B240" s="156">
        <f>'Rate Class Load Model'!B12</f>
        <v>45627.18</v>
      </c>
      <c r="C240" s="156">
        <f>'Rate Class Load Model'!C12</f>
        <v>1057.6799999999998</v>
      </c>
      <c r="D240"/>
      <c r="E240"/>
      <c r="F240"/>
      <c r="G240" s="92"/>
      <c r="H240" s="92"/>
      <c r="I240" s="92"/>
      <c r="J240" s="92"/>
    </row>
    <row r="241" spans="1:25" x14ac:dyDescent="0.2">
      <c r="A241" s="136" t="str">
        <f>A218</f>
        <v>2025 Test</v>
      </c>
      <c r="B241" s="156">
        <f>'Rate Class Load Model'!B13</f>
        <v>44856.438696787365</v>
      </c>
      <c r="C241" s="156">
        <f>'Rate Class Load Model'!C13</f>
        <v>1057.6799999999998</v>
      </c>
      <c r="D241"/>
      <c r="E241"/>
      <c r="F241"/>
      <c r="G241" s="92"/>
      <c r="H241" s="92"/>
      <c r="I241" s="92"/>
      <c r="J241" s="92"/>
    </row>
    <row r="242" spans="1:25" x14ac:dyDescent="0.2">
      <c r="A242" s="86"/>
      <c r="B242" s="121"/>
      <c r="C242" s="121"/>
      <c r="D242" s="121"/>
      <c r="E242" s="121"/>
      <c r="F242" s="121"/>
    </row>
    <row r="244" spans="1:25" x14ac:dyDescent="0.2">
      <c r="A244" s="98" t="s">
        <v>191</v>
      </c>
      <c r="Q244" s="98"/>
      <c r="R244" s="98"/>
      <c r="S244" s="98"/>
      <c r="T244" s="98"/>
      <c r="U244" s="98"/>
      <c r="V244" s="98"/>
      <c r="W244" s="98"/>
      <c r="X244" s="98"/>
      <c r="Y244" s="98"/>
    </row>
    <row r="245" spans="1:25" ht="38.25" x14ac:dyDescent="0.2">
      <c r="A245" s="127"/>
      <c r="B245" s="127" t="s">
        <v>139</v>
      </c>
      <c r="C245" s="127" t="s">
        <v>52</v>
      </c>
      <c r="D245" s="127" t="s">
        <v>55</v>
      </c>
      <c r="E245" s="127" t="s">
        <v>56</v>
      </c>
      <c r="F245" s="127" t="s">
        <v>144</v>
      </c>
      <c r="G245" s="127" t="s">
        <v>69</v>
      </c>
      <c r="H245" s="127" t="s">
        <v>70</v>
      </c>
      <c r="I245" s="127" t="s">
        <v>222</v>
      </c>
      <c r="J245" s="127" t="s">
        <v>246</v>
      </c>
      <c r="K245" s="127" t="s">
        <v>247</v>
      </c>
    </row>
    <row r="246" spans="1:25" x14ac:dyDescent="0.2">
      <c r="A246" s="361" t="s">
        <v>5</v>
      </c>
      <c r="B246" s="362"/>
      <c r="C246" s="362"/>
      <c r="D246" s="362"/>
      <c r="E246" s="362"/>
      <c r="F246" s="362"/>
      <c r="G246" s="362"/>
      <c r="H246" s="362"/>
      <c r="I246" s="362"/>
      <c r="J246" s="362"/>
      <c r="K246" s="363"/>
    </row>
    <row r="247" spans="1:25" x14ac:dyDescent="0.2">
      <c r="A247" s="136" t="s">
        <v>42</v>
      </c>
      <c r="B247" s="153"/>
      <c r="C247" s="153">
        <f>'Load Forecast Summary'!E4</f>
        <v>32032893.047619052</v>
      </c>
      <c r="D247" s="153">
        <f>'Load Forecast Summary'!F4</f>
        <v>32615191.333333336</v>
      </c>
      <c r="E247" s="153">
        <f>'Load Forecast Summary'!G4</f>
        <v>31966205</v>
      </c>
      <c r="F247" s="153">
        <f>'Load Forecast Summary'!H4</f>
        <v>32780485.850000001</v>
      </c>
      <c r="G247" s="153">
        <f>'Load Forecast Summary'!I4</f>
        <v>33741759</v>
      </c>
      <c r="H247" s="153">
        <f>'Load Forecast Summary'!J4</f>
        <v>32081389</v>
      </c>
      <c r="I247" s="153">
        <f>'Load Forecast Summary'!K4</f>
        <v>31929641</v>
      </c>
      <c r="J247" s="153"/>
      <c r="K247" s="153"/>
    </row>
    <row r="248" spans="1:25" ht="12.75" customHeight="1" x14ac:dyDescent="0.2">
      <c r="A248" s="157" t="s">
        <v>43</v>
      </c>
      <c r="B248" s="153">
        <v>30012110</v>
      </c>
      <c r="C248" s="153">
        <f>'Load Forecast Summary'!E5</f>
        <v>32327823.883200567</v>
      </c>
      <c r="D248" s="153">
        <f>'Load Forecast Summary'!F5</f>
        <v>33368600.356360652</v>
      </c>
      <c r="E248" s="153">
        <f>'Load Forecast Summary'!G5</f>
        <v>32482536.697219722</v>
      </c>
      <c r="F248" s="153">
        <f>'Load Forecast Summary'!H5</f>
        <v>33781714.039513543</v>
      </c>
      <c r="G248" s="153">
        <f>'Load Forecast Summary'!I5</f>
        <v>33269503.836934485</v>
      </c>
      <c r="H248" s="153">
        <f>'Load Forecast Summary'!J5</f>
        <v>31668233.564430892</v>
      </c>
      <c r="I248" s="153">
        <f>'Load Forecast Summary'!K5</f>
        <v>32150170.482867278</v>
      </c>
      <c r="J248" s="153">
        <f>'Load Forecast Summary'!L5</f>
        <v>30692874.926248491</v>
      </c>
      <c r="K248" s="153">
        <f>'Load Forecast Summary'!M5</f>
        <v>31055128.783905894</v>
      </c>
    </row>
    <row r="249" spans="1:25" ht="25.5" x14ac:dyDescent="0.2">
      <c r="A249" s="157" t="s">
        <v>137</v>
      </c>
      <c r="B249" s="189"/>
      <c r="C249" s="189">
        <f t="shared" ref="C249:I249" si="75">(C248-C247)/C247</f>
        <v>9.2071245373647782E-3</v>
      </c>
      <c r="D249" s="189">
        <f t="shared" si="75"/>
        <v>2.3099941843889096E-2</v>
      </c>
      <c r="E249" s="189">
        <f t="shared" si="75"/>
        <v>1.6152424012162908E-2</v>
      </c>
      <c r="F249" s="189">
        <f t="shared" si="75"/>
        <v>3.0543421293236925E-2</v>
      </c>
      <c r="G249" s="189">
        <f t="shared" si="75"/>
        <v>-1.3996163124320681E-2</v>
      </c>
      <c r="H249" s="189">
        <f t="shared" si="75"/>
        <v>-1.2878352479348931E-2</v>
      </c>
      <c r="I249" s="189">
        <f t="shared" si="75"/>
        <v>6.9067323014147938E-3</v>
      </c>
      <c r="J249" s="189"/>
      <c r="K249" s="189"/>
      <c r="L249" s="90"/>
      <c r="M249" s="90"/>
      <c r="N249" s="90"/>
      <c r="O249" s="90"/>
      <c r="P249" s="90"/>
      <c r="Q249" s="90"/>
      <c r="R249" s="90"/>
      <c r="S249" s="90"/>
      <c r="T249" s="90"/>
    </row>
    <row r="250" spans="1:25" x14ac:dyDescent="0.2">
      <c r="A250" s="190"/>
      <c r="B250" s="190"/>
      <c r="C250" s="190"/>
      <c r="D250" s="190"/>
      <c r="E250" s="190"/>
      <c r="F250" s="190"/>
      <c r="G250" s="190"/>
      <c r="H250" s="190"/>
      <c r="I250" s="190"/>
      <c r="J250" s="190"/>
      <c r="K250" s="190"/>
    </row>
    <row r="251" spans="1:25" ht="12.95" customHeight="1" x14ac:dyDescent="0.2">
      <c r="A251" s="150" t="s">
        <v>0</v>
      </c>
      <c r="B251" s="138"/>
      <c r="C251" s="191"/>
      <c r="D251" s="168"/>
      <c r="E251" s="168"/>
      <c r="F251" s="192"/>
      <c r="G251" s="192"/>
      <c r="H251" s="192"/>
      <c r="I251" s="193"/>
      <c r="J251" s="169">
        <f>'Rate Class Energy Model'!F16</f>
        <v>1.0769764281829444</v>
      </c>
      <c r="K251" s="169">
        <f>J251</f>
        <v>1.0769764281829444</v>
      </c>
    </row>
    <row r="252" spans="1:25" ht="12.95" customHeight="1" x14ac:dyDescent="0.2">
      <c r="A252" s="150" t="s">
        <v>57</v>
      </c>
      <c r="B252" s="153">
        <v>30307738</v>
      </c>
      <c r="C252" s="153">
        <f>'Load Forecast Summary'!E10</f>
        <v>29609898.409999996</v>
      </c>
      <c r="D252" s="153">
        <f>'Load Forecast Summary'!F10</f>
        <v>30145503.620000001</v>
      </c>
      <c r="E252" s="153">
        <f>'Load Forecast Summary'!G10</f>
        <v>29573579.190388303</v>
      </c>
      <c r="F252" s="153">
        <f>'Load Forecast Summary'!H10</f>
        <v>30497927.909999996</v>
      </c>
      <c r="G252" s="153">
        <f>'Load Forecast Summary'!I10</f>
        <v>31687365.220000003</v>
      </c>
      <c r="H252" s="153">
        <f>'Load Forecast Summary'!J10</f>
        <v>29981191.059999999</v>
      </c>
      <c r="I252" s="153">
        <f>'Load Forecast Summary'!K10</f>
        <v>29786783.909999996</v>
      </c>
      <c r="J252" s="153">
        <f>'Load Forecast Summary'!L10</f>
        <v>28877832.060000002</v>
      </c>
      <c r="K252" s="153">
        <f>'Load Forecast Summary'!M10</f>
        <v>28835476.776684482</v>
      </c>
    </row>
    <row r="253" spans="1:25" x14ac:dyDescent="0.2">
      <c r="A253" s="190"/>
      <c r="B253" s="190"/>
      <c r="C253" s="190"/>
      <c r="D253" s="190"/>
      <c r="E253" s="190"/>
      <c r="F253" s="190"/>
      <c r="G253" s="190"/>
      <c r="H253" s="190"/>
      <c r="I253" s="153"/>
      <c r="J253" s="153"/>
      <c r="K253" s="153"/>
    </row>
    <row r="254" spans="1:25" x14ac:dyDescent="0.2">
      <c r="A254" s="361" t="s">
        <v>138</v>
      </c>
      <c r="B254" s="362"/>
      <c r="C254" s="362"/>
      <c r="D254" s="362"/>
      <c r="E254" s="362"/>
      <c r="F254" s="362"/>
      <c r="G254" s="362"/>
      <c r="H254" s="362"/>
      <c r="I254" s="362"/>
      <c r="J254" s="362"/>
      <c r="K254" s="363"/>
    </row>
    <row r="255" spans="1:25" x14ac:dyDescent="0.2">
      <c r="A255" s="190" t="s">
        <v>1</v>
      </c>
      <c r="B255" s="190"/>
      <c r="C255" s="190"/>
      <c r="D255" s="190"/>
      <c r="E255" s="190"/>
      <c r="F255" s="190"/>
      <c r="G255" s="190"/>
      <c r="H255" s="190"/>
      <c r="I255" s="190"/>
      <c r="J255" s="190"/>
      <c r="K255" s="190"/>
    </row>
    <row r="256" spans="1:25" x14ac:dyDescent="0.2">
      <c r="A256" s="136" t="s">
        <v>36</v>
      </c>
      <c r="B256" s="139">
        <v>1389</v>
      </c>
      <c r="C256" s="139">
        <f>'Load Forecast Summary'!E14</f>
        <v>1389.75</v>
      </c>
      <c r="D256" s="139">
        <f>'Load Forecast Summary'!F14</f>
        <v>1384.75</v>
      </c>
      <c r="E256" s="139">
        <f>'Load Forecast Summary'!G14</f>
        <v>1382.1666666666667</v>
      </c>
      <c r="F256" s="139">
        <f>'Load Forecast Summary'!H14</f>
        <v>1382.1666666666667</v>
      </c>
      <c r="G256" s="139">
        <f>'Load Forecast Summary'!I14</f>
        <v>1375.3333333333333</v>
      </c>
      <c r="H256" s="139">
        <f>'Load Forecast Summary'!J14</f>
        <v>1374.25</v>
      </c>
      <c r="I256" s="139">
        <f>'Load Forecast Summary'!K14</f>
        <v>1373.25</v>
      </c>
      <c r="J256" s="139">
        <f>'Load Forecast Summary'!L14</f>
        <v>1371.4166666666667</v>
      </c>
      <c r="K256" s="139">
        <f>'Load Forecast Summary'!M14</f>
        <v>1367.7381869430576</v>
      </c>
    </row>
    <row r="257" spans="1:11" x14ac:dyDescent="0.2">
      <c r="A257" s="136" t="s">
        <v>37</v>
      </c>
      <c r="B257" s="139">
        <v>9682147</v>
      </c>
      <c r="C257" s="139">
        <f>'Load Forecast Summary'!E15</f>
        <v>8711446.4899999984</v>
      </c>
      <c r="D257" s="139">
        <f>'Load Forecast Summary'!F15</f>
        <v>9142615.4499999993</v>
      </c>
      <c r="E257" s="139">
        <f>'Load Forecast Summary'!G15</f>
        <v>9094155.1499999985</v>
      </c>
      <c r="F257" s="139">
        <f>'Load Forecast Summary'!H15</f>
        <v>9262308.5</v>
      </c>
      <c r="G257" s="139">
        <f>'Load Forecast Summary'!I15</f>
        <v>9440222.7800000012</v>
      </c>
      <c r="H257" s="139">
        <f>'Load Forecast Summary'!J15</f>
        <v>9369383.0700000003</v>
      </c>
      <c r="I257" s="139">
        <f>'Load Forecast Summary'!K15</f>
        <v>8825872.7699999996</v>
      </c>
      <c r="J257" s="139">
        <f>'Load Forecast Summary'!L15</f>
        <v>8779856.7200000007</v>
      </c>
      <c r="K257" s="139">
        <f>'Load Forecast Summary'!M15</f>
        <v>8853696.5193797834</v>
      </c>
    </row>
    <row r="258" spans="1:11" x14ac:dyDescent="0.2">
      <c r="A258" s="190"/>
      <c r="B258" s="190"/>
      <c r="C258" s="190"/>
      <c r="D258" s="190"/>
      <c r="E258" s="190"/>
      <c r="F258" s="190"/>
      <c r="G258" s="190"/>
      <c r="H258" s="190"/>
      <c r="I258" s="190"/>
      <c r="J258" s="190"/>
      <c r="K258" s="190"/>
    </row>
    <row r="259" spans="1:11" x14ac:dyDescent="0.2">
      <c r="A259" s="190" t="s">
        <v>72</v>
      </c>
      <c r="B259" s="190"/>
      <c r="C259" s="190"/>
      <c r="D259" s="190"/>
      <c r="E259" s="190"/>
      <c r="F259" s="190"/>
      <c r="G259" s="190"/>
      <c r="H259" s="190"/>
      <c r="I259" s="190"/>
      <c r="J259" s="190"/>
      <c r="K259" s="190"/>
    </row>
    <row r="260" spans="1:11" x14ac:dyDescent="0.2">
      <c r="A260" s="136" t="s">
        <v>36</v>
      </c>
      <c r="B260" s="139">
        <v>228</v>
      </c>
      <c r="C260" s="139">
        <f>'Load Forecast Summary'!E18</f>
        <v>232.5</v>
      </c>
      <c r="D260" s="139">
        <f>'Load Forecast Summary'!F18</f>
        <v>233.16666666666666</v>
      </c>
      <c r="E260" s="139">
        <f>'Load Forecast Summary'!G18</f>
        <v>233</v>
      </c>
      <c r="F260" s="139">
        <f>'Load Forecast Summary'!H18</f>
        <v>231.41666666666666</v>
      </c>
      <c r="G260" s="139">
        <f>'Load Forecast Summary'!I18</f>
        <v>232.83333333333334</v>
      </c>
      <c r="H260" s="139">
        <f>'Load Forecast Summary'!J18</f>
        <v>232.16666666666666</v>
      </c>
      <c r="I260" s="139">
        <f>'Load Forecast Summary'!K18</f>
        <v>232.66666666666666</v>
      </c>
      <c r="J260" s="139">
        <f>'Load Forecast Summary'!L18</f>
        <v>233.91666666666666</v>
      </c>
      <c r="K260" s="139">
        <f>'Load Forecast Summary'!M18</f>
        <v>233.89168135108605</v>
      </c>
    </row>
    <row r="261" spans="1:11" x14ac:dyDescent="0.2">
      <c r="A261" s="136" t="s">
        <v>37</v>
      </c>
      <c r="B261" s="139">
        <v>5119281</v>
      </c>
      <c r="C261" s="139">
        <f>'Load Forecast Summary'!E19</f>
        <v>4776480.3099999996</v>
      </c>
      <c r="D261" s="139">
        <f>'Load Forecast Summary'!F19</f>
        <v>4728871.66</v>
      </c>
      <c r="E261" s="139">
        <f>'Load Forecast Summary'!G19</f>
        <v>4649964.6899999995</v>
      </c>
      <c r="F261" s="139">
        <f>'Load Forecast Summary'!H19</f>
        <v>4251506.3099999996</v>
      </c>
      <c r="G261" s="139">
        <f>'Load Forecast Summary'!I19</f>
        <v>4361718.66</v>
      </c>
      <c r="H261" s="139">
        <f>'Load Forecast Summary'!J19</f>
        <v>4638599.13</v>
      </c>
      <c r="I261" s="139">
        <f>'Load Forecast Summary'!K19</f>
        <v>4501424.13</v>
      </c>
      <c r="J261" s="139">
        <f>'Load Forecast Summary'!L19</f>
        <v>4660998.8900000006</v>
      </c>
      <c r="K261" s="139">
        <f>'Load Forecast Summary'!M19</f>
        <v>4712336.142814598</v>
      </c>
    </row>
    <row r="262" spans="1:11" x14ac:dyDescent="0.2">
      <c r="A262" s="190"/>
      <c r="B262" s="190"/>
      <c r="C262" s="190"/>
      <c r="D262" s="190"/>
      <c r="E262" s="190"/>
      <c r="F262" s="190"/>
      <c r="G262" s="190"/>
      <c r="H262" s="190"/>
      <c r="I262" s="190"/>
      <c r="J262" s="190"/>
      <c r="K262" s="190"/>
    </row>
    <row r="263" spans="1:11" x14ac:dyDescent="0.2">
      <c r="A263" s="333" t="str">
        <f>D209</f>
        <v>General Service &gt; 50 to 4999 kW</v>
      </c>
      <c r="B263" s="334"/>
      <c r="C263" s="334"/>
      <c r="D263" s="334"/>
      <c r="E263" s="334"/>
      <c r="F263" s="334"/>
      <c r="G263" s="334"/>
      <c r="H263" s="334"/>
      <c r="I263" s="334"/>
      <c r="J263" s="335"/>
      <c r="K263" s="335"/>
    </row>
    <row r="264" spans="1:11" x14ac:dyDescent="0.2">
      <c r="A264" s="136" t="s">
        <v>36</v>
      </c>
      <c r="B264" s="139">
        <v>17</v>
      </c>
      <c r="C264" s="139">
        <f>'Load Forecast Summary'!E22</f>
        <v>17</v>
      </c>
      <c r="D264" s="139">
        <f>'Load Forecast Summary'!F22</f>
        <v>16.666666666666668</v>
      </c>
      <c r="E264" s="139">
        <f>'Load Forecast Summary'!G22</f>
        <v>16</v>
      </c>
      <c r="F264" s="139">
        <f>'Load Forecast Summary'!H22</f>
        <v>16</v>
      </c>
      <c r="G264" s="139">
        <f>'Load Forecast Summary'!I22</f>
        <v>15.833333333333334</v>
      </c>
      <c r="H264" s="139">
        <f>'Load Forecast Summary'!J22</f>
        <v>16.333333333333332</v>
      </c>
      <c r="I264" s="139">
        <f>'Load Forecast Summary'!K22</f>
        <v>16</v>
      </c>
      <c r="J264" s="139">
        <f>'Load Forecast Summary'!L22</f>
        <v>15.333333333333334</v>
      </c>
      <c r="K264" s="139">
        <f>'Load Forecast Summary'!M22</f>
        <v>15.02796266523036</v>
      </c>
    </row>
    <row r="265" spans="1:11" x14ac:dyDescent="0.2">
      <c r="A265" s="136" t="s">
        <v>37</v>
      </c>
      <c r="B265" s="139">
        <v>15044561</v>
      </c>
      <c r="C265" s="139">
        <f>'Load Forecast Summary'!E23</f>
        <v>15667365</v>
      </c>
      <c r="D265" s="139">
        <f>'Load Forecast Summary'!F23</f>
        <v>15854585.91</v>
      </c>
      <c r="E265" s="139">
        <f>'Load Forecast Summary'!G23</f>
        <v>15421989.340388302</v>
      </c>
      <c r="F265" s="139">
        <f>'Load Forecast Summary'!H23</f>
        <v>16578363.700000001</v>
      </c>
      <c r="G265" s="139">
        <f>'Load Forecast Summary'!I23</f>
        <v>17481240.91</v>
      </c>
      <c r="H265" s="139">
        <f>'Load Forecast Summary'!J23</f>
        <v>15578432.450000001</v>
      </c>
      <c r="I265" s="139">
        <f>'Load Forecast Summary'!K23</f>
        <v>16062198.299999999</v>
      </c>
      <c r="J265" s="139">
        <f>'Load Forecast Summary'!L23</f>
        <v>15081903.560000002</v>
      </c>
      <c r="K265" s="139">
        <f>'Load Forecast Summary'!M23</f>
        <v>14914371.224490099</v>
      </c>
    </row>
    <row r="266" spans="1:11" x14ac:dyDescent="0.2">
      <c r="A266" s="136" t="s">
        <v>38</v>
      </c>
      <c r="B266" s="139">
        <v>42599</v>
      </c>
      <c r="C266" s="139">
        <f>'Load Forecast Summary'!E24</f>
        <v>50147.540000000008</v>
      </c>
      <c r="D266" s="139">
        <f>'Load Forecast Summary'!F24</f>
        <v>55782.540000000008</v>
      </c>
      <c r="E266" s="139">
        <f>'Load Forecast Summary'!G24</f>
        <v>48321.4</v>
      </c>
      <c r="F266" s="139">
        <f>'Load Forecast Summary'!H24</f>
        <v>47169.919999999998</v>
      </c>
      <c r="G266" s="139">
        <f>'Load Forecast Summary'!I24</f>
        <v>49426.239999999998</v>
      </c>
      <c r="H266" s="139">
        <f>'Load Forecast Summary'!J24</f>
        <v>46588.650000000009</v>
      </c>
      <c r="I266" s="139">
        <f>'Load Forecast Summary'!K24</f>
        <v>48332.42</v>
      </c>
      <c r="J266" s="139">
        <f>'Load Forecast Summary'!L24</f>
        <v>45627.18</v>
      </c>
      <c r="K266" s="139">
        <f>'Load Forecast Summary'!M24</f>
        <v>44856.438696787365</v>
      </c>
    </row>
    <row r="267" spans="1:11" x14ac:dyDescent="0.2">
      <c r="A267" s="190"/>
      <c r="B267" s="190"/>
      <c r="C267" s="190"/>
      <c r="D267" s="190"/>
      <c r="E267" s="190"/>
      <c r="F267" s="190"/>
      <c r="G267" s="190"/>
      <c r="H267" s="190"/>
      <c r="I267" s="190"/>
      <c r="J267" s="190"/>
      <c r="K267" s="190"/>
    </row>
    <row r="268" spans="1:11" x14ac:dyDescent="0.2">
      <c r="A268" s="190" t="s">
        <v>47</v>
      </c>
      <c r="B268" s="190"/>
      <c r="C268" s="190"/>
      <c r="D268" s="190"/>
      <c r="E268" s="190"/>
      <c r="F268" s="190"/>
      <c r="G268" s="190"/>
      <c r="H268" s="190"/>
      <c r="I268" s="190"/>
      <c r="J268" s="190"/>
      <c r="K268" s="190"/>
    </row>
    <row r="269" spans="1:11" x14ac:dyDescent="0.2">
      <c r="A269" s="136" t="s">
        <v>39</v>
      </c>
      <c r="B269" s="139">
        <v>625</v>
      </c>
      <c r="C269" s="139">
        <f>'Load Forecast Summary'!E27</f>
        <v>626</v>
      </c>
      <c r="D269" s="139">
        <f>'Load Forecast Summary'!F27</f>
        <v>626</v>
      </c>
      <c r="E269" s="139">
        <f>'Load Forecast Summary'!G27</f>
        <v>626</v>
      </c>
      <c r="F269" s="139">
        <f>'Load Forecast Summary'!H27</f>
        <v>624</v>
      </c>
      <c r="G269" s="139">
        <f>'Load Forecast Summary'!I27</f>
        <v>624</v>
      </c>
      <c r="H269" s="139">
        <f>'Load Forecast Summary'!J27</f>
        <v>622</v>
      </c>
      <c r="I269" s="139">
        <f>'Load Forecast Summary'!K27</f>
        <v>621.33333333333337</v>
      </c>
      <c r="J269" s="139">
        <f>'Load Forecast Summary'!L27</f>
        <v>622</v>
      </c>
      <c r="K269" s="139">
        <f>'Load Forecast Summary'!M27</f>
        <v>622</v>
      </c>
    </row>
    <row r="270" spans="1:11" x14ac:dyDescent="0.2">
      <c r="A270" s="136" t="s">
        <v>37</v>
      </c>
      <c r="B270" s="139">
        <v>461749</v>
      </c>
      <c r="C270" s="139">
        <f>'Load Forecast Summary'!E28</f>
        <v>-208774.07375150919</v>
      </c>
      <c r="D270" s="139">
        <f>'Load Forecast Summary'!F28</f>
        <v>-6.7560819732147368E-3</v>
      </c>
      <c r="E270" s="139">
        <f>'Load Forecast Summary'!G28</f>
        <v>1.0700820247099947</v>
      </c>
      <c r="F270" s="139">
        <f>'Load Forecast Summary'!H28</f>
        <v>28877832.060000002</v>
      </c>
      <c r="G270" s="139">
        <f>'Load Forecast Summary'!I28</f>
        <v>8779856.7200000007</v>
      </c>
      <c r="H270" s="139">
        <f>'Load Forecast Summary'!J28</f>
        <v>4660998.8900000006</v>
      </c>
      <c r="I270" s="139">
        <f>'Load Forecast Summary'!K28</f>
        <v>15081903.560000002</v>
      </c>
      <c r="J270" s="139">
        <f>'Load Forecast Summary'!L28</f>
        <v>355072.89</v>
      </c>
      <c r="K270" s="139">
        <f>'Load Forecast Summary'!M28</f>
        <v>355072.89</v>
      </c>
    </row>
    <row r="271" spans="1:11" x14ac:dyDescent="0.2">
      <c r="A271" s="136" t="s">
        <v>38</v>
      </c>
      <c r="B271" s="139">
        <v>1430</v>
      </c>
      <c r="C271" s="139">
        <f>'Load Forecast Summary'!E29</f>
        <v>1409.64</v>
      </c>
      <c r="D271" s="139">
        <f>'Load Forecast Summary'!F29</f>
        <v>1300.56</v>
      </c>
      <c r="E271" s="139">
        <f>'Load Forecast Summary'!G29</f>
        <v>1263.4799999999998</v>
      </c>
      <c r="F271" s="139">
        <f>'Load Forecast Summary'!H29</f>
        <v>1253.2800000000004</v>
      </c>
      <c r="G271" s="139">
        <f>'Load Forecast Summary'!I29</f>
        <v>1253.2800000000004</v>
      </c>
      <c r="H271" s="139">
        <f>'Load Forecast Summary'!J29</f>
        <v>1153.8000000000002</v>
      </c>
      <c r="I271" s="139">
        <f>'Load Forecast Summary'!K29</f>
        <v>1112.5200000000002</v>
      </c>
      <c r="J271" s="139">
        <f>'Load Forecast Summary'!L29</f>
        <v>1057.6799999999998</v>
      </c>
      <c r="K271" s="139">
        <f>'Load Forecast Summary'!M29</f>
        <v>1057.6799999999998</v>
      </c>
    </row>
    <row r="272" spans="1:11" x14ac:dyDescent="0.2">
      <c r="A272" s="195"/>
      <c r="B272" s="190"/>
      <c r="C272" s="190"/>
      <c r="D272" s="190"/>
      <c r="E272" s="190"/>
      <c r="F272" s="190"/>
      <c r="G272" s="190"/>
      <c r="H272" s="190"/>
      <c r="I272" s="190"/>
      <c r="J272" s="190"/>
      <c r="K272" s="190"/>
    </row>
    <row r="273" spans="1:12" x14ac:dyDescent="0.2">
      <c r="A273" s="361" t="s">
        <v>8</v>
      </c>
      <c r="B273" s="362"/>
      <c r="C273" s="362"/>
      <c r="D273" s="362"/>
      <c r="E273" s="362"/>
      <c r="F273" s="362"/>
      <c r="G273" s="362"/>
      <c r="H273" s="362"/>
      <c r="I273" s="362"/>
      <c r="J273" s="362"/>
      <c r="K273" s="363"/>
    </row>
    <row r="274" spans="1:12" x14ac:dyDescent="0.2">
      <c r="A274" s="194" t="s">
        <v>41</v>
      </c>
      <c r="B274" s="139">
        <f>B269+B264+B260+B256</f>
        <v>2259</v>
      </c>
      <c r="C274" s="139">
        <f t="shared" ref="C274:J274" si="76">C269+C264+C260+C256</f>
        <v>2265.25</v>
      </c>
      <c r="D274" s="139">
        <f t="shared" si="76"/>
        <v>2260.583333333333</v>
      </c>
      <c r="E274" s="139">
        <f t="shared" si="76"/>
        <v>2257.166666666667</v>
      </c>
      <c r="F274" s="139">
        <f t="shared" si="76"/>
        <v>2253.5833333333335</v>
      </c>
      <c r="G274" s="139">
        <f t="shared" si="76"/>
        <v>2248</v>
      </c>
      <c r="H274" s="139">
        <f t="shared" si="76"/>
        <v>2244.75</v>
      </c>
      <c r="I274" s="139">
        <f t="shared" si="76"/>
        <v>2243.25</v>
      </c>
      <c r="J274" s="139">
        <f t="shared" si="76"/>
        <v>2242.666666666667</v>
      </c>
      <c r="K274" s="139">
        <f t="shared" ref="K274" si="77">K269+K264+K260+K256</f>
        <v>2238.6578309593742</v>
      </c>
    </row>
    <row r="275" spans="1:12" x14ac:dyDescent="0.2">
      <c r="A275" s="194" t="s">
        <v>37</v>
      </c>
      <c r="B275" s="139">
        <f>B270+B265++B261+B257</f>
        <v>30307738</v>
      </c>
      <c r="C275" s="139">
        <f t="shared" ref="C275:J275" si="78">C270+C265++C261+C257</f>
        <v>28946517.726248488</v>
      </c>
      <c r="D275" s="139">
        <f t="shared" si="78"/>
        <v>29726073.013243917</v>
      </c>
      <c r="E275" s="139">
        <f t="shared" si="78"/>
        <v>29166110.250470325</v>
      </c>
      <c r="F275" s="139">
        <f t="shared" si="78"/>
        <v>58970010.570000008</v>
      </c>
      <c r="G275" s="139">
        <f t="shared" si="78"/>
        <v>40063039.070000008</v>
      </c>
      <c r="H275" s="139">
        <f t="shared" si="78"/>
        <v>34247413.540000007</v>
      </c>
      <c r="I275" s="139">
        <f t="shared" si="78"/>
        <v>44471398.760000005</v>
      </c>
      <c r="J275" s="139">
        <f t="shared" si="78"/>
        <v>28877832.060000002</v>
      </c>
      <c r="K275" s="139">
        <f t="shared" ref="K275" si="79">K270+K265++K261+K257</f>
        <v>28835476.776684482</v>
      </c>
    </row>
    <row r="276" spans="1:12" x14ac:dyDescent="0.2">
      <c r="A276" s="136" t="s">
        <v>38</v>
      </c>
      <c r="B276" s="139">
        <f>B271+B266++B262+B258</f>
        <v>44029</v>
      </c>
      <c r="C276" s="139">
        <f t="shared" ref="C276:J276" si="80">C271+C266++C262+C258</f>
        <v>51557.180000000008</v>
      </c>
      <c r="D276" s="139">
        <f t="shared" si="80"/>
        <v>57083.100000000006</v>
      </c>
      <c r="E276" s="139">
        <f t="shared" si="80"/>
        <v>49584.880000000005</v>
      </c>
      <c r="F276" s="139">
        <f t="shared" si="80"/>
        <v>48423.199999999997</v>
      </c>
      <c r="G276" s="139">
        <f t="shared" si="80"/>
        <v>50679.519999999997</v>
      </c>
      <c r="H276" s="139">
        <f t="shared" si="80"/>
        <v>47742.450000000012</v>
      </c>
      <c r="I276" s="139">
        <f t="shared" si="80"/>
        <v>49444.939999999995</v>
      </c>
      <c r="J276" s="139">
        <f t="shared" si="80"/>
        <v>46684.86</v>
      </c>
      <c r="K276" s="139">
        <f t="shared" ref="K276" si="81">K271+K266++K262+K258</f>
        <v>45914.118696787365</v>
      </c>
    </row>
    <row r="277" spans="1:12" s="90" customFormat="1" x14ac:dyDescent="0.2"/>
    <row r="278" spans="1:12" s="90" customFormat="1" x14ac:dyDescent="0.2"/>
    <row r="279" spans="1:12" s="90" customFormat="1" x14ac:dyDescent="0.2">
      <c r="A279" s="204" t="s">
        <v>192</v>
      </c>
      <c r="B279" s="147"/>
      <c r="C279" s="147"/>
      <c r="D279" s="147"/>
      <c r="E279" s="147"/>
    </row>
    <row r="280" spans="1:12" s="90" customFormat="1" ht="34.5" customHeight="1" x14ac:dyDescent="0.2">
      <c r="A280" s="210" t="s">
        <v>145</v>
      </c>
      <c r="B280" s="210" t="s">
        <v>139</v>
      </c>
      <c r="C280" s="210" t="s">
        <v>146</v>
      </c>
      <c r="D280" s="210" t="s">
        <v>147</v>
      </c>
      <c r="E280" s="210" t="s">
        <v>148</v>
      </c>
    </row>
    <row r="281" spans="1:12" s="90" customFormat="1" x14ac:dyDescent="0.2">
      <c r="A281" s="198" t="str">
        <f>A4</f>
        <v>Residential</v>
      </c>
      <c r="B281" s="317">
        <f>B4</f>
        <v>778100</v>
      </c>
      <c r="C281" s="237">
        <v>754760.43</v>
      </c>
      <c r="D281" s="214">
        <f>C281-B281</f>
        <v>-23339.569999999949</v>
      </c>
      <c r="E281" s="200">
        <f>D281/B281</f>
        <v>-2.9995591826243347E-2</v>
      </c>
    </row>
    <row r="282" spans="1:12" s="90" customFormat="1" ht="14.25" customHeight="1" x14ac:dyDescent="0.2">
      <c r="A282" s="198" t="str">
        <f>A5</f>
        <v>General Service &lt; 50 kW</v>
      </c>
      <c r="B282" s="317">
        <f t="shared" ref="B282:B284" si="82">B5</f>
        <v>232745</v>
      </c>
      <c r="C282" s="237">
        <v>244268.61</v>
      </c>
      <c r="D282" s="214">
        <f t="shared" ref="D282:D284" si="83">C282-B282</f>
        <v>11523.609999999986</v>
      </c>
      <c r="E282" s="200">
        <f t="shared" ref="E282:E284" si="84">D282/B282</f>
        <v>4.9511740316655506E-2</v>
      </c>
    </row>
    <row r="283" spans="1:12" s="90" customFormat="1" x14ac:dyDescent="0.2">
      <c r="A283" s="198" t="str">
        <f>A6</f>
        <v>General Service &gt; 50 to 4999 kW</v>
      </c>
      <c r="B283" s="317">
        <f t="shared" si="82"/>
        <v>268510.96000000002</v>
      </c>
      <c r="C283" s="237">
        <v>266075.86</v>
      </c>
      <c r="D283" s="214">
        <f t="shared" si="83"/>
        <v>-2435.1000000000349</v>
      </c>
      <c r="E283" s="200">
        <f t="shared" si="84"/>
        <v>-9.0689035561156792E-3</v>
      </c>
    </row>
    <row r="284" spans="1:12" s="90" customFormat="1" x14ac:dyDescent="0.2">
      <c r="A284" s="198" t="str">
        <f>A7</f>
        <v>Street Lights</v>
      </c>
      <c r="B284" s="317">
        <f t="shared" si="82"/>
        <v>122900</v>
      </c>
      <c r="C284" s="237">
        <v>119547.92</v>
      </c>
      <c r="D284" s="214">
        <f t="shared" si="83"/>
        <v>-3352.0800000000017</v>
      </c>
      <c r="E284" s="200">
        <f t="shared" si="84"/>
        <v>-2.7274857607811242E-2</v>
      </c>
    </row>
    <row r="285" spans="1:12" s="90" customFormat="1" x14ac:dyDescent="0.2">
      <c r="A285" s="226" t="s">
        <v>8</v>
      </c>
      <c r="B285" s="247">
        <f>SUM(B281:B284)</f>
        <v>1402255.96</v>
      </c>
      <c r="C285" s="247">
        <f>SUM(C281:C284)</f>
        <v>1384652.8199999998</v>
      </c>
      <c r="D285" s="316">
        <f t="shared" ref="D285" si="85">C285-B285</f>
        <v>-17603.14000000013</v>
      </c>
      <c r="E285" s="315">
        <f t="shared" ref="E285" si="86">D285/B285</f>
        <v>-1.2553442810826156E-2</v>
      </c>
    </row>
    <row r="286" spans="1:12" s="90" customFormat="1" x14ac:dyDescent="0.2"/>
    <row r="287" spans="1:12" s="90" customFormat="1" ht="13.5" thickBot="1" x14ac:dyDescent="0.25">
      <c r="A287" s="204" t="s">
        <v>193</v>
      </c>
      <c r="B287" s="147"/>
      <c r="C287" s="147"/>
      <c r="D287" s="147"/>
      <c r="E287" s="147"/>
      <c r="F287" s="147"/>
      <c r="G287" s="147"/>
      <c r="H287" s="147"/>
      <c r="I287" s="147"/>
      <c r="J287" s="147"/>
      <c r="K287" s="147"/>
      <c r="L287" s="147"/>
    </row>
    <row r="288" spans="1:12" s="90" customFormat="1" ht="13.5" thickBot="1" x14ac:dyDescent="0.25">
      <c r="A288" s="204"/>
      <c r="B288" s="147"/>
      <c r="C288" s="147"/>
      <c r="D288" s="147"/>
      <c r="E288" s="147"/>
      <c r="F288" s="147"/>
      <c r="G288" s="147"/>
      <c r="H288" s="147"/>
      <c r="I288" s="147"/>
      <c r="J288" s="147"/>
      <c r="K288" s="207" t="s">
        <v>157</v>
      </c>
      <c r="L288" s="218" t="e">
        <f>$F$138</f>
        <v>#REF!</v>
      </c>
    </row>
    <row r="289" spans="1:12" s="90" customFormat="1" ht="36.75" customHeight="1" x14ac:dyDescent="0.2">
      <c r="A289" s="350" t="s">
        <v>149</v>
      </c>
      <c r="B289" s="352" t="s">
        <v>151</v>
      </c>
      <c r="C289" s="352"/>
      <c r="D289" s="352" t="s">
        <v>152</v>
      </c>
      <c r="E289" s="354" t="s">
        <v>153</v>
      </c>
      <c r="F289" s="354"/>
      <c r="G289" s="354" t="s">
        <v>156</v>
      </c>
      <c r="H289" s="354"/>
      <c r="I289" s="354" t="s">
        <v>154</v>
      </c>
      <c r="J289" s="354"/>
      <c r="K289" s="354" t="s">
        <v>155</v>
      </c>
      <c r="L289" s="355"/>
    </row>
    <row r="290" spans="1:12" s="90" customFormat="1" ht="25.5" x14ac:dyDescent="0.2">
      <c r="A290" s="351"/>
      <c r="B290" s="180" t="s">
        <v>139</v>
      </c>
      <c r="C290" s="180" t="s">
        <v>146</v>
      </c>
      <c r="D290" s="353"/>
      <c r="E290" s="180" t="s">
        <v>139</v>
      </c>
      <c r="F290" s="180" t="s">
        <v>146</v>
      </c>
      <c r="G290" s="180" t="s">
        <v>139</v>
      </c>
      <c r="H290" s="180" t="s">
        <v>146</v>
      </c>
      <c r="I290" s="180" t="s">
        <v>139</v>
      </c>
      <c r="J290" s="180" t="s">
        <v>146</v>
      </c>
      <c r="K290" s="180" t="s">
        <v>139</v>
      </c>
      <c r="L290" s="215" t="s">
        <v>146</v>
      </c>
    </row>
    <row r="291" spans="1:12" s="90" customFormat="1" x14ac:dyDescent="0.2">
      <c r="A291" s="224" t="str">
        <f>A281</f>
        <v>Residential</v>
      </c>
      <c r="B291" s="214">
        <f t="array" ref="B291:B294">TRANSPOSE(B74:E74)</f>
        <v>1389.453625043182</v>
      </c>
      <c r="C291" s="214">
        <f t="array" ref="C291:C294">TRANSPOSE(B$154:E$154)</f>
        <v>1389.75</v>
      </c>
      <c r="D291" s="202" t="s">
        <v>49</v>
      </c>
      <c r="E291" s="214">
        <v>9682147</v>
      </c>
      <c r="F291" s="205">
        <f t="array" ref="F291:F292">TRANSPOSE(B$46:C$46)*1000000</f>
        <v>8711446.4899999984</v>
      </c>
      <c r="G291" s="205" t="e">
        <f>E291*$L$288</f>
        <v>#REF!</v>
      </c>
      <c r="H291" s="205" t="e">
        <f>F291*$L$288</f>
        <v>#REF!</v>
      </c>
      <c r="I291" s="214">
        <f>E291/B291</f>
        <v>6968.3124542563228</v>
      </c>
      <c r="J291" s="214">
        <f>F291/C291</f>
        <v>6268.3550926425605</v>
      </c>
      <c r="K291" s="214" t="e">
        <f>G291/B291</f>
        <v>#REF!</v>
      </c>
      <c r="L291" s="197" t="e">
        <f>H291/C291</f>
        <v>#REF!</v>
      </c>
    </row>
    <row r="292" spans="1:12" s="90" customFormat="1" x14ac:dyDescent="0.2">
      <c r="A292" s="224" t="str">
        <f t="shared" ref="A292:A294" si="87">A282</f>
        <v>General Service &lt; 50 kW</v>
      </c>
      <c r="B292" s="214">
        <v>228.48509415540855</v>
      </c>
      <c r="C292" s="214">
        <v>232.5</v>
      </c>
      <c r="D292" s="202" t="s">
        <v>49</v>
      </c>
      <c r="E292" s="214">
        <v>5119281</v>
      </c>
      <c r="F292" s="205">
        <v>4776480.3099999996</v>
      </c>
      <c r="G292" s="205" t="e">
        <f t="shared" ref="G292:G294" si="88">E292*$L$288</f>
        <v>#REF!</v>
      </c>
      <c r="H292" s="205" t="e">
        <f t="shared" ref="H292:H294" si="89">F292*$L$288</f>
        <v>#REF!</v>
      </c>
      <c r="I292" s="214">
        <f t="shared" ref="I292:I294" si="90">E292/B292</f>
        <v>22405.317156129327</v>
      </c>
      <c r="J292" s="214">
        <f t="shared" ref="J292:J294" si="91">F292/C292</f>
        <v>20544.00133333333</v>
      </c>
      <c r="K292" s="214" t="e">
        <f t="shared" ref="K292:K294" si="92">G292/B292</f>
        <v>#REF!</v>
      </c>
      <c r="L292" s="197" t="e">
        <f t="shared" ref="L292:L293" si="93">H292/C292</f>
        <v>#REF!</v>
      </c>
    </row>
    <row r="293" spans="1:12" s="90" customFormat="1" x14ac:dyDescent="0.2">
      <c r="A293" s="224" t="str">
        <f t="shared" si="87"/>
        <v>General Service &gt; 50 to 4999 kW</v>
      </c>
      <c r="B293" s="214">
        <v>17</v>
      </c>
      <c r="C293" s="214">
        <v>17</v>
      </c>
      <c r="D293" s="202" t="s">
        <v>50</v>
      </c>
      <c r="E293" s="217">
        <v>42599</v>
      </c>
      <c r="F293" s="205">
        <f t="array" ref="F293:F294">TRANSPOSE('Rate Class Load Model'!B$5:C$5)</f>
        <v>50147.540000000008</v>
      </c>
      <c r="G293" s="205" t="e">
        <f t="shared" si="88"/>
        <v>#REF!</v>
      </c>
      <c r="H293" s="205" t="e">
        <f t="shared" si="89"/>
        <v>#REF!</v>
      </c>
      <c r="I293" s="214">
        <f t="shared" si="90"/>
        <v>2505.8235294117649</v>
      </c>
      <c r="J293" s="214">
        <f t="shared" si="91"/>
        <v>2949.8552941176476</v>
      </c>
      <c r="K293" s="214" t="e">
        <f t="shared" si="92"/>
        <v>#REF!</v>
      </c>
      <c r="L293" s="197" t="e">
        <f t="shared" si="93"/>
        <v>#REF!</v>
      </c>
    </row>
    <row r="294" spans="1:12" s="90" customFormat="1" x14ac:dyDescent="0.2">
      <c r="A294" s="224" t="str">
        <f t="shared" si="87"/>
        <v>Street Lights</v>
      </c>
      <c r="B294" s="214">
        <v>625</v>
      </c>
      <c r="C294" s="214">
        <v>626</v>
      </c>
      <c r="D294" s="202" t="s">
        <v>50</v>
      </c>
      <c r="E294" s="217">
        <v>1430</v>
      </c>
      <c r="F294" s="205">
        <v>1409.64</v>
      </c>
      <c r="G294" s="205" t="e">
        <f t="shared" si="88"/>
        <v>#REF!</v>
      </c>
      <c r="H294" s="205" t="e">
        <f t="shared" si="89"/>
        <v>#REF!</v>
      </c>
      <c r="I294" s="214">
        <f t="shared" si="90"/>
        <v>2.2879999999999998</v>
      </c>
      <c r="J294" s="214">
        <f t="shared" si="91"/>
        <v>2.2518210862619812</v>
      </c>
      <c r="K294" s="214" t="e">
        <f t="shared" si="92"/>
        <v>#REF!</v>
      </c>
      <c r="L294" s="197" t="e">
        <f>H294/C294</f>
        <v>#REF!</v>
      </c>
    </row>
    <row r="295" spans="1:12" s="90" customFormat="1" x14ac:dyDescent="0.2">
      <c r="A295" s="213" t="s">
        <v>8</v>
      </c>
      <c r="B295" s="203">
        <f>SUM(B291:B294)</f>
        <v>2259.9387191985907</v>
      </c>
      <c r="C295" s="203">
        <f>SUM(C291:C294)</f>
        <v>2265.25</v>
      </c>
      <c r="D295" s="212"/>
      <c r="E295" s="212"/>
      <c r="F295" s="212"/>
      <c r="G295" s="212"/>
      <c r="H295" s="212"/>
      <c r="I295" s="212"/>
      <c r="J295" s="212"/>
      <c r="K295" s="212"/>
      <c r="L295" s="212"/>
    </row>
    <row r="296" spans="1:12" s="90" customFormat="1" x14ac:dyDescent="0.2">
      <c r="A296" s="230" t="s">
        <v>150</v>
      </c>
      <c r="B296" s="209" t="s">
        <v>159</v>
      </c>
      <c r="C296" s="209" t="s">
        <v>158</v>
      </c>
      <c r="D296" s="231"/>
      <c r="E296" s="209" t="s">
        <v>153</v>
      </c>
      <c r="F296" s="209" t="s">
        <v>158</v>
      </c>
      <c r="G296" s="209" t="s">
        <v>153</v>
      </c>
      <c r="H296" s="209" t="s">
        <v>158</v>
      </c>
      <c r="I296" s="209" t="s">
        <v>153</v>
      </c>
      <c r="J296" s="209" t="s">
        <v>158</v>
      </c>
      <c r="K296" s="209" t="s">
        <v>153</v>
      </c>
      <c r="L296" s="209" t="s">
        <v>158</v>
      </c>
    </row>
    <row r="297" spans="1:12" s="90" customFormat="1" x14ac:dyDescent="0.2">
      <c r="A297" s="224" t="str">
        <f>A291</f>
        <v>Residential</v>
      </c>
      <c r="B297" s="221">
        <f>C291-B291</f>
        <v>0.29637495681799919</v>
      </c>
      <c r="C297" s="219">
        <f>B297/B291</f>
        <v>2.1330323767285744E-4</v>
      </c>
      <c r="D297" s="202" t="s">
        <v>49</v>
      </c>
      <c r="E297" s="221">
        <f>F291-E291</f>
        <v>-970700.51000000164</v>
      </c>
      <c r="F297" s="219">
        <f>E297/E291</f>
        <v>-0.10025674160906684</v>
      </c>
      <c r="G297" s="221" t="e">
        <f>H291-G291</f>
        <v>#REF!</v>
      </c>
      <c r="H297" s="219" t="e">
        <f>G297/G291</f>
        <v>#REF!</v>
      </c>
      <c r="I297" s="221">
        <f>J291-I291</f>
        <v>-699.95736161376226</v>
      </c>
      <c r="J297" s="219">
        <f>I297/I291</f>
        <v>-0.10044861883112324</v>
      </c>
      <c r="K297" s="221" t="e">
        <f>L291-K291</f>
        <v>#REF!</v>
      </c>
      <c r="L297" s="223" t="e">
        <f>K297/K291</f>
        <v>#REF!</v>
      </c>
    </row>
    <row r="298" spans="1:12" s="90" customFormat="1" x14ac:dyDescent="0.2">
      <c r="A298" s="224" t="str">
        <f t="shared" ref="A298:A300" si="94">A292</f>
        <v>General Service &lt; 50 kW</v>
      </c>
      <c r="B298" s="221">
        <f>C292-B292</f>
        <v>4.0149058445914534</v>
      </c>
      <c r="C298" s="219">
        <f>B298/B292</f>
        <v>1.7571850187569075E-2</v>
      </c>
      <c r="D298" s="202" t="s">
        <v>49</v>
      </c>
      <c r="E298" s="221">
        <f>F292-E292</f>
        <v>-342800.69000000041</v>
      </c>
      <c r="F298" s="219">
        <f>E298/E292</f>
        <v>-6.6962663311508089E-2</v>
      </c>
      <c r="G298" s="221" t="e">
        <f>H292-G292</f>
        <v>#REF!</v>
      </c>
      <c r="H298" s="219" t="e">
        <f>G298/G292</f>
        <v>#REF!</v>
      </c>
      <c r="I298" s="221">
        <f>J292-I292</f>
        <v>-1861.3158227959975</v>
      </c>
      <c r="J298" s="219">
        <f>I298/I292</f>
        <v>-8.3074736671906707E-2</v>
      </c>
      <c r="K298" s="221" t="e">
        <f>L292-K292</f>
        <v>#REF!</v>
      </c>
      <c r="L298" s="223" t="e">
        <f>K298/K292</f>
        <v>#REF!</v>
      </c>
    </row>
    <row r="299" spans="1:12" s="90" customFormat="1" x14ac:dyDescent="0.2">
      <c r="A299" s="224" t="str">
        <f t="shared" si="94"/>
        <v>General Service &gt; 50 to 4999 kW</v>
      </c>
      <c r="B299" s="221">
        <f>C293-B293</f>
        <v>0</v>
      </c>
      <c r="C299" s="219">
        <f>B299/B293</f>
        <v>0</v>
      </c>
      <c r="D299" s="202" t="s">
        <v>50</v>
      </c>
      <c r="E299" s="221">
        <f>F293-E293</f>
        <v>7548.5400000000081</v>
      </c>
      <c r="F299" s="219">
        <f>E299/E293</f>
        <v>0.17719993427075773</v>
      </c>
      <c r="G299" s="221" t="e">
        <f>H293-G293</f>
        <v>#REF!</v>
      </c>
      <c r="H299" s="219" t="e">
        <f>G299/G293</f>
        <v>#REF!</v>
      </c>
      <c r="I299" s="221">
        <f>J293-I293</f>
        <v>444.03176470588278</v>
      </c>
      <c r="J299" s="219">
        <f>I299/I293</f>
        <v>0.1771999342707577</v>
      </c>
      <c r="K299" s="221" t="e">
        <f>L293-K293</f>
        <v>#REF!</v>
      </c>
      <c r="L299" s="223" t="e">
        <f>K299/K293</f>
        <v>#REF!</v>
      </c>
    </row>
    <row r="300" spans="1:12" s="90" customFormat="1" ht="13.5" thickBot="1" x14ac:dyDescent="0.25">
      <c r="A300" s="224" t="str">
        <f t="shared" si="94"/>
        <v>Street Lights</v>
      </c>
      <c r="B300" s="221">
        <f>C294-B294</f>
        <v>1</v>
      </c>
      <c r="C300" s="219">
        <f>B300/B294</f>
        <v>1.6000000000000001E-3</v>
      </c>
      <c r="D300" s="202" t="s">
        <v>50</v>
      </c>
      <c r="E300" s="221">
        <f>F294-E294</f>
        <v>-20.3599999999999</v>
      </c>
      <c r="F300" s="219">
        <f>E300/E294</f>
        <v>-1.4237762237762169E-2</v>
      </c>
      <c r="G300" s="221" t="e">
        <f>H294-G294</f>
        <v>#REF!</v>
      </c>
      <c r="H300" s="219" t="e">
        <f>G300/G294</f>
        <v>#REF!</v>
      </c>
      <c r="I300" s="221">
        <f>J294-I294</f>
        <v>-3.6178913738018625E-2</v>
      </c>
      <c r="J300" s="219">
        <f>I300/I294</f>
        <v>-1.5812462298085066E-2</v>
      </c>
      <c r="K300" s="221" t="e">
        <f>L294-K294</f>
        <v>#REF!</v>
      </c>
      <c r="L300" s="223" t="e">
        <f>K300/K294</f>
        <v>#REF!</v>
      </c>
    </row>
    <row r="301" spans="1:12" s="90" customFormat="1" ht="13.5" thickBot="1" x14ac:dyDescent="0.25">
      <c r="A301" s="201" t="s">
        <v>8</v>
      </c>
      <c r="B301" s="220">
        <f>SUM(B297:B300)</f>
        <v>5.3112808014094526</v>
      </c>
      <c r="C301" s="227">
        <f>B301/B295</f>
        <v>2.3501879746955774E-3</v>
      </c>
      <c r="D301" s="147"/>
      <c r="E301" s="147"/>
      <c r="F301" s="147"/>
      <c r="G301" s="147"/>
      <c r="H301" s="147"/>
      <c r="I301" s="147"/>
      <c r="J301" s="147"/>
      <c r="K301" s="147"/>
      <c r="L301" s="147"/>
    </row>
    <row r="302" spans="1:12" s="90" customFormat="1" x14ac:dyDescent="0.2"/>
    <row r="303" spans="1:12" s="90" customFormat="1" x14ac:dyDescent="0.2">
      <c r="A303" s="204" t="s">
        <v>194</v>
      </c>
      <c r="B303" s="147"/>
      <c r="C303" s="147"/>
      <c r="D303" s="147"/>
      <c r="E303" s="147"/>
    </row>
    <row r="304" spans="1:12" s="90" customFormat="1" ht="25.5" x14ac:dyDescent="0.2">
      <c r="A304" s="210" t="s">
        <v>145</v>
      </c>
      <c r="B304" s="210" t="s">
        <v>146</v>
      </c>
      <c r="C304" s="210" t="s">
        <v>161</v>
      </c>
      <c r="D304" s="210" t="s">
        <v>147</v>
      </c>
      <c r="E304" s="210" t="s">
        <v>148</v>
      </c>
    </row>
    <row r="305" spans="1:12" s="90" customFormat="1" x14ac:dyDescent="0.2">
      <c r="A305" s="198" t="str">
        <f>A281</f>
        <v>Residential</v>
      </c>
      <c r="B305" s="211">
        <f>C281</f>
        <v>754760.43</v>
      </c>
      <c r="C305" s="237">
        <v>778620.72</v>
      </c>
      <c r="D305" s="214">
        <f>C305-B305</f>
        <v>23860.289999999921</v>
      </c>
      <c r="E305" s="200">
        <f>D305/B305</f>
        <v>3.1613064293791765E-2</v>
      </c>
    </row>
    <row r="306" spans="1:12" s="90" customFormat="1" x14ac:dyDescent="0.2">
      <c r="A306" s="198" t="str">
        <f t="shared" ref="A306:A308" si="95">A282</f>
        <v>General Service &lt; 50 kW</v>
      </c>
      <c r="B306" s="211">
        <f>C282</f>
        <v>244268.61</v>
      </c>
      <c r="C306" s="237">
        <v>236800.99</v>
      </c>
      <c r="D306" s="214">
        <f t="shared" ref="D306:D309" si="96">C306-B306</f>
        <v>-7467.6199999999953</v>
      </c>
      <c r="E306" s="200">
        <f t="shared" ref="E306:E308" si="97">D306/B306</f>
        <v>-3.0571345208866566E-2</v>
      </c>
    </row>
    <row r="307" spans="1:12" s="90" customFormat="1" x14ac:dyDescent="0.2">
      <c r="A307" s="198" t="str">
        <f t="shared" si="95"/>
        <v>General Service &gt; 50 to 4999 kW</v>
      </c>
      <c r="B307" s="211">
        <f>C283</f>
        <v>266075.86</v>
      </c>
      <c r="C307" s="237">
        <v>311390.46000000002</v>
      </c>
      <c r="D307" s="214">
        <f t="shared" si="96"/>
        <v>45314.600000000035</v>
      </c>
      <c r="E307" s="200">
        <f t="shared" si="97"/>
        <v>0.17030706957030989</v>
      </c>
    </row>
    <row r="308" spans="1:12" s="90" customFormat="1" x14ac:dyDescent="0.2">
      <c r="A308" s="198" t="str">
        <f t="shared" si="95"/>
        <v>Street Lights</v>
      </c>
      <c r="B308" s="211">
        <f>C284</f>
        <v>119547.92</v>
      </c>
      <c r="C308" s="237">
        <v>122488.93</v>
      </c>
      <c r="D308" s="214">
        <f t="shared" si="96"/>
        <v>2941.0099999999948</v>
      </c>
      <c r="E308" s="200">
        <f t="shared" si="97"/>
        <v>2.4601097200185454E-2</v>
      </c>
    </row>
    <row r="309" spans="1:12" s="90" customFormat="1" x14ac:dyDescent="0.2">
      <c r="A309" s="226" t="s">
        <v>8</v>
      </c>
      <c r="B309" s="222">
        <f>SUM(B305:B308)</f>
        <v>1384652.8199999998</v>
      </c>
      <c r="C309" s="222">
        <f>SUM(C305:C308)</f>
        <v>1449301.0999999999</v>
      </c>
      <c r="D309" s="208">
        <f t="shared" si="96"/>
        <v>64648.280000000028</v>
      </c>
      <c r="E309" s="206">
        <f>D309/B309</f>
        <v>4.6689162125131148E-2</v>
      </c>
    </row>
    <row r="310" spans="1:12" s="90" customFormat="1" ht="13.5" thickBot="1" x14ac:dyDescent="0.25">
      <c r="A310" s="204" t="s">
        <v>195</v>
      </c>
    </row>
    <row r="311" spans="1:12" s="90" customFormat="1" ht="13.5" thickBot="1" x14ac:dyDescent="0.25">
      <c r="B311" s="147"/>
      <c r="C311" s="147"/>
      <c r="D311" s="147"/>
      <c r="E311" s="147"/>
      <c r="F311" s="147"/>
      <c r="G311" s="147"/>
      <c r="H311" s="147"/>
      <c r="I311" s="147"/>
      <c r="J311" s="147"/>
      <c r="K311" s="207" t="s">
        <v>162</v>
      </c>
      <c r="L311" s="218" t="e">
        <f>$F$138</f>
        <v>#REF!</v>
      </c>
    </row>
    <row r="312" spans="1:12" s="90" customFormat="1" ht="13.5" thickBot="1" x14ac:dyDescent="0.25">
      <c r="A312" s="204"/>
      <c r="B312" s="147"/>
      <c r="C312" s="147"/>
      <c r="D312" s="147"/>
      <c r="E312" s="147"/>
      <c r="F312" s="147"/>
      <c r="G312" s="147"/>
      <c r="H312" s="147"/>
      <c r="I312" s="147"/>
      <c r="J312" s="147"/>
      <c r="K312" s="207" t="s">
        <v>163</v>
      </c>
      <c r="L312" s="218" t="e">
        <f>$F$139</f>
        <v>#REF!</v>
      </c>
    </row>
    <row r="313" spans="1:12" s="90" customFormat="1" ht="39" customHeight="1" x14ac:dyDescent="0.2">
      <c r="A313" s="350" t="s">
        <v>149</v>
      </c>
      <c r="B313" s="352" t="s">
        <v>151</v>
      </c>
      <c r="C313" s="352"/>
      <c r="D313" s="352" t="s">
        <v>152</v>
      </c>
      <c r="E313" s="354" t="s">
        <v>153</v>
      </c>
      <c r="F313" s="354"/>
      <c r="G313" s="354" t="s">
        <v>156</v>
      </c>
      <c r="H313" s="354"/>
      <c r="I313" s="354" t="s">
        <v>154</v>
      </c>
      <c r="J313" s="354"/>
      <c r="K313" s="354" t="s">
        <v>155</v>
      </c>
      <c r="L313" s="355"/>
    </row>
    <row r="314" spans="1:12" s="90" customFormat="1" x14ac:dyDescent="0.2">
      <c r="A314" s="351"/>
      <c r="B314" s="180" t="s">
        <v>146</v>
      </c>
      <c r="C314" s="180" t="s">
        <v>161</v>
      </c>
      <c r="D314" s="353"/>
      <c r="E314" s="180" t="s">
        <v>146</v>
      </c>
      <c r="F314" s="180" t="s">
        <v>161</v>
      </c>
      <c r="G314" s="180" t="s">
        <v>146</v>
      </c>
      <c r="H314" s="180" t="s">
        <v>161</v>
      </c>
      <c r="I314" s="180" t="s">
        <v>146</v>
      </c>
      <c r="J314" s="180" t="s">
        <v>161</v>
      </c>
      <c r="K314" s="180" t="s">
        <v>146</v>
      </c>
      <c r="L314" s="215" t="s">
        <v>161</v>
      </c>
    </row>
    <row r="315" spans="1:12" s="90" customFormat="1" x14ac:dyDescent="0.2">
      <c r="A315" s="224" t="str">
        <f>A291</f>
        <v>Residential</v>
      </c>
      <c r="B315" s="214">
        <f>C291</f>
        <v>1389.75</v>
      </c>
      <c r="C315" s="214">
        <f t="array" ref="C315:C318">TRANSPOSE(B$155:E$155)</f>
        <v>1384.75</v>
      </c>
      <c r="D315" s="202" t="s">
        <v>49</v>
      </c>
      <c r="E315" s="214">
        <f>F291</f>
        <v>8711446.4899999984</v>
      </c>
      <c r="F315" s="205">
        <f t="array" ref="F315:F316">TRANSPOSE(B$47:C$47)*1000000</f>
        <v>9142615.4499999993</v>
      </c>
      <c r="G315" s="205" t="e">
        <f>E315*$L$311</f>
        <v>#REF!</v>
      </c>
      <c r="H315" s="205" t="e">
        <f>F315*$L$312</f>
        <v>#REF!</v>
      </c>
      <c r="I315" s="214">
        <f>E315/B315</f>
        <v>6268.3550926425605</v>
      </c>
      <c r="J315" s="214">
        <f>F315/C315</f>
        <v>6602.3581512908459</v>
      </c>
      <c r="K315" s="214" t="e">
        <f>G315/B315</f>
        <v>#REF!</v>
      </c>
      <c r="L315" s="197" t="e">
        <f>H315/C315</f>
        <v>#REF!</v>
      </c>
    </row>
    <row r="316" spans="1:12" s="90" customFormat="1" x14ac:dyDescent="0.2">
      <c r="A316" s="224" t="str">
        <f t="shared" ref="A316:A318" si="98">A292</f>
        <v>General Service &lt; 50 kW</v>
      </c>
      <c r="B316" s="214">
        <f t="shared" ref="B316:B318" si="99">C292</f>
        <v>232.5</v>
      </c>
      <c r="C316" s="214">
        <v>233.16666666666666</v>
      </c>
      <c r="D316" s="202" t="s">
        <v>49</v>
      </c>
      <c r="E316" s="214">
        <f t="shared" ref="E316:E318" si="100">F292</f>
        <v>4776480.3099999996</v>
      </c>
      <c r="F316" s="205">
        <v>4728871.66</v>
      </c>
      <c r="G316" s="205" t="e">
        <f t="shared" ref="G316:G318" si="101">E316*$L$311</f>
        <v>#REF!</v>
      </c>
      <c r="H316" s="205" t="e">
        <f t="shared" ref="H316:H318" si="102">F316*$L$312</f>
        <v>#REF!</v>
      </c>
      <c r="I316" s="214">
        <f t="shared" ref="I316:I318" si="103">E316/B316</f>
        <v>20544.00133333333</v>
      </c>
      <c r="J316" s="214">
        <f t="shared" ref="J316:J318" si="104">F316/C316</f>
        <v>20281.07931379557</v>
      </c>
      <c r="K316" s="214" t="e">
        <f t="shared" ref="K316:K318" si="105">G316/B316</f>
        <v>#REF!</v>
      </c>
      <c r="L316" s="197" t="e">
        <f t="shared" ref="L316:L318" si="106">H316/C316</f>
        <v>#REF!</v>
      </c>
    </row>
    <row r="317" spans="1:12" s="90" customFormat="1" x14ac:dyDescent="0.2">
      <c r="A317" s="224" t="str">
        <f t="shared" si="98"/>
        <v>General Service &gt; 50 to 4999 kW</v>
      </c>
      <c r="B317" s="214">
        <f t="shared" si="99"/>
        <v>17</v>
      </c>
      <c r="C317" s="214">
        <v>16.666666666666668</v>
      </c>
      <c r="D317" s="202" t="s">
        <v>50</v>
      </c>
      <c r="E317" s="214">
        <f t="shared" si="100"/>
        <v>50147.540000000008</v>
      </c>
      <c r="F317" s="205">
        <f t="array" ref="F317:F318">TRANSPOSE('Rate Class Load Model'!B$6:C$6)</f>
        <v>55782.540000000008</v>
      </c>
      <c r="G317" s="205" t="e">
        <f t="shared" si="101"/>
        <v>#REF!</v>
      </c>
      <c r="H317" s="205" t="e">
        <f t="shared" si="102"/>
        <v>#REF!</v>
      </c>
      <c r="I317" s="214">
        <f t="shared" si="103"/>
        <v>2949.8552941176476</v>
      </c>
      <c r="J317" s="214">
        <f t="shared" si="104"/>
        <v>3346.9524000000001</v>
      </c>
      <c r="K317" s="214" t="e">
        <f t="shared" si="105"/>
        <v>#REF!</v>
      </c>
      <c r="L317" s="197" t="e">
        <f t="shared" si="106"/>
        <v>#REF!</v>
      </c>
    </row>
    <row r="318" spans="1:12" s="90" customFormat="1" x14ac:dyDescent="0.2">
      <c r="A318" s="224" t="str">
        <f t="shared" si="98"/>
        <v>Street Lights</v>
      </c>
      <c r="B318" s="214">
        <f t="shared" si="99"/>
        <v>626</v>
      </c>
      <c r="C318" s="214">
        <v>626</v>
      </c>
      <c r="D318" s="202" t="s">
        <v>50</v>
      </c>
      <c r="E318" s="214">
        <f t="shared" si="100"/>
        <v>1409.64</v>
      </c>
      <c r="F318" s="205">
        <v>1300.56</v>
      </c>
      <c r="G318" s="205" t="e">
        <f t="shared" si="101"/>
        <v>#REF!</v>
      </c>
      <c r="H318" s="205" t="e">
        <f t="shared" si="102"/>
        <v>#REF!</v>
      </c>
      <c r="I318" s="214">
        <f t="shared" si="103"/>
        <v>2.2518210862619812</v>
      </c>
      <c r="J318" s="214">
        <f t="shared" si="104"/>
        <v>2.0775718849840255</v>
      </c>
      <c r="K318" s="214" t="e">
        <f t="shared" si="105"/>
        <v>#REF!</v>
      </c>
      <c r="L318" s="197" t="e">
        <f t="shared" si="106"/>
        <v>#REF!</v>
      </c>
    </row>
    <row r="319" spans="1:12" s="90" customFormat="1" ht="13.5" thickBot="1" x14ac:dyDescent="0.25">
      <c r="A319" s="213" t="s">
        <v>8</v>
      </c>
      <c r="B319" s="203">
        <f>SUM(B315:B318)</f>
        <v>2265.25</v>
      </c>
      <c r="C319" s="203">
        <f>SUM(C315:C318)</f>
        <v>2260.5833333333335</v>
      </c>
      <c r="D319" s="212"/>
      <c r="E319" s="212"/>
      <c r="F319" s="212"/>
      <c r="G319" s="212"/>
      <c r="H319" s="212"/>
      <c r="I319" s="212"/>
      <c r="J319" s="212"/>
      <c r="K319" s="212"/>
      <c r="L319" s="212"/>
    </row>
    <row r="320" spans="1:12" s="90" customFormat="1" x14ac:dyDescent="0.2">
      <c r="A320" s="232" t="s">
        <v>150</v>
      </c>
      <c r="B320" s="216" t="s">
        <v>159</v>
      </c>
      <c r="C320" s="216" t="s">
        <v>158</v>
      </c>
      <c r="D320" s="233"/>
      <c r="E320" s="216" t="s">
        <v>153</v>
      </c>
      <c r="F320" s="216" t="s">
        <v>158</v>
      </c>
      <c r="G320" s="216" t="s">
        <v>153</v>
      </c>
      <c r="H320" s="216" t="s">
        <v>158</v>
      </c>
      <c r="I320" s="209" t="s">
        <v>153</v>
      </c>
      <c r="J320" s="209" t="s">
        <v>158</v>
      </c>
      <c r="K320" s="209" t="s">
        <v>153</v>
      </c>
      <c r="L320" s="209" t="s">
        <v>158</v>
      </c>
    </row>
    <row r="321" spans="1:12" s="90" customFormat="1" x14ac:dyDescent="0.2">
      <c r="A321" s="224" t="str">
        <f>A315</f>
        <v>Residential</v>
      </c>
      <c r="B321" s="221">
        <f>C315-B315</f>
        <v>-5</v>
      </c>
      <c r="C321" s="219">
        <f>B321/B315</f>
        <v>-3.5977693829825508E-3</v>
      </c>
      <c r="D321" s="202" t="s">
        <v>49</v>
      </c>
      <c r="E321" s="221">
        <f>F315-E315</f>
        <v>431168.96000000089</v>
      </c>
      <c r="F321" s="219">
        <f>E321/E315</f>
        <v>4.9494531188930137E-2</v>
      </c>
      <c r="G321" s="221" t="e">
        <f>H315-G315</f>
        <v>#REF!</v>
      </c>
      <c r="H321" s="219" t="e">
        <f>G321/G315</f>
        <v>#REF!</v>
      </c>
      <c r="I321" s="221">
        <f>J315-I315</f>
        <v>334.00305864828533</v>
      </c>
      <c r="J321" s="219">
        <f>I321/I315</f>
        <v>5.3284004130576323E-2</v>
      </c>
      <c r="K321" s="221" t="e">
        <f>L315-K315</f>
        <v>#REF!</v>
      </c>
      <c r="L321" s="223" t="e">
        <f>K321/K315</f>
        <v>#REF!</v>
      </c>
    </row>
    <row r="322" spans="1:12" s="90" customFormat="1" x14ac:dyDescent="0.2">
      <c r="A322" s="224" t="str">
        <f t="shared" ref="A322:A324" si="107">A316</f>
        <v>General Service &lt; 50 kW</v>
      </c>
      <c r="B322" s="221">
        <f>C316-B316</f>
        <v>0.66666666666665719</v>
      </c>
      <c r="C322" s="219">
        <f>B322/B316</f>
        <v>2.8673835125447621E-3</v>
      </c>
      <c r="D322" s="202" t="s">
        <v>49</v>
      </c>
      <c r="E322" s="221">
        <f>F316-E316</f>
        <v>-47608.649999999441</v>
      </c>
      <c r="F322" s="219">
        <f>E322/E316</f>
        <v>-9.9673079150617173E-3</v>
      </c>
      <c r="G322" s="221" t="e">
        <f>H316-G316</f>
        <v>#REF!</v>
      </c>
      <c r="H322" s="219" t="e">
        <f>G322/G316</f>
        <v>#REF!</v>
      </c>
      <c r="I322" s="221">
        <f>J316-I316</f>
        <v>-262.92201953776021</v>
      </c>
      <c r="J322" s="219">
        <f>I322/I316</f>
        <v>-1.2797994668699735E-2</v>
      </c>
      <c r="K322" s="221" t="e">
        <f>L316-K316</f>
        <v>#REF!</v>
      </c>
      <c r="L322" s="223" t="e">
        <f>K322/K316</f>
        <v>#REF!</v>
      </c>
    </row>
    <row r="323" spans="1:12" s="90" customFormat="1" x14ac:dyDescent="0.2">
      <c r="A323" s="224" t="str">
        <f t="shared" si="107"/>
        <v>General Service &gt; 50 to 4999 kW</v>
      </c>
      <c r="B323" s="221">
        <f>C317-B317</f>
        <v>-0.33333333333333215</v>
      </c>
      <c r="C323" s="219">
        <f>B323/B317</f>
        <v>-1.9607843137254832E-2</v>
      </c>
      <c r="D323" s="202" t="s">
        <v>50</v>
      </c>
      <c r="E323" s="221">
        <f>F317-E317</f>
        <v>5635</v>
      </c>
      <c r="F323" s="219">
        <f>E323/E317</f>
        <v>0.11236842325665425</v>
      </c>
      <c r="G323" s="221" t="e">
        <f>H317-G317</f>
        <v>#REF!</v>
      </c>
      <c r="H323" s="219" t="e">
        <f>G323/G317</f>
        <v>#REF!</v>
      </c>
      <c r="I323" s="221">
        <f>J317-I317</f>
        <v>397.09710588235248</v>
      </c>
      <c r="J323" s="219">
        <f>I323/I317</f>
        <v>0.13461579172178717</v>
      </c>
      <c r="K323" s="221" t="e">
        <f>L317-K317</f>
        <v>#REF!</v>
      </c>
      <c r="L323" s="223" t="e">
        <f>K323/K317</f>
        <v>#REF!</v>
      </c>
    </row>
    <row r="324" spans="1:12" s="90" customFormat="1" x14ac:dyDescent="0.2">
      <c r="A324" s="224" t="str">
        <f t="shared" si="107"/>
        <v>Street Lights</v>
      </c>
      <c r="B324" s="221">
        <f>C318-B318</f>
        <v>0</v>
      </c>
      <c r="C324" s="219">
        <f>B324/B318</f>
        <v>0</v>
      </c>
      <c r="D324" s="202" t="s">
        <v>50</v>
      </c>
      <c r="E324" s="221">
        <f>F318-E318</f>
        <v>-109.08000000000015</v>
      </c>
      <c r="F324" s="219">
        <f>E324/E318</f>
        <v>-7.7381459095939492E-2</v>
      </c>
      <c r="G324" s="221" t="e">
        <f>H318-G318</f>
        <v>#REF!</v>
      </c>
      <c r="H324" s="219" t="e">
        <f>G324/G318</f>
        <v>#REF!</v>
      </c>
      <c r="I324" s="221">
        <f>J318-I318</f>
        <v>-0.17424920127795573</v>
      </c>
      <c r="J324" s="219">
        <f>I324/I318</f>
        <v>-7.7381459095939575E-2</v>
      </c>
      <c r="K324" s="221" t="e">
        <f>L318-K318</f>
        <v>#REF!</v>
      </c>
      <c r="L324" s="223" t="e">
        <f>K324/K318</f>
        <v>#REF!</v>
      </c>
    </row>
    <row r="325" spans="1:12" s="90" customFormat="1" ht="13.5" thickBot="1" x14ac:dyDescent="0.25">
      <c r="A325" s="228" t="s">
        <v>8</v>
      </c>
      <c r="B325" s="199">
        <f>SUM(B321:B324)</f>
        <v>-4.666666666666675</v>
      </c>
      <c r="C325" s="229">
        <f>B325/B319</f>
        <v>-2.0601110988485486E-3</v>
      </c>
      <c r="D325" s="147"/>
      <c r="E325" s="147"/>
      <c r="F325" s="147"/>
      <c r="G325" s="147"/>
      <c r="H325" s="147"/>
      <c r="I325" s="147"/>
      <c r="J325" s="147"/>
      <c r="K325" s="147"/>
      <c r="L325" s="147"/>
    </row>
    <row r="326" spans="1:12" s="90" customFormat="1" x14ac:dyDescent="0.2"/>
    <row r="327" spans="1:12" s="90" customFormat="1" x14ac:dyDescent="0.2">
      <c r="A327" s="204" t="s">
        <v>196</v>
      </c>
      <c r="B327" s="147"/>
      <c r="C327" s="147"/>
      <c r="D327" s="147"/>
      <c r="E327" s="147"/>
    </row>
    <row r="328" spans="1:12" s="90" customFormat="1" ht="25.5" x14ac:dyDescent="0.2">
      <c r="A328" s="210" t="s">
        <v>145</v>
      </c>
      <c r="B328" s="210" t="s">
        <v>161</v>
      </c>
      <c r="C328" s="210" t="s">
        <v>164</v>
      </c>
      <c r="D328" s="210" t="s">
        <v>147</v>
      </c>
      <c r="E328" s="210" t="s">
        <v>148</v>
      </c>
    </row>
    <row r="329" spans="1:12" s="90" customFormat="1" x14ac:dyDescent="0.2">
      <c r="A329" s="198" t="str">
        <f>A305</f>
        <v>Residential</v>
      </c>
      <c r="B329" s="211">
        <f>C305</f>
        <v>778620.72</v>
      </c>
      <c r="C329" s="237">
        <v>787730.11</v>
      </c>
      <c r="D329" s="214">
        <f>C329-B329</f>
        <v>9109.390000000014</v>
      </c>
      <c r="E329" s="200">
        <f>D329/B329</f>
        <v>1.1699393255293815E-2</v>
      </c>
    </row>
    <row r="330" spans="1:12" s="90" customFormat="1" x14ac:dyDescent="0.2">
      <c r="A330" s="198" t="str">
        <f t="shared" ref="A330:A332" si="108">A306</f>
        <v>General Service &lt; 50 kW</v>
      </c>
      <c r="B330" s="211">
        <f>C306</f>
        <v>236800.99</v>
      </c>
      <c r="C330" s="237">
        <v>238814.01</v>
      </c>
      <c r="D330" s="214">
        <f t="shared" ref="D330:D333" si="109">C330-B330</f>
        <v>2013.0200000000186</v>
      </c>
      <c r="E330" s="200">
        <f t="shared" ref="E330:E332" si="110">D330/B330</f>
        <v>8.5008935140010126E-3</v>
      </c>
    </row>
    <row r="331" spans="1:12" s="90" customFormat="1" x14ac:dyDescent="0.2">
      <c r="A331" s="198" t="str">
        <f t="shared" si="108"/>
        <v>General Service &gt; 50 to 4999 kW</v>
      </c>
      <c r="B331" s="211">
        <f>C307</f>
        <v>311390.46000000002</v>
      </c>
      <c r="C331" s="237">
        <v>282294.40000000002</v>
      </c>
      <c r="D331" s="214">
        <f t="shared" si="109"/>
        <v>-29096.059999999998</v>
      </c>
      <c r="E331" s="200">
        <f t="shared" si="110"/>
        <v>-9.3439150319505601E-2</v>
      </c>
    </row>
    <row r="332" spans="1:12" s="90" customFormat="1" x14ac:dyDescent="0.2">
      <c r="A332" s="198" t="str">
        <f t="shared" si="108"/>
        <v>Street Lights</v>
      </c>
      <c r="B332" s="211">
        <f>C308</f>
        <v>122488.93</v>
      </c>
      <c r="C332" s="237">
        <v>123317.04</v>
      </c>
      <c r="D332" s="214">
        <f t="shared" si="109"/>
        <v>828.11000000000058</v>
      </c>
      <c r="E332" s="200">
        <f t="shared" si="110"/>
        <v>6.7606925785048547E-3</v>
      </c>
    </row>
    <row r="333" spans="1:12" s="90" customFormat="1" x14ac:dyDescent="0.2">
      <c r="A333" s="226" t="s">
        <v>8</v>
      </c>
      <c r="B333" s="222">
        <f>SUM(B329:B332)</f>
        <v>1449301.0999999999</v>
      </c>
      <c r="C333" s="222">
        <f>SUM(C329:C332)</f>
        <v>1432155.56</v>
      </c>
      <c r="D333" s="208">
        <f t="shared" si="109"/>
        <v>-17145.539999999804</v>
      </c>
      <c r="E333" s="206">
        <f>D333/B333</f>
        <v>-1.183021250725595E-2</v>
      </c>
    </row>
    <row r="334" spans="1:12" s="90" customFormat="1" ht="13.5" thickBot="1" x14ac:dyDescent="0.25">
      <c r="A334" s="204" t="s">
        <v>197</v>
      </c>
    </row>
    <row r="335" spans="1:12" s="90" customFormat="1" ht="13.5" thickBot="1" x14ac:dyDescent="0.25">
      <c r="B335" s="147"/>
      <c r="C335" s="147"/>
      <c r="D335" s="147"/>
      <c r="E335" s="147"/>
      <c r="F335" s="147"/>
      <c r="G335" s="147"/>
      <c r="H335" s="147"/>
      <c r="K335" s="207" t="s">
        <v>163</v>
      </c>
      <c r="L335" s="218" t="e">
        <f>$F$139</f>
        <v>#REF!</v>
      </c>
    </row>
    <row r="336" spans="1:12" s="90" customFormat="1" ht="13.5" thickBot="1" x14ac:dyDescent="0.25">
      <c r="A336" s="204"/>
      <c r="B336" s="147"/>
      <c r="C336" s="147"/>
      <c r="D336" s="147"/>
      <c r="E336" s="147"/>
      <c r="F336" s="147"/>
      <c r="G336" s="147"/>
      <c r="H336" s="147"/>
      <c r="I336" s="147"/>
      <c r="J336" s="147"/>
      <c r="K336" s="207" t="s">
        <v>165</v>
      </c>
      <c r="L336" s="218" t="e">
        <f>$F$140</f>
        <v>#REF!</v>
      </c>
    </row>
    <row r="337" spans="1:12" s="90" customFormat="1" ht="42" customHeight="1" x14ac:dyDescent="0.2">
      <c r="A337" s="350" t="s">
        <v>149</v>
      </c>
      <c r="B337" s="352" t="s">
        <v>151</v>
      </c>
      <c r="C337" s="352"/>
      <c r="D337" s="352" t="s">
        <v>152</v>
      </c>
      <c r="E337" s="354" t="s">
        <v>153</v>
      </c>
      <c r="F337" s="354"/>
      <c r="G337" s="354" t="s">
        <v>156</v>
      </c>
      <c r="H337" s="354"/>
      <c r="I337" s="354" t="s">
        <v>154</v>
      </c>
      <c r="J337" s="354"/>
      <c r="K337" s="354" t="s">
        <v>155</v>
      </c>
      <c r="L337" s="355"/>
    </row>
    <row r="338" spans="1:12" s="90" customFormat="1" x14ac:dyDescent="0.2">
      <c r="A338" s="351"/>
      <c r="B338" s="180" t="s">
        <v>161</v>
      </c>
      <c r="C338" s="180" t="s">
        <v>164</v>
      </c>
      <c r="D338" s="353"/>
      <c r="E338" s="180" t="s">
        <v>161</v>
      </c>
      <c r="F338" s="180" t="s">
        <v>164</v>
      </c>
      <c r="G338" s="180" t="s">
        <v>161</v>
      </c>
      <c r="H338" s="180" t="s">
        <v>164</v>
      </c>
      <c r="I338" s="180" t="s">
        <v>161</v>
      </c>
      <c r="J338" s="180" t="s">
        <v>164</v>
      </c>
      <c r="K338" s="180" t="s">
        <v>161</v>
      </c>
      <c r="L338" s="215" t="s">
        <v>164</v>
      </c>
    </row>
    <row r="339" spans="1:12" s="90" customFormat="1" x14ac:dyDescent="0.2">
      <c r="A339" s="224" t="str">
        <f>A315</f>
        <v>Residential</v>
      </c>
      <c r="B339" s="214">
        <f>C315</f>
        <v>1384.75</v>
      </c>
      <c r="C339" s="214">
        <f t="array" ref="C339:C342">TRANSPOSE(B$156:E$156)</f>
        <v>1382.1666666666667</v>
      </c>
      <c r="D339" s="202" t="s">
        <v>49</v>
      </c>
      <c r="E339" s="214">
        <f>F315</f>
        <v>9142615.4499999993</v>
      </c>
      <c r="F339" s="205">
        <f t="array" ref="F339:F340">TRANSPOSE(B$48:C$48)*1000000</f>
        <v>9094155.1499999985</v>
      </c>
      <c r="G339" s="205" t="e">
        <f>E339*$L$335</f>
        <v>#REF!</v>
      </c>
      <c r="H339" s="205" t="e">
        <f>F339*$L$336</f>
        <v>#REF!</v>
      </c>
      <c r="I339" s="214">
        <f>E339/B339</f>
        <v>6602.3581512908459</v>
      </c>
      <c r="J339" s="214">
        <f>F339/C339</f>
        <v>6579.6371518147826</v>
      </c>
      <c r="K339" s="214" t="e">
        <f>G339/B339</f>
        <v>#REF!</v>
      </c>
      <c r="L339" s="197" t="e">
        <f>H339/C339</f>
        <v>#REF!</v>
      </c>
    </row>
    <row r="340" spans="1:12" s="90" customFormat="1" x14ac:dyDescent="0.2">
      <c r="A340" s="224" t="str">
        <f t="shared" ref="A340:A342" si="111">A316</f>
        <v>General Service &lt; 50 kW</v>
      </c>
      <c r="B340" s="214">
        <f>C316</f>
        <v>233.16666666666666</v>
      </c>
      <c r="C340" s="214">
        <v>233</v>
      </c>
      <c r="D340" s="202" t="s">
        <v>49</v>
      </c>
      <c r="E340" s="214">
        <f>F316</f>
        <v>4728871.66</v>
      </c>
      <c r="F340" s="205">
        <v>4649964.6899999995</v>
      </c>
      <c r="G340" s="205" t="e">
        <f>E340*$L$335</f>
        <v>#REF!</v>
      </c>
      <c r="H340" s="205" t="e">
        <f>F340*$L$336</f>
        <v>#REF!</v>
      </c>
      <c r="I340" s="214">
        <f t="shared" ref="I340:I342" si="112">E340/B340</f>
        <v>20281.07931379557</v>
      </c>
      <c r="J340" s="214">
        <f t="shared" ref="J340:J342" si="113">F340/C340</f>
        <v>19956.929999999997</v>
      </c>
      <c r="K340" s="214" t="e">
        <f t="shared" ref="K340:K342" si="114">G340/B340</f>
        <v>#REF!</v>
      </c>
      <c r="L340" s="197" t="e">
        <f t="shared" ref="L340:L342" si="115">H340/C340</f>
        <v>#REF!</v>
      </c>
    </row>
    <row r="341" spans="1:12" s="90" customFormat="1" x14ac:dyDescent="0.2">
      <c r="A341" s="224" t="str">
        <f t="shared" si="111"/>
        <v>General Service &gt; 50 to 4999 kW</v>
      </c>
      <c r="B341" s="214">
        <f>C317</f>
        <v>16.666666666666668</v>
      </c>
      <c r="C341" s="214">
        <v>16</v>
      </c>
      <c r="D341" s="202" t="s">
        <v>50</v>
      </c>
      <c r="E341" s="214">
        <f>F317</f>
        <v>55782.540000000008</v>
      </c>
      <c r="F341" s="205">
        <f t="array" ref="F341:F342">TRANSPOSE('Rate Class Load Model'!B$7:C$7)</f>
        <v>48321.4</v>
      </c>
      <c r="G341" s="205" t="e">
        <f>E341*$L$335</f>
        <v>#REF!</v>
      </c>
      <c r="H341" s="205" t="e">
        <f>F341*$L$336</f>
        <v>#REF!</v>
      </c>
      <c r="I341" s="214">
        <f t="shared" si="112"/>
        <v>3346.9524000000001</v>
      </c>
      <c r="J341" s="214">
        <f t="shared" si="113"/>
        <v>3020.0875000000001</v>
      </c>
      <c r="K341" s="214" t="e">
        <f t="shared" si="114"/>
        <v>#REF!</v>
      </c>
      <c r="L341" s="197" t="e">
        <f t="shared" si="115"/>
        <v>#REF!</v>
      </c>
    </row>
    <row r="342" spans="1:12" s="90" customFormat="1" x14ac:dyDescent="0.2">
      <c r="A342" s="224" t="str">
        <f t="shared" si="111"/>
        <v>Street Lights</v>
      </c>
      <c r="B342" s="214">
        <f>C318</f>
        <v>626</v>
      </c>
      <c r="C342" s="214">
        <v>626</v>
      </c>
      <c r="D342" s="202" t="s">
        <v>50</v>
      </c>
      <c r="E342" s="214">
        <f>F318</f>
        <v>1300.56</v>
      </c>
      <c r="F342" s="205">
        <v>1263.4799999999998</v>
      </c>
      <c r="G342" s="205" t="e">
        <f>E342*$L$335</f>
        <v>#REF!</v>
      </c>
      <c r="H342" s="205" t="e">
        <f>F342*$L$336</f>
        <v>#REF!</v>
      </c>
      <c r="I342" s="214">
        <f t="shared" si="112"/>
        <v>2.0775718849840255</v>
      </c>
      <c r="J342" s="214">
        <f t="shared" si="113"/>
        <v>2.0183386581469644</v>
      </c>
      <c r="K342" s="214" t="e">
        <f t="shared" si="114"/>
        <v>#REF!</v>
      </c>
      <c r="L342" s="197" t="e">
        <f t="shared" si="115"/>
        <v>#REF!</v>
      </c>
    </row>
    <row r="343" spans="1:12" s="90" customFormat="1" ht="13.5" thickBot="1" x14ac:dyDescent="0.25">
      <c r="A343" s="213" t="s">
        <v>8</v>
      </c>
      <c r="B343" s="203">
        <f>SUM(B339:B342)</f>
        <v>2260.5833333333335</v>
      </c>
      <c r="C343" s="203">
        <f>SUM(C339:C342)</f>
        <v>2257.166666666667</v>
      </c>
      <c r="D343" s="212"/>
      <c r="E343" s="212"/>
      <c r="F343" s="212"/>
      <c r="G343" s="212"/>
      <c r="H343" s="212"/>
      <c r="I343" s="212"/>
      <c r="J343" s="212"/>
      <c r="K343" s="212"/>
      <c r="L343" s="212"/>
    </row>
    <row r="344" spans="1:12" s="90" customFormat="1" x14ac:dyDescent="0.2">
      <c r="A344" s="232" t="s">
        <v>150</v>
      </c>
      <c r="B344" s="216" t="s">
        <v>159</v>
      </c>
      <c r="C344" s="216" t="s">
        <v>158</v>
      </c>
      <c r="D344" s="233"/>
      <c r="E344" s="216" t="s">
        <v>153</v>
      </c>
      <c r="F344" s="216" t="s">
        <v>158</v>
      </c>
      <c r="G344" s="216" t="s">
        <v>153</v>
      </c>
      <c r="H344" s="216" t="s">
        <v>158</v>
      </c>
      <c r="I344" s="209" t="s">
        <v>153</v>
      </c>
      <c r="J344" s="209" t="s">
        <v>158</v>
      </c>
      <c r="K344" s="209" t="s">
        <v>153</v>
      </c>
      <c r="L344" s="209" t="s">
        <v>158</v>
      </c>
    </row>
    <row r="345" spans="1:12" s="90" customFormat="1" x14ac:dyDescent="0.2">
      <c r="A345" s="224" t="str">
        <f>A339</f>
        <v>Residential</v>
      </c>
      <c r="B345" s="221">
        <f>C339-B339</f>
        <v>-2.5833333333332575</v>
      </c>
      <c r="C345" s="219">
        <f>B345/B339</f>
        <v>-1.8655593669133473E-3</v>
      </c>
      <c r="D345" s="202" t="s">
        <v>49</v>
      </c>
      <c r="E345" s="221">
        <f>F339-E339</f>
        <v>-48460.300000000745</v>
      </c>
      <c r="F345" s="219">
        <f>E345/E339</f>
        <v>-5.3004854316606688E-3</v>
      </c>
      <c r="G345" s="221" t="e">
        <f>H339-G339</f>
        <v>#REF!</v>
      </c>
      <c r="H345" s="219" t="e">
        <f>G345/G339</f>
        <v>#REF!</v>
      </c>
      <c r="I345" s="221">
        <f>J339-I339</f>
        <v>-22.720999476063298</v>
      </c>
      <c r="J345" s="219">
        <f>I345/I339</f>
        <v>-3.4413461001992223E-3</v>
      </c>
      <c r="K345" s="221" t="e">
        <f>L339-K339</f>
        <v>#REF!</v>
      </c>
      <c r="L345" s="223" t="e">
        <f>K345/K339</f>
        <v>#REF!</v>
      </c>
    </row>
    <row r="346" spans="1:12" s="90" customFormat="1" x14ac:dyDescent="0.2">
      <c r="A346" s="224" t="str">
        <f t="shared" ref="A346:A348" si="116">A340</f>
        <v>General Service &lt; 50 kW</v>
      </c>
      <c r="B346" s="221">
        <f>C340-B340</f>
        <v>-0.16666666666665719</v>
      </c>
      <c r="C346" s="219">
        <f>B346/B340</f>
        <v>-7.1479628305928745E-4</v>
      </c>
      <c r="D346" s="202" t="s">
        <v>49</v>
      </c>
      <c r="E346" s="221">
        <f>F340-E340</f>
        <v>-78906.970000000671</v>
      </c>
      <c r="F346" s="219">
        <f>E346/E340</f>
        <v>-1.6686215163640255E-2</v>
      </c>
      <c r="G346" s="221" t="e">
        <f>H340-G340</f>
        <v>#REF!</v>
      </c>
      <c r="H346" s="219" t="e">
        <f>G346/G340</f>
        <v>#REF!</v>
      </c>
      <c r="I346" s="221">
        <f>J340-I340</f>
        <v>-324.14931379557311</v>
      </c>
      <c r="J346" s="219">
        <f>I346/I340</f>
        <v>-1.5982843357605761E-2</v>
      </c>
      <c r="K346" s="221" t="e">
        <f>L340-K340</f>
        <v>#REF!</v>
      </c>
      <c r="L346" s="223" t="e">
        <f>K346/K340</f>
        <v>#REF!</v>
      </c>
    </row>
    <row r="347" spans="1:12" s="90" customFormat="1" x14ac:dyDescent="0.2">
      <c r="A347" s="224" t="str">
        <f t="shared" si="116"/>
        <v>General Service &gt; 50 to 4999 kW</v>
      </c>
      <c r="B347" s="221">
        <f>C341-B341</f>
        <v>-0.66666666666666785</v>
      </c>
      <c r="C347" s="219">
        <f>B347/B341</f>
        <v>-4.000000000000007E-2</v>
      </c>
      <c r="D347" s="202" t="s">
        <v>50</v>
      </c>
      <c r="E347" s="221">
        <f>F341-E341</f>
        <v>-7461.1400000000067</v>
      </c>
      <c r="F347" s="219">
        <f>E347/E341</f>
        <v>-0.13375403845002407</v>
      </c>
      <c r="G347" s="221" t="e">
        <f>H341-G341</f>
        <v>#REF!</v>
      </c>
      <c r="H347" s="219" t="e">
        <f>G347/G341</f>
        <v>#REF!</v>
      </c>
      <c r="I347" s="221">
        <f>J341-I341</f>
        <v>-326.86490000000003</v>
      </c>
      <c r="J347" s="219">
        <f>I347/I341</f>
        <v>-9.7660456718774977E-2</v>
      </c>
      <c r="K347" s="221" t="e">
        <f>L341-K341</f>
        <v>#REF!</v>
      </c>
      <c r="L347" s="223" t="e">
        <f>K347/K341</f>
        <v>#REF!</v>
      </c>
    </row>
    <row r="348" spans="1:12" s="90" customFormat="1" x14ac:dyDescent="0.2">
      <c r="A348" s="224" t="str">
        <f t="shared" si="116"/>
        <v>Street Lights</v>
      </c>
      <c r="B348" s="221">
        <f>C342-B342</f>
        <v>0</v>
      </c>
      <c r="C348" s="219">
        <f>B348/B342</f>
        <v>0</v>
      </c>
      <c r="D348" s="202" t="s">
        <v>50</v>
      </c>
      <c r="E348" s="221">
        <f>F342-E342</f>
        <v>-37.080000000000155</v>
      </c>
      <c r="F348" s="219">
        <f>E348/E342</f>
        <v>-2.8510795349695636E-2</v>
      </c>
      <c r="G348" s="221" t="e">
        <f>H342-G342</f>
        <v>#REF!</v>
      </c>
      <c r="H348" s="219" t="e">
        <f>G348/G342</f>
        <v>#REF!</v>
      </c>
      <c r="I348" s="221">
        <f>J342-I342</f>
        <v>-5.9233226837061004E-2</v>
      </c>
      <c r="J348" s="219">
        <f>I348/I342</f>
        <v>-2.8510795349695663E-2</v>
      </c>
      <c r="K348" s="221" t="e">
        <f>L342-K342</f>
        <v>#REF!</v>
      </c>
      <c r="L348" s="223" t="e">
        <f>K348/K342</f>
        <v>#REF!</v>
      </c>
    </row>
    <row r="349" spans="1:12" s="90" customFormat="1" ht="13.5" thickBot="1" x14ac:dyDescent="0.25">
      <c r="A349" s="228" t="s">
        <v>8</v>
      </c>
      <c r="B349" s="199">
        <f>SUM(B345:B348)</f>
        <v>-3.4166666666665826</v>
      </c>
      <c r="C349" s="229">
        <f>B349/B343</f>
        <v>-1.5114092970103213E-3</v>
      </c>
      <c r="D349" s="147"/>
      <c r="E349" s="147"/>
      <c r="F349" s="147"/>
      <c r="G349" s="147"/>
      <c r="H349" s="147"/>
      <c r="I349" s="147"/>
      <c r="J349" s="147"/>
      <c r="K349" s="147"/>
      <c r="L349" s="147"/>
    </row>
    <row r="350" spans="1:12" s="90" customFormat="1" x14ac:dyDescent="0.2"/>
    <row r="351" spans="1:12" s="90" customFormat="1" x14ac:dyDescent="0.2">
      <c r="A351" s="204" t="s">
        <v>198</v>
      </c>
      <c r="B351" s="147"/>
      <c r="C351" s="147"/>
      <c r="D351" s="147"/>
      <c r="E351" s="147"/>
    </row>
    <row r="352" spans="1:12" s="90" customFormat="1" ht="25.5" x14ac:dyDescent="0.2">
      <c r="A352" s="210" t="s">
        <v>145</v>
      </c>
      <c r="B352" s="210" t="s">
        <v>164</v>
      </c>
      <c r="C352" s="210" t="s">
        <v>68</v>
      </c>
      <c r="D352" s="210" t="s">
        <v>147</v>
      </c>
      <c r="E352" s="210" t="s">
        <v>148</v>
      </c>
    </row>
    <row r="353" spans="1:12" s="90" customFormat="1" x14ac:dyDescent="0.2">
      <c r="A353" s="198" t="str">
        <f>A329</f>
        <v>Residential</v>
      </c>
      <c r="B353" s="211">
        <f>C329</f>
        <v>787730.11</v>
      </c>
      <c r="C353" s="237">
        <v>806169.16</v>
      </c>
      <c r="D353" s="214">
        <f>C353-B353</f>
        <v>18439.050000000047</v>
      </c>
      <c r="E353" s="200">
        <f>D353/B353</f>
        <v>2.3407826825357796E-2</v>
      </c>
    </row>
    <row r="354" spans="1:12" s="90" customFormat="1" x14ac:dyDescent="0.2">
      <c r="A354" s="198" t="str">
        <f t="shared" ref="A354:A356" si="117">A330</f>
        <v>General Service &lt; 50 kW</v>
      </c>
      <c r="B354" s="211">
        <f>C330</f>
        <v>238814.01</v>
      </c>
      <c r="C354" s="237">
        <v>240388.78</v>
      </c>
      <c r="D354" s="214">
        <f t="shared" ref="D354:D357" si="118">C354-B354</f>
        <v>1574.7699999999895</v>
      </c>
      <c r="E354" s="200">
        <f t="shared" ref="E354:E356" si="119">D354/B354</f>
        <v>6.5941273713380107E-3</v>
      </c>
    </row>
    <row r="355" spans="1:12" s="90" customFormat="1" x14ac:dyDescent="0.2">
      <c r="A355" s="198" t="str">
        <f t="shared" si="117"/>
        <v>General Service &gt; 50 to 4999 kW</v>
      </c>
      <c r="B355" s="211">
        <f>C331</f>
        <v>282294.40000000002</v>
      </c>
      <c r="C355" s="237">
        <v>293036.64</v>
      </c>
      <c r="D355" s="214">
        <f t="shared" si="118"/>
        <v>10742.239999999991</v>
      </c>
      <c r="E355" s="200">
        <f t="shared" si="119"/>
        <v>3.8053323055646834E-2</v>
      </c>
    </row>
    <row r="356" spans="1:12" s="90" customFormat="1" x14ac:dyDescent="0.2">
      <c r="A356" s="198" t="str">
        <f t="shared" si="117"/>
        <v>Street Lights</v>
      </c>
      <c r="B356" s="211">
        <f>C332</f>
        <v>123317.04</v>
      </c>
      <c r="C356" s="237">
        <v>125105.11</v>
      </c>
      <c r="D356" s="214">
        <f t="shared" si="118"/>
        <v>1788.070000000007</v>
      </c>
      <c r="E356" s="200">
        <f t="shared" si="119"/>
        <v>1.4499780403422001E-2</v>
      </c>
    </row>
    <row r="357" spans="1:12" s="90" customFormat="1" x14ac:dyDescent="0.2">
      <c r="A357" s="226" t="s">
        <v>8</v>
      </c>
      <c r="B357" s="222">
        <f>SUM(B353:B356)</f>
        <v>1432155.56</v>
      </c>
      <c r="C357" s="222">
        <f>SUM(C353:C356)</f>
        <v>1464699.6900000002</v>
      </c>
      <c r="D357" s="208">
        <f t="shared" si="118"/>
        <v>32544.130000000121</v>
      </c>
      <c r="E357" s="206">
        <f>D357/B357</f>
        <v>2.2723879241162964E-2</v>
      </c>
    </row>
    <row r="358" spans="1:12" s="90" customFormat="1" ht="13.5" thickBot="1" x14ac:dyDescent="0.25">
      <c r="A358" s="204" t="s">
        <v>199</v>
      </c>
    </row>
    <row r="359" spans="1:12" s="90" customFormat="1" ht="13.5" thickBot="1" x14ac:dyDescent="0.25">
      <c r="B359" s="147"/>
      <c r="C359" s="147"/>
      <c r="D359" s="147"/>
      <c r="E359" s="147"/>
      <c r="F359" s="147"/>
      <c r="G359" s="147"/>
      <c r="H359" s="147"/>
      <c r="K359" s="207" t="s">
        <v>165</v>
      </c>
      <c r="L359" s="218" t="e">
        <f>$F$140</f>
        <v>#REF!</v>
      </c>
    </row>
    <row r="360" spans="1:12" s="90" customFormat="1" ht="13.5" thickBot="1" x14ac:dyDescent="0.25">
      <c r="A360" s="204"/>
      <c r="B360" s="147"/>
      <c r="C360" s="147"/>
      <c r="D360" s="147"/>
      <c r="E360" s="147"/>
      <c r="F360" s="147"/>
      <c r="G360" s="147"/>
      <c r="H360" s="147"/>
      <c r="I360" s="147"/>
      <c r="J360" s="147"/>
      <c r="K360" s="207" t="s">
        <v>166</v>
      </c>
      <c r="L360" s="218" t="e">
        <f>$F$141</f>
        <v>#REF!</v>
      </c>
    </row>
    <row r="361" spans="1:12" s="90" customFormat="1" ht="35.25" customHeight="1" x14ac:dyDescent="0.2">
      <c r="A361" s="350" t="s">
        <v>149</v>
      </c>
      <c r="B361" s="352" t="s">
        <v>151</v>
      </c>
      <c r="C361" s="352"/>
      <c r="D361" s="352" t="s">
        <v>152</v>
      </c>
      <c r="E361" s="354" t="s">
        <v>153</v>
      </c>
      <c r="F361" s="354"/>
      <c r="G361" s="354" t="s">
        <v>156</v>
      </c>
      <c r="H361" s="354"/>
      <c r="I361" s="354" t="s">
        <v>154</v>
      </c>
      <c r="J361" s="354"/>
      <c r="K361" s="354" t="s">
        <v>155</v>
      </c>
      <c r="L361" s="355"/>
    </row>
    <row r="362" spans="1:12" s="90" customFormat="1" x14ac:dyDescent="0.2">
      <c r="A362" s="351"/>
      <c r="B362" s="180" t="s">
        <v>164</v>
      </c>
      <c r="C362" s="180" t="s">
        <v>68</v>
      </c>
      <c r="D362" s="353"/>
      <c r="E362" s="180" t="s">
        <v>164</v>
      </c>
      <c r="F362" s="180" t="s">
        <v>68</v>
      </c>
      <c r="G362" s="180" t="s">
        <v>164</v>
      </c>
      <c r="H362" s="180" t="s">
        <v>68</v>
      </c>
      <c r="I362" s="180" t="s">
        <v>164</v>
      </c>
      <c r="J362" s="180" t="s">
        <v>68</v>
      </c>
      <c r="K362" s="180" t="s">
        <v>164</v>
      </c>
      <c r="L362" s="215" t="s">
        <v>68</v>
      </c>
    </row>
    <row r="363" spans="1:12" s="90" customFormat="1" x14ac:dyDescent="0.2">
      <c r="A363" s="224" t="str">
        <f>A339</f>
        <v>Residential</v>
      </c>
      <c r="B363" s="214">
        <f>C339</f>
        <v>1382.1666666666667</v>
      </c>
      <c r="C363" s="214">
        <f t="array" ref="C363:C366">TRANSPOSE(B$157:E$157)</f>
        <v>1382.1666666666667</v>
      </c>
      <c r="D363" s="202" t="s">
        <v>49</v>
      </c>
      <c r="E363" s="214">
        <f>F339</f>
        <v>9094155.1499999985</v>
      </c>
      <c r="F363" s="205">
        <f t="array" ref="F363:F364">TRANSPOSE(B$49:C$49)*1000000</f>
        <v>9262308.5</v>
      </c>
      <c r="G363" s="205" t="e">
        <f>E363*$L$359</f>
        <v>#REF!</v>
      </c>
      <c r="H363" s="205" t="e">
        <f>F363*$L$360</f>
        <v>#REF!</v>
      </c>
      <c r="I363" s="214">
        <f>E363/B363</f>
        <v>6579.6371518147826</v>
      </c>
      <c r="J363" s="214">
        <f>F363/C363</f>
        <v>6701.2963945496194</v>
      </c>
      <c r="K363" s="214" t="e">
        <f>G363/B363</f>
        <v>#REF!</v>
      </c>
      <c r="L363" s="197" t="e">
        <f>H363/C363</f>
        <v>#REF!</v>
      </c>
    </row>
    <row r="364" spans="1:12" s="90" customFormat="1" x14ac:dyDescent="0.2">
      <c r="A364" s="224" t="str">
        <f t="shared" ref="A364:A366" si="120">A340</f>
        <v>General Service &lt; 50 kW</v>
      </c>
      <c r="B364" s="214">
        <f>C340</f>
        <v>233</v>
      </c>
      <c r="C364" s="214">
        <v>231.41666666666666</v>
      </c>
      <c r="D364" s="202" t="s">
        <v>49</v>
      </c>
      <c r="E364" s="214">
        <f>F340</f>
        <v>4649964.6899999995</v>
      </c>
      <c r="F364" s="205">
        <v>4251506.3099999996</v>
      </c>
      <c r="G364" s="205" t="e">
        <f>E364*$L$359</f>
        <v>#REF!</v>
      </c>
      <c r="H364" s="205" t="e">
        <f>F364*$L$360</f>
        <v>#REF!</v>
      </c>
      <c r="I364" s="214">
        <f t="shared" ref="I364:I366" si="121">E364/B364</f>
        <v>19956.929999999997</v>
      </c>
      <c r="J364" s="214">
        <f t="shared" ref="J364:J366" si="122">F364/C364</f>
        <v>18371.65132157004</v>
      </c>
      <c r="K364" s="214" t="e">
        <f t="shared" ref="K364:K366" si="123">G364/B364</f>
        <v>#REF!</v>
      </c>
      <c r="L364" s="197" t="e">
        <f t="shared" ref="L364:L366" si="124">H364/C364</f>
        <v>#REF!</v>
      </c>
    </row>
    <row r="365" spans="1:12" s="90" customFormat="1" x14ac:dyDescent="0.2">
      <c r="A365" s="224" t="str">
        <f t="shared" si="120"/>
        <v>General Service &gt; 50 to 4999 kW</v>
      </c>
      <c r="B365" s="214">
        <f>C341</f>
        <v>16</v>
      </c>
      <c r="C365" s="214">
        <v>16</v>
      </c>
      <c r="D365" s="202" t="s">
        <v>50</v>
      </c>
      <c r="E365" s="214">
        <f>F341</f>
        <v>48321.4</v>
      </c>
      <c r="F365" s="205">
        <f t="array" ref="F365:F366">TRANSPOSE('Rate Class Load Model'!B$8:C$8)</f>
        <v>47169.919999999998</v>
      </c>
      <c r="G365" s="205" t="e">
        <f>E365*$L$359</f>
        <v>#REF!</v>
      </c>
      <c r="H365" s="205" t="e">
        <f>F365*$L$360</f>
        <v>#REF!</v>
      </c>
      <c r="I365" s="214">
        <f t="shared" si="121"/>
        <v>3020.0875000000001</v>
      </c>
      <c r="J365" s="214">
        <f t="shared" si="122"/>
        <v>2948.12</v>
      </c>
      <c r="K365" s="214" t="e">
        <f t="shared" si="123"/>
        <v>#REF!</v>
      </c>
      <c r="L365" s="197" t="e">
        <f t="shared" si="124"/>
        <v>#REF!</v>
      </c>
    </row>
    <row r="366" spans="1:12" s="90" customFormat="1" x14ac:dyDescent="0.2">
      <c r="A366" s="224" t="str">
        <f t="shared" si="120"/>
        <v>Street Lights</v>
      </c>
      <c r="B366" s="214">
        <f>C342</f>
        <v>626</v>
      </c>
      <c r="C366" s="214">
        <v>624</v>
      </c>
      <c r="D366" s="202" t="s">
        <v>50</v>
      </c>
      <c r="E366" s="214">
        <f>F342</f>
        <v>1263.4799999999998</v>
      </c>
      <c r="F366" s="205">
        <v>1253.2800000000004</v>
      </c>
      <c r="G366" s="205" t="e">
        <f>E366*$L$359</f>
        <v>#REF!</v>
      </c>
      <c r="H366" s="205" t="e">
        <f>F366*$L$360</f>
        <v>#REF!</v>
      </c>
      <c r="I366" s="214">
        <f t="shared" si="121"/>
        <v>2.0183386581469644</v>
      </c>
      <c r="J366" s="214">
        <f t="shared" si="122"/>
        <v>2.008461538461539</v>
      </c>
      <c r="K366" s="214" t="e">
        <f t="shared" si="123"/>
        <v>#REF!</v>
      </c>
      <c r="L366" s="197" t="e">
        <f t="shared" si="124"/>
        <v>#REF!</v>
      </c>
    </row>
    <row r="367" spans="1:12" s="90" customFormat="1" ht="13.5" thickBot="1" x14ac:dyDescent="0.25">
      <c r="A367" s="213" t="s">
        <v>8</v>
      </c>
      <c r="B367" s="203">
        <f>SUM(B363:B366)</f>
        <v>2257.166666666667</v>
      </c>
      <c r="C367" s="203">
        <f>SUM(C363:C366)</f>
        <v>2253.5833333333335</v>
      </c>
      <c r="D367" s="212"/>
      <c r="E367" s="212"/>
      <c r="F367" s="212"/>
      <c r="G367" s="212"/>
      <c r="H367" s="212"/>
      <c r="I367" s="212"/>
      <c r="J367" s="212"/>
      <c r="K367" s="212"/>
      <c r="L367" s="212"/>
    </row>
    <row r="368" spans="1:12" s="90" customFormat="1" x14ac:dyDescent="0.2">
      <c r="A368" s="232" t="s">
        <v>150</v>
      </c>
      <c r="B368" s="216" t="s">
        <v>159</v>
      </c>
      <c r="C368" s="216" t="s">
        <v>158</v>
      </c>
      <c r="D368" s="233"/>
      <c r="E368" s="216" t="s">
        <v>153</v>
      </c>
      <c r="F368" s="216" t="s">
        <v>158</v>
      </c>
      <c r="G368" s="216" t="s">
        <v>153</v>
      </c>
      <c r="H368" s="216" t="s">
        <v>158</v>
      </c>
      <c r="I368" s="209" t="s">
        <v>153</v>
      </c>
      <c r="J368" s="209" t="s">
        <v>158</v>
      </c>
      <c r="K368" s="209" t="s">
        <v>153</v>
      </c>
      <c r="L368" s="209" t="s">
        <v>158</v>
      </c>
    </row>
    <row r="369" spans="1:12" s="90" customFormat="1" x14ac:dyDescent="0.2">
      <c r="A369" s="224" t="str">
        <f>A363</f>
        <v>Residential</v>
      </c>
      <c r="B369" s="221">
        <f>C363-B363</f>
        <v>0</v>
      </c>
      <c r="C369" s="219">
        <f>B369/B363</f>
        <v>0</v>
      </c>
      <c r="D369" s="202" t="s">
        <v>49</v>
      </c>
      <c r="E369" s="221">
        <f>F363-E363</f>
        <v>168153.35000000149</v>
      </c>
      <c r="F369" s="219">
        <f>E369/E363</f>
        <v>1.8490266245347872E-2</v>
      </c>
      <c r="G369" s="221" t="e">
        <f>H363-G363</f>
        <v>#REF!</v>
      </c>
      <c r="H369" s="219" t="e">
        <f>G369/G363</f>
        <v>#REF!</v>
      </c>
      <c r="I369" s="221">
        <f>J363-I363</f>
        <v>121.65924273483688</v>
      </c>
      <c r="J369" s="219">
        <f>I369/I363</f>
        <v>1.8490266245347751E-2</v>
      </c>
      <c r="K369" s="221" t="e">
        <f>L363-K363</f>
        <v>#REF!</v>
      </c>
      <c r="L369" s="223" t="e">
        <f>K369/K363</f>
        <v>#REF!</v>
      </c>
    </row>
    <row r="370" spans="1:12" s="90" customFormat="1" x14ac:dyDescent="0.2">
      <c r="A370" s="224" t="str">
        <f t="shared" ref="A370:A372" si="125">A364</f>
        <v>General Service &lt; 50 kW</v>
      </c>
      <c r="B370" s="221">
        <f>C364-B364</f>
        <v>-1.5833333333333428</v>
      </c>
      <c r="C370" s="219">
        <f>B370/B364</f>
        <v>-6.7954220314735744E-3</v>
      </c>
      <c r="D370" s="202" t="s">
        <v>49</v>
      </c>
      <c r="E370" s="221">
        <f>F364-E364</f>
        <v>-398458.37999999989</v>
      </c>
      <c r="F370" s="219">
        <f>E370/E364</f>
        <v>-8.5690624889454794E-2</v>
      </c>
      <c r="G370" s="221" t="e">
        <f>H364-G364</f>
        <v>#REF!</v>
      </c>
      <c r="H370" s="219" t="e">
        <f>G370/G364</f>
        <v>#REF!</v>
      </c>
      <c r="I370" s="221">
        <f>J364-I364</f>
        <v>-1585.2786784299569</v>
      </c>
      <c r="J370" s="219">
        <f>I370/I364</f>
        <v>-7.94349971879421E-2</v>
      </c>
      <c r="K370" s="221" t="e">
        <f>L364-K364</f>
        <v>#REF!</v>
      </c>
      <c r="L370" s="223" t="e">
        <f>K370/K364</f>
        <v>#REF!</v>
      </c>
    </row>
    <row r="371" spans="1:12" s="90" customFormat="1" x14ac:dyDescent="0.2">
      <c r="A371" s="224" t="str">
        <f t="shared" si="125"/>
        <v>General Service &gt; 50 to 4999 kW</v>
      </c>
      <c r="B371" s="221">
        <f>C365-B365</f>
        <v>0</v>
      </c>
      <c r="C371" s="219">
        <f>B371/B365</f>
        <v>0</v>
      </c>
      <c r="D371" s="202" t="s">
        <v>50</v>
      </c>
      <c r="E371" s="221">
        <f>F365-E365</f>
        <v>-1151.4800000000032</v>
      </c>
      <c r="F371" s="219">
        <f>E371/E365</f>
        <v>-2.3829607585872992E-2</v>
      </c>
      <c r="G371" s="221" t="e">
        <f>H365-G365</f>
        <v>#REF!</v>
      </c>
      <c r="H371" s="219" t="e">
        <f>G371/G365</f>
        <v>#REF!</v>
      </c>
      <c r="I371" s="221">
        <f>J365-I365</f>
        <v>-71.9675000000002</v>
      </c>
      <c r="J371" s="219">
        <f>I371/I365</f>
        <v>-2.3829607585872992E-2</v>
      </c>
      <c r="K371" s="221" t="e">
        <f>L365-K365</f>
        <v>#REF!</v>
      </c>
      <c r="L371" s="223" t="e">
        <f>K371/K365</f>
        <v>#REF!</v>
      </c>
    </row>
    <row r="372" spans="1:12" s="90" customFormat="1" x14ac:dyDescent="0.2">
      <c r="A372" s="224" t="str">
        <f t="shared" si="125"/>
        <v>Street Lights</v>
      </c>
      <c r="B372" s="221">
        <f>C366-B366</f>
        <v>-2</v>
      </c>
      <c r="C372" s="219">
        <f>B372/B366</f>
        <v>-3.1948881789137379E-3</v>
      </c>
      <c r="D372" s="202" t="s">
        <v>50</v>
      </c>
      <c r="E372" s="221">
        <f>F366-E366</f>
        <v>-10.199999999999363</v>
      </c>
      <c r="F372" s="219">
        <f>E372/E366</f>
        <v>-8.0729413999425115E-3</v>
      </c>
      <c r="G372" s="221" t="e">
        <f>H366-G366</f>
        <v>#REF!</v>
      </c>
      <c r="H372" s="219" t="e">
        <f>G372/G366</f>
        <v>#REF!</v>
      </c>
      <c r="I372" s="221">
        <f>J366-I366</f>
        <v>-9.8771196854254839E-3</v>
      </c>
      <c r="J372" s="219">
        <f>I372/I366</f>
        <v>-4.8936880069936637E-3</v>
      </c>
      <c r="K372" s="221" t="e">
        <f>L366-K366</f>
        <v>#REF!</v>
      </c>
      <c r="L372" s="223" t="e">
        <f>K372/K366</f>
        <v>#REF!</v>
      </c>
    </row>
    <row r="373" spans="1:12" s="90" customFormat="1" ht="13.5" thickBot="1" x14ac:dyDescent="0.25">
      <c r="A373" s="228" t="s">
        <v>8</v>
      </c>
      <c r="B373" s="199">
        <f>SUM(B369:B372)</f>
        <v>-3.5833333333333428</v>
      </c>
      <c r="C373" s="229">
        <f>B373/B367</f>
        <v>-1.5875359964557375E-3</v>
      </c>
      <c r="D373" s="147"/>
      <c r="E373" s="147"/>
      <c r="F373" s="147"/>
      <c r="G373" s="147"/>
      <c r="H373" s="147"/>
      <c r="I373" s="147"/>
      <c r="J373" s="147"/>
      <c r="K373" s="147"/>
      <c r="L373" s="147"/>
    </row>
    <row r="374" spans="1:12" s="90" customFormat="1" x14ac:dyDescent="0.2"/>
    <row r="375" spans="1:12" s="90" customFormat="1" x14ac:dyDescent="0.2">
      <c r="A375" s="204" t="s">
        <v>200</v>
      </c>
      <c r="B375" s="147"/>
      <c r="C375" s="147"/>
      <c r="D375" s="147"/>
      <c r="E375" s="147"/>
    </row>
    <row r="376" spans="1:12" s="90" customFormat="1" ht="25.5" x14ac:dyDescent="0.2">
      <c r="A376" s="210" t="s">
        <v>145</v>
      </c>
      <c r="B376" s="210" t="s">
        <v>68</v>
      </c>
      <c r="C376" s="210" t="s">
        <v>69</v>
      </c>
      <c r="D376" s="210" t="s">
        <v>147</v>
      </c>
      <c r="E376" s="210" t="s">
        <v>148</v>
      </c>
    </row>
    <row r="377" spans="1:12" s="90" customFormat="1" x14ac:dyDescent="0.2">
      <c r="A377" s="198" t="str">
        <f>A353</f>
        <v>Residential</v>
      </c>
      <c r="B377" s="211">
        <f>C353</f>
        <v>806169.16</v>
      </c>
      <c r="C377" s="237">
        <v>811842.98</v>
      </c>
      <c r="D377" s="214">
        <f>C377-B377</f>
        <v>5673.8199999999488</v>
      </c>
      <c r="E377" s="200">
        <f>D377/B377</f>
        <v>7.0380018010115257E-3</v>
      </c>
    </row>
    <row r="378" spans="1:12" s="90" customFormat="1" x14ac:dyDescent="0.2">
      <c r="A378" s="198" t="str">
        <f t="shared" ref="A378:A380" si="126">A354</f>
        <v>General Service &lt; 50 kW</v>
      </c>
      <c r="B378" s="211">
        <f>C354</f>
        <v>240388.78</v>
      </c>
      <c r="C378" s="237">
        <v>245963.35</v>
      </c>
      <c r="D378" s="214">
        <f t="shared" ref="D378:D381" si="127">C378-B378</f>
        <v>5574.570000000007</v>
      </c>
      <c r="E378" s="200">
        <f t="shared" ref="E378:E380" si="128">D378/B378</f>
        <v>2.3189809441189424E-2</v>
      </c>
    </row>
    <row r="379" spans="1:12" s="90" customFormat="1" x14ac:dyDescent="0.2">
      <c r="A379" s="198" t="str">
        <f t="shared" si="126"/>
        <v>General Service &gt; 50 to 4999 kW</v>
      </c>
      <c r="B379" s="211">
        <f>C355</f>
        <v>293036.64</v>
      </c>
      <c r="C379" s="237">
        <v>296245.13</v>
      </c>
      <c r="D379" s="214">
        <f t="shared" si="127"/>
        <v>3208.4899999999907</v>
      </c>
      <c r="E379" s="200">
        <f t="shared" si="128"/>
        <v>1.0949108616587983E-2</v>
      </c>
    </row>
    <row r="380" spans="1:12" s="90" customFormat="1" x14ac:dyDescent="0.2">
      <c r="A380" s="198" t="str">
        <f t="shared" si="126"/>
        <v>Street Lights</v>
      </c>
      <c r="B380" s="211">
        <f>C356</f>
        <v>125105.11</v>
      </c>
      <c r="C380" s="237">
        <v>126988.57</v>
      </c>
      <c r="D380" s="214">
        <f t="shared" si="127"/>
        <v>1883.4600000000064</v>
      </c>
      <c r="E380" s="200">
        <f t="shared" si="128"/>
        <v>1.5055020534333141E-2</v>
      </c>
    </row>
    <row r="381" spans="1:12" s="90" customFormat="1" x14ac:dyDescent="0.2">
      <c r="A381" s="226" t="s">
        <v>8</v>
      </c>
      <c r="B381" s="222">
        <f>SUM(B377:B380)</f>
        <v>1464699.6900000002</v>
      </c>
      <c r="C381" s="222">
        <f>SUM(C377:C380)</f>
        <v>1481040.03</v>
      </c>
      <c r="D381" s="208">
        <f t="shared" si="127"/>
        <v>16340.339999999851</v>
      </c>
      <c r="E381" s="206">
        <f>D381/B381</f>
        <v>1.1156102586462519E-2</v>
      </c>
    </row>
    <row r="382" spans="1:12" s="90" customFormat="1" ht="13.5" thickBot="1" x14ac:dyDescent="0.25">
      <c r="A382" s="204" t="s">
        <v>201</v>
      </c>
    </row>
    <row r="383" spans="1:12" s="90" customFormat="1" ht="13.5" thickBot="1" x14ac:dyDescent="0.25">
      <c r="B383" s="147"/>
      <c r="C383" s="147"/>
      <c r="D383" s="147"/>
      <c r="E383" s="147"/>
      <c r="F383" s="147"/>
      <c r="G383" s="147"/>
      <c r="H383" s="147"/>
      <c r="I383" s="147"/>
      <c r="J383" s="147"/>
      <c r="K383" s="207" t="s">
        <v>166</v>
      </c>
      <c r="L383" s="218" t="e">
        <f>$F$141</f>
        <v>#REF!</v>
      </c>
    </row>
    <row r="384" spans="1:12" s="90" customFormat="1" ht="13.5" thickBot="1" x14ac:dyDescent="0.25">
      <c r="A384" s="204"/>
      <c r="B384" s="147"/>
      <c r="C384" s="147"/>
      <c r="D384" s="147"/>
      <c r="E384" s="147"/>
      <c r="F384" s="147"/>
      <c r="G384" s="147"/>
      <c r="H384" s="147"/>
      <c r="I384" s="147"/>
      <c r="J384" s="147"/>
      <c r="K384" s="207" t="s">
        <v>167</v>
      </c>
      <c r="L384" s="218" t="e">
        <f>$F$142</f>
        <v>#REF!</v>
      </c>
    </row>
    <row r="385" spans="1:12" s="90" customFormat="1" ht="42" customHeight="1" x14ac:dyDescent="0.2">
      <c r="A385" s="350" t="s">
        <v>149</v>
      </c>
      <c r="B385" s="352" t="s">
        <v>151</v>
      </c>
      <c r="C385" s="352"/>
      <c r="D385" s="352" t="s">
        <v>152</v>
      </c>
      <c r="E385" s="354" t="s">
        <v>153</v>
      </c>
      <c r="F385" s="354"/>
      <c r="G385" s="354" t="s">
        <v>156</v>
      </c>
      <c r="H385" s="354"/>
      <c r="I385" s="354" t="s">
        <v>154</v>
      </c>
      <c r="J385" s="354"/>
      <c r="K385" s="354" t="s">
        <v>155</v>
      </c>
      <c r="L385" s="355"/>
    </row>
    <row r="386" spans="1:12" s="90" customFormat="1" x14ac:dyDescent="0.2">
      <c r="A386" s="351"/>
      <c r="B386" s="180" t="s">
        <v>68</v>
      </c>
      <c r="C386" s="180" t="s">
        <v>69</v>
      </c>
      <c r="D386" s="353"/>
      <c r="E386" s="180" t="s">
        <v>68</v>
      </c>
      <c r="F386" s="180" t="s">
        <v>69</v>
      </c>
      <c r="G386" s="180" t="s">
        <v>68</v>
      </c>
      <c r="H386" s="180" t="s">
        <v>69</v>
      </c>
      <c r="I386" s="180" t="s">
        <v>68</v>
      </c>
      <c r="J386" s="180" t="s">
        <v>69</v>
      </c>
      <c r="K386" s="180" t="s">
        <v>68</v>
      </c>
      <c r="L386" s="215" t="s">
        <v>69</v>
      </c>
    </row>
    <row r="387" spans="1:12" s="90" customFormat="1" x14ac:dyDescent="0.2">
      <c r="A387" s="224" t="str">
        <f>A363</f>
        <v>Residential</v>
      </c>
      <c r="B387" s="214">
        <f>C363</f>
        <v>1382.1666666666667</v>
      </c>
      <c r="C387" s="214">
        <f t="array" ref="C387:C390">TRANSPOSE(B$158:E$158)</f>
        <v>1375.3333333333333</v>
      </c>
      <c r="D387" s="202" t="s">
        <v>49</v>
      </c>
      <c r="E387" s="214">
        <f>F363</f>
        <v>9262308.5</v>
      </c>
      <c r="F387" s="205">
        <f t="array" ref="F387:F388">TRANSPOSE(B$50:C$50)*1000000</f>
        <v>9440222.7800000012</v>
      </c>
      <c r="G387" s="205" t="e">
        <f>E387*$L$383</f>
        <v>#REF!</v>
      </c>
      <c r="H387" s="205" t="e">
        <f>F387*$L$384</f>
        <v>#REF!</v>
      </c>
      <c r="I387" s="214">
        <f>E387/B387</f>
        <v>6701.2963945496194</v>
      </c>
      <c r="J387" s="214">
        <f>F387/C387</f>
        <v>6863.9525787687844</v>
      </c>
      <c r="K387" s="214" t="e">
        <f>G387/B387</f>
        <v>#REF!</v>
      </c>
      <c r="L387" s="197" t="e">
        <f>H387/C387</f>
        <v>#REF!</v>
      </c>
    </row>
    <row r="388" spans="1:12" s="90" customFormat="1" x14ac:dyDescent="0.2">
      <c r="A388" s="224" t="str">
        <f t="shared" ref="A388:A390" si="129">A364</f>
        <v>General Service &lt; 50 kW</v>
      </c>
      <c r="B388" s="214">
        <f>C364</f>
        <v>231.41666666666666</v>
      </c>
      <c r="C388" s="214">
        <v>232.83333333333334</v>
      </c>
      <c r="D388" s="202" t="s">
        <v>49</v>
      </c>
      <c r="E388" s="214">
        <f>F364</f>
        <v>4251506.3099999996</v>
      </c>
      <c r="F388" s="205">
        <v>4361718.66</v>
      </c>
      <c r="G388" s="205" t="e">
        <f>E388*$L$383</f>
        <v>#REF!</v>
      </c>
      <c r="H388" s="205" t="e">
        <f>F388*$L$384</f>
        <v>#REF!</v>
      </c>
      <c r="I388" s="214">
        <f t="shared" ref="I388:I390" si="130">E388/B388</f>
        <v>18371.65132157004</v>
      </c>
      <c r="J388" s="214">
        <f t="shared" ref="J388:J390" si="131">F388/C388</f>
        <v>18733.222591267</v>
      </c>
      <c r="K388" s="214" t="e">
        <f t="shared" ref="K388:K390" si="132">G388/B388</f>
        <v>#REF!</v>
      </c>
      <c r="L388" s="197" t="e">
        <f t="shared" ref="L388:L390" si="133">H388/C388</f>
        <v>#REF!</v>
      </c>
    </row>
    <row r="389" spans="1:12" s="90" customFormat="1" x14ac:dyDescent="0.2">
      <c r="A389" s="224" t="str">
        <f t="shared" si="129"/>
        <v>General Service &gt; 50 to 4999 kW</v>
      </c>
      <c r="B389" s="214">
        <f>C365</f>
        <v>16</v>
      </c>
      <c r="C389" s="214">
        <v>15.833333333333334</v>
      </c>
      <c r="D389" s="202" t="s">
        <v>50</v>
      </c>
      <c r="E389" s="214">
        <f>F365</f>
        <v>47169.919999999998</v>
      </c>
      <c r="F389" s="205">
        <f t="array" ref="F389:F390">TRANSPOSE('Rate Class Load Model'!B$9:C$9)</f>
        <v>49426.239999999998</v>
      </c>
      <c r="G389" s="205" t="e">
        <f>E389*$L$383</f>
        <v>#REF!</v>
      </c>
      <c r="H389" s="205" t="e">
        <f>F389*$L$384</f>
        <v>#REF!</v>
      </c>
      <c r="I389" s="214">
        <f t="shared" si="130"/>
        <v>2948.12</v>
      </c>
      <c r="J389" s="214">
        <f t="shared" si="131"/>
        <v>3121.6572631578947</v>
      </c>
      <c r="K389" s="214" t="e">
        <f t="shared" si="132"/>
        <v>#REF!</v>
      </c>
      <c r="L389" s="197" t="e">
        <f t="shared" si="133"/>
        <v>#REF!</v>
      </c>
    </row>
    <row r="390" spans="1:12" s="90" customFormat="1" x14ac:dyDescent="0.2">
      <c r="A390" s="224" t="str">
        <f t="shared" si="129"/>
        <v>Street Lights</v>
      </c>
      <c r="B390" s="214">
        <f>C366</f>
        <v>624</v>
      </c>
      <c r="C390" s="214">
        <v>624</v>
      </c>
      <c r="D390" s="202" t="s">
        <v>50</v>
      </c>
      <c r="E390" s="214">
        <f>F366</f>
        <v>1253.2800000000004</v>
      </c>
      <c r="F390" s="205">
        <v>1253.2800000000004</v>
      </c>
      <c r="G390" s="205" t="e">
        <f>E390*$L$383</f>
        <v>#REF!</v>
      </c>
      <c r="H390" s="205" t="e">
        <f>F390*$L$384</f>
        <v>#REF!</v>
      </c>
      <c r="I390" s="214">
        <f t="shared" si="130"/>
        <v>2.008461538461539</v>
      </c>
      <c r="J390" s="214">
        <f t="shared" si="131"/>
        <v>2.008461538461539</v>
      </c>
      <c r="K390" s="214" t="e">
        <f t="shared" si="132"/>
        <v>#REF!</v>
      </c>
      <c r="L390" s="197" t="e">
        <f t="shared" si="133"/>
        <v>#REF!</v>
      </c>
    </row>
    <row r="391" spans="1:12" s="90" customFormat="1" ht="13.5" thickBot="1" x14ac:dyDescent="0.25">
      <c r="A391" s="213" t="s">
        <v>8</v>
      </c>
      <c r="B391" s="203">
        <f>SUM(B387:B390)</f>
        <v>2253.5833333333335</v>
      </c>
      <c r="C391" s="203">
        <f>SUM(C387:C390)</f>
        <v>2248</v>
      </c>
      <c r="D391" s="212"/>
      <c r="E391" s="212"/>
      <c r="F391" s="212"/>
      <c r="G391" s="212"/>
      <c r="H391" s="212"/>
      <c r="I391" s="212"/>
      <c r="J391" s="212"/>
      <c r="K391" s="212"/>
      <c r="L391" s="212"/>
    </row>
    <row r="392" spans="1:12" s="90" customFormat="1" x14ac:dyDescent="0.2">
      <c r="A392" s="232" t="s">
        <v>150</v>
      </c>
      <c r="B392" s="216" t="s">
        <v>159</v>
      </c>
      <c r="C392" s="216" t="s">
        <v>158</v>
      </c>
      <c r="D392" s="233"/>
      <c r="E392" s="216" t="s">
        <v>153</v>
      </c>
      <c r="F392" s="216" t="s">
        <v>158</v>
      </c>
      <c r="G392" s="216" t="s">
        <v>153</v>
      </c>
      <c r="H392" s="216" t="s">
        <v>158</v>
      </c>
      <c r="I392" s="209" t="s">
        <v>153</v>
      </c>
      <c r="J392" s="209" t="s">
        <v>158</v>
      </c>
      <c r="K392" s="209" t="s">
        <v>153</v>
      </c>
      <c r="L392" s="209" t="s">
        <v>158</v>
      </c>
    </row>
    <row r="393" spans="1:12" s="90" customFormat="1" x14ac:dyDescent="0.2">
      <c r="A393" s="224" t="str">
        <f>A387</f>
        <v>Residential</v>
      </c>
      <c r="B393" s="221">
        <f>C387-B387</f>
        <v>-6.8333333333334849</v>
      </c>
      <c r="C393" s="219">
        <f>B393/B387</f>
        <v>-4.9439286144942612E-3</v>
      </c>
      <c r="D393" s="202" t="s">
        <v>49</v>
      </c>
      <c r="E393" s="221">
        <f>F387-E387</f>
        <v>177914.28000000119</v>
      </c>
      <c r="F393" s="219">
        <f>E393/E387</f>
        <v>1.9208416562674541E-2</v>
      </c>
      <c r="G393" s="221" t="e">
        <f>H387-G387</f>
        <v>#REF!</v>
      </c>
      <c r="H393" s="219" t="e">
        <f>G393/G387</f>
        <v>#REF!</v>
      </c>
      <c r="I393" s="221">
        <f>J387-I387</f>
        <v>162.65618421916497</v>
      </c>
      <c r="J393" s="219">
        <f>I393/I387</f>
        <v>2.4272345922717056E-2</v>
      </c>
      <c r="K393" s="221" t="e">
        <f>L387-K387</f>
        <v>#REF!</v>
      </c>
      <c r="L393" s="223" t="e">
        <f>K393/K387</f>
        <v>#REF!</v>
      </c>
    </row>
    <row r="394" spans="1:12" s="90" customFormat="1" x14ac:dyDescent="0.2">
      <c r="A394" s="224" t="str">
        <f t="shared" ref="A394:A396" si="134">A388</f>
        <v>General Service &lt; 50 kW</v>
      </c>
      <c r="B394" s="221">
        <f>C388-B388</f>
        <v>1.4166666666666856</v>
      </c>
      <c r="C394" s="219">
        <f>B394/B388</f>
        <v>6.1217140799424662E-3</v>
      </c>
      <c r="D394" s="202" t="s">
        <v>49</v>
      </c>
      <c r="E394" s="221">
        <f>F388-E388</f>
        <v>110212.35000000056</v>
      </c>
      <c r="F394" s="219">
        <f>E394/E388</f>
        <v>2.5923129818899545E-2</v>
      </c>
      <c r="G394" s="221" t="e">
        <f>H388-G388</f>
        <v>#REF!</v>
      </c>
      <c r="H394" s="219" t="e">
        <f>G394/G388</f>
        <v>#REF!</v>
      </c>
      <c r="I394" s="221">
        <f>J388-I388</f>
        <v>361.57126969696037</v>
      </c>
      <c r="J394" s="219">
        <f>I394/I388</f>
        <v>1.9680934683995545E-2</v>
      </c>
      <c r="K394" s="221" t="e">
        <f>L388-K388</f>
        <v>#REF!</v>
      </c>
      <c r="L394" s="223" t="e">
        <f>K394/K388</f>
        <v>#REF!</v>
      </c>
    </row>
    <row r="395" spans="1:12" s="90" customFormat="1" x14ac:dyDescent="0.2">
      <c r="A395" s="224" t="str">
        <f t="shared" si="134"/>
        <v>General Service &gt; 50 to 4999 kW</v>
      </c>
      <c r="B395" s="221">
        <f>C389-B389</f>
        <v>-0.16666666666666607</v>
      </c>
      <c r="C395" s="219">
        <f>B395/B389</f>
        <v>-1.041666666666663E-2</v>
      </c>
      <c r="D395" s="202" t="s">
        <v>50</v>
      </c>
      <c r="E395" s="221">
        <f>F389-E389</f>
        <v>2256.3199999999997</v>
      </c>
      <c r="F395" s="219">
        <f>E395/E389</f>
        <v>4.783387379075478E-2</v>
      </c>
      <c r="G395" s="221" t="e">
        <f>H389-G389</f>
        <v>#REF!</v>
      </c>
      <c r="H395" s="219" t="e">
        <f>G395/G389</f>
        <v>#REF!</v>
      </c>
      <c r="I395" s="221">
        <f>J389-I389</f>
        <v>173.53726315789481</v>
      </c>
      <c r="J395" s="219">
        <f>I395/I389</f>
        <v>5.8863704041183809E-2</v>
      </c>
      <c r="K395" s="221" t="e">
        <f>L389-K389</f>
        <v>#REF!</v>
      </c>
      <c r="L395" s="223" t="e">
        <f>K395/K389</f>
        <v>#REF!</v>
      </c>
    </row>
    <row r="396" spans="1:12" s="90" customFormat="1" x14ac:dyDescent="0.2">
      <c r="A396" s="224" t="str">
        <f t="shared" si="134"/>
        <v>Street Lights</v>
      </c>
      <c r="B396" s="221">
        <f>C390-B390</f>
        <v>0</v>
      </c>
      <c r="C396" s="219">
        <f>B396/B390</f>
        <v>0</v>
      </c>
      <c r="D396" s="202" t="s">
        <v>50</v>
      </c>
      <c r="E396" s="221">
        <f>F390-E390</f>
        <v>0</v>
      </c>
      <c r="F396" s="219">
        <f>E396/E390</f>
        <v>0</v>
      </c>
      <c r="G396" s="221" t="e">
        <f>H390-G390</f>
        <v>#REF!</v>
      </c>
      <c r="H396" s="219" t="e">
        <f>G396/G390</f>
        <v>#REF!</v>
      </c>
      <c r="I396" s="221">
        <f>J390-I390</f>
        <v>0</v>
      </c>
      <c r="J396" s="219">
        <f>I396/I390</f>
        <v>0</v>
      </c>
      <c r="K396" s="221" t="e">
        <f>L390-K390</f>
        <v>#REF!</v>
      </c>
      <c r="L396" s="223" t="e">
        <f>K396/K390</f>
        <v>#REF!</v>
      </c>
    </row>
    <row r="397" spans="1:12" s="90" customFormat="1" ht="13.5" thickBot="1" x14ac:dyDescent="0.25">
      <c r="A397" s="228" t="s">
        <v>8</v>
      </c>
      <c r="B397" s="199">
        <f>SUM(B393:B396)</f>
        <v>-5.5833333333334654</v>
      </c>
      <c r="C397" s="229">
        <f>B397/B391</f>
        <v>-2.4775357763562318E-3</v>
      </c>
      <c r="D397" s="147"/>
      <c r="E397" s="147"/>
      <c r="F397" s="147"/>
      <c r="G397" s="147"/>
      <c r="H397" s="147"/>
      <c r="I397" s="147"/>
      <c r="J397" s="147"/>
      <c r="K397" s="147"/>
      <c r="L397" s="147"/>
    </row>
    <row r="398" spans="1:12" s="90" customFormat="1" x14ac:dyDescent="0.2"/>
    <row r="399" spans="1:12" s="90" customFormat="1" x14ac:dyDescent="0.2">
      <c r="A399" s="204" t="s">
        <v>202</v>
      </c>
      <c r="B399" s="147"/>
      <c r="C399" s="147"/>
      <c r="D399" s="147"/>
      <c r="E399" s="147"/>
    </row>
    <row r="400" spans="1:12" s="90" customFormat="1" ht="25.5" x14ac:dyDescent="0.2">
      <c r="A400" s="210" t="s">
        <v>145</v>
      </c>
      <c r="B400" s="210" t="s">
        <v>69</v>
      </c>
      <c r="C400" s="210" t="s">
        <v>70</v>
      </c>
      <c r="D400" s="210" t="s">
        <v>147</v>
      </c>
      <c r="E400" s="210" t="s">
        <v>148</v>
      </c>
    </row>
    <row r="401" spans="1:12" s="90" customFormat="1" x14ac:dyDescent="0.2">
      <c r="A401" s="198" t="str">
        <f>A377</f>
        <v>Residential</v>
      </c>
      <c r="B401" s="211">
        <f>C377</f>
        <v>811842.98</v>
      </c>
      <c r="C401" s="237">
        <v>817902.5</v>
      </c>
      <c r="D401" s="214">
        <f>C401-B401</f>
        <v>6059.5200000000186</v>
      </c>
      <c r="E401" s="200">
        <f>D401/B401</f>
        <v>7.4639063824879269E-3</v>
      </c>
    </row>
    <row r="402" spans="1:12" s="90" customFormat="1" x14ac:dyDescent="0.2">
      <c r="A402" s="198" t="str">
        <f t="shared" ref="A402:A404" si="135">A378</f>
        <v>General Service &lt; 50 kW</v>
      </c>
      <c r="B402" s="211">
        <f>C378</f>
        <v>245963.35</v>
      </c>
      <c r="C402" s="237">
        <v>246694.83</v>
      </c>
      <c r="D402" s="214">
        <f t="shared" ref="D402:D405" si="136">C402-B402</f>
        <v>731.47999999998137</v>
      </c>
      <c r="E402" s="200">
        <f t="shared" ref="E402:E404" si="137">D402/B402</f>
        <v>2.9739390035140654E-3</v>
      </c>
    </row>
    <row r="403" spans="1:12" s="90" customFormat="1" x14ac:dyDescent="0.2">
      <c r="A403" s="198" t="str">
        <f t="shared" si="135"/>
        <v>General Service &gt; 50 to 4999 kW</v>
      </c>
      <c r="B403" s="211">
        <f>C379</f>
        <v>296245.13</v>
      </c>
      <c r="C403" s="237">
        <v>276275.03999999998</v>
      </c>
      <c r="D403" s="214">
        <f t="shared" si="136"/>
        <v>-19970.090000000026</v>
      </c>
      <c r="E403" s="200">
        <f t="shared" si="137"/>
        <v>-6.7410694650069103E-2</v>
      </c>
    </row>
    <row r="404" spans="1:12" s="90" customFormat="1" x14ac:dyDescent="0.2">
      <c r="A404" s="198" t="str">
        <f t="shared" si="135"/>
        <v>Street Lights</v>
      </c>
      <c r="B404" s="211">
        <f>C380</f>
        <v>126988.57</v>
      </c>
      <c r="C404" s="237">
        <v>128173.93</v>
      </c>
      <c r="D404" s="214">
        <f t="shared" si="136"/>
        <v>1185.359999999986</v>
      </c>
      <c r="E404" s="200">
        <f t="shared" si="137"/>
        <v>9.3343834015926462E-3</v>
      </c>
    </row>
    <row r="405" spans="1:12" s="90" customFormat="1" x14ac:dyDescent="0.2">
      <c r="A405" s="226" t="s">
        <v>8</v>
      </c>
      <c r="B405" s="222">
        <f>SUM(B401:B404)</f>
        <v>1481040.03</v>
      </c>
      <c r="C405" s="222">
        <f>SUM(C401:C404)</f>
        <v>1469046.3</v>
      </c>
      <c r="D405" s="208">
        <f t="shared" si="136"/>
        <v>-11993.729999999981</v>
      </c>
      <c r="E405" s="206">
        <f>D405/B405</f>
        <v>-8.0981808439033083E-3</v>
      </c>
    </row>
    <row r="406" spans="1:12" s="90" customFormat="1" ht="13.5" thickBot="1" x14ac:dyDescent="0.25">
      <c r="A406" s="204" t="s">
        <v>203</v>
      </c>
    </row>
    <row r="407" spans="1:12" s="90" customFormat="1" ht="13.5" thickBot="1" x14ac:dyDescent="0.25">
      <c r="B407" s="147"/>
      <c r="C407" s="147"/>
      <c r="D407" s="147"/>
      <c r="E407" s="147"/>
      <c r="F407" s="147"/>
      <c r="G407" s="147"/>
      <c r="H407" s="147"/>
      <c r="I407" s="147"/>
      <c r="J407" s="147"/>
      <c r="K407" s="207" t="s">
        <v>167</v>
      </c>
      <c r="L407" s="218" t="e">
        <f>$F$142</f>
        <v>#REF!</v>
      </c>
    </row>
    <row r="408" spans="1:12" s="90" customFormat="1" ht="13.5" thickBot="1" x14ac:dyDescent="0.25">
      <c r="A408" s="204"/>
      <c r="B408" s="147"/>
      <c r="C408" s="147"/>
      <c r="D408" s="147"/>
      <c r="E408" s="147"/>
      <c r="F408" s="147"/>
      <c r="G408" s="147"/>
      <c r="H408" s="147"/>
      <c r="I408" s="147"/>
      <c r="J408" s="147"/>
      <c r="K408" s="207" t="s">
        <v>168</v>
      </c>
      <c r="L408" s="218" t="e">
        <f>$F$143</f>
        <v>#REF!</v>
      </c>
    </row>
    <row r="409" spans="1:12" s="90" customFormat="1" ht="42" customHeight="1" x14ac:dyDescent="0.2">
      <c r="A409" s="350" t="s">
        <v>149</v>
      </c>
      <c r="B409" s="352" t="s">
        <v>151</v>
      </c>
      <c r="C409" s="352"/>
      <c r="D409" s="352" t="s">
        <v>152</v>
      </c>
      <c r="E409" s="354" t="s">
        <v>153</v>
      </c>
      <c r="F409" s="354"/>
      <c r="G409" s="354" t="s">
        <v>156</v>
      </c>
      <c r="H409" s="354"/>
      <c r="I409" s="354" t="s">
        <v>154</v>
      </c>
      <c r="J409" s="354"/>
      <c r="K409" s="354" t="s">
        <v>155</v>
      </c>
      <c r="L409" s="355"/>
    </row>
    <row r="410" spans="1:12" s="90" customFormat="1" x14ac:dyDescent="0.2">
      <c r="A410" s="351"/>
      <c r="B410" s="180" t="s">
        <v>69</v>
      </c>
      <c r="C410" s="180" t="s">
        <v>70</v>
      </c>
      <c r="D410" s="353"/>
      <c r="E410" s="180" t="s">
        <v>69</v>
      </c>
      <c r="F410" s="180" t="s">
        <v>70</v>
      </c>
      <c r="G410" s="180" t="s">
        <v>69</v>
      </c>
      <c r="H410" s="180" t="s">
        <v>70</v>
      </c>
      <c r="I410" s="180" t="s">
        <v>69</v>
      </c>
      <c r="J410" s="180" t="s">
        <v>70</v>
      </c>
      <c r="K410" s="180" t="s">
        <v>69</v>
      </c>
      <c r="L410" s="215" t="s">
        <v>70</v>
      </c>
    </row>
    <row r="411" spans="1:12" s="90" customFormat="1" x14ac:dyDescent="0.2">
      <c r="A411" s="224" t="str">
        <f>A387</f>
        <v>Residential</v>
      </c>
      <c r="B411" s="214">
        <f>C387</f>
        <v>1375.3333333333333</v>
      </c>
      <c r="C411" s="214">
        <f t="array" ref="C411:C414">TRANSPOSE(B$159:E$159)</f>
        <v>1374.25</v>
      </c>
      <c r="D411" s="202" t="s">
        <v>49</v>
      </c>
      <c r="E411" s="214">
        <f>F387</f>
        <v>9440222.7800000012</v>
      </c>
      <c r="F411" s="205">
        <f t="array" ref="F411:F412">TRANSPOSE(B$51:C$51)*1000000</f>
        <v>9369383.0700000003</v>
      </c>
      <c r="G411" s="205" t="e">
        <f>E411*$L$407</f>
        <v>#REF!</v>
      </c>
      <c r="H411" s="205" t="e">
        <f>F411*$L$408</f>
        <v>#REF!</v>
      </c>
      <c r="I411" s="214">
        <f>E411/B411</f>
        <v>6863.9525787687844</v>
      </c>
      <c r="J411" s="214">
        <f>F411/C411</f>
        <v>6817.815586683646</v>
      </c>
      <c r="K411" s="214" t="e">
        <f>G411/B411</f>
        <v>#REF!</v>
      </c>
      <c r="L411" s="197" t="e">
        <f>H411/C411</f>
        <v>#REF!</v>
      </c>
    </row>
    <row r="412" spans="1:12" s="90" customFormat="1" x14ac:dyDescent="0.2">
      <c r="A412" s="224" t="str">
        <f t="shared" ref="A412:A414" si="138">A388</f>
        <v>General Service &lt; 50 kW</v>
      </c>
      <c r="B412" s="214">
        <f>C388</f>
        <v>232.83333333333334</v>
      </c>
      <c r="C412" s="214">
        <v>232.16666666666666</v>
      </c>
      <c r="D412" s="202" t="s">
        <v>49</v>
      </c>
      <c r="E412" s="214">
        <f>F388</f>
        <v>4361718.66</v>
      </c>
      <c r="F412" s="205">
        <v>4638599.13</v>
      </c>
      <c r="G412" s="205" t="e">
        <f>E412*$L$407</f>
        <v>#REF!</v>
      </c>
      <c r="H412" s="205" t="e">
        <f>F412*$L$408</f>
        <v>#REF!</v>
      </c>
      <c r="I412" s="214">
        <f t="shared" ref="I412:I414" si="139">E412/B412</f>
        <v>18733.222591267</v>
      </c>
      <c r="J412" s="214">
        <f t="shared" ref="J412:J414" si="140">F412/C412</f>
        <v>19979.608600143576</v>
      </c>
      <c r="K412" s="214" t="e">
        <f t="shared" ref="K412:K414" si="141">G412/B412</f>
        <v>#REF!</v>
      </c>
      <c r="L412" s="197" t="e">
        <f t="shared" ref="L412:L414" si="142">H412/C412</f>
        <v>#REF!</v>
      </c>
    </row>
    <row r="413" spans="1:12" s="90" customFormat="1" x14ac:dyDescent="0.2">
      <c r="A413" s="224" t="str">
        <f t="shared" si="138"/>
        <v>General Service &gt; 50 to 4999 kW</v>
      </c>
      <c r="B413" s="214">
        <f>C389</f>
        <v>15.833333333333334</v>
      </c>
      <c r="C413" s="214">
        <v>16.333333333333332</v>
      </c>
      <c r="D413" s="202" t="s">
        <v>50</v>
      </c>
      <c r="E413" s="214">
        <f>F389</f>
        <v>49426.239999999998</v>
      </c>
      <c r="F413" s="205">
        <f t="array" ref="F413:F414">TRANSPOSE('Rate Class Load Model'!B$10:C$10)</f>
        <v>46588.650000000009</v>
      </c>
      <c r="G413" s="205" t="e">
        <f>E413*$L$407</f>
        <v>#REF!</v>
      </c>
      <c r="H413" s="205" t="e">
        <f>F413*$L$408</f>
        <v>#REF!</v>
      </c>
      <c r="I413" s="214">
        <f t="shared" si="139"/>
        <v>3121.6572631578947</v>
      </c>
      <c r="J413" s="214">
        <f t="shared" si="140"/>
        <v>2852.3663265306132</v>
      </c>
      <c r="K413" s="214" t="e">
        <f t="shared" si="141"/>
        <v>#REF!</v>
      </c>
      <c r="L413" s="197" t="e">
        <f t="shared" si="142"/>
        <v>#REF!</v>
      </c>
    </row>
    <row r="414" spans="1:12" s="90" customFormat="1" x14ac:dyDescent="0.2">
      <c r="A414" s="224" t="str">
        <f t="shared" si="138"/>
        <v>Street Lights</v>
      </c>
      <c r="B414" s="214">
        <f>C390</f>
        <v>624</v>
      </c>
      <c r="C414" s="214">
        <v>622</v>
      </c>
      <c r="D414" s="202" t="s">
        <v>50</v>
      </c>
      <c r="E414" s="214">
        <f>F390</f>
        <v>1253.2800000000004</v>
      </c>
      <c r="F414" s="205">
        <v>1153.8000000000002</v>
      </c>
      <c r="G414" s="205" t="e">
        <f>E414*$L$407</f>
        <v>#REF!</v>
      </c>
      <c r="H414" s="205" t="e">
        <f>F414*$L$408</f>
        <v>#REF!</v>
      </c>
      <c r="I414" s="214">
        <f t="shared" si="139"/>
        <v>2.008461538461539</v>
      </c>
      <c r="J414" s="214">
        <f t="shared" si="140"/>
        <v>1.8549839228295824</v>
      </c>
      <c r="K414" s="214" t="e">
        <f t="shared" si="141"/>
        <v>#REF!</v>
      </c>
      <c r="L414" s="197" t="e">
        <f t="shared" si="142"/>
        <v>#REF!</v>
      </c>
    </row>
    <row r="415" spans="1:12" s="90" customFormat="1" ht="13.5" thickBot="1" x14ac:dyDescent="0.25">
      <c r="A415" s="213" t="s">
        <v>8</v>
      </c>
      <c r="B415" s="203">
        <f>SUM(B411:B414)</f>
        <v>2248</v>
      </c>
      <c r="C415" s="203">
        <f>SUM(C411:C414)</f>
        <v>2244.75</v>
      </c>
      <c r="D415" s="212"/>
      <c r="E415" s="212"/>
      <c r="F415" s="212"/>
      <c r="G415" s="212"/>
      <c r="H415" s="212"/>
      <c r="I415" s="212"/>
      <c r="J415" s="212"/>
      <c r="K415" s="212"/>
      <c r="L415" s="212"/>
    </row>
    <row r="416" spans="1:12" s="90" customFormat="1" x14ac:dyDescent="0.2">
      <c r="A416" s="232" t="s">
        <v>150</v>
      </c>
      <c r="B416" s="216" t="s">
        <v>159</v>
      </c>
      <c r="C416" s="216" t="s">
        <v>158</v>
      </c>
      <c r="D416" s="233"/>
      <c r="E416" s="216" t="s">
        <v>153</v>
      </c>
      <c r="F416" s="216" t="s">
        <v>158</v>
      </c>
      <c r="G416" s="216" t="s">
        <v>153</v>
      </c>
      <c r="H416" s="216" t="s">
        <v>158</v>
      </c>
      <c r="I416" s="209" t="s">
        <v>153</v>
      </c>
      <c r="J416" s="209" t="s">
        <v>158</v>
      </c>
      <c r="K416" s="209" t="s">
        <v>153</v>
      </c>
      <c r="L416" s="209" t="s">
        <v>158</v>
      </c>
    </row>
    <row r="417" spans="1:12" s="90" customFormat="1" x14ac:dyDescent="0.2">
      <c r="A417" s="224" t="str">
        <f>A411</f>
        <v>Residential</v>
      </c>
      <c r="B417" s="221">
        <f>C411-B411</f>
        <v>-1.0833333333332575</v>
      </c>
      <c r="C417" s="219">
        <f>B417/B411</f>
        <v>-7.8768783325248982E-4</v>
      </c>
      <c r="D417" s="202" t="s">
        <v>49</v>
      </c>
      <c r="E417" s="221">
        <f>F411-E411</f>
        <v>-70839.710000000894</v>
      </c>
      <c r="F417" s="219">
        <f>E417/E411</f>
        <v>-7.5040294758807469E-3</v>
      </c>
      <c r="G417" s="221" t="e">
        <f>H411-G411</f>
        <v>#REF!</v>
      </c>
      <c r="H417" s="219" t="e">
        <f>G417/G411</f>
        <v>#REF!</v>
      </c>
      <c r="I417" s="221">
        <f>J411-I411</f>
        <v>-46.136992085138445</v>
      </c>
      <c r="J417" s="219">
        <f>I417/I411</f>
        <v>-6.721636193677525E-3</v>
      </c>
      <c r="K417" s="221" t="e">
        <f>L411-K411</f>
        <v>#REF!</v>
      </c>
      <c r="L417" s="223" t="e">
        <f>K417/K411</f>
        <v>#REF!</v>
      </c>
    </row>
    <row r="418" spans="1:12" s="90" customFormat="1" x14ac:dyDescent="0.2">
      <c r="A418" s="224" t="str">
        <f t="shared" ref="A418:A420" si="143">A412</f>
        <v>General Service &lt; 50 kW</v>
      </c>
      <c r="B418" s="221">
        <f>C412-B412</f>
        <v>-0.66666666666668561</v>
      </c>
      <c r="C418" s="219">
        <f>B418/B412</f>
        <v>-2.8632784538297163E-3</v>
      </c>
      <c r="D418" s="202" t="s">
        <v>49</v>
      </c>
      <c r="E418" s="221">
        <f>F412-E412</f>
        <v>276880.46999999974</v>
      </c>
      <c r="F418" s="219">
        <f>E418/E412</f>
        <v>6.3479672024513323E-2</v>
      </c>
      <c r="G418" s="221" t="e">
        <f>H412-G412</f>
        <v>#REF!</v>
      </c>
      <c r="H418" s="219" t="e">
        <f>G418/G412</f>
        <v>#REF!</v>
      </c>
      <c r="I418" s="221">
        <f>J412-I412</f>
        <v>1246.3860088765759</v>
      </c>
      <c r="J418" s="219">
        <f>I418/I412</f>
        <v>6.6533454284454646E-2</v>
      </c>
      <c r="K418" s="221" t="e">
        <f>L412-K412</f>
        <v>#REF!</v>
      </c>
      <c r="L418" s="223" t="e">
        <f>K418/K412</f>
        <v>#REF!</v>
      </c>
    </row>
    <row r="419" spans="1:12" s="90" customFormat="1" x14ac:dyDescent="0.2">
      <c r="A419" s="224" t="str">
        <f t="shared" si="143"/>
        <v>General Service &gt; 50 to 4999 kW</v>
      </c>
      <c r="B419" s="221">
        <f>C413-B413</f>
        <v>0.49999999999999822</v>
      </c>
      <c r="C419" s="219">
        <f>B419/B413</f>
        <v>3.1578947368420943E-2</v>
      </c>
      <c r="D419" s="202" t="s">
        <v>50</v>
      </c>
      <c r="E419" s="221">
        <f>F413-E413</f>
        <v>-2837.5899999999892</v>
      </c>
      <c r="F419" s="219">
        <f>E419/E413</f>
        <v>-5.7410598095262541E-2</v>
      </c>
      <c r="G419" s="221" t="e">
        <f>H413-G413</f>
        <v>#REF!</v>
      </c>
      <c r="H419" s="219" t="e">
        <f>G419/G413</f>
        <v>#REF!</v>
      </c>
      <c r="I419" s="221">
        <f>J413-I413</f>
        <v>-269.29093662728155</v>
      </c>
      <c r="J419" s="219">
        <f>I419/I413</f>
        <v>-8.6265375704591155E-2</v>
      </c>
      <c r="K419" s="221" t="e">
        <f>L413-K413</f>
        <v>#REF!</v>
      </c>
      <c r="L419" s="223" t="e">
        <f>K419/K413</f>
        <v>#REF!</v>
      </c>
    </row>
    <row r="420" spans="1:12" s="90" customFormat="1" x14ac:dyDescent="0.2">
      <c r="A420" s="224" t="str">
        <f t="shared" si="143"/>
        <v>Street Lights</v>
      </c>
      <c r="B420" s="221">
        <f>C414-B414</f>
        <v>-2</v>
      </c>
      <c r="C420" s="219">
        <f>B420/B414</f>
        <v>-3.205128205128205E-3</v>
      </c>
      <c r="D420" s="202" t="s">
        <v>50</v>
      </c>
      <c r="E420" s="221">
        <f>F414-E414</f>
        <v>-99.480000000000246</v>
      </c>
      <c r="F420" s="219">
        <f>E420/E414</f>
        <v>-7.937571811566467E-2</v>
      </c>
      <c r="G420" s="221" t="e">
        <f>H414-G414</f>
        <v>#REF!</v>
      </c>
      <c r="H420" s="219" t="e">
        <f>G420/G414</f>
        <v>#REF!</v>
      </c>
      <c r="I420" s="221">
        <f>J414-I414</f>
        <v>-0.15347761563195661</v>
      </c>
      <c r="J420" s="219">
        <f>I420/I414</f>
        <v>-7.6415511421502699E-2</v>
      </c>
      <c r="K420" s="221" t="e">
        <f>L414-K414</f>
        <v>#REF!</v>
      </c>
      <c r="L420" s="223" t="e">
        <f>K420/K414</f>
        <v>#REF!</v>
      </c>
    </row>
    <row r="421" spans="1:12" s="90" customFormat="1" ht="13.5" thickBot="1" x14ac:dyDescent="0.25">
      <c r="A421" s="228" t="s">
        <v>8</v>
      </c>
      <c r="B421" s="199">
        <f>SUM(B417:B420)</f>
        <v>-3.2499999999999449</v>
      </c>
      <c r="C421" s="229">
        <f>B421/B415</f>
        <v>-1.4457295373665234E-3</v>
      </c>
      <c r="D421" s="147"/>
      <c r="E421" s="147"/>
      <c r="F421" s="147"/>
      <c r="G421" s="147"/>
      <c r="H421" s="147"/>
      <c r="I421" s="147"/>
      <c r="J421" s="147"/>
      <c r="K421" s="147"/>
      <c r="L421" s="147"/>
    </row>
    <row r="422" spans="1:12" s="90" customFormat="1" ht="14.45" customHeight="1" x14ac:dyDescent="0.2"/>
    <row r="423" spans="1:12" s="90" customFormat="1" x14ac:dyDescent="0.2">
      <c r="A423" s="204" t="s">
        <v>230</v>
      </c>
      <c r="B423" s="147"/>
      <c r="C423" s="147"/>
      <c r="D423" s="147"/>
      <c r="E423" s="147"/>
    </row>
    <row r="424" spans="1:12" s="90" customFormat="1" ht="25.5" x14ac:dyDescent="0.2">
      <c r="A424" s="210" t="s">
        <v>145</v>
      </c>
      <c r="B424" s="210" t="s">
        <v>70</v>
      </c>
      <c r="C424" s="210" t="s">
        <v>222</v>
      </c>
      <c r="D424" s="210" t="s">
        <v>147</v>
      </c>
      <c r="E424" s="210" t="s">
        <v>148</v>
      </c>
    </row>
    <row r="425" spans="1:12" s="90" customFormat="1" x14ac:dyDescent="0.2">
      <c r="A425" s="198" t="str">
        <f>A401</f>
        <v>Residential</v>
      </c>
      <c r="B425" s="211">
        <f>C401</f>
        <v>817902.5</v>
      </c>
      <c r="C425" s="237">
        <v>853864.46</v>
      </c>
      <c r="D425" s="214">
        <f>C425-B425</f>
        <v>35961.959999999963</v>
      </c>
      <c r="E425" s="200">
        <f>D425/B425</f>
        <v>4.3968517029841531E-2</v>
      </c>
    </row>
    <row r="426" spans="1:12" s="90" customFormat="1" x14ac:dyDescent="0.2">
      <c r="A426" s="198" t="str">
        <f t="shared" ref="A426:A428" si="144">A402</f>
        <v>General Service &lt; 50 kW</v>
      </c>
      <c r="B426" s="211">
        <f>C402</f>
        <v>246694.83</v>
      </c>
      <c r="C426" s="237">
        <v>259661.78</v>
      </c>
      <c r="D426" s="214">
        <f t="shared" ref="D426:D429" si="145">C426-B426</f>
        <v>12966.950000000012</v>
      </c>
      <c r="E426" s="200">
        <f t="shared" ref="E426:E428" si="146">D426/B426</f>
        <v>5.2562714832734891E-2</v>
      </c>
    </row>
    <row r="427" spans="1:12" s="90" customFormat="1" x14ac:dyDescent="0.2">
      <c r="A427" s="198" t="str">
        <f t="shared" si="144"/>
        <v>General Service &gt; 50 to 4999 kW</v>
      </c>
      <c r="B427" s="211">
        <f>C403</f>
        <v>276275.03999999998</v>
      </c>
      <c r="C427" s="237">
        <v>308648.57</v>
      </c>
      <c r="D427" s="214">
        <f t="shared" si="145"/>
        <v>32373.530000000028</v>
      </c>
      <c r="E427" s="200">
        <f t="shared" si="146"/>
        <v>0.11717862750105848</v>
      </c>
    </row>
    <row r="428" spans="1:12" s="90" customFormat="1" x14ac:dyDescent="0.2">
      <c r="A428" s="198" t="str">
        <f t="shared" si="144"/>
        <v>Street Lights</v>
      </c>
      <c r="B428" s="211">
        <f>C404</f>
        <v>128173.93</v>
      </c>
      <c r="C428" s="237">
        <v>132215.59</v>
      </c>
      <c r="D428" s="214">
        <f t="shared" si="145"/>
        <v>4041.6600000000035</v>
      </c>
      <c r="E428" s="200">
        <f t="shared" si="146"/>
        <v>3.1532621337271971E-2</v>
      </c>
    </row>
    <row r="429" spans="1:12" s="90" customFormat="1" x14ac:dyDescent="0.2">
      <c r="A429" s="226" t="s">
        <v>8</v>
      </c>
      <c r="B429" s="222">
        <f>SUM(B425:B428)</f>
        <v>1469046.3</v>
      </c>
      <c r="C429" s="222">
        <f>SUM(C425:C428)</f>
        <v>1554390.4000000001</v>
      </c>
      <c r="D429" s="208">
        <f t="shared" si="145"/>
        <v>85344.100000000093</v>
      </c>
      <c r="E429" s="206">
        <f>D429/B429</f>
        <v>5.8094901433671686E-2</v>
      </c>
    </row>
    <row r="430" spans="1:12" s="90" customFormat="1" ht="13.5" thickBot="1" x14ac:dyDescent="0.25">
      <c r="A430" s="204" t="s">
        <v>231</v>
      </c>
    </row>
    <row r="431" spans="1:12" s="90" customFormat="1" ht="13.5" thickBot="1" x14ac:dyDescent="0.25">
      <c r="B431" s="147"/>
      <c r="C431" s="147"/>
      <c r="D431" s="147"/>
      <c r="E431" s="147"/>
      <c r="F431" s="147"/>
      <c r="G431" s="147"/>
      <c r="H431" s="234"/>
      <c r="I431" s="147"/>
      <c r="J431" s="147"/>
      <c r="K431" s="207" t="s">
        <v>168</v>
      </c>
      <c r="L431" s="218" t="e">
        <f>$F$143</f>
        <v>#REF!</v>
      </c>
    </row>
    <row r="432" spans="1:12" s="90" customFormat="1" ht="13.5" thickBot="1" x14ac:dyDescent="0.25">
      <c r="A432" s="204"/>
      <c r="B432" s="147"/>
      <c r="C432" s="147"/>
      <c r="D432" s="147"/>
      <c r="E432" s="147"/>
      <c r="F432" s="147"/>
      <c r="G432" s="147"/>
      <c r="H432" s="147"/>
      <c r="I432" s="147"/>
      <c r="J432" s="147"/>
      <c r="K432" s="207" t="s">
        <v>228</v>
      </c>
      <c r="L432" s="218" t="e">
        <f>$F$144</f>
        <v>#REF!</v>
      </c>
    </row>
    <row r="433" spans="1:12" s="90" customFormat="1" ht="42.75" customHeight="1" x14ac:dyDescent="0.2">
      <c r="A433" s="350" t="s">
        <v>149</v>
      </c>
      <c r="B433" s="352" t="s">
        <v>151</v>
      </c>
      <c r="C433" s="352"/>
      <c r="D433" s="352" t="s">
        <v>152</v>
      </c>
      <c r="E433" s="354" t="s">
        <v>153</v>
      </c>
      <c r="F433" s="354"/>
      <c r="G433" s="354" t="s">
        <v>156</v>
      </c>
      <c r="H433" s="354"/>
      <c r="I433" s="354" t="s">
        <v>154</v>
      </c>
      <c r="J433" s="354"/>
      <c r="K433" s="354" t="s">
        <v>155</v>
      </c>
      <c r="L433" s="355"/>
    </row>
    <row r="434" spans="1:12" s="90" customFormat="1" x14ac:dyDescent="0.2">
      <c r="A434" s="351"/>
      <c r="B434" s="180" t="s">
        <v>70</v>
      </c>
      <c r="C434" s="180" t="s">
        <v>222</v>
      </c>
      <c r="D434" s="353"/>
      <c r="E434" s="180" t="s">
        <v>70</v>
      </c>
      <c r="F434" s="180" t="s">
        <v>222</v>
      </c>
      <c r="G434" s="180" t="s">
        <v>70</v>
      </c>
      <c r="H434" s="180" t="s">
        <v>222</v>
      </c>
      <c r="I434" s="180" t="s">
        <v>70</v>
      </c>
      <c r="J434" s="180" t="s">
        <v>222</v>
      </c>
      <c r="K434" s="180" t="s">
        <v>70</v>
      </c>
      <c r="L434" s="180" t="s">
        <v>222</v>
      </c>
    </row>
    <row r="435" spans="1:12" s="90" customFormat="1" x14ac:dyDescent="0.2">
      <c r="A435" s="224" t="str">
        <f>A411</f>
        <v>Residential</v>
      </c>
      <c r="B435" s="214">
        <f>C411</f>
        <v>1374.25</v>
      </c>
      <c r="C435" s="214">
        <f t="array" ref="C435:C438">TRANSPOSE(B$160:E$160)</f>
        <v>1373.25</v>
      </c>
      <c r="D435" s="202" t="s">
        <v>49</v>
      </c>
      <c r="E435" s="214">
        <f>F411</f>
        <v>9369383.0700000003</v>
      </c>
      <c r="F435" s="205">
        <f t="array" ref="F435:F436">TRANSPOSE(B$52:C$52)*1000000</f>
        <v>8825872.7699999996</v>
      </c>
      <c r="G435" s="205" t="e">
        <f>E435*$L$431</f>
        <v>#REF!</v>
      </c>
      <c r="H435" s="205" t="e">
        <f>F435*$L$432</f>
        <v>#REF!</v>
      </c>
      <c r="I435" s="214">
        <f>E435/B435</f>
        <v>6817.815586683646</v>
      </c>
      <c r="J435" s="214">
        <f>F435/C435</f>
        <v>6426.9963735663569</v>
      </c>
      <c r="K435" s="214" t="e">
        <f>G435/B435</f>
        <v>#REF!</v>
      </c>
      <c r="L435" s="197" t="e">
        <f>H435/C435</f>
        <v>#REF!</v>
      </c>
    </row>
    <row r="436" spans="1:12" s="90" customFormat="1" x14ac:dyDescent="0.2">
      <c r="A436" s="224" t="str">
        <f>A412</f>
        <v>General Service &lt; 50 kW</v>
      </c>
      <c r="B436" s="214">
        <f>C412</f>
        <v>232.16666666666666</v>
      </c>
      <c r="C436" s="214">
        <v>232.66666666666666</v>
      </c>
      <c r="D436" s="202" t="s">
        <v>49</v>
      </c>
      <c r="E436" s="214">
        <f>F412</f>
        <v>4638599.13</v>
      </c>
      <c r="F436" s="205">
        <v>4501424.13</v>
      </c>
      <c r="G436" s="205" t="e">
        <f t="shared" ref="G436:G438" si="147">E436*$L$431</f>
        <v>#REF!</v>
      </c>
      <c r="H436" s="205" t="e">
        <f t="shared" ref="H436:H438" si="148">F436*$L$432</f>
        <v>#REF!</v>
      </c>
      <c r="I436" s="214">
        <f t="shared" ref="I436:I438" si="149">E436/B436</f>
        <v>19979.608600143576</v>
      </c>
      <c r="J436" s="214">
        <f t="shared" ref="J436:J438" si="150">F436/C436</f>
        <v>19347.095114613181</v>
      </c>
      <c r="K436" s="214" t="e">
        <f t="shared" ref="K436:K438" si="151">G436/B436</f>
        <v>#REF!</v>
      </c>
      <c r="L436" s="197" t="e">
        <f t="shared" ref="L436:L438" si="152">H436/C436</f>
        <v>#REF!</v>
      </c>
    </row>
    <row r="437" spans="1:12" s="90" customFormat="1" x14ac:dyDescent="0.2">
      <c r="A437" s="224" t="str">
        <f>A413</f>
        <v>General Service &gt; 50 to 4999 kW</v>
      </c>
      <c r="B437" s="214">
        <f>C413</f>
        <v>16.333333333333332</v>
      </c>
      <c r="C437" s="214">
        <v>16</v>
      </c>
      <c r="D437" s="202" t="s">
        <v>50</v>
      </c>
      <c r="E437" s="214">
        <f>F413</f>
        <v>46588.650000000009</v>
      </c>
      <c r="F437" s="205">
        <f t="array" ref="F437:F438">TRANSPOSE('Rate Class Load Model'!B$11:C$11)</f>
        <v>48332.42</v>
      </c>
      <c r="G437" s="205" t="e">
        <f t="shared" si="147"/>
        <v>#REF!</v>
      </c>
      <c r="H437" s="205" t="e">
        <f t="shared" si="148"/>
        <v>#REF!</v>
      </c>
      <c r="I437" s="214">
        <f t="shared" si="149"/>
        <v>2852.3663265306132</v>
      </c>
      <c r="J437" s="214">
        <f t="shared" si="150"/>
        <v>3020.7762499999999</v>
      </c>
      <c r="K437" s="214" t="e">
        <f t="shared" si="151"/>
        <v>#REF!</v>
      </c>
      <c r="L437" s="197" t="e">
        <f t="shared" si="152"/>
        <v>#REF!</v>
      </c>
    </row>
    <row r="438" spans="1:12" s="90" customFormat="1" x14ac:dyDescent="0.2">
      <c r="A438" s="224" t="str">
        <f>A414</f>
        <v>Street Lights</v>
      </c>
      <c r="B438" s="214">
        <f>C414</f>
        <v>622</v>
      </c>
      <c r="C438" s="214">
        <v>621.33333333333337</v>
      </c>
      <c r="D438" s="202" t="s">
        <v>50</v>
      </c>
      <c r="E438" s="214">
        <f>F414</f>
        <v>1153.8000000000002</v>
      </c>
      <c r="F438" s="205">
        <v>1112.5200000000002</v>
      </c>
      <c r="G438" s="205" t="e">
        <f t="shared" si="147"/>
        <v>#REF!</v>
      </c>
      <c r="H438" s="205" t="e">
        <f t="shared" si="148"/>
        <v>#REF!</v>
      </c>
      <c r="I438" s="214">
        <f t="shared" si="149"/>
        <v>1.8549839228295824</v>
      </c>
      <c r="J438" s="214">
        <f t="shared" si="150"/>
        <v>1.7905364806866955</v>
      </c>
      <c r="K438" s="214" t="e">
        <f t="shared" si="151"/>
        <v>#REF!</v>
      </c>
      <c r="L438" s="197" t="e">
        <f t="shared" si="152"/>
        <v>#REF!</v>
      </c>
    </row>
    <row r="439" spans="1:12" s="90" customFormat="1" ht="13.5" thickBot="1" x14ac:dyDescent="0.25">
      <c r="A439" s="213" t="s">
        <v>8</v>
      </c>
      <c r="B439" s="203">
        <f>SUM(B435:B438)</f>
        <v>2244.75</v>
      </c>
      <c r="C439" s="203">
        <f>SUM(C435:C438)</f>
        <v>2243.25</v>
      </c>
      <c r="D439" s="212"/>
      <c r="E439" s="212"/>
      <c r="F439" s="212"/>
      <c r="G439" s="212"/>
      <c r="H439" s="212"/>
      <c r="I439" s="212"/>
      <c r="J439" s="212"/>
      <c r="K439" s="212"/>
      <c r="L439" s="212"/>
    </row>
    <row r="440" spans="1:12" s="90" customFormat="1" x14ac:dyDescent="0.2">
      <c r="A440" s="232" t="s">
        <v>150</v>
      </c>
      <c r="B440" s="216" t="s">
        <v>159</v>
      </c>
      <c r="C440" s="216" t="s">
        <v>158</v>
      </c>
      <c r="D440" s="233"/>
      <c r="E440" s="216" t="s">
        <v>153</v>
      </c>
      <c r="F440" s="216" t="s">
        <v>158</v>
      </c>
      <c r="G440" s="216" t="s">
        <v>153</v>
      </c>
      <c r="H440" s="216" t="s">
        <v>158</v>
      </c>
      <c r="I440" s="209" t="s">
        <v>153</v>
      </c>
      <c r="J440" s="209" t="s">
        <v>158</v>
      </c>
      <c r="K440" s="209" t="s">
        <v>153</v>
      </c>
      <c r="L440" s="209" t="s">
        <v>158</v>
      </c>
    </row>
    <row r="441" spans="1:12" s="90" customFormat="1" x14ac:dyDescent="0.2">
      <c r="A441" s="224" t="str">
        <f>A435</f>
        <v>Residential</v>
      </c>
      <c r="B441" s="221">
        <f>C435-B435</f>
        <v>-1</v>
      </c>
      <c r="C441" s="219">
        <f>B441/B435</f>
        <v>-7.2766963798435514E-4</v>
      </c>
      <c r="D441" s="202" t="s">
        <v>49</v>
      </c>
      <c r="E441" s="221">
        <f>F435-E435</f>
        <v>-543510.30000000075</v>
      </c>
      <c r="F441" s="219">
        <f>E441/E435</f>
        <v>-5.8009187578238357E-2</v>
      </c>
      <c r="G441" s="221" t="e">
        <f>H435-G435</f>
        <v>#REF!</v>
      </c>
      <c r="H441" s="219" t="e">
        <f>G441/G435</f>
        <v>#REF!</v>
      </c>
      <c r="I441" s="221">
        <f>J435-I435</f>
        <v>-390.81921311728911</v>
      </c>
      <c r="J441" s="219">
        <f>I441/I435</f>
        <v>-5.7323230314505064E-2</v>
      </c>
      <c r="K441" s="221" t="e">
        <f>L435-K435</f>
        <v>#REF!</v>
      </c>
      <c r="L441" s="223" t="e">
        <f>K441/K435</f>
        <v>#REF!</v>
      </c>
    </row>
    <row r="442" spans="1:12" s="90" customFormat="1" x14ac:dyDescent="0.2">
      <c r="A442" s="224" t="str">
        <f t="shared" ref="A442:A444" si="153">A436</f>
        <v>General Service &lt; 50 kW</v>
      </c>
      <c r="B442" s="221">
        <f>C436-B436</f>
        <v>0.5</v>
      </c>
      <c r="C442" s="219">
        <f>B442/B436</f>
        <v>2.1536252692031586E-3</v>
      </c>
      <c r="D442" s="202" t="s">
        <v>49</v>
      </c>
      <c r="E442" s="221">
        <f>F436-E436</f>
        <v>-137175</v>
      </c>
      <c r="F442" s="219">
        <f>E442/E436</f>
        <v>-2.95725058698918E-2</v>
      </c>
      <c r="G442" s="221" t="e">
        <f>H436-G436</f>
        <v>#REF!</v>
      </c>
      <c r="H442" s="219" t="e">
        <f>G442/G436</f>
        <v>#REF!</v>
      </c>
      <c r="I442" s="221">
        <f>J436-I436</f>
        <v>-632.51348553039497</v>
      </c>
      <c r="J442" s="219">
        <f>I442/I436</f>
        <v>-3.1657951774182888E-2</v>
      </c>
      <c r="K442" s="221" t="e">
        <f>L436-K436</f>
        <v>#REF!</v>
      </c>
      <c r="L442" s="223" t="e">
        <f>K442/K436</f>
        <v>#REF!</v>
      </c>
    </row>
    <row r="443" spans="1:12" s="90" customFormat="1" x14ac:dyDescent="0.2">
      <c r="A443" s="224" t="str">
        <f t="shared" si="153"/>
        <v>General Service &gt; 50 to 4999 kW</v>
      </c>
      <c r="B443" s="221">
        <f>C437-B437</f>
        <v>-0.33333333333333215</v>
      </c>
      <c r="C443" s="219">
        <f>B443/B437</f>
        <v>-2.0408163265306051E-2</v>
      </c>
      <c r="D443" s="202" t="s">
        <v>50</v>
      </c>
      <c r="E443" s="221">
        <f>F437-E437</f>
        <v>1743.7699999999895</v>
      </c>
      <c r="F443" s="219">
        <f>E443/E437</f>
        <v>3.7429073390192441E-2</v>
      </c>
      <c r="G443" s="221" t="e">
        <f>H437-G437</f>
        <v>#REF!</v>
      </c>
      <c r="H443" s="219" t="e">
        <f>G443/G437</f>
        <v>#REF!</v>
      </c>
      <c r="I443" s="221">
        <f>J437-I437</f>
        <v>168.40992346938674</v>
      </c>
      <c r="J443" s="219">
        <f>I443/I437</f>
        <v>5.9042179085821316E-2</v>
      </c>
      <c r="K443" s="221" t="e">
        <f>L437-K437</f>
        <v>#REF!</v>
      </c>
      <c r="L443" s="223" t="e">
        <f>K443/K437</f>
        <v>#REF!</v>
      </c>
    </row>
    <row r="444" spans="1:12" s="90" customFormat="1" x14ac:dyDescent="0.2">
      <c r="A444" s="224" t="str">
        <f t="shared" si="153"/>
        <v>Street Lights</v>
      </c>
      <c r="B444" s="221">
        <f>C438-B438</f>
        <v>-0.66666666666662877</v>
      </c>
      <c r="C444" s="219">
        <f>B444/B438</f>
        <v>-1.0718113612003678E-3</v>
      </c>
      <c r="D444" s="202" t="s">
        <v>50</v>
      </c>
      <c r="E444" s="221">
        <f>F438-E438</f>
        <v>-41.279999999999973</v>
      </c>
      <c r="F444" s="219">
        <f>E444/E438</f>
        <v>-3.5777431097243857E-2</v>
      </c>
      <c r="G444" s="221" t="e">
        <f>H438-G438</f>
        <v>#REF!</v>
      </c>
      <c r="H444" s="219" t="e">
        <f>G444/G438</f>
        <v>#REF!</v>
      </c>
      <c r="I444" s="221">
        <f>J438-I438</f>
        <v>-6.444744214288689E-2</v>
      </c>
      <c r="J444" s="219">
        <f>I444/I438</f>
        <v>-3.4742857525459907E-2</v>
      </c>
      <c r="K444" s="221" t="e">
        <f>L438-K438</f>
        <v>#REF!</v>
      </c>
      <c r="L444" s="223" t="e">
        <f>K444/K438</f>
        <v>#REF!</v>
      </c>
    </row>
    <row r="445" spans="1:12" s="92" customFormat="1" ht="13.5" thickBot="1" x14ac:dyDescent="0.25">
      <c r="A445" s="228" t="s">
        <v>8</v>
      </c>
      <c r="B445" s="199">
        <f>SUM(B441:B444)</f>
        <v>-1.4999999999999609</v>
      </c>
      <c r="C445" s="229">
        <f>B445/B439</f>
        <v>-6.6822586034077773E-4</v>
      </c>
      <c r="D445" s="147"/>
      <c r="E445" s="147"/>
      <c r="F445" s="147"/>
      <c r="G445" s="147"/>
      <c r="H445" s="147"/>
      <c r="I445" s="147"/>
      <c r="J445" s="147"/>
      <c r="K445" s="147"/>
      <c r="L445" s="147"/>
    </row>
    <row r="446" spans="1:12" s="92" customFormat="1" x14ac:dyDescent="0.2"/>
    <row r="447" spans="1:12" s="92" customFormat="1" x14ac:dyDescent="0.2">
      <c r="A447" s="98" t="s">
        <v>229</v>
      </c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</row>
    <row r="448" spans="1:12" s="92" customFormat="1" ht="25.5" x14ac:dyDescent="0.2">
      <c r="A448" s="210" t="s">
        <v>145</v>
      </c>
      <c r="B448" s="210" t="s">
        <v>222</v>
      </c>
      <c r="C448" s="210" t="s">
        <v>208</v>
      </c>
      <c r="D448" s="210" t="s">
        <v>147</v>
      </c>
      <c r="E448" s="210" t="s">
        <v>148</v>
      </c>
      <c r="F448" s="90"/>
      <c r="G448" s="90"/>
      <c r="H448" s="90"/>
      <c r="I448" s="90"/>
      <c r="J448" s="90"/>
      <c r="K448" s="90"/>
      <c r="L448" s="90"/>
    </row>
    <row r="449" spans="1:12" s="92" customFormat="1" x14ac:dyDescent="0.2">
      <c r="A449" s="198" t="str">
        <f>A425</f>
        <v>Residential</v>
      </c>
      <c r="B449" s="211">
        <f>C425</f>
        <v>853864.46</v>
      </c>
      <c r="C449" s="211">
        <f>J4</f>
        <v>888945.76</v>
      </c>
      <c r="D449" s="214">
        <f>C449-B449</f>
        <v>35081.300000000047</v>
      </c>
      <c r="E449" s="200">
        <f>D449/B449</f>
        <v>4.1085326352615789E-2</v>
      </c>
      <c r="F449" s="90"/>
      <c r="G449" s="90"/>
      <c r="H449" s="90"/>
      <c r="I449" s="90"/>
      <c r="J449" s="90"/>
      <c r="K449" s="90"/>
      <c r="L449" s="90"/>
    </row>
    <row r="450" spans="1:12" s="92" customFormat="1" x14ac:dyDescent="0.2">
      <c r="A450" s="198" t="str">
        <f>A426</f>
        <v>General Service &lt; 50 kW</v>
      </c>
      <c r="B450" s="211">
        <f>C426</f>
        <v>259661.78</v>
      </c>
      <c r="C450" s="211">
        <f t="shared" ref="C450:C452" si="154">J5</f>
        <v>268458.17</v>
      </c>
      <c r="D450" s="214">
        <f t="shared" ref="D450:D453" si="155">C450-B450</f>
        <v>8796.3899999999849</v>
      </c>
      <c r="E450" s="200">
        <f t="shared" ref="E450:E452" si="156">D450/B450</f>
        <v>3.3876337133635859E-2</v>
      </c>
      <c r="F450" s="90"/>
      <c r="G450" s="90"/>
      <c r="H450" s="90"/>
      <c r="I450" s="90"/>
      <c r="J450" s="90"/>
      <c r="K450" s="90"/>
      <c r="L450" s="90"/>
    </row>
    <row r="451" spans="1:12" s="92" customFormat="1" x14ac:dyDescent="0.2">
      <c r="A451" s="198" t="str">
        <f>A427</f>
        <v>General Service &gt; 50 to 4999 kW</v>
      </c>
      <c r="B451" s="211">
        <f>C427</f>
        <v>308648.57</v>
      </c>
      <c r="C451" s="211">
        <f t="shared" si="154"/>
        <v>313056.96000000002</v>
      </c>
      <c r="D451" s="214">
        <f t="shared" si="155"/>
        <v>4408.390000000014</v>
      </c>
      <c r="E451" s="200">
        <f t="shared" si="156"/>
        <v>1.4282878420593408E-2</v>
      </c>
      <c r="F451" s="90"/>
      <c r="G451" s="90"/>
      <c r="H451" s="90"/>
      <c r="I451" s="90"/>
      <c r="J451" s="90"/>
      <c r="K451" s="90"/>
      <c r="L451" s="90"/>
    </row>
    <row r="452" spans="1:12" s="92" customFormat="1" x14ac:dyDescent="0.2">
      <c r="A452" s="198" t="str">
        <f>A428</f>
        <v>Street Lights</v>
      </c>
      <c r="B452" s="211">
        <f>C428</f>
        <v>132215.59</v>
      </c>
      <c r="C452" s="211">
        <f t="shared" si="154"/>
        <v>137218.26</v>
      </c>
      <c r="D452" s="214">
        <f t="shared" si="155"/>
        <v>5002.6700000000128</v>
      </c>
      <c r="E452" s="200">
        <f t="shared" si="156"/>
        <v>3.7837217229829044E-2</v>
      </c>
      <c r="F452" s="90"/>
      <c r="G452" s="90"/>
      <c r="H452" s="90"/>
      <c r="I452" s="90"/>
      <c r="J452" s="90"/>
      <c r="K452" s="90"/>
      <c r="L452" s="90"/>
    </row>
    <row r="453" spans="1:12" s="92" customFormat="1" x14ac:dyDescent="0.2">
      <c r="A453" s="226" t="s">
        <v>8</v>
      </c>
      <c r="B453" s="222">
        <f>SUM(B449:B452)</f>
        <v>1554390.4000000001</v>
      </c>
      <c r="C453" s="222">
        <f>SUM(C449:C452)</f>
        <v>1607679.15</v>
      </c>
      <c r="D453" s="208">
        <f t="shared" si="155"/>
        <v>53288.749999999767</v>
      </c>
      <c r="E453" s="206">
        <f>D453/B453</f>
        <v>3.428273231744082E-2</v>
      </c>
      <c r="F453" s="90"/>
      <c r="G453" s="90"/>
      <c r="H453" s="90"/>
      <c r="I453" s="90"/>
      <c r="J453" s="90"/>
      <c r="K453" s="90"/>
      <c r="L453" s="90"/>
    </row>
    <row r="454" spans="1:12" s="92" customFormat="1" x14ac:dyDescent="0.2">
      <c r="A454" s="90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</row>
    <row r="455" spans="1:12" s="92" customFormat="1" ht="13.5" thickBot="1" x14ac:dyDescent="0.25">
      <c r="A455" s="204" t="s">
        <v>232</v>
      </c>
      <c r="B455" s="147"/>
      <c r="C455" s="147"/>
      <c r="D455" s="147"/>
      <c r="E455" s="147"/>
      <c r="F455" s="147"/>
      <c r="G455" s="147"/>
      <c r="H455" s="234"/>
      <c r="I455"/>
      <c r="J455"/>
      <c r="K455"/>
      <c r="L455"/>
    </row>
    <row r="456" spans="1:12" s="92" customFormat="1" ht="13.5" thickBot="1" x14ac:dyDescent="0.25">
      <c r="A456" s="204"/>
      <c r="B456" s="147"/>
      <c r="C456" s="147"/>
      <c r="D456" s="147"/>
      <c r="E456" s="147"/>
      <c r="F456" s="147"/>
      <c r="G456" s="147"/>
      <c r="H456" s="147"/>
      <c r="I456" s="147"/>
      <c r="J456" s="147"/>
      <c r="K456" s="207" t="s">
        <v>228</v>
      </c>
      <c r="L456" s="218" t="e">
        <f>$F$144</f>
        <v>#REF!</v>
      </c>
    </row>
    <row r="457" spans="1:12" s="92" customFormat="1" x14ac:dyDescent="0.2">
      <c r="A457" s="350" t="s">
        <v>149</v>
      </c>
      <c r="B457" s="352" t="s">
        <v>151</v>
      </c>
      <c r="C457" s="352"/>
      <c r="D457" s="352" t="s">
        <v>152</v>
      </c>
      <c r="E457" s="354" t="s">
        <v>153</v>
      </c>
      <c r="F457" s="354"/>
      <c r="G457" s="354" t="s">
        <v>156</v>
      </c>
      <c r="H457" s="354"/>
      <c r="I457" s="354" t="s">
        <v>154</v>
      </c>
      <c r="J457" s="354"/>
      <c r="K457" s="354" t="s">
        <v>155</v>
      </c>
      <c r="L457" s="355"/>
    </row>
    <row r="458" spans="1:12" s="92" customFormat="1" x14ac:dyDescent="0.2">
      <c r="A458" s="351"/>
      <c r="B458" s="180" t="s">
        <v>222</v>
      </c>
      <c r="C458" s="180" t="s">
        <v>208</v>
      </c>
      <c r="D458" s="353"/>
      <c r="E458" s="180" t="s">
        <v>222</v>
      </c>
      <c r="F458" s="180" t="s">
        <v>208</v>
      </c>
      <c r="G458" s="180" t="s">
        <v>222</v>
      </c>
      <c r="H458" s="180" t="s">
        <v>208</v>
      </c>
      <c r="I458" s="180" t="s">
        <v>222</v>
      </c>
      <c r="J458" s="180" t="s">
        <v>208</v>
      </c>
      <c r="K458" s="180" t="s">
        <v>222</v>
      </c>
      <c r="L458" s="180" t="s">
        <v>208</v>
      </c>
    </row>
    <row r="459" spans="1:12" s="92" customFormat="1" x14ac:dyDescent="0.2">
      <c r="A459" s="224" t="str">
        <f>A435</f>
        <v>Residential</v>
      </c>
      <c r="B459" s="214">
        <f>C435</f>
        <v>1373.25</v>
      </c>
      <c r="C459" s="214">
        <f t="array" ref="C459:C462">TRANSPOSE(B181:E181)</f>
        <v>1371.4166666666667</v>
      </c>
      <c r="D459" s="202" t="s">
        <v>49</v>
      </c>
      <c r="E459" s="214">
        <f>F435</f>
        <v>8825872.7699999996</v>
      </c>
      <c r="F459" s="205">
        <f t="array" ref="F459:F460">TRANSPOSE(B$67:C$67)*1000000</f>
        <v>8779856.7200000007</v>
      </c>
      <c r="G459" s="205" t="e">
        <f>E459*$L$456</f>
        <v>#REF!</v>
      </c>
      <c r="H459" s="205">
        <f>F459</f>
        <v>8779856.7200000007</v>
      </c>
      <c r="I459" s="214">
        <f>E459/B459</f>
        <v>6426.9963735663569</v>
      </c>
      <c r="J459" s="214">
        <f>F459/C459</f>
        <v>6402.0344315488856</v>
      </c>
      <c r="K459" s="214" t="e">
        <f>G459/B459</f>
        <v>#REF!</v>
      </c>
      <c r="L459" s="197">
        <f>H459/C459</f>
        <v>6402.0344315488856</v>
      </c>
    </row>
    <row r="460" spans="1:12" s="92" customFormat="1" x14ac:dyDescent="0.2">
      <c r="A460" s="224" t="str">
        <f>A436</f>
        <v>General Service &lt; 50 kW</v>
      </c>
      <c r="B460" s="214">
        <f>C436</f>
        <v>232.66666666666666</v>
      </c>
      <c r="C460" s="214">
        <v>233.91666666666666</v>
      </c>
      <c r="D460" s="202" t="s">
        <v>49</v>
      </c>
      <c r="E460" s="214">
        <f>F436</f>
        <v>4501424.13</v>
      </c>
      <c r="F460" s="205">
        <v>4660998.8900000006</v>
      </c>
      <c r="G460" s="205" t="e">
        <f t="shared" ref="G460:G462" si="157">E460*$L$456</f>
        <v>#REF!</v>
      </c>
      <c r="H460" s="205">
        <f t="shared" ref="H460:H462" si="158">F460</f>
        <v>4660998.8900000006</v>
      </c>
      <c r="I460" s="214">
        <f t="shared" ref="I460:I462" si="159">E460/B460</f>
        <v>19347.095114613181</v>
      </c>
      <c r="J460" s="214">
        <f t="shared" ref="J460:J462" si="160">F460/C460</f>
        <v>19925.894791592451</v>
      </c>
      <c r="K460" s="214" t="e">
        <f t="shared" ref="K460:K462" si="161">G460/B460</f>
        <v>#REF!</v>
      </c>
      <c r="L460" s="197">
        <f t="shared" ref="L460:L462" si="162">H460/C460</f>
        <v>19925.894791592451</v>
      </c>
    </row>
    <row r="461" spans="1:12" s="92" customFormat="1" x14ac:dyDescent="0.2">
      <c r="A461" s="224" t="str">
        <f>A437</f>
        <v>General Service &gt; 50 to 4999 kW</v>
      </c>
      <c r="B461" s="214">
        <f>C437</f>
        <v>16</v>
      </c>
      <c r="C461" s="214">
        <v>15.333333333333334</v>
      </c>
      <c r="D461" s="202" t="s">
        <v>50</v>
      </c>
      <c r="E461" s="214">
        <f>F437</f>
        <v>48332.42</v>
      </c>
      <c r="F461" s="205">
        <f t="array" ref="F461:F462">TRANSPOSE('Rate Class Load Model'!B$12:C$12)</f>
        <v>45627.18</v>
      </c>
      <c r="G461" s="205" t="e">
        <f t="shared" si="157"/>
        <v>#REF!</v>
      </c>
      <c r="H461" s="205">
        <f t="shared" si="158"/>
        <v>45627.18</v>
      </c>
      <c r="I461" s="214">
        <f t="shared" si="159"/>
        <v>3020.7762499999999</v>
      </c>
      <c r="J461" s="214">
        <f t="shared" si="160"/>
        <v>2975.6856521739128</v>
      </c>
      <c r="K461" s="214" t="e">
        <f t="shared" si="161"/>
        <v>#REF!</v>
      </c>
      <c r="L461" s="197">
        <f t="shared" si="162"/>
        <v>2975.6856521739128</v>
      </c>
    </row>
    <row r="462" spans="1:12" s="92" customFormat="1" x14ac:dyDescent="0.2">
      <c r="A462" s="224" t="str">
        <f>A438</f>
        <v>Street Lights</v>
      </c>
      <c r="B462" s="214">
        <f>C438</f>
        <v>621.33333333333337</v>
      </c>
      <c r="C462" s="214">
        <v>622</v>
      </c>
      <c r="D462" s="202" t="s">
        <v>50</v>
      </c>
      <c r="E462" s="214">
        <f>F438</f>
        <v>1112.5200000000002</v>
      </c>
      <c r="F462" s="205">
        <v>1057.6799999999998</v>
      </c>
      <c r="G462" s="205" t="e">
        <f t="shared" si="157"/>
        <v>#REF!</v>
      </c>
      <c r="H462" s="205">
        <f t="shared" si="158"/>
        <v>1057.6799999999998</v>
      </c>
      <c r="I462" s="214">
        <f t="shared" si="159"/>
        <v>1.7905364806866955</v>
      </c>
      <c r="J462" s="214">
        <f t="shared" si="160"/>
        <v>1.700450160771704</v>
      </c>
      <c r="K462" s="214" t="e">
        <f t="shared" si="161"/>
        <v>#REF!</v>
      </c>
      <c r="L462" s="197">
        <f t="shared" si="162"/>
        <v>1.700450160771704</v>
      </c>
    </row>
    <row r="463" spans="1:12" s="92" customFormat="1" ht="13.5" thickBot="1" x14ac:dyDescent="0.25">
      <c r="A463" s="213" t="s">
        <v>8</v>
      </c>
      <c r="B463" s="203">
        <f>SUM(B459:B462)</f>
        <v>2243.25</v>
      </c>
      <c r="C463" s="203">
        <f>SUM(C459:C462)</f>
        <v>2242.666666666667</v>
      </c>
      <c r="D463" s="212"/>
      <c r="E463" s="212"/>
      <c r="F463" s="212"/>
      <c r="G463" s="212"/>
      <c r="H463" s="212"/>
      <c r="I463" s="212"/>
      <c r="J463" s="212"/>
      <c r="K463" s="212"/>
      <c r="L463" s="212"/>
    </row>
    <row r="464" spans="1:12" s="92" customFormat="1" x14ac:dyDescent="0.2">
      <c r="A464" s="232" t="s">
        <v>150</v>
      </c>
      <c r="B464" s="216" t="s">
        <v>159</v>
      </c>
      <c r="C464" s="216" t="s">
        <v>158</v>
      </c>
      <c r="D464" s="233"/>
      <c r="E464" s="216" t="s">
        <v>153</v>
      </c>
      <c r="F464" s="216" t="s">
        <v>158</v>
      </c>
      <c r="G464" s="216" t="s">
        <v>153</v>
      </c>
      <c r="H464" s="216" t="s">
        <v>158</v>
      </c>
      <c r="I464" s="209" t="s">
        <v>153</v>
      </c>
      <c r="J464" s="209" t="s">
        <v>158</v>
      </c>
      <c r="K464" s="209" t="s">
        <v>153</v>
      </c>
      <c r="L464" s="209" t="s">
        <v>158</v>
      </c>
    </row>
    <row r="465" spans="1:12" s="92" customFormat="1" x14ac:dyDescent="0.2">
      <c r="A465" s="224" t="str">
        <f>A459</f>
        <v>Residential</v>
      </c>
      <c r="B465" s="221">
        <f>C459-B459</f>
        <v>-1.8333333333332575</v>
      </c>
      <c r="C465" s="219">
        <f>B465/B459</f>
        <v>-1.3350324655621755E-3</v>
      </c>
      <c r="D465" s="202" t="s">
        <v>49</v>
      </c>
      <c r="E465" s="221">
        <f>F459-E459</f>
        <v>-46016.049999998882</v>
      </c>
      <c r="F465" s="219">
        <f>E465/E459</f>
        <v>-5.2137676577903901E-3</v>
      </c>
      <c r="G465" s="221" t="e">
        <f>H459-G459</f>
        <v>#REF!</v>
      </c>
      <c r="H465" s="219" t="e">
        <f>G465/G459</f>
        <v>#REF!</v>
      </c>
      <c r="I465" s="221">
        <f>J459-I459</f>
        <v>-24.961942017471301</v>
      </c>
      <c r="J465" s="219">
        <f>I465/I459</f>
        <v>-3.8839203519917122E-3</v>
      </c>
      <c r="K465" s="221" t="e">
        <f>L459-K459</f>
        <v>#REF!</v>
      </c>
      <c r="L465" s="223" t="e">
        <f>K465/K459</f>
        <v>#REF!</v>
      </c>
    </row>
    <row r="466" spans="1:12" s="92" customFormat="1" x14ac:dyDescent="0.2">
      <c r="A466" s="224" t="str">
        <f t="shared" ref="A466:A468" si="163">A460</f>
        <v>General Service &lt; 50 kW</v>
      </c>
      <c r="B466" s="221">
        <f>C460-B460</f>
        <v>1.25</v>
      </c>
      <c r="C466" s="219">
        <f>B466/B460</f>
        <v>5.3724928366762183E-3</v>
      </c>
      <c r="D466" s="202" t="s">
        <v>49</v>
      </c>
      <c r="E466" s="221">
        <f>F460-E460</f>
        <v>159574.76000000071</v>
      </c>
      <c r="F466" s="219">
        <f>E466/E460</f>
        <v>3.544983884911123E-2</v>
      </c>
      <c r="G466" s="221" t="e">
        <f>H460-G460</f>
        <v>#REF!</v>
      </c>
      <c r="H466" s="219" t="e">
        <f>G466/G460</f>
        <v>#REF!</v>
      </c>
      <c r="I466" s="221">
        <f>J460-I460</f>
        <v>578.79967697926986</v>
      </c>
      <c r="J466" s="219">
        <f>I466/I460</f>
        <v>2.9916619190138414E-2</v>
      </c>
      <c r="K466" s="221" t="e">
        <f>L460-K460</f>
        <v>#REF!</v>
      </c>
      <c r="L466" s="223" t="e">
        <f>K466/K460</f>
        <v>#REF!</v>
      </c>
    </row>
    <row r="467" spans="1:12" s="92" customFormat="1" x14ac:dyDescent="0.2">
      <c r="A467" s="224" t="str">
        <f t="shared" si="163"/>
        <v>General Service &gt; 50 to 4999 kW</v>
      </c>
      <c r="B467" s="221">
        <f>C461-B461</f>
        <v>-0.66666666666666607</v>
      </c>
      <c r="C467" s="219">
        <f>B467/B461</f>
        <v>-4.166666666666663E-2</v>
      </c>
      <c r="D467" s="202" t="s">
        <v>50</v>
      </c>
      <c r="E467" s="221">
        <f>F461-E461</f>
        <v>-2705.239999999998</v>
      </c>
      <c r="F467" s="219">
        <f>E467/E461</f>
        <v>-5.5971540427729422E-2</v>
      </c>
      <c r="G467" s="221" t="e">
        <f>H461-G461</f>
        <v>#REF!</v>
      </c>
      <c r="H467" s="219" t="e">
        <f>G467/G461</f>
        <v>#REF!</v>
      </c>
      <c r="I467" s="221">
        <f>J461-I461</f>
        <v>-45.090597826087105</v>
      </c>
      <c r="J467" s="219">
        <f>I467/I461</f>
        <v>-1.4926824794152532E-2</v>
      </c>
      <c r="K467" s="221" t="e">
        <f>L461-K461</f>
        <v>#REF!</v>
      </c>
      <c r="L467" s="223" t="e">
        <f>K467/K461</f>
        <v>#REF!</v>
      </c>
    </row>
    <row r="468" spans="1:12" s="92" customFormat="1" x14ac:dyDescent="0.2">
      <c r="A468" s="224" t="str">
        <f t="shared" si="163"/>
        <v>Street Lights</v>
      </c>
      <c r="B468" s="221">
        <f>C462-B462</f>
        <v>0.66666666666662877</v>
      </c>
      <c r="C468" s="219">
        <f>B468/B462</f>
        <v>1.0729613733904968E-3</v>
      </c>
      <c r="D468" s="202" t="s">
        <v>50</v>
      </c>
      <c r="E468" s="221">
        <f>F462-E462</f>
        <v>-54.840000000000373</v>
      </c>
      <c r="F468" s="219">
        <f>E468/E462</f>
        <v>-4.9293495847265993E-2</v>
      </c>
      <c r="G468" s="221" t="e">
        <f>H462-G462</f>
        <v>#REF!</v>
      </c>
      <c r="H468" s="219" t="e">
        <f>G468/G462</f>
        <v>#REF!</v>
      </c>
      <c r="I468" s="221">
        <f>J462-I462</f>
        <v>-9.0086319914991497E-2</v>
      </c>
      <c r="J468" s="219">
        <f>I468/I462</f>
        <v>-5.031247387958393E-2</v>
      </c>
      <c r="K468" s="221" t="e">
        <f>L462-K462</f>
        <v>#REF!</v>
      </c>
      <c r="L468" s="223" t="e">
        <f>K468/K462</f>
        <v>#REF!</v>
      </c>
    </row>
    <row r="469" spans="1:12" s="92" customFormat="1" ht="13.5" thickBot="1" x14ac:dyDescent="0.25">
      <c r="A469" s="228" t="s">
        <v>8</v>
      </c>
      <c r="B469" s="199">
        <f>SUM(B465:B468)</f>
        <v>-0.58333333333329485</v>
      </c>
      <c r="C469" s="229">
        <f>B469/B463</f>
        <v>-2.600393773914164E-4</v>
      </c>
      <c r="D469" s="147"/>
      <c r="E469" s="147"/>
      <c r="F469" s="147"/>
      <c r="G469" s="147"/>
      <c r="H469" s="147"/>
      <c r="I469" s="147"/>
      <c r="J469" s="147"/>
      <c r="K469" s="147"/>
      <c r="L469" s="147"/>
    </row>
    <row r="470" spans="1:12" s="92" customFormat="1" x14ac:dyDescent="0.2">
      <c r="A470" s="90"/>
      <c r="B470" s="90"/>
      <c r="C470" s="90"/>
      <c r="D470" s="90"/>
      <c r="E470" s="90"/>
      <c r="F470" s="90"/>
      <c r="G470" s="90"/>
      <c r="H470" s="90"/>
      <c r="I470" s="90"/>
      <c r="J470" s="90"/>
      <c r="K470" s="90"/>
      <c r="L470" s="90"/>
    </row>
    <row r="471" spans="1:12" s="92" customFormat="1" x14ac:dyDescent="0.2">
      <c r="A471" s="98" t="s">
        <v>233</v>
      </c>
      <c r="B471" s="90"/>
      <c r="C471" s="90"/>
      <c r="D471" s="90"/>
      <c r="E471" s="90"/>
      <c r="F471" s="90"/>
      <c r="G471" s="90"/>
      <c r="H471" s="90"/>
      <c r="I471" s="90"/>
      <c r="J471" s="90"/>
      <c r="K471" s="90"/>
      <c r="L471" s="90"/>
    </row>
    <row r="472" spans="1:12" s="92" customFormat="1" ht="25.5" x14ac:dyDescent="0.2">
      <c r="A472" s="210" t="s">
        <v>145</v>
      </c>
      <c r="B472" s="210" t="s">
        <v>208</v>
      </c>
      <c r="C472" s="210" t="s">
        <v>209</v>
      </c>
      <c r="D472" s="210" t="s">
        <v>147</v>
      </c>
      <c r="E472" s="210" t="s">
        <v>148</v>
      </c>
      <c r="F472" s="90"/>
      <c r="G472" s="90"/>
      <c r="H472" s="90"/>
      <c r="I472" s="90"/>
      <c r="J472" s="90"/>
      <c r="K472" s="90"/>
      <c r="L472" s="90"/>
    </row>
    <row r="473" spans="1:12" s="92" customFormat="1" x14ac:dyDescent="0.2">
      <c r="A473" s="198" t="str">
        <f>A449</f>
        <v>Residential</v>
      </c>
      <c r="B473" s="211">
        <f>C449</f>
        <v>888945.76</v>
      </c>
      <c r="C473" s="211">
        <f>L4</f>
        <v>985347</v>
      </c>
      <c r="D473" s="214">
        <f>C473-B473</f>
        <v>96401.239999999991</v>
      </c>
      <c r="E473" s="200">
        <f>D473/B473</f>
        <v>0.10844445672365881</v>
      </c>
      <c r="F473" s="90"/>
      <c r="G473" s="90"/>
      <c r="H473" s="90"/>
      <c r="I473" s="90"/>
      <c r="J473" s="90"/>
      <c r="K473" s="90"/>
      <c r="L473" s="90"/>
    </row>
    <row r="474" spans="1:12" s="92" customFormat="1" x14ac:dyDescent="0.2">
      <c r="A474" s="198" t="str">
        <f t="shared" ref="A474:A476" si="164">A450</f>
        <v>General Service &lt; 50 kW</v>
      </c>
      <c r="B474" s="211">
        <f>C450</f>
        <v>268458.17</v>
      </c>
      <c r="C474" s="211">
        <f t="shared" ref="C474:C476" si="165">L5</f>
        <v>296561</v>
      </c>
      <c r="D474" s="214">
        <f t="shared" ref="D474:D476" si="166">C474-B474</f>
        <v>28102.830000000016</v>
      </c>
      <c r="E474" s="200">
        <f t="shared" ref="E474:E476" si="167">D474/B474</f>
        <v>0.10468234213173702</v>
      </c>
      <c r="F474" s="90"/>
      <c r="G474" s="90"/>
      <c r="H474" s="90"/>
      <c r="I474" s="90"/>
      <c r="J474" s="90"/>
      <c r="K474" s="90"/>
      <c r="L474" s="90"/>
    </row>
    <row r="475" spans="1:12" s="92" customFormat="1" x14ac:dyDescent="0.2">
      <c r="A475" s="198" t="str">
        <f t="shared" si="164"/>
        <v>General Service &gt; 50 to 4999 kW</v>
      </c>
      <c r="B475" s="211">
        <f>C451</f>
        <v>313056.96000000002</v>
      </c>
      <c r="C475" s="211">
        <f t="shared" si="165"/>
        <v>338614</v>
      </c>
      <c r="D475" s="214">
        <f t="shared" si="166"/>
        <v>25557.039999999979</v>
      </c>
      <c r="E475" s="200">
        <f t="shared" si="167"/>
        <v>8.1637028609745574E-2</v>
      </c>
      <c r="F475" s="90"/>
      <c r="G475" s="90"/>
      <c r="H475" s="90"/>
      <c r="I475" s="90"/>
      <c r="J475" s="90"/>
      <c r="K475" s="90"/>
      <c r="L475" s="90"/>
    </row>
    <row r="476" spans="1:12" s="92" customFormat="1" x14ac:dyDescent="0.2">
      <c r="A476" s="198" t="str">
        <f t="shared" si="164"/>
        <v>Street Lights</v>
      </c>
      <c r="B476" s="211">
        <f>C452</f>
        <v>137218.26</v>
      </c>
      <c r="C476" s="211">
        <f t="shared" si="165"/>
        <v>139208</v>
      </c>
      <c r="D476" s="214">
        <f t="shared" si="166"/>
        <v>1989.7399999999907</v>
      </c>
      <c r="E476" s="200">
        <f t="shared" si="167"/>
        <v>1.4500548250648206E-2</v>
      </c>
      <c r="F476" s="90"/>
      <c r="G476" s="90"/>
      <c r="H476" s="90"/>
      <c r="I476" s="90"/>
      <c r="J476" s="90"/>
      <c r="K476" s="90"/>
      <c r="L476" s="90"/>
    </row>
    <row r="477" spans="1:12" s="92" customFormat="1" x14ac:dyDescent="0.2">
      <c r="A477" s="226" t="s">
        <v>8</v>
      </c>
      <c r="B477" s="222">
        <f>SUM(B473:B476)</f>
        <v>1607679.15</v>
      </c>
      <c r="C477" s="222">
        <f>SUM(C473:C476)</f>
        <v>1759730</v>
      </c>
      <c r="D477" s="208">
        <f t="shared" ref="D477" si="168">C477-B477</f>
        <v>152050.85000000009</v>
      </c>
      <c r="E477" s="206">
        <f>D477/B477</f>
        <v>9.457785777715666E-2</v>
      </c>
      <c r="F477" s="90"/>
      <c r="G477" s="90"/>
      <c r="H477" s="90"/>
      <c r="I477" s="90"/>
      <c r="J477" s="90"/>
      <c r="K477" s="90"/>
      <c r="L477" s="90"/>
    </row>
    <row r="478" spans="1:12" s="92" customFormat="1" x14ac:dyDescent="0.2">
      <c r="A478" s="90"/>
      <c r="B478" s="90"/>
      <c r="C478" s="90"/>
      <c r="D478" s="90"/>
      <c r="E478" s="90"/>
      <c r="F478" s="90"/>
      <c r="G478" s="90"/>
      <c r="H478" s="90"/>
      <c r="I478" s="90"/>
      <c r="J478" s="90"/>
      <c r="K478" s="90"/>
      <c r="L478" s="90"/>
    </row>
    <row r="479" spans="1:12" s="92" customFormat="1" x14ac:dyDescent="0.2">
      <c r="A479" s="204" t="s">
        <v>234</v>
      </c>
      <c r="B479" s="147"/>
      <c r="C479" s="147"/>
      <c r="D479" s="147"/>
      <c r="E479" s="147"/>
      <c r="F479" s="147"/>
      <c r="G479" s="147"/>
      <c r="H479" s="234"/>
      <c r="I479"/>
      <c r="J479"/>
      <c r="K479"/>
      <c r="L479"/>
    </row>
    <row r="480" spans="1:12" s="92" customFormat="1" ht="13.5" thickBot="1" x14ac:dyDescent="0.25">
      <c r="A480" s="204"/>
      <c r="B480" s="147"/>
      <c r="C480" s="147"/>
      <c r="D480" s="147"/>
      <c r="E480" s="147"/>
      <c r="F480" s="147"/>
      <c r="G480" s="147"/>
      <c r="H480" s="147"/>
      <c r="I480"/>
      <c r="J480"/>
      <c r="K480"/>
      <c r="L480"/>
    </row>
    <row r="481" spans="1:12" s="92" customFormat="1" ht="42.75" customHeight="1" x14ac:dyDescent="0.2">
      <c r="A481" s="350" t="s">
        <v>149</v>
      </c>
      <c r="B481" s="352" t="s">
        <v>151</v>
      </c>
      <c r="C481" s="352"/>
      <c r="D481" s="352" t="s">
        <v>152</v>
      </c>
      <c r="E481" s="354" t="s">
        <v>156</v>
      </c>
      <c r="F481" s="354"/>
      <c r="G481" s="354" t="s">
        <v>155</v>
      </c>
      <c r="H481" s="355"/>
      <c r="I481"/>
      <c r="J481"/>
    </row>
    <row r="482" spans="1:12" s="92" customFormat="1" x14ac:dyDescent="0.2">
      <c r="A482" s="351"/>
      <c r="B482" s="180" t="s">
        <v>208</v>
      </c>
      <c r="C482" s="180" t="s">
        <v>209</v>
      </c>
      <c r="D482" s="353"/>
      <c r="E482" s="180" t="s">
        <v>208</v>
      </c>
      <c r="F482" s="180" t="s">
        <v>209</v>
      </c>
      <c r="G482" s="180" t="s">
        <v>208</v>
      </c>
      <c r="H482" s="180" t="s">
        <v>209</v>
      </c>
      <c r="I482"/>
      <c r="J482"/>
    </row>
    <row r="483" spans="1:12" s="92" customFormat="1" x14ac:dyDescent="0.2">
      <c r="A483" s="224" t="str">
        <f>A435</f>
        <v>Residential</v>
      </c>
      <c r="B483" s="214">
        <f t="array" ref="B483:B486">TRANSPOSE(B181:E181)</f>
        <v>1371.4166666666667</v>
      </c>
      <c r="C483" s="214">
        <f t="array" ref="C483:C486">TRANSPOSE(B182:E182)</f>
        <v>1367.7381869430576</v>
      </c>
      <c r="D483" s="202" t="s">
        <v>49</v>
      </c>
      <c r="E483" s="214">
        <f>F459</f>
        <v>8779856.7200000007</v>
      </c>
      <c r="F483" s="214" t="e">
        <f t="array" ref="F483:F484">TRANSPOSE(B218:C218)*1000000</f>
        <v>#REF!</v>
      </c>
      <c r="G483" s="214">
        <f t="shared" ref="G483:H486" si="169">E483/B483</f>
        <v>6402.0344315488856</v>
      </c>
      <c r="H483" s="214" t="e">
        <f t="shared" si="169"/>
        <v>#REF!</v>
      </c>
      <c r="I483"/>
      <c r="J483"/>
    </row>
    <row r="484" spans="1:12" s="92" customFormat="1" x14ac:dyDescent="0.2">
      <c r="A484" s="224" t="str">
        <f>A436</f>
        <v>General Service &lt; 50 kW</v>
      </c>
      <c r="B484" s="214">
        <v>233.91666666666666</v>
      </c>
      <c r="C484" s="214">
        <v>233.89168135108605</v>
      </c>
      <c r="D484" s="202" t="s">
        <v>49</v>
      </c>
      <c r="E484" s="214">
        <f t="shared" ref="E484:E486" si="170">F460</f>
        <v>4660998.8900000006</v>
      </c>
      <c r="F484" s="214" t="e">
        <v>#REF!</v>
      </c>
      <c r="G484" s="214">
        <f t="shared" si="169"/>
        <v>19925.894791592451</v>
      </c>
      <c r="H484" s="214" t="e">
        <f t="shared" si="169"/>
        <v>#REF!</v>
      </c>
      <c r="I484"/>
      <c r="J484"/>
    </row>
    <row r="485" spans="1:12" s="92" customFormat="1" x14ac:dyDescent="0.2">
      <c r="A485" s="224" t="str">
        <f>A437</f>
        <v>General Service &gt; 50 to 4999 kW</v>
      </c>
      <c r="B485" s="214">
        <v>15.333333333333334</v>
      </c>
      <c r="C485" s="214">
        <v>15.02796266523036</v>
      </c>
      <c r="D485" s="202" t="s">
        <v>50</v>
      </c>
      <c r="E485" s="214">
        <f t="shared" si="170"/>
        <v>45627.18</v>
      </c>
      <c r="F485" s="217">
        <f t="array" ref="F485:F486">TRANSPOSE('Rate Class Load Model'!B$13:C$13)</f>
        <v>44856.438696787365</v>
      </c>
      <c r="G485" s="214">
        <f t="shared" si="169"/>
        <v>2975.6856521739128</v>
      </c>
      <c r="H485" s="214">
        <f t="shared" si="169"/>
        <v>2984.8649278700996</v>
      </c>
      <c r="I485"/>
      <c r="J485"/>
    </row>
    <row r="486" spans="1:12" s="92" customFormat="1" x14ac:dyDescent="0.2">
      <c r="A486" s="224" t="str">
        <f>A438</f>
        <v>Street Lights</v>
      </c>
      <c r="B486" s="214">
        <v>622</v>
      </c>
      <c r="C486" s="214">
        <v>622</v>
      </c>
      <c r="D486" s="202" t="s">
        <v>50</v>
      </c>
      <c r="E486" s="214">
        <f t="shared" si="170"/>
        <v>1057.6799999999998</v>
      </c>
      <c r="F486" s="217">
        <v>1057.6799999999998</v>
      </c>
      <c r="G486" s="214">
        <f t="shared" si="169"/>
        <v>1.700450160771704</v>
      </c>
      <c r="H486" s="214">
        <f t="shared" si="169"/>
        <v>1.700450160771704</v>
      </c>
      <c r="I486"/>
      <c r="J486"/>
    </row>
    <row r="487" spans="1:12" s="92" customFormat="1" ht="13.5" thickBot="1" x14ac:dyDescent="0.25">
      <c r="A487" s="213" t="s">
        <v>8</v>
      </c>
      <c r="B487" s="203">
        <f>SUM(B483:B486)</f>
        <v>2242.666666666667</v>
      </c>
      <c r="C487" s="203">
        <f>SUM(C483:C486)</f>
        <v>2238.6578309593742</v>
      </c>
      <c r="D487" s="212"/>
      <c r="E487" s="212"/>
      <c r="F487" s="212"/>
      <c r="G487" s="212"/>
      <c r="H487" s="212"/>
      <c r="I487"/>
      <c r="J487"/>
    </row>
    <row r="488" spans="1:12" s="92" customFormat="1" x14ac:dyDescent="0.2">
      <c r="A488" s="232" t="s">
        <v>150</v>
      </c>
      <c r="B488" s="216" t="s">
        <v>159</v>
      </c>
      <c r="C488" s="216" t="s">
        <v>158</v>
      </c>
      <c r="D488" s="233"/>
      <c r="E488" s="216" t="s">
        <v>153</v>
      </c>
      <c r="F488" s="216" t="s">
        <v>158</v>
      </c>
      <c r="G488" s="216" t="s">
        <v>160</v>
      </c>
      <c r="H488" s="216" t="s">
        <v>158</v>
      </c>
      <c r="I488"/>
      <c r="J488"/>
    </row>
    <row r="489" spans="1:12" s="92" customFormat="1" x14ac:dyDescent="0.2">
      <c r="A489" s="224" t="str">
        <f>A483</f>
        <v>Residential</v>
      </c>
      <c r="B489" s="221">
        <f>C483-B483</f>
        <v>-3.6784797236091435</v>
      </c>
      <c r="C489" s="219">
        <f>B489/B483</f>
        <v>-2.6822480818684889E-3</v>
      </c>
      <c r="D489" s="202" t="s">
        <v>49</v>
      </c>
      <c r="E489" s="221" t="e">
        <f>F483-E483</f>
        <v>#REF!</v>
      </c>
      <c r="F489" s="219" t="e">
        <f>E489/E483</f>
        <v>#REF!</v>
      </c>
      <c r="G489" s="221" t="e">
        <f>H483-G483</f>
        <v>#REF!</v>
      </c>
      <c r="H489" s="219" t="e">
        <f>G489/G483</f>
        <v>#REF!</v>
      </c>
      <c r="I489"/>
      <c r="J489"/>
    </row>
    <row r="490" spans="1:12" s="92" customFormat="1" x14ac:dyDescent="0.2">
      <c r="A490" s="224" t="str">
        <f t="shared" ref="A490:A492" si="171">A484</f>
        <v>General Service &lt; 50 kW</v>
      </c>
      <c r="B490" s="221">
        <f>C484-B484</f>
        <v>-2.4985315580607903E-2</v>
      </c>
      <c r="C490" s="219">
        <f>B490/B484</f>
        <v>-1.0681289168767184E-4</v>
      </c>
      <c r="D490" s="202" t="s">
        <v>49</v>
      </c>
      <c r="E490" s="221" t="e">
        <f>F484-E484</f>
        <v>#REF!</v>
      </c>
      <c r="F490" s="219" t="e">
        <f>E490/E484</f>
        <v>#REF!</v>
      </c>
      <c r="G490" s="221" t="e">
        <f>H484-G484</f>
        <v>#REF!</v>
      </c>
      <c r="H490" s="219" t="e">
        <f>G490/G484</f>
        <v>#REF!</v>
      </c>
      <c r="I490"/>
      <c r="J490"/>
    </row>
    <row r="491" spans="1:12" s="92" customFormat="1" x14ac:dyDescent="0.2">
      <c r="A491" s="224" t="str">
        <f t="shared" si="171"/>
        <v>General Service &gt; 50 to 4999 kW</v>
      </c>
      <c r="B491" s="221">
        <f>C485-B485</f>
        <v>-0.30537066810297375</v>
      </c>
      <c r="C491" s="219">
        <f>B491/B485</f>
        <v>-1.9915478354541764E-2</v>
      </c>
      <c r="D491" s="202" t="s">
        <v>50</v>
      </c>
      <c r="E491" s="221">
        <f>F485-E485</f>
        <v>-770.7413032126351</v>
      </c>
      <c r="F491" s="219">
        <f>E491/E485</f>
        <v>-1.6892152949462034E-2</v>
      </c>
      <c r="G491" s="221">
        <f>H485-G485</f>
        <v>9.1792756961867781</v>
      </c>
      <c r="H491" s="219">
        <f>G491/G485</f>
        <v>3.0847598735709125E-3</v>
      </c>
      <c r="I491"/>
      <c r="J491"/>
    </row>
    <row r="492" spans="1:12" s="92" customFormat="1" x14ac:dyDescent="0.2">
      <c r="A492" s="224" t="str">
        <f t="shared" si="171"/>
        <v>Street Lights</v>
      </c>
      <c r="B492" s="221">
        <f>C486-B486</f>
        <v>0</v>
      </c>
      <c r="C492" s="219">
        <f>B492/B486</f>
        <v>0</v>
      </c>
      <c r="D492" s="202" t="s">
        <v>50</v>
      </c>
      <c r="E492" s="221">
        <f>F486-E486</f>
        <v>0</v>
      </c>
      <c r="F492" s="219">
        <f>E492/E486</f>
        <v>0</v>
      </c>
      <c r="G492" s="221">
        <f>H486-G486</f>
        <v>0</v>
      </c>
      <c r="H492" s="219">
        <f>G492/G486</f>
        <v>0</v>
      </c>
      <c r="I492"/>
      <c r="J492"/>
    </row>
    <row r="493" spans="1:12" s="92" customFormat="1" ht="13.5" thickBot="1" x14ac:dyDescent="0.25">
      <c r="A493" s="228" t="s">
        <v>8</v>
      </c>
      <c r="B493" s="199">
        <f>SUM(B489:B492)</f>
        <v>-4.0088357072927252</v>
      </c>
      <c r="C493" s="229">
        <f>B493/B487</f>
        <v>-1.7875307850591816E-3</v>
      </c>
      <c r="D493" s="147"/>
      <c r="E493" s="147"/>
      <c r="F493" s="147"/>
      <c r="G493" s="147"/>
      <c r="H493" s="147"/>
      <c r="I493" s="90"/>
      <c r="J493" s="90"/>
      <c r="K493" s="90"/>
      <c r="L493" s="90"/>
    </row>
    <row r="494" spans="1:12" s="92" customFormat="1" x14ac:dyDescent="0.2"/>
    <row r="495" spans="1:12" s="92" customFormat="1" x14ac:dyDescent="0.2"/>
    <row r="496" spans="1:12" s="92" customFormat="1" x14ac:dyDescent="0.2"/>
    <row r="497" s="92" customFormat="1" x14ac:dyDescent="0.2"/>
    <row r="498" s="92" customFormat="1" x14ac:dyDescent="0.2"/>
    <row r="499" s="92" customFormat="1" x14ac:dyDescent="0.2"/>
    <row r="500" s="92" customFormat="1" x14ac:dyDescent="0.2"/>
    <row r="501" s="92" customFormat="1" x14ac:dyDescent="0.2"/>
    <row r="502" s="92" customFormat="1" x14ac:dyDescent="0.2"/>
    <row r="503" s="92" customFormat="1" x14ac:dyDescent="0.2"/>
    <row r="504" s="92" customFormat="1" x14ac:dyDescent="0.2"/>
    <row r="505" s="92" customFormat="1" x14ac:dyDescent="0.2"/>
    <row r="506" s="92" customFormat="1" x14ac:dyDescent="0.2"/>
    <row r="507" s="92" customFormat="1" x14ac:dyDescent="0.2"/>
    <row r="508" s="92" customFormat="1" x14ac:dyDescent="0.2"/>
    <row r="509" s="92" customFormat="1" x14ac:dyDescent="0.2"/>
    <row r="510" s="92" customFormat="1" x14ac:dyDescent="0.2"/>
    <row r="511" s="92" customFormat="1" x14ac:dyDescent="0.2"/>
    <row r="512" s="92" customFormat="1" x14ac:dyDescent="0.2"/>
    <row r="513" s="92" customFormat="1" x14ac:dyDescent="0.2"/>
    <row r="514" s="92" customFormat="1" x14ac:dyDescent="0.2"/>
    <row r="515" s="92" customFormat="1" x14ac:dyDescent="0.2"/>
    <row r="516" s="92" customFormat="1" x14ac:dyDescent="0.2"/>
    <row r="517" s="92" customFormat="1" x14ac:dyDescent="0.2"/>
    <row r="518" s="92" customFormat="1" x14ac:dyDescent="0.2"/>
    <row r="519" s="92" customFormat="1" x14ac:dyDescent="0.2"/>
    <row r="520" s="92" customFormat="1" x14ac:dyDescent="0.2"/>
    <row r="521" s="92" customFormat="1" x14ac:dyDescent="0.2"/>
    <row r="522" s="92" customFormat="1" x14ac:dyDescent="0.2"/>
    <row r="523" s="92" customFormat="1" x14ac:dyDescent="0.2"/>
    <row r="524" s="92" customFormat="1" x14ac:dyDescent="0.2"/>
    <row r="525" s="92" customFormat="1" x14ac:dyDescent="0.2"/>
    <row r="526" s="92" customFormat="1" x14ac:dyDescent="0.2"/>
    <row r="527" s="92" customFormat="1" x14ac:dyDescent="0.2"/>
    <row r="528" s="92" customFormat="1" x14ac:dyDescent="0.2"/>
    <row r="529" s="92" customFormat="1" x14ac:dyDescent="0.2"/>
    <row r="530" s="92" customFormat="1" x14ac:dyDescent="0.2"/>
    <row r="531" s="92" customFormat="1" x14ac:dyDescent="0.2"/>
    <row r="532" s="92" customFormat="1" x14ac:dyDescent="0.2"/>
    <row r="533" s="92" customFormat="1" x14ac:dyDescent="0.2"/>
    <row r="534" s="92" customFormat="1" x14ac:dyDescent="0.2"/>
    <row r="535" s="92" customFormat="1" x14ac:dyDescent="0.2"/>
    <row r="536" s="92" customFormat="1" x14ac:dyDescent="0.2"/>
    <row r="537" s="92" customFormat="1" x14ac:dyDescent="0.2"/>
    <row r="538" s="92" customFormat="1" x14ac:dyDescent="0.2"/>
    <row r="539" s="92" customFormat="1" x14ac:dyDescent="0.2"/>
    <row r="540" s="92" customFormat="1" x14ac:dyDescent="0.2"/>
    <row r="541" s="92" customFormat="1" x14ac:dyDescent="0.2"/>
    <row r="542" s="92" customFormat="1" x14ac:dyDescent="0.2"/>
    <row r="543" s="92" customFormat="1" x14ac:dyDescent="0.2"/>
    <row r="544" s="92" customFormat="1" x14ac:dyDescent="0.2"/>
    <row r="545" s="92" customFormat="1" x14ac:dyDescent="0.2"/>
    <row r="546" s="92" customFormat="1" x14ac:dyDescent="0.2"/>
    <row r="547" s="92" customFormat="1" x14ac:dyDescent="0.2"/>
    <row r="548" s="92" customFormat="1" x14ac:dyDescent="0.2"/>
    <row r="549" s="92" customFormat="1" x14ac:dyDescent="0.2"/>
    <row r="550" s="92" customFormat="1" x14ac:dyDescent="0.2"/>
    <row r="551" s="92" customFormat="1" x14ac:dyDescent="0.2"/>
    <row r="552" s="92" customFormat="1" x14ac:dyDescent="0.2"/>
    <row r="553" s="92" customFormat="1" x14ac:dyDescent="0.2"/>
    <row r="554" s="92" customFormat="1" x14ac:dyDescent="0.2"/>
    <row r="555" s="92" customFormat="1" x14ac:dyDescent="0.2"/>
    <row r="556" s="92" customFormat="1" x14ac:dyDescent="0.2"/>
    <row r="557" s="92" customFormat="1" x14ac:dyDescent="0.2"/>
    <row r="558" s="92" customFormat="1" x14ac:dyDescent="0.2"/>
    <row r="559" s="92" customFormat="1" x14ac:dyDescent="0.2"/>
    <row r="560" s="92" customFormat="1" x14ac:dyDescent="0.2"/>
    <row r="561" s="92" customFormat="1" x14ac:dyDescent="0.2"/>
    <row r="562" s="92" customFormat="1" x14ac:dyDescent="0.2"/>
    <row r="563" s="92" customFormat="1" x14ac:dyDescent="0.2"/>
    <row r="564" s="92" customFormat="1" x14ac:dyDescent="0.2"/>
    <row r="565" s="92" customFormat="1" x14ac:dyDescent="0.2"/>
    <row r="566" s="92" customFormat="1" x14ac:dyDescent="0.2"/>
    <row r="567" s="92" customFormat="1" x14ac:dyDescent="0.2"/>
    <row r="568" s="92" customFormat="1" x14ac:dyDescent="0.2"/>
    <row r="569" s="92" customFormat="1" x14ac:dyDescent="0.2"/>
    <row r="570" s="92" customFormat="1" x14ac:dyDescent="0.2"/>
    <row r="571" s="92" customFormat="1" x14ac:dyDescent="0.2"/>
    <row r="572" s="92" customFormat="1" x14ac:dyDescent="0.2"/>
    <row r="573" s="92" customFormat="1" x14ac:dyDescent="0.2"/>
    <row r="574" s="92" customFormat="1" x14ac:dyDescent="0.2"/>
    <row r="575" s="92" customFormat="1" x14ac:dyDescent="0.2"/>
    <row r="576" s="92" customFormat="1" x14ac:dyDescent="0.2"/>
    <row r="577" s="92" customFormat="1" x14ac:dyDescent="0.2"/>
    <row r="578" s="92" customFormat="1" x14ac:dyDescent="0.2"/>
    <row r="579" s="92" customFormat="1" x14ac:dyDescent="0.2"/>
    <row r="580" s="92" customFormat="1" x14ac:dyDescent="0.2"/>
    <row r="581" s="92" customFormat="1" x14ac:dyDescent="0.2"/>
    <row r="582" s="92" customFormat="1" x14ac:dyDescent="0.2"/>
    <row r="583" s="92" customFormat="1" x14ac:dyDescent="0.2"/>
    <row r="584" s="92" customFormat="1" x14ac:dyDescent="0.2"/>
    <row r="585" s="92" customFormat="1" x14ac:dyDescent="0.2"/>
    <row r="586" s="92" customFormat="1" x14ac:dyDescent="0.2"/>
    <row r="587" s="92" customFormat="1" x14ac:dyDescent="0.2"/>
    <row r="588" s="92" customFormat="1" x14ac:dyDescent="0.2"/>
    <row r="589" s="92" customFormat="1" x14ac:dyDescent="0.2"/>
    <row r="590" s="92" customFormat="1" x14ac:dyDescent="0.2"/>
    <row r="591" s="92" customFormat="1" x14ac:dyDescent="0.2"/>
    <row r="592" s="92" customFormat="1" x14ac:dyDescent="0.2"/>
    <row r="593" s="92" customFormat="1" x14ac:dyDescent="0.2"/>
    <row r="594" s="92" customFormat="1" x14ac:dyDescent="0.2"/>
    <row r="595" s="92" customFormat="1" x14ac:dyDescent="0.2"/>
    <row r="596" s="92" customFormat="1" x14ac:dyDescent="0.2"/>
    <row r="597" s="92" customFormat="1" x14ac:dyDescent="0.2"/>
    <row r="598" s="92" customFormat="1" x14ac:dyDescent="0.2"/>
    <row r="599" s="92" customFormat="1" x14ac:dyDescent="0.2"/>
    <row r="600" s="92" customFormat="1" x14ac:dyDescent="0.2"/>
    <row r="601" s="92" customFormat="1" x14ac:dyDescent="0.2"/>
    <row r="602" s="92" customFormat="1" x14ac:dyDescent="0.2"/>
    <row r="603" s="92" customFormat="1" x14ac:dyDescent="0.2"/>
    <row r="604" s="92" customFormat="1" x14ac:dyDescent="0.2"/>
    <row r="605" s="92" customFormat="1" x14ac:dyDescent="0.2"/>
    <row r="606" s="92" customFormat="1" x14ac:dyDescent="0.2"/>
    <row r="607" s="92" customFormat="1" x14ac:dyDescent="0.2"/>
  </sheetData>
  <mergeCells count="2820">
    <mergeCell ref="K337:L337"/>
    <mergeCell ref="A361:A362"/>
    <mergeCell ref="B361:C361"/>
    <mergeCell ref="D361:D362"/>
    <mergeCell ref="E361:F361"/>
    <mergeCell ref="G361:H361"/>
    <mergeCell ref="I361:J361"/>
    <mergeCell ref="K361:L361"/>
    <mergeCell ref="A189:E189"/>
    <mergeCell ref="A191:E191"/>
    <mergeCell ref="A195:E195"/>
    <mergeCell ref="B203:E203"/>
    <mergeCell ref="B201:E201"/>
    <mergeCell ref="A208:E208"/>
    <mergeCell ref="A337:A338"/>
    <mergeCell ref="B337:C337"/>
    <mergeCell ref="D337:D338"/>
    <mergeCell ref="E337:F337"/>
    <mergeCell ref="G337:H337"/>
    <mergeCell ref="I337:J337"/>
    <mergeCell ref="B289:C289"/>
    <mergeCell ref="D289:D290"/>
    <mergeCell ref="E289:F289"/>
    <mergeCell ref="G289:H289"/>
    <mergeCell ref="I289:J289"/>
    <mergeCell ref="K289:L289"/>
    <mergeCell ref="A289:A290"/>
    <mergeCell ref="A23:G23"/>
    <mergeCell ref="BB178:BG178"/>
    <mergeCell ref="BH178:BM178"/>
    <mergeCell ref="BN178:BS178"/>
    <mergeCell ref="BT178:BY178"/>
    <mergeCell ref="A163:E163"/>
    <mergeCell ref="A165:E165"/>
    <mergeCell ref="A148:E148"/>
    <mergeCell ref="A132:G132"/>
    <mergeCell ref="A99:E99"/>
    <mergeCell ref="A70:E70"/>
    <mergeCell ref="A40:E40"/>
    <mergeCell ref="A21:G21"/>
    <mergeCell ref="A178:E178"/>
    <mergeCell ref="A88:F88"/>
    <mergeCell ref="A75:F75"/>
    <mergeCell ref="A72:F72"/>
    <mergeCell ref="A73:F73"/>
    <mergeCell ref="A150:F150"/>
    <mergeCell ref="A180:F180"/>
    <mergeCell ref="A184:E184"/>
    <mergeCell ref="A186:E186"/>
    <mergeCell ref="A197:F197"/>
    <mergeCell ref="A210:F210"/>
    <mergeCell ref="A216:F216"/>
    <mergeCell ref="A213:F213"/>
    <mergeCell ref="A246:K246"/>
    <mergeCell ref="A254:K254"/>
    <mergeCell ref="A273:K273"/>
    <mergeCell ref="A134:G134"/>
    <mergeCell ref="A116:B116"/>
    <mergeCell ref="FF178:FK178"/>
    <mergeCell ref="FL178:FQ178"/>
    <mergeCell ref="FR178:FW178"/>
    <mergeCell ref="FX178:GC178"/>
    <mergeCell ref="GD178:GI178"/>
    <mergeCell ref="BZ178:CE178"/>
    <mergeCell ref="CF178:CK178"/>
    <mergeCell ref="AA178:AC178"/>
    <mergeCell ref="AD178:AI178"/>
    <mergeCell ref="AJ178:AO178"/>
    <mergeCell ref="AP178:AU178"/>
    <mergeCell ref="AV178:BA178"/>
    <mergeCell ref="CL178:CQ178"/>
    <mergeCell ref="CR178:CW178"/>
    <mergeCell ref="CX178:DC178"/>
    <mergeCell ref="DD178:DI178"/>
    <mergeCell ref="DJ178:DO178"/>
    <mergeCell ref="DP178:DU178"/>
    <mergeCell ref="QT178:QY178"/>
    <mergeCell ref="QZ178:RE178"/>
    <mergeCell ref="RF178:RK178"/>
    <mergeCell ref="RL178:RQ178"/>
    <mergeCell ref="RR178:RW178"/>
    <mergeCell ref="KB178:KG178"/>
    <mergeCell ref="KH178:KM178"/>
    <mergeCell ref="KN178:KS178"/>
    <mergeCell ref="HZ178:IE178"/>
    <mergeCell ref="IF178:IK178"/>
    <mergeCell ref="IL178:IQ178"/>
    <mergeCell ref="IR178:IW178"/>
    <mergeCell ref="IX178:JC178"/>
    <mergeCell ref="JD178:JI178"/>
    <mergeCell ref="OF178:OK178"/>
    <mergeCell ref="OL178:OQ178"/>
    <mergeCell ref="OR178:OW178"/>
    <mergeCell ref="MD178:MI178"/>
    <mergeCell ref="MJ178:MO178"/>
    <mergeCell ref="MP178:MU178"/>
    <mergeCell ref="MV178:NA178"/>
    <mergeCell ref="NB178:NG178"/>
    <mergeCell ref="NH178:NM178"/>
    <mergeCell ref="OX178:PC178"/>
    <mergeCell ref="PD178:PI178"/>
    <mergeCell ref="PJ178:PO178"/>
    <mergeCell ref="PP178:PU178"/>
    <mergeCell ref="PV178:QA178"/>
    <mergeCell ref="QB178:QG178"/>
    <mergeCell ref="NZ178:OE178"/>
    <mergeCell ref="JJ178:JO178"/>
    <mergeCell ref="JP178:JU178"/>
    <mergeCell ref="GJ178:GO178"/>
    <mergeCell ref="DV178:EA178"/>
    <mergeCell ref="EB178:EG178"/>
    <mergeCell ref="EH178:EM178"/>
    <mergeCell ref="EN178:ES178"/>
    <mergeCell ref="ET178:EY178"/>
    <mergeCell ref="EZ178:FE178"/>
    <mergeCell ref="GP178:GU178"/>
    <mergeCell ref="GV178:HA178"/>
    <mergeCell ref="HB178:HG178"/>
    <mergeCell ref="HH178:HM178"/>
    <mergeCell ref="HN178:HS178"/>
    <mergeCell ref="HT178:HY178"/>
    <mergeCell ref="NN178:NS178"/>
    <mergeCell ref="NT178:NY178"/>
    <mergeCell ref="QH178:QM178"/>
    <mergeCell ref="QN178:QS178"/>
    <mergeCell ref="JV178:KA178"/>
    <mergeCell ref="KT178:KY178"/>
    <mergeCell ref="KZ178:LE178"/>
    <mergeCell ref="LF178:LK178"/>
    <mergeCell ref="LL178:LQ178"/>
    <mergeCell ref="LR178:LW178"/>
    <mergeCell ref="LX178:MC178"/>
    <mergeCell ref="XF178:XK178"/>
    <mergeCell ref="XL178:XQ178"/>
    <mergeCell ref="XR178:XW178"/>
    <mergeCell ref="XX178:YC178"/>
    <mergeCell ref="YD178:YI178"/>
    <mergeCell ref="YJ178:YO178"/>
    <mergeCell ref="VV178:WA178"/>
    <mergeCell ref="WB178:WG178"/>
    <mergeCell ref="WH178:WM178"/>
    <mergeCell ref="WN178:WS178"/>
    <mergeCell ref="WT178:WY178"/>
    <mergeCell ref="WZ178:XE178"/>
    <mergeCell ref="UL178:UQ178"/>
    <mergeCell ref="UR178:UW178"/>
    <mergeCell ref="UX178:VC178"/>
    <mergeCell ref="VD178:VI178"/>
    <mergeCell ref="VJ178:VO178"/>
    <mergeCell ref="VP178:VU178"/>
    <mergeCell ref="TB178:TG178"/>
    <mergeCell ref="TH178:TM178"/>
    <mergeCell ref="TN178:TS178"/>
    <mergeCell ref="TT178:TY178"/>
    <mergeCell ref="TZ178:UE178"/>
    <mergeCell ref="UF178:UK178"/>
    <mergeCell ref="RX178:SC178"/>
    <mergeCell ref="SD178:SI178"/>
    <mergeCell ref="SJ178:SO178"/>
    <mergeCell ref="SP178:SU178"/>
    <mergeCell ref="SV178:TA178"/>
    <mergeCell ref="ABJ178:ABO178"/>
    <mergeCell ref="ABP178:ABU178"/>
    <mergeCell ref="ABV178:ACA178"/>
    <mergeCell ref="ACB178:ACG178"/>
    <mergeCell ref="ACH178:ACM178"/>
    <mergeCell ref="ACN178:ACS178"/>
    <mergeCell ref="ZZ178:AAE178"/>
    <mergeCell ref="AAF178:AAK178"/>
    <mergeCell ref="AAL178:AAQ178"/>
    <mergeCell ref="AAR178:AAW178"/>
    <mergeCell ref="AAX178:ABC178"/>
    <mergeCell ref="ABD178:ABI178"/>
    <mergeCell ref="YP178:YU178"/>
    <mergeCell ref="YV178:ZA178"/>
    <mergeCell ref="ZB178:ZG178"/>
    <mergeCell ref="ZH178:ZM178"/>
    <mergeCell ref="ZN178:ZS178"/>
    <mergeCell ref="ZT178:ZY178"/>
    <mergeCell ref="AFN178:AFS178"/>
    <mergeCell ref="AFT178:AFY178"/>
    <mergeCell ref="AFZ178:AGE178"/>
    <mergeCell ref="AGF178:AGK178"/>
    <mergeCell ref="AGL178:AGQ178"/>
    <mergeCell ref="AGR178:AGW178"/>
    <mergeCell ref="AED178:AEI178"/>
    <mergeCell ref="AEJ178:AEO178"/>
    <mergeCell ref="AEP178:AEU178"/>
    <mergeCell ref="AEV178:AFA178"/>
    <mergeCell ref="AFB178:AFG178"/>
    <mergeCell ref="AFH178:AFM178"/>
    <mergeCell ref="ACT178:ACY178"/>
    <mergeCell ref="ACZ178:ADE178"/>
    <mergeCell ref="ADF178:ADK178"/>
    <mergeCell ref="ADL178:ADQ178"/>
    <mergeCell ref="ADR178:ADW178"/>
    <mergeCell ref="ADX178:AEC178"/>
    <mergeCell ref="AJR178:AJW178"/>
    <mergeCell ref="AJX178:AKC178"/>
    <mergeCell ref="AKD178:AKI178"/>
    <mergeCell ref="AKJ178:AKO178"/>
    <mergeCell ref="AKP178:AKU178"/>
    <mergeCell ref="AKV178:ALA178"/>
    <mergeCell ref="AIH178:AIM178"/>
    <mergeCell ref="AIN178:AIS178"/>
    <mergeCell ref="AIT178:AIY178"/>
    <mergeCell ref="AIZ178:AJE178"/>
    <mergeCell ref="AJF178:AJK178"/>
    <mergeCell ref="AJL178:AJQ178"/>
    <mergeCell ref="AGX178:AHC178"/>
    <mergeCell ref="AHD178:AHI178"/>
    <mergeCell ref="AHJ178:AHO178"/>
    <mergeCell ref="AHP178:AHU178"/>
    <mergeCell ref="AHV178:AIA178"/>
    <mergeCell ref="AIB178:AIG178"/>
    <mergeCell ref="ANV178:AOA178"/>
    <mergeCell ref="AOB178:AOG178"/>
    <mergeCell ref="AOH178:AOM178"/>
    <mergeCell ref="AON178:AOS178"/>
    <mergeCell ref="AOT178:AOY178"/>
    <mergeCell ref="AOZ178:APE178"/>
    <mergeCell ref="AML178:AMQ178"/>
    <mergeCell ref="AMR178:AMW178"/>
    <mergeCell ref="AMX178:ANC178"/>
    <mergeCell ref="AND178:ANI178"/>
    <mergeCell ref="ANJ178:ANO178"/>
    <mergeCell ref="ANP178:ANU178"/>
    <mergeCell ref="ALB178:ALG178"/>
    <mergeCell ref="ALH178:ALM178"/>
    <mergeCell ref="ALN178:ALS178"/>
    <mergeCell ref="ALT178:ALY178"/>
    <mergeCell ref="ALZ178:AME178"/>
    <mergeCell ref="AMF178:AMK178"/>
    <mergeCell ref="ARZ178:ASE178"/>
    <mergeCell ref="ASF178:ASK178"/>
    <mergeCell ref="ASL178:ASQ178"/>
    <mergeCell ref="ASR178:ASW178"/>
    <mergeCell ref="ASX178:ATC178"/>
    <mergeCell ref="ATD178:ATI178"/>
    <mergeCell ref="AQP178:AQU178"/>
    <mergeCell ref="AQV178:ARA178"/>
    <mergeCell ref="ARB178:ARG178"/>
    <mergeCell ref="ARH178:ARM178"/>
    <mergeCell ref="ARN178:ARS178"/>
    <mergeCell ref="ART178:ARY178"/>
    <mergeCell ref="APF178:APK178"/>
    <mergeCell ref="APL178:APQ178"/>
    <mergeCell ref="APR178:APW178"/>
    <mergeCell ref="APX178:AQC178"/>
    <mergeCell ref="AQD178:AQI178"/>
    <mergeCell ref="AQJ178:AQO178"/>
    <mergeCell ref="AWD178:AWI178"/>
    <mergeCell ref="AWJ178:AWO178"/>
    <mergeCell ref="AWP178:AWU178"/>
    <mergeCell ref="AWV178:AXA178"/>
    <mergeCell ref="AXB178:AXG178"/>
    <mergeCell ref="AXH178:AXM178"/>
    <mergeCell ref="AUT178:AUY178"/>
    <mergeCell ref="AUZ178:AVE178"/>
    <mergeCell ref="AVF178:AVK178"/>
    <mergeCell ref="AVL178:AVQ178"/>
    <mergeCell ref="AVR178:AVW178"/>
    <mergeCell ref="AVX178:AWC178"/>
    <mergeCell ref="ATJ178:ATO178"/>
    <mergeCell ref="ATP178:ATU178"/>
    <mergeCell ref="ATV178:AUA178"/>
    <mergeCell ref="AUB178:AUG178"/>
    <mergeCell ref="AUH178:AUM178"/>
    <mergeCell ref="AUN178:AUS178"/>
    <mergeCell ref="BAH178:BAM178"/>
    <mergeCell ref="BAN178:BAS178"/>
    <mergeCell ref="BAT178:BAY178"/>
    <mergeCell ref="BAZ178:BBE178"/>
    <mergeCell ref="BBF178:BBK178"/>
    <mergeCell ref="BBL178:BBQ178"/>
    <mergeCell ref="AYX178:AZC178"/>
    <mergeCell ref="AZD178:AZI178"/>
    <mergeCell ref="AZJ178:AZO178"/>
    <mergeCell ref="AZP178:AZU178"/>
    <mergeCell ref="AZV178:BAA178"/>
    <mergeCell ref="BAB178:BAG178"/>
    <mergeCell ref="AXN178:AXS178"/>
    <mergeCell ref="AXT178:AXY178"/>
    <mergeCell ref="AXZ178:AYE178"/>
    <mergeCell ref="AYF178:AYK178"/>
    <mergeCell ref="AYL178:AYQ178"/>
    <mergeCell ref="AYR178:AYW178"/>
    <mergeCell ref="BEL178:BEQ178"/>
    <mergeCell ref="BER178:BEW178"/>
    <mergeCell ref="BEX178:BFC178"/>
    <mergeCell ref="BFD178:BFI178"/>
    <mergeCell ref="BFJ178:BFO178"/>
    <mergeCell ref="BFP178:BFU178"/>
    <mergeCell ref="BDB178:BDG178"/>
    <mergeCell ref="BDH178:BDM178"/>
    <mergeCell ref="BDN178:BDS178"/>
    <mergeCell ref="BDT178:BDY178"/>
    <mergeCell ref="BDZ178:BEE178"/>
    <mergeCell ref="BEF178:BEK178"/>
    <mergeCell ref="BBR178:BBW178"/>
    <mergeCell ref="BBX178:BCC178"/>
    <mergeCell ref="BCD178:BCI178"/>
    <mergeCell ref="BCJ178:BCO178"/>
    <mergeCell ref="BCP178:BCU178"/>
    <mergeCell ref="BCV178:BDA178"/>
    <mergeCell ref="BIP178:BIU178"/>
    <mergeCell ref="BIV178:BJA178"/>
    <mergeCell ref="BJB178:BJG178"/>
    <mergeCell ref="BJH178:BJM178"/>
    <mergeCell ref="BJN178:BJS178"/>
    <mergeCell ref="BJT178:BJY178"/>
    <mergeCell ref="BHF178:BHK178"/>
    <mergeCell ref="BHL178:BHQ178"/>
    <mergeCell ref="BHR178:BHW178"/>
    <mergeCell ref="BHX178:BIC178"/>
    <mergeCell ref="BID178:BII178"/>
    <mergeCell ref="BIJ178:BIO178"/>
    <mergeCell ref="BFV178:BGA178"/>
    <mergeCell ref="BGB178:BGG178"/>
    <mergeCell ref="BGH178:BGM178"/>
    <mergeCell ref="BGN178:BGS178"/>
    <mergeCell ref="BGT178:BGY178"/>
    <mergeCell ref="BGZ178:BHE178"/>
    <mergeCell ref="BMT178:BMY178"/>
    <mergeCell ref="BMZ178:BNE178"/>
    <mergeCell ref="BNF178:BNK178"/>
    <mergeCell ref="BNL178:BNQ178"/>
    <mergeCell ref="BNR178:BNW178"/>
    <mergeCell ref="BNX178:BOC178"/>
    <mergeCell ref="BLJ178:BLO178"/>
    <mergeCell ref="BLP178:BLU178"/>
    <mergeCell ref="BLV178:BMA178"/>
    <mergeCell ref="BMB178:BMG178"/>
    <mergeCell ref="BMH178:BMM178"/>
    <mergeCell ref="BMN178:BMS178"/>
    <mergeCell ref="BJZ178:BKE178"/>
    <mergeCell ref="BKF178:BKK178"/>
    <mergeCell ref="BKL178:BKQ178"/>
    <mergeCell ref="BKR178:BKW178"/>
    <mergeCell ref="BKX178:BLC178"/>
    <mergeCell ref="BLD178:BLI178"/>
    <mergeCell ref="BQX178:BRC178"/>
    <mergeCell ref="BRD178:BRI178"/>
    <mergeCell ref="BRJ178:BRO178"/>
    <mergeCell ref="BRP178:BRU178"/>
    <mergeCell ref="BRV178:BSA178"/>
    <mergeCell ref="BSB178:BSG178"/>
    <mergeCell ref="BPN178:BPS178"/>
    <mergeCell ref="BPT178:BPY178"/>
    <mergeCell ref="BPZ178:BQE178"/>
    <mergeCell ref="BQF178:BQK178"/>
    <mergeCell ref="BQL178:BQQ178"/>
    <mergeCell ref="BQR178:BQW178"/>
    <mergeCell ref="BOD178:BOI178"/>
    <mergeCell ref="BOJ178:BOO178"/>
    <mergeCell ref="BOP178:BOU178"/>
    <mergeCell ref="BOV178:BPA178"/>
    <mergeCell ref="BPB178:BPG178"/>
    <mergeCell ref="BPH178:BPM178"/>
    <mergeCell ref="BVB178:BVG178"/>
    <mergeCell ref="BVH178:BVM178"/>
    <mergeCell ref="BVN178:BVS178"/>
    <mergeCell ref="BVT178:BVY178"/>
    <mergeCell ref="BVZ178:BWE178"/>
    <mergeCell ref="BWF178:BWK178"/>
    <mergeCell ref="BTR178:BTW178"/>
    <mergeCell ref="BTX178:BUC178"/>
    <mergeCell ref="BUD178:BUI178"/>
    <mergeCell ref="BUJ178:BUO178"/>
    <mergeCell ref="BUP178:BUU178"/>
    <mergeCell ref="BUV178:BVA178"/>
    <mergeCell ref="BSH178:BSM178"/>
    <mergeCell ref="BSN178:BSS178"/>
    <mergeCell ref="BST178:BSY178"/>
    <mergeCell ref="BSZ178:BTE178"/>
    <mergeCell ref="BTF178:BTK178"/>
    <mergeCell ref="BTL178:BTQ178"/>
    <mergeCell ref="BZF178:BZK178"/>
    <mergeCell ref="BZL178:BZQ178"/>
    <mergeCell ref="BZR178:BZW178"/>
    <mergeCell ref="BZX178:CAC178"/>
    <mergeCell ref="CAD178:CAI178"/>
    <mergeCell ref="CAJ178:CAO178"/>
    <mergeCell ref="BXV178:BYA178"/>
    <mergeCell ref="BYB178:BYG178"/>
    <mergeCell ref="BYH178:BYM178"/>
    <mergeCell ref="BYN178:BYS178"/>
    <mergeCell ref="BYT178:BYY178"/>
    <mergeCell ref="BYZ178:BZE178"/>
    <mergeCell ref="BWL178:BWQ178"/>
    <mergeCell ref="BWR178:BWW178"/>
    <mergeCell ref="BWX178:BXC178"/>
    <mergeCell ref="BXD178:BXI178"/>
    <mergeCell ref="BXJ178:BXO178"/>
    <mergeCell ref="BXP178:BXU178"/>
    <mergeCell ref="CDJ178:CDO178"/>
    <mergeCell ref="CDP178:CDU178"/>
    <mergeCell ref="CDV178:CEA178"/>
    <mergeCell ref="CEB178:CEG178"/>
    <mergeCell ref="CEH178:CEM178"/>
    <mergeCell ref="CEN178:CES178"/>
    <mergeCell ref="CBZ178:CCE178"/>
    <mergeCell ref="CCF178:CCK178"/>
    <mergeCell ref="CCL178:CCQ178"/>
    <mergeCell ref="CCR178:CCW178"/>
    <mergeCell ref="CCX178:CDC178"/>
    <mergeCell ref="CDD178:CDI178"/>
    <mergeCell ref="CAP178:CAU178"/>
    <mergeCell ref="CAV178:CBA178"/>
    <mergeCell ref="CBB178:CBG178"/>
    <mergeCell ref="CBH178:CBM178"/>
    <mergeCell ref="CBN178:CBS178"/>
    <mergeCell ref="CBT178:CBY178"/>
    <mergeCell ref="CHN178:CHS178"/>
    <mergeCell ref="CHT178:CHY178"/>
    <mergeCell ref="CHZ178:CIE178"/>
    <mergeCell ref="CIF178:CIK178"/>
    <mergeCell ref="CIL178:CIQ178"/>
    <mergeCell ref="CIR178:CIW178"/>
    <mergeCell ref="CGD178:CGI178"/>
    <mergeCell ref="CGJ178:CGO178"/>
    <mergeCell ref="CGP178:CGU178"/>
    <mergeCell ref="CGV178:CHA178"/>
    <mergeCell ref="CHB178:CHG178"/>
    <mergeCell ref="CHH178:CHM178"/>
    <mergeCell ref="CET178:CEY178"/>
    <mergeCell ref="CEZ178:CFE178"/>
    <mergeCell ref="CFF178:CFK178"/>
    <mergeCell ref="CFL178:CFQ178"/>
    <mergeCell ref="CFR178:CFW178"/>
    <mergeCell ref="CFX178:CGC178"/>
    <mergeCell ref="CLR178:CLW178"/>
    <mergeCell ref="CLX178:CMC178"/>
    <mergeCell ref="CMD178:CMI178"/>
    <mergeCell ref="CMJ178:CMO178"/>
    <mergeCell ref="CMP178:CMU178"/>
    <mergeCell ref="CMV178:CNA178"/>
    <mergeCell ref="CKH178:CKM178"/>
    <mergeCell ref="CKN178:CKS178"/>
    <mergeCell ref="CKT178:CKY178"/>
    <mergeCell ref="CKZ178:CLE178"/>
    <mergeCell ref="CLF178:CLK178"/>
    <mergeCell ref="CLL178:CLQ178"/>
    <mergeCell ref="CIX178:CJC178"/>
    <mergeCell ref="CJD178:CJI178"/>
    <mergeCell ref="CJJ178:CJO178"/>
    <mergeCell ref="CJP178:CJU178"/>
    <mergeCell ref="CJV178:CKA178"/>
    <mergeCell ref="CKB178:CKG178"/>
    <mergeCell ref="CPV178:CQA178"/>
    <mergeCell ref="CQB178:CQG178"/>
    <mergeCell ref="CQH178:CQM178"/>
    <mergeCell ref="CQN178:CQS178"/>
    <mergeCell ref="CQT178:CQY178"/>
    <mergeCell ref="CQZ178:CRE178"/>
    <mergeCell ref="COL178:COQ178"/>
    <mergeCell ref="COR178:COW178"/>
    <mergeCell ref="COX178:CPC178"/>
    <mergeCell ref="CPD178:CPI178"/>
    <mergeCell ref="CPJ178:CPO178"/>
    <mergeCell ref="CPP178:CPU178"/>
    <mergeCell ref="CNB178:CNG178"/>
    <mergeCell ref="CNH178:CNM178"/>
    <mergeCell ref="CNN178:CNS178"/>
    <mergeCell ref="CNT178:CNY178"/>
    <mergeCell ref="CNZ178:COE178"/>
    <mergeCell ref="COF178:COK178"/>
    <mergeCell ref="CTZ178:CUE178"/>
    <mergeCell ref="CUF178:CUK178"/>
    <mergeCell ref="CUL178:CUQ178"/>
    <mergeCell ref="CUR178:CUW178"/>
    <mergeCell ref="CUX178:CVC178"/>
    <mergeCell ref="CVD178:CVI178"/>
    <mergeCell ref="CSP178:CSU178"/>
    <mergeCell ref="CSV178:CTA178"/>
    <mergeCell ref="CTB178:CTG178"/>
    <mergeCell ref="CTH178:CTM178"/>
    <mergeCell ref="CTN178:CTS178"/>
    <mergeCell ref="CTT178:CTY178"/>
    <mergeCell ref="CRF178:CRK178"/>
    <mergeCell ref="CRL178:CRQ178"/>
    <mergeCell ref="CRR178:CRW178"/>
    <mergeCell ref="CRX178:CSC178"/>
    <mergeCell ref="CSD178:CSI178"/>
    <mergeCell ref="CSJ178:CSO178"/>
    <mergeCell ref="CYD178:CYI178"/>
    <mergeCell ref="CYJ178:CYO178"/>
    <mergeCell ref="CYP178:CYU178"/>
    <mergeCell ref="CYV178:CZA178"/>
    <mergeCell ref="CZB178:CZG178"/>
    <mergeCell ref="CZH178:CZM178"/>
    <mergeCell ref="CWT178:CWY178"/>
    <mergeCell ref="CWZ178:CXE178"/>
    <mergeCell ref="CXF178:CXK178"/>
    <mergeCell ref="CXL178:CXQ178"/>
    <mergeCell ref="CXR178:CXW178"/>
    <mergeCell ref="CXX178:CYC178"/>
    <mergeCell ref="CVJ178:CVO178"/>
    <mergeCell ref="CVP178:CVU178"/>
    <mergeCell ref="CVV178:CWA178"/>
    <mergeCell ref="CWB178:CWG178"/>
    <mergeCell ref="CWH178:CWM178"/>
    <mergeCell ref="CWN178:CWS178"/>
    <mergeCell ref="DCH178:DCM178"/>
    <mergeCell ref="DCN178:DCS178"/>
    <mergeCell ref="DCT178:DCY178"/>
    <mergeCell ref="DCZ178:DDE178"/>
    <mergeCell ref="DDF178:DDK178"/>
    <mergeCell ref="DDL178:DDQ178"/>
    <mergeCell ref="DAX178:DBC178"/>
    <mergeCell ref="DBD178:DBI178"/>
    <mergeCell ref="DBJ178:DBO178"/>
    <mergeCell ref="DBP178:DBU178"/>
    <mergeCell ref="DBV178:DCA178"/>
    <mergeCell ref="DCB178:DCG178"/>
    <mergeCell ref="CZN178:CZS178"/>
    <mergeCell ref="CZT178:CZY178"/>
    <mergeCell ref="CZZ178:DAE178"/>
    <mergeCell ref="DAF178:DAK178"/>
    <mergeCell ref="DAL178:DAQ178"/>
    <mergeCell ref="DAR178:DAW178"/>
    <mergeCell ref="DGL178:DGQ178"/>
    <mergeCell ref="DGR178:DGW178"/>
    <mergeCell ref="DGX178:DHC178"/>
    <mergeCell ref="DHD178:DHI178"/>
    <mergeCell ref="DHJ178:DHO178"/>
    <mergeCell ref="DHP178:DHU178"/>
    <mergeCell ref="DFB178:DFG178"/>
    <mergeCell ref="DFH178:DFM178"/>
    <mergeCell ref="DFN178:DFS178"/>
    <mergeCell ref="DFT178:DFY178"/>
    <mergeCell ref="DFZ178:DGE178"/>
    <mergeCell ref="DGF178:DGK178"/>
    <mergeCell ref="DDR178:DDW178"/>
    <mergeCell ref="DDX178:DEC178"/>
    <mergeCell ref="DED178:DEI178"/>
    <mergeCell ref="DEJ178:DEO178"/>
    <mergeCell ref="DEP178:DEU178"/>
    <mergeCell ref="DEV178:DFA178"/>
    <mergeCell ref="DKP178:DKU178"/>
    <mergeCell ref="DKV178:DLA178"/>
    <mergeCell ref="DLB178:DLG178"/>
    <mergeCell ref="DLH178:DLM178"/>
    <mergeCell ref="DLN178:DLS178"/>
    <mergeCell ref="DLT178:DLY178"/>
    <mergeCell ref="DJF178:DJK178"/>
    <mergeCell ref="DJL178:DJQ178"/>
    <mergeCell ref="DJR178:DJW178"/>
    <mergeCell ref="DJX178:DKC178"/>
    <mergeCell ref="DKD178:DKI178"/>
    <mergeCell ref="DKJ178:DKO178"/>
    <mergeCell ref="DHV178:DIA178"/>
    <mergeCell ref="DIB178:DIG178"/>
    <mergeCell ref="DIH178:DIM178"/>
    <mergeCell ref="DIN178:DIS178"/>
    <mergeCell ref="DIT178:DIY178"/>
    <mergeCell ref="DIZ178:DJE178"/>
    <mergeCell ref="DOT178:DOY178"/>
    <mergeCell ref="DOZ178:DPE178"/>
    <mergeCell ref="DPF178:DPK178"/>
    <mergeCell ref="DPL178:DPQ178"/>
    <mergeCell ref="DPR178:DPW178"/>
    <mergeCell ref="DPX178:DQC178"/>
    <mergeCell ref="DNJ178:DNO178"/>
    <mergeCell ref="DNP178:DNU178"/>
    <mergeCell ref="DNV178:DOA178"/>
    <mergeCell ref="DOB178:DOG178"/>
    <mergeCell ref="DOH178:DOM178"/>
    <mergeCell ref="DON178:DOS178"/>
    <mergeCell ref="DLZ178:DME178"/>
    <mergeCell ref="DMF178:DMK178"/>
    <mergeCell ref="DML178:DMQ178"/>
    <mergeCell ref="DMR178:DMW178"/>
    <mergeCell ref="DMX178:DNC178"/>
    <mergeCell ref="DND178:DNI178"/>
    <mergeCell ref="DSX178:DTC178"/>
    <mergeCell ref="DTD178:DTI178"/>
    <mergeCell ref="DTJ178:DTO178"/>
    <mergeCell ref="DTP178:DTU178"/>
    <mergeCell ref="DTV178:DUA178"/>
    <mergeCell ref="DUB178:DUG178"/>
    <mergeCell ref="DRN178:DRS178"/>
    <mergeCell ref="DRT178:DRY178"/>
    <mergeCell ref="DRZ178:DSE178"/>
    <mergeCell ref="DSF178:DSK178"/>
    <mergeCell ref="DSL178:DSQ178"/>
    <mergeCell ref="DSR178:DSW178"/>
    <mergeCell ref="DQD178:DQI178"/>
    <mergeCell ref="DQJ178:DQO178"/>
    <mergeCell ref="DQP178:DQU178"/>
    <mergeCell ref="DQV178:DRA178"/>
    <mergeCell ref="DRB178:DRG178"/>
    <mergeCell ref="DRH178:DRM178"/>
    <mergeCell ref="DXB178:DXG178"/>
    <mergeCell ref="DXH178:DXM178"/>
    <mergeCell ref="DXN178:DXS178"/>
    <mergeCell ref="DXT178:DXY178"/>
    <mergeCell ref="DXZ178:DYE178"/>
    <mergeCell ref="DYF178:DYK178"/>
    <mergeCell ref="DVR178:DVW178"/>
    <mergeCell ref="DVX178:DWC178"/>
    <mergeCell ref="DWD178:DWI178"/>
    <mergeCell ref="DWJ178:DWO178"/>
    <mergeCell ref="DWP178:DWU178"/>
    <mergeCell ref="DWV178:DXA178"/>
    <mergeCell ref="DUH178:DUM178"/>
    <mergeCell ref="DUN178:DUS178"/>
    <mergeCell ref="DUT178:DUY178"/>
    <mergeCell ref="DUZ178:DVE178"/>
    <mergeCell ref="DVF178:DVK178"/>
    <mergeCell ref="DVL178:DVQ178"/>
    <mergeCell ref="EBF178:EBK178"/>
    <mergeCell ref="EBL178:EBQ178"/>
    <mergeCell ref="EBR178:EBW178"/>
    <mergeCell ref="EBX178:ECC178"/>
    <mergeCell ref="ECD178:ECI178"/>
    <mergeCell ref="ECJ178:ECO178"/>
    <mergeCell ref="DZV178:EAA178"/>
    <mergeCell ref="EAB178:EAG178"/>
    <mergeCell ref="EAH178:EAM178"/>
    <mergeCell ref="EAN178:EAS178"/>
    <mergeCell ref="EAT178:EAY178"/>
    <mergeCell ref="EAZ178:EBE178"/>
    <mergeCell ref="DYL178:DYQ178"/>
    <mergeCell ref="DYR178:DYW178"/>
    <mergeCell ref="DYX178:DZC178"/>
    <mergeCell ref="DZD178:DZI178"/>
    <mergeCell ref="DZJ178:DZO178"/>
    <mergeCell ref="DZP178:DZU178"/>
    <mergeCell ref="EFJ178:EFO178"/>
    <mergeCell ref="EFP178:EFU178"/>
    <mergeCell ref="EFV178:EGA178"/>
    <mergeCell ref="EGB178:EGG178"/>
    <mergeCell ref="EGH178:EGM178"/>
    <mergeCell ref="EGN178:EGS178"/>
    <mergeCell ref="EDZ178:EEE178"/>
    <mergeCell ref="EEF178:EEK178"/>
    <mergeCell ref="EEL178:EEQ178"/>
    <mergeCell ref="EER178:EEW178"/>
    <mergeCell ref="EEX178:EFC178"/>
    <mergeCell ref="EFD178:EFI178"/>
    <mergeCell ref="ECP178:ECU178"/>
    <mergeCell ref="ECV178:EDA178"/>
    <mergeCell ref="EDB178:EDG178"/>
    <mergeCell ref="EDH178:EDM178"/>
    <mergeCell ref="EDN178:EDS178"/>
    <mergeCell ref="EDT178:EDY178"/>
    <mergeCell ref="EJN178:EJS178"/>
    <mergeCell ref="EJT178:EJY178"/>
    <mergeCell ref="EJZ178:EKE178"/>
    <mergeCell ref="EKF178:EKK178"/>
    <mergeCell ref="EKL178:EKQ178"/>
    <mergeCell ref="EKR178:EKW178"/>
    <mergeCell ref="EID178:EII178"/>
    <mergeCell ref="EIJ178:EIO178"/>
    <mergeCell ref="EIP178:EIU178"/>
    <mergeCell ref="EIV178:EJA178"/>
    <mergeCell ref="EJB178:EJG178"/>
    <mergeCell ref="EJH178:EJM178"/>
    <mergeCell ref="EGT178:EGY178"/>
    <mergeCell ref="EGZ178:EHE178"/>
    <mergeCell ref="EHF178:EHK178"/>
    <mergeCell ref="EHL178:EHQ178"/>
    <mergeCell ref="EHR178:EHW178"/>
    <mergeCell ref="EHX178:EIC178"/>
    <mergeCell ref="ENR178:ENW178"/>
    <mergeCell ref="ENX178:EOC178"/>
    <mergeCell ref="EOD178:EOI178"/>
    <mergeCell ref="EOJ178:EOO178"/>
    <mergeCell ref="EOP178:EOU178"/>
    <mergeCell ref="EOV178:EPA178"/>
    <mergeCell ref="EMH178:EMM178"/>
    <mergeCell ref="EMN178:EMS178"/>
    <mergeCell ref="EMT178:EMY178"/>
    <mergeCell ref="EMZ178:ENE178"/>
    <mergeCell ref="ENF178:ENK178"/>
    <mergeCell ref="ENL178:ENQ178"/>
    <mergeCell ref="EKX178:ELC178"/>
    <mergeCell ref="ELD178:ELI178"/>
    <mergeCell ref="ELJ178:ELO178"/>
    <mergeCell ref="ELP178:ELU178"/>
    <mergeCell ref="ELV178:EMA178"/>
    <mergeCell ref="EMB178:EMG178"/>
    <mergeCell ref="ERV178:ESA178"/>
    <mergeCell ref="ESB178:ESG178"/>
    <mergeCell ref="ESH178:ESM178"/>
    <mergeCell ref="ESN178:ESS178"/>
    <mergeCell ref="EST178:ESY178"/>
    <mergeCell ref="ESZ178:ETE178"/>
    <mergeCell ref="EQL178:EQQ178"/>
    <mergeCell ref="EQR178:EQW178"/>
    <mergeCell ref="EQX178:ERC178"/>
    <mergeCell ref="ERD178:ERI178"/>
    <mergeCell ref="ERJ178:ERO178"/>
    <mergeCell ref="ERP178:ERU178"/>
    <mergeCell ref="EPB178:EPG178"/>
    <mergeCell ref="EPH178:EPM178"/>
    <mergeCell ref="EPN178:EPS178"/>
    <mergeCell ref="EPT178:EPY178"/>
    <mergeCell ref="EPZ178:EQE178"/>
    <mergeCell ref="EQF178:EQK178"/>
    <mergeCell ref="EVZ178:EWE178"/>
    <mergeCell ref="EWF178:EWK178"/>
    <mergeCell ref="EWL178:EWQ178"/>
    <mergeCell ref="EWR178:EWW178"/>
    <mergeCell ref="EWX178:EXC178"/>
    <mergeCell ref="EXD178:EXI178"/>
    <mergeCell ref="EUP178:EUU178"/>
    <mergeCell ref="EUV178:EVA178"/>
    <mergeCell ref="EVB178:EVG178"/>
    <mergeCell ref="EVH178:EVM178"/>
    <mergeCell ref="EVN178:EVS178"/>
    <mergeCell ref="EVT178:EVY178"/>
    <mergeCell ref="ETF178:ETK178"/>
    <mergeCell ref="ETL178:ETQ178"/>
    <mergeCell ref="ETR178:ETW178"/>
    <mergeCell ref="ETX178:EUC178"/>
    <mergeCell ref="EUD178:EUI178"/>
    <mergeCell ref="EUJ178:EUO178"/>
    <mergeCell ref="FAD178:FAI178"/>
    <mergeCell ref="FAJ178:FAO178"/>
    <mergeCell ref="FAP178:FAU178"/>
    <mergeCell ref="FAV178:FBA178"/>
    <mergeCell ref="FBB178:FBG178"/>
    <mergeCell ref="FBH178:FBM178"/>
    <mergeCell ref="EYT178:EYY178"/>
    <mergeCell ref="EYZ178:EZE178"/>
    <mergeCell ref="EZF178:EZK178"/>
    <mergeCell ref="EZL178:EZQ178"/>
    <mergeCell ref="EZR178:EZW178"/>
    <mergeCell ref="EZX178:FAC178"/>
    <mergeCell ref="EXJ178:EXO178"/>
    <mergeCell ref="EXP178:EXU178"/>
    <mergeCell ref="EXV178:EYA178"/>
    <mergeCell ref="EYB178:EYG178"/>
    <mergeCell ref="EYH178:EYM178"/>
    <mergeCell ref="EYN178:EYS178"/>
    <mergeCell ref="FEH178:FEM178"/>
    <mergeCell ref="FEN178:FES178"/>
    <mergeCell ref="FET178:FEY178"/>
    <mergeCell ref="FEZ178:FFE178"/>
    <mergeCell ref="FFF178:FFK178"/>
    <mergeCell ref="FFL178:FFQ178"/>
    <mergeCell ref="FCX178:FDC178"/>
    <mergeCell ref="FDD178:FDI178"/>
    <mergeCell ref="FDJ178:FDO178"/>
    <mergeCell ref="FDP178:FDU178"/>
    <mergeCell ref="FDV178:FEA178"/>
    <mergeCell ref="FEB178:FEG178"/>
    <mergeCell ref="FBN178:FBS178"/>
    <mergeCell ref="FBT178:FBY178"/>
    <mergeCell ref="FBZ178:FCE178"/>
    <mergeCell ref="FCF178:FCK178"/>
    <mergeCell ref="FCL178:FCQ178"/>
    <mergeCell ref="FCR178:FCW178"/>
    <mergeCell ref="FIL178:FIQ178"/>
    <mergeCell ref="FIR178:FIW178"/>
    <mergeCell ref="FIX178:FJC178"/>
    <mergeCell ref="FJD178:FJI178"/>
    <mergeCell ref="FJJ178:FJO178"/>
    <mergeCell ref="FJP178:FJU178"/>
    <mergeCell ref="FHB178:FHG178"/>
    <mergeCell ref="FHH178:FHM178"/>
    <mergeCell ref="FHN178:FHS178"/>
    <mergeCell ref="FHT178:FHY178"/>
    <mergeCell ref="FHZ178:FIE178"/>
    <mergeCell ref="FIF178:FIK178"/>
    <mergeCell ref="FFR178:FFW178"/>
    <mergeCell ref="FFX178:FGC178"/>
    <mergeCell ref="FGD178:FGI178"/>
    <mergeCell ref="FGJ178:FGO178"/>
    <mergeCell ref="FGP178:FGU178"/>
    <mergeCell ref="FGV178:FHA178"/>
    <mergeCell ref="FMP178:FMU178"/>
    <mergeCell ref="FMV178:FNA178"/>
    <mergeCell ref="FNB178:FNG178"/>
    <mergeCell ref="FNH178:FNM178"/>
    <mergeCell ref="FNN178:FNS178"/>
    <mergeCell ref="FNT178:FNY178"/>
    <mergeCell ref="FLF178:FLK178"/>
    <mergeCell ref="FLL178:FLQ178"/>
    <mergeCell ref="FLR178:FLW178"/>
    <mergeCell ref="FLX178:FMC178"/>
    <mergeCell ref="FMD178:FMI178"/>
    <mergeCell ref="FMJ178:FMO178"/>
    <mergeCell ref="FJV178:FKA178"/>
    <mergeCell ref="FKB178:FKG178"/>
    <mergeCell ref="FKH178:FKM178"/>
    <mergeCell ref="FKN178:FKS178"/>
    <mergeCell ref="FKT178:FKY178"/>
    <mergeCell ref="FKZ178:FLE178"/>
    <mergeCell ref="FQT178:FQY178"/>
    <mergeCell ref="FQZ178:FRE178"/>
    <mergeCell ref="FRF178:FRK178"/>
    <mergeCell ref="FRL178:FRQ178"/>
    <mergeCell ref="FRR178:FRW178"/>
    <mergeCell ref="FRX178:FSC178"/>
    <mergeCell ref="FPJ178:FPO178"/>
    <mergeCell ref="FPP178:FPU178"/>
    <mergeCell ref="FPV178:FQA178"/>
    <mergeCell ref="FQB178:FQG178"/>
    <mergeCell ref="FQH178:FQM178"/>
    <mergeCell ref="FQN178:FQS178"/>
    <mergeCell ref="FNZ178:FOE178"/>
    <mergeCell ref="FOF178:FOK178"/>
    <mergeCell ref="FOL178:FOQ178"/>
    <mergeCell ref="FOR178:FOW178"/>
    <mergeCell ref="FOX178:FPC178"/>
    <mergeCell ref="FPD178:FPI178"/>
    <mergeCell ref="FUX178:FVC178"/>
    <mergeCell ref="FVD178:FVI178"/>
    <mergeCell ref="FVJ178:FVO178"/>
    <mergeCell ref="FVP178:FVU178"/>
    <mergeCell ref="FVV178:FWA178"/>
    <mergeCell ref="FWB178:FWG178"/>
    <mergeCell ref="FTN178:FTS178"/>
    <mergeCell ref="FTT178:FTY178"/>
    <mergeCell ref="FTZ178:FUE178"/>
    <mergeCell ref="FUF178:FUK178"/>
    <mergeCell ref="FUL178:FUQ178"/>
    <mergeCell ref="FUR178:FUW178"/>
    <mergeCell ref="FSD178:FSI178"/>
    <mergeCell ref="FSJ178:FSO178"/>
    <mergeCell ref="FSP178:FSU178"/>
    <mergeCell ref="FSV178:FTA178"/>
    <mergeCell ref="FTB178:FTG178"/>
    <mergeCell ref="FTH178:FTM178"/>
    <mergeCell ref="FZB178:FZG178"/>
    <mergeCell ref="FZH178:FZM178"/>
    <mergeCell ref="FZN178:FZS178"/>
    <mergeCell ref="FZT178:FZY178"/>
    <mergeCell ref="FZZ178:GAE178"/>
    <mergeCell ref="GAF178:GAK178"/>
    <mergeCell ref="FXR178:FXW178"/>
    <mergeCell ref="FXX178:FYC178"/>
    <mergeCell ref="FYD178:FYI178"/>
    <mergeCell ref="FYJ178:FYO178"/>
    <mergeCell ref="FYP178:FYU178"/>
    <mergeCell ref="FYV178:FZA178"/>
    <mergeCell ref="FWH178:FWM178"/>
    <mergeCell ref="FWN178:FWS178"/>
    <mergeCell ref="FWT178:FWY178"/>
    <mergeCell ref="FWZ178:FXE178"/>
    <mergeCell ref="FXF178:FXK178"/>
    <mergeCell ref="FXL178:FXQ178"/>
    <mergeCell ref="GDF178:GDK178"/>
    <mergeCell ref="GDL178:GDQ178"/>
    <mergeCell ref="GDR178:GDW178"/>
    <mergeCell ref="GDX178:GEC178"/>
    <mergeCell ref="GED178:GEI178"/>
    <mergeCell ref="GEJ178:GEO178"/>
    <mergeCell ref="GBV178:GCA178"/>
    <mergeCell ref="GCB178:GCG178"/>
    <mergeCell ref="GCH178:GCM178"/>
    <mergeCell ref="GCN178:GCS178"/>
    <mergeCell ref="GCT178:GCY178"/>
    <mergeCell ref="GCZ178:GDE178"/>
    <mergeCell ref="GAL178:GAQ178"/>
    <mergeCell ref="GAR178:GAW178"/>
    <mergeCell ref="GAX178:GBC178"/>
    <mergeCell ref="GBD178:GBI178"/>
    <mergeCell ref="GBJ178:GBO178"/>
    <mergeCell ref="GBP178:GBU178"/>
    <mergeCell ref="GHJ178:GHO178"/>
    <mergeCell ref="GHP178:GHU178"/>
    <mergeCell ref="GHV178:GIA178"/>
    <mergeCell ref="GIB178:GIG178"/>
    <mergeCell ref="GIH178:GIM178"/>
    <mergeCell ref="GIN178:GIS178"/>
    <mergeCell ref="GFZ178:GGE178"/>
    <mergeCell ref="GGF178:GGK178"/>
    <mergeCell ref="GGL178:GGQ178"/>
    <mergeCell ref="GGR178:GGW178"/>
    <mergeCell ref="GGX178:GHC178"/>
    <mergeCell ref="GHD178:GHI178"/>
    <mergeCell ref="GEP178:GEU178"/>
    <mergeCell ref="GEV178:GFA178"/>
    <mergeCell ref="GFB178:GFG178"/>
    <mergeCell ref="GFH178:GFM178"/>
    <mergeCell ref="GFN178:GFS178"/>
    <mergeCell ref="GFT178:GFY178"/>
    <mergeCell ref="GLN178:GLS178"/>
    <mergeCell ref="GLT178:GLY178"/>
    <mergeCell ref="GLZ178:GME178"/>
    <mergeCell ref="GMF178:GMK178"/>
    <mergeCell ref="GML178:GMQ178"/>
    <mergeCell ref="GMR178:GMW178"/>
    <mergeCell ref="GKD178:GKI178"/>
    <mergeCell ref="GKJ178:GKO178"/>
    <mergeCell ref="GKP178:GKU178"/>
    <mergeCell ref="GKV178:GLA178"/>
    <mergeCell ref="GLB178:GLG178"/>
    <mergeCell ref="GLH178:GLM178"/>
    <mergeCell ref="GIT178:GIY178"/>
    <mergeCell ref="GIZ178:GJE178"/>
    <mergeCell ref="GJF178:GJK178"/>
    <mergeCell ref="GJL178:GJQ178"/>
    <mergeCell ref="GJR178:GJW178"/>
    <mergeCell ref="GJX178:GKC178"/>
    <mergeCell ref="GPR178:GPW178"/>
    <mergeCell ref="GPX178:GQC178"/>
    <mergeCell ref="GQD178:GQI178"/>
    <mergeCell ref="GQJ178:GQO178"/>
    <mergeCell ref="GQP178:GQU178"/>
    <mergeCell ref="GQV178:GRA178"/>
    <mergeCell ref="GOH178:GOM178"/>
    <mergeCell ref="GON178:GOS178"/>
    <mergeCell ref="GOT178:GOY178"/>
    <mergeCell ref="GOZ178:GPE178"/>
    <mergeCell ref="GPF178:GPK178"/>
    <mergeCell ref="GPL178:GPQ178"/>
    <mergeCell ref="GMX178:GNC178"/>
    <mergeCell ref="GND178:GNI178"/>
    <mergeCell ref="GNJ178:GNO178"/>
    <mergeCell ref="GNP178:GNU178"/>
    <mergeCell ref="GNV178:GOA178"/>
    <mergeCell ref="GOB178:GOG178"/>
    <mergeCell ref="GTV178:GUA178"/>
    <mergeCell ref="GUB178:GUG178"/>
    <mergeCell ref="GUH178:GUM178"/>
    <mergeCell ref="GUN178:GUS178"/>
    <mergeCell ref="GUT178:GUY178"/>
    <mergeCell ref="GUZ178:GVE178"/>
    <mergeCell ref="GSL178:GSQ178"/>
    <mergeCell ref="GSR178:GSW178"/>
    <mergeCell ref="GSX178:GTC178"/>
    <mergeCell ref="GTD178:GTI178"/>
    <mergeCell ref="GTJ178:GTO178"/>
    <mergeCell ref="GTP178:GTU178"/>
    <mergeCell ref="GRB178:GRG178"/>
    <mergeCell ref="GRH178:GRM178"/>
    <mergeCell ref="GRN178:GRS178"/>
    <mergeCell ref="GRT178:GRY178"/>
    <mergeCell ref="GRZ178:GSE178"/>
    <mergeCell ref="GSF178:GSK178"/>
    <mergeCell ref="GXZ178:GYE178"/>
    <mergeCell ref="GYF178:GYK178"/>
    <mergeCell ref="GYL178:GYQ178"/>
    <mergeCell ref="GYR178:GYW178"/>
    <mergeCell ref="GYX178:GZC178"/>
    <mergeCell ref="GZD178:GZI178"/>
    <mergeCell ref="GWP178:GWU178"/>
    <mergeCell ref="GWV178:GXA178"/>
    <mergeCell ref="GXB178:GXG178"/>
    <mergeCell ref="GXH178:GXM178"/>
    <mergeCell ref="GXN178:GXS178"/>
    <mergeCell ref="GXT178:GXY178"/>
    <mergeCell ref="GVF178:GVK178"/>
    <mergeCell ref="GVL178:GVQ178"/>
    <mergeCell ref="GVR178:GVW178"/>
    <mergeCell ref="GVX178:GWC178"/>
    <mergeCell ref="GWD178:GWI178"/>
    <mergeCell ref="GWJ178:GWO178"/>
    <mergeCell ref="HCD178:HCI178"/>
    <mergeCell ref="HCJ178:HCO178"/>
    <mergeCell ref="HCP178:HCU178"/>
    <mergeCell ref="HCV178:HDA178"/>
    <mergeCell ref="HDB178:HDG178"/>
    <mergeCell ref="HDH178:HDM178"/>
    <mergeCell ref="HAT178:HAY178"/>
    <mergeCell ref="HAZ178:HBE178"/>
    <mergeCell ref="HBF178:HBK178"/>
    <mergeCell ref="HBL178:HBQ178"/>
    <mergeCell ref="HBR178:HBW178"/>
    <mergeCell ref="HBX178:HCC178"/>
    <mergeCell ref="GZJ178:GZO178"/>
    <mergeCell ref="GZP178:GZU178"/>
    <mergeCell ref="GZV178:HAA178"/>
    <mergeCell ref="HAB178:HAG178"/>
    <mergeCell ref="HAH178:HAM178"/>
    <mergeCell ref="HAN178:HAS178"/>
    <mergeCell ref="HGH178:HGM178"/>
    <mergeCell ref="HGN178:HGS178"/>
    <mergeCell ref="HGT178:HGY178"/>
    <mergeCell ref="HGZ178:HHE178"/>
    <mergeCell ref="HHF178:HHK178"/>
    <mergeCell ref="HHL178:HHQ178"/>
    <mergeCell ref="HEX178:HFC178"/>
    <mergeCell ref="HFD178:HFI178"/>
    <mergeCell ref="HFJ178:HFO178"/>
    <mergeCell ref="HFP178:HFU178"/>
    <mergeCell ref="HFV178:HGA178"/>
    <mergeCell ref="HGB178:HGG178"/>
    <mergeCell ref="HDN178:HDS178"/>
    <mergeCell ref="HDT178:HDY178"/>
    <mergeCell ref="HDZ178:HEE178"/>
    <mergeCell ref="HEF178:HEK178"/>
    <mergeCell ref="HEL178:HEQ178"/>
    <mergeCell ref="HER178:HEW178"/>
    <mergeCell ref="HKL178:HKQ178"/>
    <mergeCell ref="HKR178:HKW178"/>
    <mergeCell ref="HKX178:HLC178"/>
    <mergeCell ref="HLD178:HLI178"/>
    <mergeCell ref="HLJ178:HLO178"/>
    <mergeCell ref="HLP178:HLU178"/>
    <mergeCell ref="HJB178:HJG178"/>
    <mergeCell ref="HJH178:HJM178"/>
    <mergeCell ref="HJN178:HJS178"/>
    <mergeCell ref="HJT178:HJY178"/>
    <mergeCell ref="HJZ178:HKE178"/>
    <mergeCell ref="HKF178:HKK178"/>
    <mergeCell ref="HHR178:HHW178"/>
    <mergeCell ref="HHX178:HIC178"/>
    <mergeCell ref="HID178:HII178"/>
    <mergeCell ref="HIJ178:HIO178"/>
    <mergeCell ref="HIP178:HIU178"/>
    <mergeCell ref="HIV178:HJA178"/>
    <mergeCell ref="HOP178:HOU178"/>
    <mergeCell ref="HOV178:HPA178"/>
    <mergeCell ref="HPB178:HPG178"/>
    <mergeCell ref="HPH178:HPM178"/>
    <mergeCell ref="HPN178:HPS178"/>
    <mergeCell ref="HPT178:HPY178"/>
    <mergeCell ref="HNF178:HNK178"/>
    <mergeCell ref="HNL178:HNQ178"/>
    <mergeCell ref="HNR178:HNW178"/>
    <mergeCell ref="HNX178:HOC178"/>
    <mergeCell ref="HOD178:HOI178"/>
    <mergeCell ref="HOJ178:HOO178"/>
    <mergeCell ref="HLV178:HMA178"/>
    <mergeCell ref="HMB178:HMG178"/>
    <mergeCell ref="HMH178:HMM178"/>
    <mergeCell ref="HMN178:HMS178"/>
    <mergeCell ref="HMT178:HMY178"/>
    <mergeCell ref="HMZ178:HNE178"/>
    <mergeCell ref="HST178:HSY178"/>
    <mergeCell ref="HSZ178:HTE178"/>
    <mergeCell ref="HTF178:HTK178"/>
    <mergeCell ref="HTL178:HTQ178"/>
    <mergeCell ref="HTR178:HTW178"/>
    <mergeCell ref="HTX178:HUC178"/>
    <mergeCell ref="HRJ178:HRO178"/>
    <mergeCell ref="HRP178:HRU178"/>
    <mergeCell ref="HRV178:HSA178"/>
    <mergeCell ref="HSB178:HSG178"/>
    <mergeCell ref="HSH178:HSM178"/>
    <mergeCell ref="HSN178:HSS178"/>
    <mergeCell ref="HPZ178:HQE178"/>
    <mergeCell ref="HQF178:HQK178"/>
    <mergeCell ref="HQL178:HQQ178"/>
    <mergeCell ref="HQR178:HQW178"/>
    <mergeCell ref="HQX178:HRC178"/>
    <mergeCell ref="HRD178:HRI178"/>
    <mergeCell ref="HWX178:HXC178"/>
    <mergeCell ref="HXD178:HXI178"/>
    <mergeCell ref="HXJ178:HXO178"/>
    <mergeCell ref="HXP178:HXU178"/>
    <mergeCell ref="HXV178:HYA178"/>
    <mergeCell ref="HYB178:HYG178"/>
    <mergeCell ref="HVN178:HVS178"/>
    <mergeCell ref="HVT178:HVY178"/>
    <mergeCell ref="HVZ178:HWE178"/>
    <mergeCell ref="HWF178:HWK178"/>
    <mergeCell ref="HWL178:HWQ178"/>
    <mergeCell ref="HWR178:HWW178"/>
    <mergeCell ref="HUD178:HUI178"/>
    <mergeCell ref="HUJ178:HUO178"/>
    <mergeCell ref="HUP178:HUU178"/>
    <mergeCell ref="HUV178:HVA178"/>
    <mergeCell ref="HVB178:HVG178"/>
    <mergeCell ref="HVH178:HVM178"/>
    <mergeCell ref="IBB178:IBG178"/>
    <mergeCell ref="IBH178:IBM178"/>
    <mergeCell ref="IBN178:IBS178"/>
    <mergeCell ref="IBT178:IBY178"/>
    <mergeCell ref="IBZ178:ICE178"/>
    <mergeCell ref="ICF178:ICK178"/>
    <mergeCell ref="HZR178:HZW178"/>
    <mergeCell ref="HZX178:IAC178"/>
    <mergeCell ref="IAD178:IAI178"/>
    <mergeCell ref="IAJ178:IAO178"/>
    <mergeCell ref="IAP178:IAU178"/>
    <mergeCell ref="IAV178:IBA178"/>
    <mergeCell ref="HYH178:HYM178"/>
    <mergeCell ref="HYN178:HYS178"/>
    <mergeCell ref="HYT178:HYY178"/>
    <mergeCell ref="HYZ178:HZE178"/>
    <mergeCell ref="HZF178:HZK178"/>
    <mergeCell ref="HZL178:HZQ178"/>
    <mergeCell ref="IFF178:IFK178"/>
    <mergeCell ref="IFL178:IFQ178"/>
    <mergeCell ref="IFR178:IFW178"/>
    <mergeCell ref="IFX178:IGC178"/>
    <mergeCell ref="IGD178:IGI178"/>
    <mergeCell ref="IGJ178:IGO178"/>
    <mergeCell ref="IDV178:IEA178"/>
    <mergeCell ref="IEB178:IEG178"/>
    <mergeCell ref="IEH178:IEM178"/>
    <mergeCell ref="IEN178:IES178"/>
    <mergeCell ref="IET178:IEY178"/>
    <mergeCell ref="IEZ178:IFE178"/>
    <mergeCell ref="ICL178:ICQ178"/>
    <mergeCell ref="ICR178:ICW178"/>
    <mergeCell ref="ICX178:IDC178"/>
    <mergeCell ref="IDD178:IDI178"/>
    <mergeCell ref="IDJ178:IDO178"/>
    <mergeCell ref="IDP178:IDU178"/>
    <mergeCell ref="IJJ178:IJO178"/>
    <mergeCell ref="IJP178:IJU178"/>
    <mergeCell ref="IJV178:IKA178"/>
    <mergeCell ref="IKB178:IKG178"/>
    <mergeCell ref="IKH178:IKM178"/>
    <mergeCell ref="IKN178:IKS178"/>
    <mergeCell ref="IHZ178:IIE178"/>
    <mergeCell ref="IIF178:IIK178"/>
    <mergeCell ref="IIL178:IIQ178"/>
    <mergeCell ref="IIR178:IIW178"/>
    <mergeCell ref="IIX178:IJC178"/>
    <mergeCell ref="IJD178:IJI178"/>
    <mergeCell ref="IGP178:IGU178"/>
    <mergeCell ref="IGV178:IHA178"/>
    <mergeCell ref="IHB178:IHG178"/>
    <mergeCell ref="IHH178:IHM178"/>
    <mergeCell ref="IHN178:IHS178"/>
    <mergeCell ref="IHT178:IHY178"/>
    <mergeCell ref="INN178:INS178"/>
    <mergeCell ref="INT178:INY178"/>
    <mergeCell ref="INZ178:IOE178"/>
    <mergeCell ref="IOF178:IOK178"/>
    <mergeCell ref="IOL178:IOQ178"/>
    <mergeCell ref="IOR178:IOW178"/>
    <mergeCell ref="IMD178:IMI178"/>
    <mergeCell ref="IMJ178:IMO178"/>
    <mergeCell ref="IMP178:IMU178"/>
    <mergeCell ref="IMV178:INA178"/>
    <mergeCell ref="INB178:ING178"/>
    <mergeCell ref="INH178:INM178"/>
    <mergeCell ref="IKT178:IKY178"/>
    <mergeCell ref="IKZ178:ILE178"/>
    <mergeCell ref="ILF178:ILK178"/>
    <mergeCell ref="ILL178:ILQ178"/>
    <mergeCell ref="ILR178:ILW178"/>
    <mergeCell ref="ILX178:IMC178"/>
    <mergeCell ref="IRR178:IRW178"/>
    <mergeCell ref="IRX178:ISC178"/>
    <mergeCell ref="ISD178:ISI178"/>
    <mergeCell ref="ISJ178:ISO178"/>
    <mergeCell ref="ISP178:ISU178"/>
    <mergeCell ref="ISV178:ITA178"/>
    <mergeCell ref="IQH178:IQM178"/>
    <mergeCell ref="IQN178:IQS178"/>
    <mergeCell ref="IQT178:IQY178"/>
    <mergeCell ref="IQZ178:IRE178"/>
    <mergeCell ref="IRF178:IRK178"/>
    <mergeCell ref="IRL178:IRQ178"/>
    <mergeCell ref="IOX178:IPC178"/>
    <mergeCell ref="IPD178:IPI178"/>
    <mergeCell ref="IPJ178:IPO178"/>
    <mergeCell ref="IPP178:IPU178"/>
    <mergeCell ref="IPV178:IQA178"/>
    <mergeCell ref="IQB178:IQG178"/>
    <mergeCell ref="IVV178:IWA178"/>
    <mergeCell ref="IWB178:IWG178"/>
    <mergeCell ref="IWH178:IWM178"/>
    <mergeCell ref="IWN178:IWS178"/>
    <mergeCell ref="IWT178:IWY178"/>
    <mergeCell ref="IWZ178:IXE178"/>
    <mergeCell ref="IUL178:IUQ178"/>
    <mergeCell ref="IUR178:IUW178"/>
    <mergeCell ref="IUX178:IVC178"/>
    <mergeCell ref="IVD178:IVI178"/>
    <mergeCell ref="IVJ178:IVO178"/>
    <mergeCell ref="IVP178:IVU178"/>
    <mergeCell ref="ITB178:ITG178"/>
    <mergeCell ref="ITH178:ITM178"/>
    <mergeCell ref="ITN178:ITS178"/>
    <mergeCell ref="ITT178:ITY178"/>
    <mergeCell ref="ITZ178:IUE178"/>
    <mergeCell ref="IUF178:IUK178"/>
    <mergeCell ref="IZZ178:JAE178"/>
    <mergeCell ref="JAF178:JAK178"/>
    <mergeCell ref="JAL178:JAQ178"/>
    <mergeCell ref="JAR178:JAW178"/>
    <mergeCell ref="JAX178:JBC178"/>
    <mergeCell ref="JBD178:JBI178"/>
    <mergeCell ref="IYP178:IYU178"/>
    <mergeCell ref="IYV178:IZA178"/>
    <mergeCell ref="IZB178:IZG178"/>
    <mergeCell ref="IZH178:IZM178"/>
    <mergeCell ref="IZN178:IZS178"/>
    <mergeCell ref="IZT178:IZY178"/>
    <mergeCell ref="IXF178:IXK178"/>
    <mergeCell ref="IXL178:IXQ178"/>
    <mergeCell ref="IXR178:IXW178"/>
    <mergeCell ref="IXX178:IYC178"/>
    <mergeCell ref="IYD178:IYI178"/>
    <mergeCell ref="IYJ178:IYO178"/>
    <mergeCell ref="JED178:JEI178"/>
    <mergeCell ref="JEJ178:JEO178"/>
    <mergeCell ref="JEP178:JEU178"/>
    <mergeCell ref="JEV178:JFA178"/>
    <mergeCell ref="JFB178:JFG178"/>
    <mergeCell ref="JFH178:JFM178"/>
    <mergeCell ref="JCT178:JCY178"/>
    <mergeCell ref="JCZ178:JDE178"/>
    <mergeCell ref="JDF178:JDK178"/>
    <mergeCell ref="JDL178:JDQ178"/>
    <mergeCell ref="JDR178:JDW178"/>
    <mergeCell ref="JDX178:JEC178"/>
    <mergeCell ref="JBJ178:JBO178"/>
    <mergeCell ref="JBP178:JBU178"/>
    <mergeCell ref="JBV178:JCA178"/>
    <mergeCell ref="JCB178:JCG178"/>
    <mergeCell ref="JCH178:JCM178"/>
    <mergeCell ref="JCN178:JCS178"/>
    <mergeCell ref="JIH178:JIM178"/>
    <mergeCell ref="JIN178:JIS178"/>
    <mergeCell ref="JIT178:JIY178"/>
    <mergeCell ref="JIZ178:JJE178"/>
    <mergeCell ref="JJF178:JJK178"/>
    <mergeCell ref="JJL178:JJQ178"/>
    <mergeCell ref="JGX178:JHC178"/>
    <mergeCell ref="JHD178:JHI178"/>
    <mergeCell ref="JHJ178:JHO178"/>
    <mergeCell ref="JHP178:JHU178"/>
    <mergeCell ref="JHV178:JIA178"/>
    <mergeCell ref="JIB178:JIG178"/>
    <mergeCell ref="JFN178:JFS178"/>
    <mergeCell ref="JFT178:JFY178"/>
    <mergeCell ref="JFZ178:JGE178"/>
    <mergeCell ref="JGF178:JGK178"/>
    <mergeCell ref="JGL178:JGQ178"/>
    <mergeCell ref="JGR178:JGW178"/>
    <mergeCell ref="JML178:JMQ178"/>
    <mergeCell ref="JMR178:JMW178"/>
    <mergeCell ref="JMX178:JNC178"/>
    <mergeCell ref="JND178:JNI178"/>
    <mergeCell ref="JNJ178:JNO178"/>
    <mergeCell ref="JNP178:JNU178"/>
    <mergeCell ref="JLB178:JLG178"/>
    <mergeCell ref="JLH178:JLM178"/>
    <mergeCell ref="JLN178:JLS178"/>
    <mergeCell ref="JLT178:JLY178"/>
    <mergeCell ref="JLZ178:JME178"/>
    <mergeCell ref="JMF178:JMK178"/>
    <mergeCell ref="JJR178:JJW178"/>
    <mergeCell ref="JJX178:JKC178"/>
    <mergeCell ref="JKD178:JKI178"/>
    <mergeCell ref="JKJ178:JKO178"/>
    <mergeCell ref="JKP178:JKU178"/>
    <mergeCell ref="JKV178:JLA178"/>
    <mergeCell ref="JQP178:JQU178"/>
    <mergeCell ref="JQV178:JRA178"/>
    <mergeCell ref="JRB178:JRG178"/>
    <mergeCell ref="JRH178:JRM178"/>
    <mergeCell ref="JRN178:JRS178"/>
    <mergeCell ref="JRT178:JRY178"/>
    <mergeCell ref="JPF178:JPK178"/>
    <mergeCell ref="JPL178:JPQ178"/>
    <mergeCell ref="JPR178:JPW178"/>
    <mergeCell ref="JPX178:JQC178"/>
    <mergeCell ref="JQD178:JQI178"/>
    <mergeCell ref="JQJ178:JQO178"/>
    <mergeCell ref="JNV178:JOA178"/>
    <mergeCell ref="JOB178:JOG178"/>
    <mergeCell ref="JOH178:JOM178"/>
    <mergeCell ref="JON178:JOS178"/>
    <mergeCell ref="JOT178:JOY178"/>
    <mergeCell ref="JOZ178:JPE178"/>
    <mergeCell ref="JUT178:JUY178"/>
    <mergeCell ref="JUZ178:JVE178"/>
    <mergeCell ref="JVF178:JVK178"/>
    <mergeCell ref="JVL178:JVQ178"/>
    <mergeCell ref="JVR178:JVW178"/>
    <mergeCell ref="JVX178:JWC178"/>
    <mergeCell ref="JTJ178:JTO178"/>
    <mergeCell ref="JTP178:JTU178"/>
    <mergeCell ref="JTV178:JUA178"/>
    <mergeCell ref="JUB178:JUG178"/>
    <mergeCell ref="JUH178:JUM178"/>
    <mergeCell ref="JUN178:JUS178"/>
    <mergeCell ref="JRZ178:JSE178"/>
    <mergeCell ref="JSF178:JSK178"/>
    <mergeCell ref="JSL178:JSQ178"/>
    <mergeCell ref="JSR178:JSW178"/>
    <mergeCell ref="JSX178:JTC178"/>
    <mergeCell ref="JTD178:JTI178"/>
    <mergeCell ref="JYX178:JZC178"/>
    <mergeCell ref="JZD178:JZI178"/>
    <mergeCell ref="JZJ178:JZO178"/>
    <mergeCell ref="JZP178:JZU178"/>
    <mergeCell ref="JZV178:KAA178"/>
    <mergeCell ref="KAB178:KAG178"/>
    <mergeCell ref="JXN178:JXS178"/>
    <mergeCell ref="JXT178:JXY178"/>
    <mergeCell ref="JXZ178:JYE178"/>
    <mergeCell ref="JYF178:JYK178"/>
    <mergeCell ref="JYL178:JYQ178"/>
    <mergeCell ref="JYR178:JYW178"/>
    <mergeCell ref="JWD178:JWI178"/>
    <mergeCell ref="JWJ178:JWO178"/>
    <mergeCell ref="JWP178:JWU178"/>
    <mergeCell ref="JWV178:JXA178"/>
    <mergeCell ref="JXB178:JXG178"/>
    <mergeCell ref="JXH178:JXM178"/>
    <mergeCell ref="KDB178:KDG178"/>
    <mergeCell ref="KDH178:KDM178"/>
    <mergeCell ref="KDN178:KDS178"/>
    <mergeCell ref="KDT178:KDY178"/>
    <mergeCell ref="KDZ178:KEE178"/>
    <mergeCell ref="KEF178:KEK178"/>
    <mergeCell ref="KBR178:KBW178"/>
    <mergeCell ref="KBX178:KCC178"/>
    <mergeCell ref="KCD178:KCI178"/>
    <mergeCell ref="KCJ178:KCO178"/>
    <mergeCell ref="KCP178:KCU178"/>
    <mergeCell ref="KCV178:KDA178"/>
    <mergeCell ref="KAH178:KAM178"/>
    <mergeCell ref="KAN178:KAS178"/>
    <mergeCell ref="KAT178:KAY178"/>
    <mergeCell ref="KAZ178:KBE178"/>
    <mergeCell ref="KBF178:KBK178"/>
    <mergeCell ref="KBL178:KBQ178"/>
    <mergeCell ref="KHF178:KHK178"/>
    <mergeCell ref="KHL178:KHQ178"/>
    <mergeCell ref="KHR178:KHW178"/>
    <mergeCell ref="KHX178:KIC178"/>
    <mergeCell ref="KID178:KII178"/>
    <mergeCell ref="KIJ178:KIO178"/>
    <mergeCell ref="KFV178:KGA178"/>
    <mergeCell ref="KGB178:KGG178"/>
    <mergeCell ref="KGH178:KGM178"/>
    <mergeCell ref="KGN178:KGS178"/>
    <mergeCell ref="KGT178:KGY178"/>
    <mergeCell ref="KGZ178:KHE178"/>
    <mergeCell ref="KEL178:KEQ178"/>
    <mergeCell ref="KER178:KEW178"/>
    <mergeCell ref="KEX178:KFC178"/>
    <mergeCell ref="KFD178:KFI178"/>
    <mergeCell ref="KFJ178:KFO178"/>
    <mergeCell ref="KFP178:KFU178"/>
    <mergeCell ref="KLJ178:KLO178"/>
    <mergeCell ref="KLP178:KLU178"/>
    <mergeCell ref="KLV178:KMA178"/>
    <mergeCell ref="KMB178:KMG178"/>
    <mergeCell ref="KMH178:KMM178"/>
    <mergeCell ref="KMN178:KMS178"/>
    <mergeCell ref="KJZ178:KKE178"/>
    <mergeCell ref="KKF178:KKK178"/>
    <mergeCell ref="KKL178:KKQ178"/>
    <mergeCell ref="KKR178:KKW178"/>
    <mergeCell ref="KKX178:KLC178"/>
    <mergeCell ref="KLD178:KLI178"/>
    <mergeCell ref="KIP178:KIU178"/>
    <mergeCell ref="KIV178:KJA178"/>
    <mergeCell ref="KJB178:KJG178"/>
    <mergeCell ref="KJH178:KJM178"/>
    <mergeCell ref="KJN178:KJS178"/>
    <mergeCell ref="KJT178:KJY178"/>
    <mergeCell ref="KPN178:KPS178"/>
    <mergeCell ref="KPT178:KPY178"/>
    <mergeCell ref="KPZ178:KQE178"/>
    <mergeCell ref="KQF178:KQK178"/>
    <mergeCell ref="KQL178:KQQ178"/>
    <mergeCell ref="KQR178:KQW178"/>
    <mergeCell ref="KOD178:KOI178"/>
    <mergeCell ref="KOJ178:KOO178"/>
    <mergeCell ref="KOP178:KOU178"/>
    <mergeCell ref="KOV178:KPA178"/>
    <mergeCell ref="KPB178:KPG178"/>
    <mergeCell ref="KPH178:KPM178"/>
    <mergeCell ref="KMT178:KMY178"/>
    <mergeCell ref="KMZ178:KNE178"/>
    <mergeCell ref="KNF178:KNK178"/>
    <mergeCell ref="KNL178:KNQ178"/>
    <mergeCell ref="KNR178:KNW178"/>
    <mergeCell ref="KNX178:KOC178"/>
    <mergeCell ref="KTR178:KTW178"/>
    <mergeCell ref="KTX178:KUC178"/>
    <mergeCell ref="KUD178:KUI178"/>
    <mergeCell ref="KUJ178:KUO178"/>
    <mergeCell ref="KUP178:KUU178"/>
    <mergeCell ref="KUV178:KVA178"/>
    <mergeCell ref="KSH178:KSM178"/>
    <mergeCell ref="KSN178:KSS178"/>
    <mergeCell ref="KST178:KSY178"/>
    <mergeCell ref="KSZ178:KTE178"/>
    <mergeCell ref="KTF178:KTK178"/>
    <mergeCell ref="KTL178:KTQ178"/>
    <mergeCell ref="KQX178:KRC178"/>
    <mergeCell ref="KRD178:KRI178"/>
    <mergeCell ref="KRJ178:KRO178"/>
    <mergeCell ref="KRP178:KRU178"/>
    <mergeCell ref="KRV178:KSA178"/>
    <mergeCell ref="KSB178:KSG178"/>
    <mergeCell ref="KXV178:KYA178"/>
    <mergeCell ref="KYB178:KYG178"/>
    <mergeCell ref="KYH178:KYM178"/>
    <mergeCell ref="KYN178:KYS178"/>
    <mergeCell ref="KYT178:KYY178"/>
    <mergeCell ref="KYZ178:KZE178"/>
    <mergeCell ref="KWL178:KWQ178"/>
    <mergeCell ref="KWR178:KWW178"/>
    <mergeCell ref="KWX178:KXC178"/>
    <mergeCell ref="KXD178:KXI178"/>
    <mergeCell ref="KXJ178:KXO178"/>
    <mergeCell ref="KXP178:KXU178"/>
    <mergeCell ref="KVB178:KVG178"/>
    <mergeCell ref="KVH178:KVM178"/>
    <mergeCell ref="KVN178:KVS178"/>
    <mergeCell ref="KVT178:KVY178"/>
    <mergeCell ref="KVZ178:KWE178"/>
    <mergeCell ref="KWF178:KWK178"/>
    <mergeCell ref="LBZ178:LCE178"/>
    <mergeCell ref="LCF178:LCK178"/>
    <mergeCell ref="LCL178:LCQ178"/>
    <mergeCell ref="LCR178:LCW178"/>
    <mergeCell ref="LCX178:LDC178"/>
    <mergeCell ref="LDD178:LDI178"/>
    <mergeCell ref="LAP178:LAU178"/>
    <mergeCell ref="LAV178:LBA178"/>
    <mergeCell ref="LBB178:LBG178"/>
    <mergeCell ref="LBH178:LBM178"/>
    <mergeCell ref="LBN178:LBS178"/>
    <mergeCell ref="LBT178:LBY178"/>
    <mergeCell ref="KZF178:KZK178"/>
    <mergeCell ref="KZL178:KZQ178"/>
    <mergeCell ref="KZR178:KZW178"/>
    <mergeCell ref="KZX178:LAC178"/>
    <mergeCell ref="LAD178:LAI178"/>
    <mergeCell ref="LAJ178:LAO178"/>
    <mergeCell ref="LGD178:LGI178"/>
    <mergeCell ref="LGJ178:LGO178"/>
    <mergeCell ref="LGP178:LGU178"/>
    <mergeCell ref="LGV178:LHA178"/>
    <mergeCell ref="LHB178:LHG178"/>
    <mergeCell ref="LHH178:LHM178"/>
    <mergeCell ref="LET178:LEY178"/>
    <mergeCell ref="LEZ178:LFE178"/>
    <mergeCell ref="LFF178:LFK178"/>
    <mergeCell ref="LFL178:LFQ178"/>
    <mergeCell ref="LFR178:LFW178"/>
    <mergeCell ref="LFX178:LGC178"/>
    <mergeCell ref="LDJ178:LDO178"/>
    <mergeCell ref="LDP178:LDU178"/>
    <mergeCell ref="LDV178:LEA178"/>
    <mergeCell ref="LEB178:LEG178"/>
    <mergeCell ref="LEH178:LEM178"/>
    <mergeCell ref="LEN178:LES178"/>
    <mergeCell ref="LKH178:LKM178"/>
    <mergeCell ref="LKN178:LKS178"/>
    <mergeCell ref="LKT178:LKY178"/>
    <mergeCell ref="LKZ178:LLE178"/>
    <mergeCell ref="LLF178:LLK178"/>
    <mergeCell ref="LLL178:LLQ178"/>
    <mergeCell ref="LIX178:LJC178"/>
    <mergeCell ref="LJD178:LJI178"/>
    <mergeCell ref="LJJ178:LJO178"/>
    <mergeCell ref="LJP178:LJU178"/>
    <mergeCell ref="LJV178:LKA178"/>
    <mergeCell ref="LKB178:LKG178"/>
    <mergeCell ref="LHN178:LHS178"/>
    <mergeCell ref="LHT178:LHY178"/>
    <mergeCell ref="LHZ178:LIE178"/>
    <mergeCell ref="LIF178:LIK178"/>
    <mergeCell ref="LIL178:LIQ178"/>
    <mergeCell ref="LIR178:LIW178"/>
    <mergeCell ref="LOL178:LOQ178"/>
    <mergeCell ref="LOR178:LOW178"/>
    <mergeCell ref="LOX178:LPC178"/>
    <mergeCell ref="LPD178:LPI178"/>
    <mergeCell ref="LPJ178:LPO178"/>
    <mergeCell ref="LPP178:LPU178"/>
    <mergeCell ref="LNB178:LNG178"/>
    <mergeCell ref="LNH178:LNM178"/>
    <mergeCell ref="LNN178:LNS178"/>
    <mergeCell ref="LNT178:LNY178"/>
    <mergeCell ref="LNZ178:LOE178"/>
    <mergeCell ref="LOF178:LOK178"/>
    <mergeCell ref="LLR178:LLW178"/>
    <mergeCell ref="LLX178:LMC178"/>
    <mergeCell ref="LMD178:LMI178"/>
    <mergeCell ref="LMJ178:LMO178"/>
    <mergeCell ref="LMP178:LMU178"/>
    <mergeCell ref="LMV178:LNA178"/>
    <mergeCell ref="LSP178:LSU178"/>
    <mergeCell ref="LSV178:LTA178"/>
    <mergeCell ref="LTB178:LTG178"/>
    <mergeCell ref="LTH178:LTM178"/>
    <mergeCell ref="LTN178:LTS178"/>
    <mergeCell ref="LTT178:LTY178"/>
    <mergeCell ref="LRF178:LRK178"/>
    <mergeCell ref="LRL178:LRQ178"/>
    <mergeCell ref="LRR178:LRW178"/>
    <mergeCell ref="LRX178:LSC178"/>
    <mergeCell ref="LSD178:LSI178"/>
    <mergeCell ref="LSJ178:LSO178"/>
    <mergeCell ref="LPV178:LQA178"/>
    <mergeCell ref="LQB178:LQG178"/>
    <mergeCell ref="LQH178:LQM178"/>
    <mergeCell ref="LQN178:LQS178"/>
    <mergeCell ref="LQT178:LQY178"/>
    <mergeCell ref="LQZ178:LRE178"/>
    <mergeCell ref="LWT178:LWY178"/>
    <mergeCell ref="LWZ178:LXE178"/>
    <mergeCell ref="LXF178:LXK178"/>
    <mergeCell ref="LXL178:LXQ178"/>
    <mergeCell ref="LXR178:LXW178"/>
    <mergeCell ref="LXX178:LYC178"/>
    <mergeCell ref="LVJ178:LVO178"/>
    <mergeCell ref="LVP178:LVU178"/>
    <mergeCell ref="LVV178:LWA178"/>
    <mergeCell ref="LWB178:LWG178"/>
    <mergeCell ref="LWH178:LWM178"/>
    <mergeCell ref="LWN178:LWS178"/>
    <mergeCell ref="LTZ178:LUE178"/>
    <mergeCell ref="LUF178:LUK178"/>
    <mergeCell ref="LUL178:LUQ178"/>
    <mergeCell ref="LUR178:LUW178"/>
    <mergeCell ref="LUX178:LVC178"/>
    <mergeCell ref="LVD178:LVI178"/>
    <mergeCell ref="MAX178:MBC178"/>
    <mergeCell ref="MBD178:MBI178"/>
    <mergeCell ref="MBJ178:MBO178"/>
    <mergeCell ref="MBP178:MBU178"/>
    <mergeCell ref="MBV178:MCA178"/>
    <mergeCell ref="MCB178:MCG178"/>
    <mergeCell ref="LZN178:LZS178"/>
    <mergeCell ref="LZT178:LZY178"/>
    <mergeCell ref="LZZ178:MAE178"/>
    <mergeCell ref="MAF178:MAK178"/>
    <mergeCell ref="MAL178:MAQ178"/>
    <mergeCell ref="MAR178:MAW178"/>
    <mergeCell ref="LYD178:LYI178"/>
    <mergeCell ref="LYJ178:LYO178"/>
    <mergeCell ref="LYP178:LYU178"/>
    <mergeCell ref="LYV178:LZA178"/>
    <mergeCell ref="LZB178:LZG178"/>
    <mergeCell ref="LZH178:LZM178"/>
    <mergeCell ref="MFB178:MFG178"/>
    <mergeCell ref="MFH178:MFM178"/>
    <mergeCell ref="MFN178:MFS178"/>
    <mergeCell ref="MFT178:MFY178"/>
    <mergeCell ref="MFZ178:MGE178"/>
    <mergeCell ref="MGF178:MGK178"/>
    <mergeCell ref="MDR178:MDW178"/>
    <mergeCell ref="MDX178:MEC178"/>
    <mergeCell ref="MED178:MEI178"/>
    <mergeCell ref="MEJ178:MEO178"/>
    <mergeCell ref="MEP178:MEU178"/>
    <mergeCell ref="MEV178:MFA178"/>
    <mergeCell ref="MCH178:MCM178"/>
    <mergeCell ref="MCN178:MCS178"/>
    <mergeCell ref="MCT178:MCY178"/>
    <mergeCell ref="MCZ178:MDE178"/>
    <mergeCell ref="MDF178:MDK178"/>
    <mergeCell ref="MDL178:MDQ178"/>
    <mergeCell ref="MJF178:MJK178"/>
    <mergeCell ref="MJL178:MJQ178"/>
    <mergeCell ref="MJR178:MJW178"/>
    <mergeCell ref="MJX178:MKC178"/>
    <mergeCell ref="MKD178:MKI178"/>
    <mergeCell ref="MKJ178:MKO178"/>
    <mergeCell ref="MHV178:MIA178"/>
    <mergeCell ref="MIB178:MIG178"/>
    <mergeCell ref="MIH178:MIM178"/>
    <mergeCell ref="MIN178:MIS178"/>
    <mergeCell ref="MIT178:MIY178"/>
    <mergeCell ref="MIZ178:MJE178"/>
    <mergeCell ref="MGL178:MGQ178"/>
    <mergeCell ref="MGR178:MGW178"/>
    <mergeCell ref="MGX178:MHC178"/>
    <mergeCell ref="MHD178:MHI178"/>
    <mergeCell ref="MHJ178:MHO178"/>
    <mergeCell ref="MHP178:MHU178"/>
    <mergeCell ref="MNJ178:MNO178"/>
    <mergeCell ref="MNP178:MNU178"/>
    <mergeCell ref="MNV178:MOA178"/>
    <mergeCell ref="MOB178:MOG178"/>
    <mergeCell ref="MOH178:MOM178"/>
    <mergeCell ref="MON178:MOS178"/>
    <mergeCell ref="MLZ178:MME178"/>
    <mergeCell ref="MMF178:MMK178"/>
    <mergeCell ref="MML178:MMQ178"/>
    <mergeCell ref="MMR178:MMW178"/>
    <mergeCell ref="MMX178:MNC178"/>
    <mergeCell ref="MND178:MNI178"/>
    <mergeCell ref="MKP178:MKU178"/>
    <mergeCell ref="MKV178:MLA178"/>
    <mergeCell ref="MLB178:MLG178"/>
    <mergeCell ref="MLH178:MLM178"/>
    <mergeCell ref="MLN178:MLS178"/>
    <mergeCell ref="MLT178:MLY178"/>
    <mergeCell ref="MRN178:MRS178"/>
    <mergeCell ref="MRT178:MRY178"/>
    <mergeCell ref="MRZ178:MSE178"/>
    <mergeCell ref="MSF178:MSK178"/>
    <mergeCell ref="MSL178:MSQ178"/>
    <mergeCell ref="MSR178:MSW178"/>
    <mergeCell ref="MQD178:MQI178"/>
    <mergeCell ref="MQJ178:MQO178"/>
    <mergeCell ref="MQP178:MQU178"/>
    <mergeCell ref="MQV178:MRA178"/>
    <mergeCell ref="MRB178:MRG178"/>
    <mergeCell ref="MRH178:MRM178"/>
    <mergeCell ref="MOT178:MOY178"/>
    <mergeCell ref="MOZ178:MPE178"/>
    <mergeCell ref="MPF178:MPK178"/>
    <mergeCell ref="MPL178:MPQ178"/>
    <mergeCell ref="MPR178:MPW178"/>
    <mergeCell ref="MPX178:MQC178"/>
    <mergeCell ref="MVR178:MVW178"/>
    <mergeCell ref="MVX178:MWC178"/>
    <mergeCell ref="MWD178:MWI178"/>
    <mergeCell ref="MWJ178:MWO178"/>
    <mergeCell ref="MWP178:MWU178"/>
    <mergeCell ref="MWV178:MXA178"/>
    <mergeCell ref="MUH178:MUM178"/>
    <mergeCell ref="MUN178:MUS178"/>
    <mergeCell ref="MUT178:MUY178"/>
    <mergeCell ref="MUZ178:MVE178"/>
    <mergeCell ref="MVF178:MVK178"/>
    <mergeCell ref="MVL178:MVQ178"/>
    <mergeCell ref="MSX178:MTC178"/>
    <mergeCell ref="MTD178:MTI178"/>
    <mergeCell ref="MTJ178:MTO178"/>
    <mergeCell ref="MTP178:MTU178"/>
    <mergeCell ref="MTV178:MUA178"/>
    <mergeCell ref="MUB178:MUG178"/>
    <mergeCell ref="MZV178:NAA178"/>
    <mergeCell ref="NAB178:NAG178"/>
    <mergeCell ref="NAH178:NAM178"/>
    <mergeCell ref="NAN178:NAS178"/>
    <mergeCell ref="NAT178:NAY178"/>
    <mergeCell ref="NAZ178:NBE178"/>
    <mergeCell ref="MYL178:MYQ178"/>
    <mergeCell ref="MYR178:MYW178"/>
    <mergeCell ref="MYX178:MZC178"/>
    <mergeCell ref="MZD178:MZI178"/>
    <mergeCell ref="MZJ178:MZO178"/>
    <mergeCell ref="MZP178:MZU178"/>
    <mergeCell ref="MXB178:MXG178"/>
    <mergeCell ref="MXH178:MXM178"/>
    <mergeCell ref="MXN178:MXS178"/>
    <mergeCell ref="MXT178:MXY178"/>
    <mergeCell ref="MXZ178:MYE178"/>
    <mergeCell ref="MYF178:MYK178"/>
    <mergeCell ref="NDZ178:NEE178"/>
    <mergeCell ref="NEF178:NEK178"/>
    <mergeCell ref="NEL178:NEQ178"/>
    <mergeCell ref="NER178:NEW178"/>
    <mergeCell ref="NEX178:NFC178"/>
    <mergeCell ref="NFD178:NFI178"/>
    <mergeCell ref="NCP178:NCU178"/>
    <mergeCell ref="NCV178:NDA178"/>
    <mergeCell ref="NDB178:NDG178"/>
    <mergeCell ref="NDH178:NDM178"/>
    <mergeCell ref="NDN178:NDS178"/>
    <mergeCell ref="NDT178:NDY178"/>
    <mergeCell ref="NBF178:NBK178"/>
    <mergeCell ref="NBL178:NBQ178"/>
    <mergeCell ref="NBR178:NBW178"/>
    <mergeCell ref="NBX178:NCC178"/>
    <mergeCell ref="NCD178:NCI178"/>
    <mergeCell ref="NCJ178:NCO178"/>
    <mergeCell ref="NID178:NII178"/>
    <mergeCell ref="NIJ178:NIO178"/>
    <mergeCell ref="NIP178:NIU178"/>
    <mergeCell ref="NIV178:NJA178"/>
    <mergeCell ref="NJB178:NJG178"/>
    <mergeCell ref="NJH178:NJM178"/>
    <mergeCell ref="NGT178:NGY178"/>
    <mergeCell ref="NGZ178:NHE178"/>
    <mergeCell ref="NHF178:NHK178"/>
    <mergeCell ref="NHL178:NHQ178"/>
    <mergeCell ref="NHR178:NHW178"/>
    <mergeCell ref="NHX178:NIC178"/>
    <mergeCell ref="NFJ178:NFO178"/>
    <mergeCell ref="NFP178:NFU178"/>
    <mergeCell ref="NFV178:NGA178"/>
    <mergeCell ref="NGB178:NGG178"/>
    <mergeCell ref="NGH178:NGM178"/>
    <mergeCell ref="NGN178:NGS178"/>
    <mergeCell ref="NMH178:NMM178"/>
    <mergeCell ref="NMN178:NMS178"/>
    <mergeCell ref="NMT178:NMY178"/>
    <mergeCell ref="NMZ178:NNE178"/>
    <mergeCell ref="NNF178:NNK178"/>
    <mergeCell ref="NNL178:NNQ178"/>
    <mergeCell ref="NKX178:NLC178"/>
    <mergeCell ref="NLD178:NLI178"/>
    <mergeCell ref="NLJ178:NLO178"/>
    <mergeCell ref="NLP178:NLU178"/>
    <mergeCell ref="NLV178:NMA178"/>
    <mergeCell ref="NMB178:NMG178"/>
    <mergeCell ref="NJN178:NJS178"/>
    <mergeCell ref="NJT178:NJY178"/>
    <mergeCell ref="NJZ178:NKE178"/>
    <mergeCell ref="NKF178:NKK178"/>
    <mergeCell ref="NKL178:NKQ178"/>
    <mergeCell ref="NKR178:NKW178"/>
    <mergeCell ref="NQL178:NQQ178"/>
    <mergeCell ref="NQR178:NQW178"/>
    <mergeCell ref="NQX178:NRC178"/>
    <mergeCell ref="NRD178:NRI178"/>
    <mergeCell ref="NRJ178:NRO178"/>
    <mergeCell ref="NRP178:NRU178"/>
    <mergeCell ref="NPB178:NPG178"/>
    <mergeCell ref="NPH178:NPM178"/>
    <mergeCell ref="NPN178:NPS178"/>
    <mergeCell ref="NPT178:NPY178"/>
    <mergeCell ref="NPZ178:NQE178"/>
    <mergeCell ref="NQF178:NQK178"/>
    <mergeCell ref="NNR178:NNW178"/>
    <mergeCell ref="NNX178:NOC178"/>
    <mergeCell ref="NOD178:NOI178"/>
    <mergeCell ref="NOJ178:NOO178"/>
    <mergeCell ref="NOP178:NOU178"/>
    <mergeCell ref="NOV178:NPA178"/>
    <mergeCell ref="NUP178:NUU178"/>
    <mergeCell ref="NUV178:NVA178"/>
    <mergeCell ref="NVB178:NVG178"/>
    <mergeCell ref="NVH178:NVM178"/>
    <mergeCell ref="NVN178:NVS178"/>
    <mergeCell ref="NVT178:NVY178"/>
    <mergeCell ref="NTF178:NTK178"/>
    <mergeCell ref="NTL178:NTQ178"/>
    <mergeCell ref="NTR178:NTW178"/>
    <mergeCell ref="NTX178:NUC178"/>
    <mergeCell ref="NUD178:NUI178"/>
    <mergeCell ref="NUJ178:NUO178"/>
    <mergeCell ref="NRV178:NSA178"/>
    <mergeCell ref="NSB178:NSG178"/>
    <mergeCell ref="NSH178:NSM178"/>
    <mergeCell ref="NSN178:NSS178"/>
    <mergeCell ref="NST178:NSY178"/>
    <mergeCell ref="NSZ178:NTE178"/>
    <mergeCell ref="NYT178:NYY178"/>
    <mergeCell ref="NYZ178:NZE178"/>
    <mergeCell ref="NZF178:NZK178"/>
    <mergeCell ref="NZL178:NZQ178"/>
    <mergeCell ref="NZR178:NZW178"/>
    <mergeCell ref="NZX178:OAC178"/>
    <mergeCell ref="NXJ178:NXO178"/>
    <mergeCell ref="NXP178:NXU178"/>
    <mergeCell ref="NXV178:NYA178"/>
    <mergeCell ref="NYB178:NYG178"/>
    <mergeCell ref="NYH178:NYM178"/>
    <mergeCell ref="NYN178:NYS178"/>
    <mergeCell ref="NVZ178:NWE178"/>
    <mergeCell ref="NWF178:NWK178"/>
    <mergeCell ref="NWL178:NWQ178"/>
    <mergeCell ref="NWR178:NWW178"/>
    <mergeCell ref="NWX178:NXC178"/>
    <mergeCell ref="NXD178:NXI178"/>
    <mergeCell ref="OCX178:ODC178"/>
    <mergeCell ref="ODD178:ODI178"/>
    <mergeCell ref="ODJ178:ODO178"/>
    <mergeCell ref="ODP178:ODU178"/>
    <mergeCell ref="ODV178:OEA178"/>
    <mergeCell ref="OEB178:OEG178"/>
    <mergeCell ref="OBN178:OBS178"/>
    <mergeCell ref="OBT178:OBY178"/>
    <mergeCell ref="OBZ178:OCE178"/>
    <mergeCell ref="OCF178:OCK178"/>
    <mergeCell ref="OCL178:OCQ178"/>
    <mergeCell ref="OCR178:OCW178"/>
    <mergeCell ref="OAD178:OAI178"/>
    <mergeCell ref="OAJ178:OAO178"/>
    <mergeCell ref="OAP178:OAU178"/>
    <mergeCell ref="OAV178:OBA178"/>
    <mergeCell ref="OBB178:OBG178"/>
    <mergeCell ref="OBH178:OBM178"/>
    <mergeCell ref="OHB178:OHG178"/>
    <mergeCell ref="OHH178:OHM178"/>
    <mergeCell ref="OHN178:OHS178"/>
    <mergeCell ref="OHT178:OHY178"/>
    <mergeCell ref="OHZ178:OIE178"/>
    <mergeCell ref="OIF178:OIK178"/>
    <mergeCell ref="OFR178:OFW178"/>
    <mergeCell ref="OFX178:OGC178"/>
    <mergeCell ref="OGD178:OGI178"/>
    <mergeCell ref="OGJ178:OGO178"/>
    <mergeCell ref="OGP178:OGU178"/>
    <mergeCell ref="OGV178:OHA178"/>
    <mergeCell ref="OEH178:OEM178"/>
    <mergeCell ref="OEN178:OES178"/>
    <mergeCell ref="OET178:OEY178"/>
    <mergeCell ref="OEZ178:OFE178"/>
    <mergeCell ref="OFF178:OFK178"/>
    <mergeCell ref="OFL178:OFQ178"/>
    <mergeCell ref="OLF178:OLK178"/>
    <mergeCell ref="OLL178:OLQ178"/>
    <mergeCell ref="OLR178:OLW178"/>
    <mergeCell ref="OLX178:OMC178"/>
    <mergeCell ref="OMD178:OMI178"/>
    <mergeCell ref="OMJ178:OMO178"/>
    <mergeCell ref="OJV178:OKA178"/>
    <mergeCell ref="OKB178:OKG178"/>
    <mergeCell ref="OKH178:OKM178"/>
    <mergeCell ref="OKN178:OKS178"/>
    <mergeCell ref="OKT178:OKY178"/>
    <mergeCell ref="OKZ178:OLE178"/>
    <mergeCell ref="OIL178:OIQ178"/>
    <mergeCell ref="OIR178:OIW178"/>
    <mergeCell ref="OIX178:OJC178"/>
    <mergeCell ref="OJD178:OJI178"/>
    <mergeCell ref="OJJ178:OJO178"/>
    <mergeCell ref="OJP178:OJU178"/>
    <mergeCell ref="OPJ178:OPO178"/>
    <mergeCell ref="OPP178:OPU178"/>
    <mergeCell ref="OPV178:OQA178"/>
    <mergeCell ref="OQB178:OQG178"/>
    <mergeCell ref="OQH178:OQM178"/>
    <mergeCell ref="OQN178:OQS178"/>
    <mergeCell ref="ONZ178:OOE178"/>
    <mergeCell ref="OOF178:OOK178"/>
    <mergeCell ref="OOL178:OOQ178"/>
    <mergeCell ref="OOR178:OOW178"/>
    <mergeCell ref="OOX178:OPC178"/>
    <mergeCell ref="OPD178:OPI178"/>
    <mergeCell ref="OMP178:OMU178"/>
    <mergeCell ref="OMV178:ONA178"/>
    <mergeCell ref="ONB178:ONG178"/>
    <mergeCell ref="ONH178:ONM178"/>
    <mergeCell ref="ONN178:ONS178"/>
    <mergeCell ref="ONT178:ONY178"/>
    <mergeCell ref="OTN178:OTS178"/>
    <mergeCell ref="OTT178:OTY178"/>
    <mergeCell ref="OTZ178:OUE178"/>
    <mergeCell ref="OUF178:OUK178"/>
    <mergeCell ref="OUL178:OUQ178"/>
    <mergeCell ref="OUR178:OUW178"/>
    <mergeCell ref="OSD178:OSI178"/>
    <mergeCell ref="OSJ178:OSO178"/>
    <mergeCell ref="OSP178:OSU178"/>
    <mergeCell ref="OSV178:OTA178"/>
    <mergeCell ref="OTB178:OTG178"/>
    <mergeCell ref="OTH178:OTM178"/>
    <mergeCell ref="OQT178:OQY178"/>
    <mergeCell ref="OQZ178:ORE178"/>
    <mergeCell ref="ORF178:ORK178"/>
    <mergeCell ref="ORL178:ORQ178"/>
    <mergeCell ref="ORR178:ORW178"/>
    <mergeCell ref="ORX178:OSC178"/>
    <mergeCell ref="OXR178:OXW178"/>
    <mergeCell ref="OXX178:OYC178"/>
    <mergeCell ref="OYD178:OYI178"/>
    <mergeCell ref="OYJ178:OYO178"/>
    <mergeCell ref="OYP178:OYU178"/>
    <mergeCell ref="OYV178:OZA178"/>
    <mergeCell ref="OWH178:OWM178"/>
    <mergeCell ref="OWN178:OWS178"/>
    <mergeCell ref="OWT178:OWY178"/>
    <mergeCell ref="OWZ178:OXE178"/>
    <mergeCell ref="OXF178:OXK178"/>
    <mergeCell ref="OXL178:OXQ178"/>
    <mergeCell ref="OUX178:OVC178"/>
    <mergeCell ref="OVD178:OVI178"/>
    <mergeCell ref="OVJ178:OVO178"/>
    <mergeCell ref="OVP178:OVU178"/>
    <mergeCell ref="OVV178:OWA178"/>
    <mergeCell ref="OWB178:OWG178"/>
    <mergeCell ref="PBV178:PCA178"/>
    <mergeCell ref="PCB178:PCG178"/>
    <mergeCell ref="PCH178:PCM178"/>
    <mergeCell ref="PCN178:PCS178"/>
    <mergeCell ref="PCT178:PCY178"/>
    <mergeCell ref="PCZ178:PDE178"/>
    <mergeCell ref="PAL178:PAQ178"/>
    <mergeCell ref="PAR178:PAW178"/>
    <mergeCell ref="PAX178:PBC178"/>
    <mergeCell ref="PBD178:PBI178"/>
    <mergeCell ref="PBJ178:PBO178"/>
    <mergeCell ref="PBP178:PBU178"/>
    <mergeCell ref="OZB178:OZG178"/>
    <mergeCell ref="OZH178:OZM178"/>
    <mergeCell ref="OZN178:OZS178"/>
    <mergeCell ref="OZT178:OZY178"/>
    <mergeCell ref="OZZ178:PAE178"/>
    <mergeCell ref="PAF178:PAK178"/>
    <mergeCell ref="PFZ178:PGE178"/>
    <mergeCell ref="PGF178:PGK178"/>
    <mergeCell ref="PGL178:PGQ178"/>
    <mergeCell ref="PGR178:PGW178"/>
    <mergeCell ref="PGX178:PHC178"/>
    <mergeCell ref="PHD178:PHI178"/>
    <mergeCell ref="PEP178:PEU178"/>
    <mergeCell ref="PEV178:PFA178"/>
    <mergeCell ref="PFB178:PFG178"/>
    <mergeCell ref="PFH178:PFM178"/>
    <mergeCell ref="PFN178:PFS178"/>
    <mergeCell ref="PFT178:PFY178"/>
    <mergeCell ref="PDF178:PDK178"/>
    <mergeCell ref="PDL178:PDQ178"/>
    <mergeCell ref="PDR178:PDW178"/>
    <mergeCell ref="PDX178:PEC178"/>
    <mergeCell ref="PED178:PEI178"/>
    <mergeCell ref="PEJ178:PEO178"/>
    <mergeCell ref="PKD178:PKI178"/>
    <mergeCell ref="PKJ178:PKO178"/>
    <mergeCell ref="PKP178:PKU178"/>
    <mergeCell ref="PKV178:PLA178"/>
    <mergeCell ref="PLB178:PLG178"/>
    <mergeCell ref="PLH178:PLM178"/>
    <mergeCell ref="PIT178:PIY178"/>
    <mergeCell ref="PIZ178:PJE178"/>
    <mergeCell ref="PJF178:PJK178"/>
    <mergeCell ref="PJL178:PJQ178"/>
    <mergeCell ref="PJR178:PJW178"/>
    <mergeCell ref="PJX178:PKC178"/>
    <mergeCell ref="PHJ178:PHO178"/>
    <mergeCell ref="PHP178:PHU178"/>
    <mergeCell ref="PHV178:PIA178"/>
    <mergeCell ref="PIB178:PIG178"/>
    <mergeCell ref="PIH178:PIM178"/>
    <mergeCell ref="PIN178:PIS178"/>
    <mergeCell ref="POH178:POM178"/>
    <mergeCell ref="PON178:POS178"/>
    <mergeCell ref="POT178:POY178"/>
    <mergeCell ref="POZ178:PPE178"/>
    <mergeCell ref="PPF178:PPK178"/>
    <mergeCell ref="PPL178:PPQ178"/>
    <mergeCell ref="PMX178:PNC178"/>
    <mergeCell ref="PND178:PNI178"/>
    <mergeCell ref="PNJ178:PNO178"/>
    <mergeCell ref="PNP178:PNU178"/>
    <mergeCell ref="PNV178:POA178"/>
    <mergeCell ref="POB178:POG178"/>
    <mergeCell ref="PLN178:PLS178"/>
    <mergeCell ref="PLT178:PLY178"/>
    <mergeCell ref="PLZ178:PME178"/>
    <mergeCell ref="PMF178:PMK178"/>
    <mergeCell ref="PML178:PMQ178"/>
    <mergeCell ref="PMR178:PMW178"/>
    <mergeCell ref="PSL178:PSQ178"/>
    <mergeCell ref="PSR178:PSW178"/>
    <mergeCell ref="PSX178:PTC178"/>
    <mergeCell ref="PTD178:PTI178"/>
    <mergeCell ref="PTJ178:PTO178"/>
    <mergeCell ref="PTP178:PTU178"/>
    <mergeCell ref="PRB178:PRG178"/>
    <mergeCell ref="PRH178:PRM178"/>
    <mergeCell ref="PRN178:PRS178"/>
    <mergeCell ref="PRT178:PRY178"/>
    <mergeCell ref="PRZ178:PSE178"/>
    <mergeCell ref="PSF178:PSK178"/>
    <mergeCell ref="PPR178:PPW178"/>
    <mergeCell ref="PPX178:PQC178"/>
    <mergeCell ref="PQD178:PQI178"/>
    <mergeCell ref="PQJ178:PQO178"/>
    <mergeCell ref="PQP178:PQU178"/>
    <mergeCell ref="PQV178:PRA178"/>
    <mergeCell ref="PWP178:PWU178"/>
    <mergeCell ref="PWV178:PXA178"/>
    <mergeCell ref="PXB178:PXG178"/>
    <mergeCell ref="PXH178:PXM178"/>
    <mergeCell ref="PXN178:PXS178"/>
    <mergeCell ref="PXT178:PXY178"/>
    <mergeCell ref="PVF178:PVK178"/>
    <mergeCell ref="PVL178:PVQ178"/>
    <mergeCell ref="PVR178:PVW178"/>
    <mergeCell ref="PVX178:PWC178"/>
    <mergeCell ref="PWD178:PWI178"/>
    <mergeCell ref="PWJ178:PWO178"/>
    <mergeCell ref="PTV178:PUA178"/>
    <mergeCell ref="PUB178:PUG178"/>
    <mergeCell ref="PUH178:PUM178"/>
    <mergeCell ref="PUN178:PUS178"/>
    <mergeCell ref="PUT178:PUY178"/>
    <mergeCell ref="PUZ178:PVE178"/>
    <mergeCell ref="QAT178:QAY178"/>
    <mergeCell ref="QAZ178:QBE178"/>
    <mergeCell ref="QBF178:QBK178"/>
    <mergeCell ref="QBL178:QBQ178"/>
    <mergeCell ref="QBR178:QBW178"/>
    <mergeCell ref="QBX178:QCC178"/>
    <mergeCell ref="PZJ178:PZO178"/>
    <mergeCell ref="PZP178:PZU178"/>
    <mergeCell ref="PZV178:QAA178"/>
    <mergeCell ref="QAB178:QAG178"/>
    <mergeCell ref="QAH178:QAM178"/>
    <mergeCell ref="QAN178:QAS178"/>
    <mergeCell ref="PXZ178:PYE178"/>
    <mergeCell ref="PYF178:PYK178"/>
    <mergeCell ref="PYL178:PYQ178"/>
    <mergeCell ref="PYR178:PYW178"/>
    <mergeCell ref="PYX178:PZC178"/>
    <mergeCell ref="PZD178:PZI178"/>
    <mergeCell ref="QEX178:QFC178"/>
    <mergeCell ref="QFD178:QFI178"/>
    <mergeCell ref="QFJ178:QFO178"/>
    <mergeCell ref="QFP178:QFU178"/>
    <mergeCell ref="QFV178:QGA178"/>
    <mergeCell ref="QGB178:QGG178"/>
    <mergeCell ref="QDN178:QDS178"/>
    <mergeCell ref="QDT178:QDY178"/>
    <mergeCell ref="QDZ178:QEE178"/>
    <mergeCell ref="QEF178:QEK178"/>
    <mergeCell ref="QEL178:QEQ178"/>
    <mergeCell ref="QER178:QEW178"/>
    <mergeCell ref="QCD178:QCI178"/>
    <mergeCell ref="QCJ178:QCO178"/>
    <mergeCell ref="QCP178:QCU178"/>
    <mergeCell ref="QCV178:QDA178"/>
    <mergeCell ref="QDB178:QDG178"/>
    <mergeCell ref="QDH178:QDM178"/>
    <mergeCell ref="QJB178:QJG178"/>
    <mergeCell ref="QJH178:QJM178"/>
    <mergeCell ref="QJN178:QJS178"/>
    <mergeCell ref="QJT178:QJY178"/>
    <mergeCell ref="QJZ178:QKE178"/>
    <mergeCell ref="QKF178:QKK178"/>
    <mergeCell ref="QHR178:QHW178"/>
    <mergeCell ref="QHX178:QIC178"/>
    <mergeCell ref="QID178:QII178"/>
    <mergeCell ref="QIJ178:QIO178"/>
    <mergeCell ref="QIP178:QIU178"/>
    <mergeCell ref="QIV178:QJA178"/>
    <mergeCell ref="QGH178:QGM178"/>
    <mergeCell ref="QGN178:QGS178"/>
    <mergeCell ref="QGT178:QGY178"/>
    <mergeCell ref="QGZ178:QHE178"/>
    <mergeCell ref="QHF178:QHK178"/>
    <mergeCell ref="QHL178:QHQ178"/>
    <mergeCell ref="QNF178:QNK178"/>
    <mergeCell ref="QNL178:QNQ178"/>
    <mergeCell ref="QNR178:QNW178"/>
    <mergeCell ref="QNX178:QOC178"/>
    <mergeCell ref="QOD178:QOI178"/>
    <mergeCell ref="QOJ178:QOO178"/>
    <mergeCell ref="QLV178:QMA178"/>
    <mergeCell ref="QMB178:QMG178"/>
    <mergeCell ref="QMH178:QMM178"/>
    <mergeCell ref="QMN178:QMS178"/>
    <mergeCell ref="QMT178:QMY178"/>
    <mergeCell ref="QMZ178:QNE178"/>
    <mergeCell ref="QKL178:QKQ178"/>
    <mergeCell ref="QKR178:QKW178"/>
    <mergeCell ref="QKX178:QLC178"/>
    <mergeCell ref="QLD178:QLI178"/>
    <mergeCell ref="QLJ178:QLO178"/>
    <mergeCell ref="QLP178:QLU178"/>
    <mergeCell ref="QRJ178:QRO178"/>
    <mergeCell ref="QRP178:QRU178"/>
    <mergeCell ref="QRV178:QSA178"/>
    <mergeCell ref="QSB178:QSG178"/>
    <mergeCell ref="QSH178:QSM178"/>
    <mergeCell ref="QSN178:QSS178"/>
    <mergeCell ref="QPZ178:QQE178"/>
    <mergeCell ref="QQF178:QQK178"/>
    <mergeCell ref="QQL178:QQQ178"/>
    <mergeCell ref="QQR178:QQW178"/>
    <mergeCell ref="QQX178:QRC178"/>
    <mergeCell ref="QRD178:QRI178"/>
    <mergeCell ref="QOP178:QOU178"/>
    <mergeCell ref="QOV178:QPA178"/>
    <mergeCell ref="QPB178:QPG178"/>
    <mergeCell ref="QPH178:QPM178"/>
    <mergeCell ref="QPN178:QPS178"/>
    <mergeCell ref="QPT178:QPY178"/>
    <mergeCell ref="QVN178:QVS178"/>
    <mergeCell ref="QVT178:QVY178"/>
    <mergeCell ref="QVZ178:QWE178"/>
    <mergeCell ref="QWF178:QWK178"/>
    <mergeCell ref="QWL178:QWQ178"/>
    <mergeCell ref="QWR178:QWW178"/>
    <mergeCell ref="QUD178:QUI178"/>
    <mergeCell ref="QUJ178:QUO178"/>
    <mergeCell ref="QUP178:QUU178"/>
    <mergeCell ref="QUV178:QVA178"/>
    <mergeCell ref="QVB178:QVG178"/>
    <mergeCell ref="QVH178:QVM178"/>
    <mergeCell ref="QST178:QSY178"/>
    <mergeCell ref="QSZ178:QTE178"/>
    <mergeCell ref="QTF178:QTK178"/>
    <mergeCell ref="QTL178:QTQ178"/>
    <mergeCell ref="QTR178:QTW178"/>
    <mergeCell ref="QTX178:QUC178"/>
    <mergeCell ref="QZR178:QZW178"/>
    <mergeCell ref="QZX178:RAC178"/>
    <mergeCell ref="RAD178:RAI178"/>
    <mergeCell ref="RAJ178:RAO178"/>
    <mergeCell ref="RAP178:RAU178"/>
    <mergeCell ref="RAV178:RBA178"/>
    <mergeCell ref="QYH178:QYM178"/>
    <mergeCell ref="QYN178:QYS178"/>
    <mergeCell ref="QYT178:QYY178"/>
    <mergeCell ref="QYZ178:QZE178"/>
    <mergeCell ref="QZF178:QZK178"/>
    <mergeCell ref="QZL178:QZQ178"/>
    <mergeCell ref="QWX178:QXC178"/>
    <mergeCell ref="QXD178:QXI178"/>
    <mergeCell ref="QXJ178:QXO178"/>
    <mergeCell ref="QXP178:QXU178"/>
    <mergeCell ref="QXV178:QYA178"/>
    <mergeCell ref="QYB178:QYG178"/>
    <mergeCell ref="RDV178:REA178"/>
    <mergeCell ref="REB178:REG178"/>
    <mergeCell ref="REH178:REM178"/>
    <mergeCell ref="REN178:RES178"/>
    <mergeCell ref="RET178:REY178"/>
    <mergeCell ref="REZ178:RFE178"/>
    <mergeCell ref="RCL178:RCQ178"/>
    <mergeCell ref="RCR178:RCW178"/>
    <mergeCell ref="RCX178:RDC178"/>
    <mergeCell ref="RDD178:RDI178"/>
    <mergeCell ref="RDJ178:RDO178"/>
    <mergeCell ref="RDP178:RDU178"/>
    <mergeCell ref="RBB178:RBG178"/>
    <mergeCell ref="RBH178:RBM178"/>
    <mergeCell ref="RBN178:RBS178"/>
    <mergeCell ref="RBT178:RBY178"/>
    <mergeCell ref="RBZ178:RCE178"/>
    <mergeCell ref="RCF178:RCK178"/>
    <mergeCell ref="RHZ178:RIE178"/>
    <mergeCell ref="RIF178:RIK178"/>
    <mergeCell ref="RIL178:RIQ178"/>
    <mergeCell ref="RIR178:RIW178"/>
    <mergeCell ref="RIX178:RJC178"/>
    <mergeCell ref="RJD178:RJI178"/>
    <mergeCell ref="RGP178:RGU178"/>
    <mergeCell ref="RGV178:RHA178"/>
    <mergeCell ref="RHB178:RHG178"/>
    <mergeCell ref="RHH178:RHM178"/>
    <mergeCell ref="RHN178:RHS178"/>
    <mergeCell ref="RHT178:RHY178"/>
    <mergeCell ref="RFF178:RFK178"/>
    <mergeCell ref="RFL178:RFQ178"/>
    <mergeCell ref="RFR178:RFW178"/>
    <mergeCell ref="RFX178:RGC178"/>
    <mergeCell ref="RGD178:RGI178"/>
    <mergeCell ref="RGJ178:RGO178"/>
    <mergeCell ref="RMD178:RMI178"/>
    <mergeCell ref="RMJ178:RMO178"/>
    <mergeCell ref="RMP178:RMU178"/>
    <mergeCell ref="RMV178:RNA178"/>
    <mergeCell ref="RNB178:RNG178"/>
    <mergeCell ref="RNH178:RNM178"/>
    <mergeCell ref="RKT178:RKY178"/>
    <mergeCell ref="RKZ178:RLE178"/>
    <mergeCell ref="RLF178:RLK178"/>
    <mergeCell ref="RLL178:RLQ178"/>
    <mergeCell ref="RLR178:RLW178"/>
    <mergeCell ref="RLX178:RMC178"/>
    <mergeCell ref="RJJ178:RJO178"/>
    <mergeCell ref="RJP178:RJU178"/>
    <mergeCell ref="RJV178:RKA178"/>
    <mergeCell ref="RKB178:RKG178"/>
    <mergeCell ref="RKH178:RKM178"/>
    <mergeCell ref="RKN178:RKS178"/>
    <mergeCell ref="RQH178:RQM178"/>
    <mergeCell ref="RQN178:RQS178"/>
    <mergeCell ref="RQT178:RQY178"/>
    <mergeCell ref="RQZ178:RRE178"/>
    <mergeCell ref="RRF178:RRK178"/>
    <mergeCell ref="RRL178:RRQ178"/>
    <mergeCell ref="ROX178:RPC178"/>
    <mergeCell ref="RPD178:RPI178"/>
    <mergeCell ref="RPJ178:RPO178"/>
    <mergeCell ref="RPP178:RPU178"/>
    <mergeCell ref="RPV178:RQA178"/>
    <mergeCell ref="RQB178:RQG178"/>
    <mergeCell ref="RNN178:RNS178"/>
    <mergeCell ref="RNT178:RNY178"/>
    <mergeCell ref="RNZ178:ROE178"/>
    <mergeCell ref="ROF178:ROK178"/>
    <mergeCell ref="ROL178:ROQ178"/>
    <mergeCell ref="ROR178:ROW178"/>
    <mergeCell ref="RUL178:RUQ178"/>
    <mergeCell ref="RUR178:RUW178"/>
    <mergeCell ref="RUX178:RVC178"/>
    <mergeCell ref="RVD178:RVI178"/>
    <mergeCell ref="RVJ178:RVO178"/>
    <mergeCell ref="RVP178:RVU178"/>
    <mergeCell ref="RTB178:RTG178"/>
    <mergeCell ref="RTH178:RTM178"/>
    <mergeCell ref="RTN178:RTS178"/>
    <mergeCell ref="RTT178:RTY178"/>
    <mergeCell ref="RTZ178:RUE178"/>
    <mergeCell ref="RUF178:RUK178"/>
    <mergeCell ref="RRR178:RRW178"/>
    <mergeCell ref="RRX178:RSC178"/>
    <mergeCell ref="RSD178:RSI178"/>
    <mergeCell ref="RSJ178:RSO178"/>
    <mergeCell ref="RSP178:RSU178"/>
    <mergeCell ref="RSV178:RTA178"/>
    <mergeCell ref="RYP178:RYU178"/>
    <mergeCell ref="RYV178:RZA178"/>
    <mergeCell ref="RZB178:RZG178"/>
    <mergeCell ref="RZH178:RZM178"/>
    <mergeCell ref="RZN178:RZS178"/>
    <mergeCell ref="RZT178:RZY178"/>
    <mergeCell ref="RXF178:RXK178"/>
    <mergeCell ref="RXL178:RXQ178"/>
    <mergeCell ref="RXR178:RXW178"/>
    <mergeCell ref="RXX178:RYC178"/>
    <mergeCell ref="RYD178:RYI178"/>
    <mergeCell ref="RYJ178:RYO178"/>
    <mergeCell ref="RVV178:RWA178"/>
    <mergeCell ref="RWB178:RWG178"/>
    <mergeCell ref="RWH178:RWM178"/>
    <mergeCell ref="RWN178:RWS178"/>
    <mergeCell ref="RWT178:RWY178"/>
    <mergeCell ref="RWZ178:RXE178"/>
    <mergeCell ref="SCT178:SCY178"/>
    <mergeCell ref="SCZ178:SDE178"/>
    <mergeCell ref="SDF178:SDK178"/>
    <mergeCell ref="SDL178:SDQ178"/>
    <mergeCell ref="SDR178:SDW178"/>
    <mergeCell ref="SDX178:SEC178"/>
    <mergeCell ref="SBJ178:SBO178"/>
    <mergeCell ref="SBP178:SBU178"/>
    <mergeCell ref="SBV178:SCA178"/>
    <mergeCell ref="SCB178:SCG178"/>
    <mergeCell ref="SCH178:SCM178"/>
    <mergeCell ref="SCN178:SCS178"/>
    <mergeCell ref="RZZ178:SAE178"/>
    <mergeCell ref="SAF178:SAK178"/>
    <mergeCell ref="SAL178:SAQ178"/>
    <mergeCell ref="SAR178:SAW178"/>
    <mergeCell ref="SAX178:SBC178"/>
    <mergeCell ref="SBD178:SBI178"/>
    <mergeCell ref="SGX178:SHC178"/>
    <mergeCell ref="SHD178:SHI178"/>
    <mergeCell ref="SHJ178:SHO178"/>
    <mergeCell ref="SHP178:SHU178"/>
    <mergeCell ref="SHV178:SIA178"/>
    <mergeCell ref="SIB178:SIG178"/>
    <mergeCell ref="SFN178:SFS178"/>
    <mergeCell ref="SFT178:SFY178"/>
    <mergeCell ref="SFZ178:SGE178"/>
    <mergeCell ref="SGF178:SGK178"/>
    <mergeCell ref="SGL178:SGQ178"/>
    <mergeCell ref="SGR178:SGW178"/>
    <mergeCell ref="SED178:SEI178"/>
    <mergeCell ref="SEJ178:SEO178"/>
    <mergeCell ref="SEP178:SEU178"/>
    <mergeCell ref="SEV178:SFA178"/>
    <mergeCell ref="SFB178:SFG178"/>
    <mergeCell ref="SFH178:SFM178"/>
    <mergeCell ref="SLB178:SLG178"/>
    <mergeCell ref="SLH178:SLM178"/>
    <mergeCell ref="SLN178:SLS178"/>
    <mergeCell ref="SLT178:SLY178"/>
    <mergeCell ref="SLZ178:SME178"/>
    <mergeCell ref="SMF178:SMK178"/>
    <mergeCell ref="SJR178:SJW178"/>
    <mergeCell ref="SJX178:SKC178"/>
    <mergeCell ref="SKD178:SKI178"/>
    <mergeCell ref="SKJ178:SKO178"/>
    <mergeCell ref="SKP178:SKU178"/>
    <mergeCell ref="SKV178:SLA178"/>
    <mergeCell ref="SIH178:SIM178"/>
    <mergeCell ref="SIN178:SIS178"/>
    <mergeCell ref="SIT178:SIY178"/>
    <mergeCell ref="SIZ178:SJE178"/>
    <mergeCell ref="SJF178:SJK178"/>
    <mergeCell ref="SJL178:SJQ178"/>
    <mergeCell ref="SPF178:SPK178"/>
    <mergeCell ref="SPL178:SPQ178"/>
    <mergeCell ref="SPR178:SPW178"/>
    <mergeCell ref="SPX178:SQC178"/>
    <mergeCell ref="SQD178:SQI178"/>
    <mergeCell ref="SQJ178:SQO178"/>
    <mergeCell ref="SNV178:SOA178"/>
    <mergeCell ref="SOB178:SOG178"/>
    <mergeCell ref="SOH178:SOM178"/>
    <mergeCell ref="SON178:SOS178"/>
    <mergeCell ref="SOT178:SOY178"/>
    <mergeCell ref="SOZ178:SPE178"/>
    <mergeCell ref="SML178:SMQ178"/>
    <mergeCell ref="SMR178:SMW178"/>
    <mergeCell ref="SMX178:SNC178"/>
    <mergeCell ref="SND178:SNI178"/>
    <mergeCell ref="SNJ178:SNO178"/>
    <mergeCell ref="SNP178:SNU178"/>
    <mergeCell ref="STJ178:STO178"/>
    <mergeCell ref="STP178:STU178"/>
    <mergeCell ref="STV178:SUA178"/>
    <mergeCell ref="SUB178:SUG178"/>
    <mergeCell ref="SUH178:SUM178"/>
    <mergeCell ref="SUN178:SUS178"/>
    <mergeCell ref="SRZ178:SSE178"/>
    <mergeCell ref="SSF178:SSK178"/>
    <mergeCell ref="SSL178:SSQ178"/>
    <mergeCell ref="SSR178:SSW178"/>
    <mergeCell ref="SSX178:STC178"/>
    <mergeCell ref="STD178:STI178"/>
    <mergeCell ref="SQP178:SQU178"/>
    <mergeCell ref="SQV178:SRA178"/>
    <mergeCell ref="SRB178:SRG178"/>
    <mergeCell ref="SRH178:SRM178"/>
    <mergeCell ref="SRN178:SRS178"/>
    <mergeCell ref="SRT178:SRY178"/>
    <mergeCell ref="SXN178:SXS178"/>
    <mergeCell ref="SXT178:SXY178"/>
    <mergeCell ref="SXZ178:SYE178"/>
    <mergeCell ref="SYF178:SYK178"/>
    <mergeCell ref="SYL178:SYQ178"/>
    <mergeCell ref="SYR178:SYW178"/>
    <mergeCell ref="SWD178:SWI178"/>
    <mergeCell ref="SWJ178:SWO178"/>
    <mergeCell ref="SWP178:SWU178"/>
    <mergeCell ref="SWV178:SXA178"/>
    <mergeCell ref="SXB178:SXG178"/>
    <mergeCell ref="SXH178:SXM178"/>
    <mergeCell ref="SUT178:SUY178"/>
    <mergeCell ref="SUZ178:SVE178"/>
    <mergeCell ref="SVF178:SVK178"/>
    <mergeCell ref="SVL178:SVQ178"/>
    <mergeCell ref="SVR178:SVW178"/>
    <mergeCell ref="SVX178:SWC178"/>
    <mergeCell ref="TBR178:TBW178"/>
    <mergeCell ref="TBX178:TCC178"/>
    <mergeCell ref="TCD178:TCI178"/>
    <mergeCell ref="TCJ178:TCO178"/>
    <mergeCell ref="TCP178:TCU178"/>
    <mergeCell ref="TCV178:TDA178"/>
    <mergeCell ref="TAH178:TAM178"/>
    <mergeCell ref="TAN178:TAS178"/>
    <mergeCell ref="TAT178:TAY178"/>
    <mergeCell ref="TAZ178:TBE178"/>
    <mergeCell ref="TBF178:TBK178"/>
    <mergeCell ref="TBL178:TBQ178"/>
    <mergeCell ref="SYX178:SZC178"/>
    <mergeCell ref="SZD178:SZI178"/>
    <mergeCell ref="SZJ178:SZO178"/>
    <mergeCell ref="SZP178:SZU178"/>
    <mergeCell ref="SZV178:TAA178"/>
    <mergeCell ref="TAB178:TAG178"/>
    <mergeCell ref="TFV178:TGA178"/>
    <mergeCell ref="TGB178:TGG178"/>
    <mergeCell ref="TGH178:TGM178"/>
    <mergeCell ref="TGN178:TGS178"/>
    <mergeCell ref="TGT178:TGY178"/>
    <mergeCell ref="TGZ178:THE178"/>
    <mergeCell ref="TEL178:TEQ178"/>
    <mergeCell ref="TER178:TEW178"/>
    <mergeCell ref="TEX178:TFC178"/>
    <mergeCell ref="TFD178:TFI178"/>
    <mergeCell ref="TFJ178:TFO178"/>
    <mergeCell ref="TFP178:TFU178"/>
    <mergeCell ref="TDB178:TDG178"/>
    <mergeCell ref="TDH178:TDM178"/>
    <mergeCell ref="TDN178:TDS178"/>
    <mergeCell ref="TDT178:TDY178"/>
    <mergeCell ref="TDZ178:TEE178"/>
    <mergeCell ref="TEF178:TEK178"/>
    <mergeCell ref="TJZ178:TKE178"/>
    <mergeCell ref="TKF178:TKK178"/>
    <mergeCell ref="TKL178:TKQ178"/>
    <mergeCell ref="TKR178:TKW178"/>
    <mergeCell ref="TKX178:TLC178"/>
    <mergeCell ref="TLD178:TLI178"/>
    <mergeCell ref="TIP178:TIU178"/>
    <mergeCell ref="TIV178:TJA178"/>
    <mergeCell ref="TJB178:TJG178"/>
    <mergeCell ref="TJH178:TJM178"/>
    <mergeCell ref="TJN178:TJS178"/>
    <mergeCell ref="TJT178:TJY178"/>
    <mergeCell ref="THF178:THK178"/>
    <mergeCell ref="THL178:THQ178"/>
    <mergeCell ref="THR178:THW178"/>
    <mergeCell ref="THX178:TIC178"/>
    <mergeCell ref="TID178:TII178"/>
    <mergeCell ref="TIJ178:TIO178"/>
    <mergeCell ref="TOD178:TOI178"/>
    <mergeCell ref="TOJ178:TOO178"/>
    <mergeCell ref="TOP178:TOU178"/>
    <mergeCell ref="TOV178:TPA178"/>
    <mergeCell ref="TPB178:TPG178"/>
    <mergeCell ref="TPH178:TPM178"/>
    <mergeCell ref="TMT178:TMY178"/>
    <mergeCell ref="TMZ178:TNE178"/>
    <mergeCell ref="TNF178:TNK178"/>
    <mergeCell ref="TNL178:TNQ178"/>
    <mergeCell ref="TNR178:TNW178"/>
    <mergeCell ref="TNX178:TOC178"/>
    <mergeCell ref="TLJ178:TLO178"/>
    <mergeCell ref="TLP178:TLU178"/>
    <mergeCell ref="TLV178:TMA178"/>
    <mergeCell ref="TMB178:TMG178"/>
    <mergeCell ref="TMH178:TMM178"/>
    <mergeCell ref="TMN178:TMS178"/>
    <mergeCell ref="TSH178:TSM178"/>
    <mergeCell ref="TSN178:TSS178"/>
    <mergeCell ref="TST178:TSY178"/>
    <mergeCell ref="TSZ178:TTE178"/>
    <mergeCell ref="TTF178:TTK178"/>
    <mergeCell ref="TTL178:TTQ178"/>
    <mergeCell ref="TQX178:TRC178"/>
    <mergeCell ref="TRD178:TRI178"/>
    <mergeCell ref="TRJ178:TRO178"/>
    <mergeCell ref="TRP178:TRU178"/>
    <mergeCell ref="TRV178:TSA178"/>
    <mergeCell ref="TSB178:TSG178"/>
    <mergeCell ref="TPN178:TPS178"/>
    <mergeCell ref="TPT178:TPY178"/>
    <mergeCell ref="TPZ178:TQE178"/>
    <mergeCell ref="TQF178:TQK178"/>
    <mergeCell ref="TQL178:TQQ178"/>
    <mergeCell ref="TQR178:TQW178"/>
    <mergeCell ref="TWL178:TWQ178"/>
    <mergeCell ref="TWR178:TWW178"/>
    <mergeCell ref="TWX178:TXC178"/>
    <mergeCell ref="TXD178:TXI178"/>
    <mergeCell ref="TXJ178:TXO178"/>
    <mergeCell ref="TXP178:TXU178"/>
    <mergeCell ref="TVB178:TVG178"/>
    <mergeCell ref="TVH178:TVM178"/>
    <mergeCell ref="TVN178:TVS178"/>
    <mergeCell ref="TVT178:TVY178"/>
    <mergeCell ref="TVZ178:TWE178"/>
    <mergeCell ref="TWF178:TWK178"/>
    <mergeCell ref="TTR178:TTW178"/>
    <mergeCell ref="TTX178:TUC178"/>
    <mergeCell ref="TUD178:TUI178"/>
    <mergeCell ref="TUJ178:TUO178"/>
    <mergeCell ref="TUP178:TUU178"/>
    <mergeCell ref="TUV178:TVA178"/>
    <mergeCell ref="UAP178:UAU178"/>
    <mergeCell ref="UAV178:UBA178"/>
    <mergeCell ref="UBB178:UBG178"/>
    <mergeCell ref="UBH178:UBM178"/>
    <mergeCell ref="UBN178:UBS178"/>
    <mergeCell ref="UBT178:UBY178"/>
    <mergeCell ref="TZF178:TZK178"/>
    <mergeCell ref="TZL178:TZQ178"/>
    <mergeCell ref="TZR178:TZW178"/>
    <mergeCell ref="TZX178:UAC178"/>
    <mergeCell ref="UAD178:UAI178"/>
    <mergeCell ref="UAJ178:UAO178"/>
    <mergeCell ref="TXV178:TYA178"/>
    <mergeCell ref="TYB178:TYG178"/>
    <mergeCell ref="TYH178:TYM178"/>
    <mergeCell ref="TYN178:TYS178"/>
    <mergeCell ref="TYT178:TYY178"/>
    <mergeCell ref="TYZ178:TZE178"/>
    <mergeCell ref="UET178:UEY178"/>
    <mergeCell ref="UEZ178:UFE178"/>
    <mergeCell ref="UFF178:UFK178"/>
    <mergeCell ref="UFL178:UFQ178"/>
    <mergeCell ref="UFR178:UFW178"/>
    <mergeCell ref="UFX178:UGC178"/>
    <mergeCell ref="UDJ178:UDO178"/>
    <mergeCell ref="UDP178:UDU178"/>
    <mergeCell ref="UDV178:UEA178"/>
    <mergeCell ref="UEB178:UEG178"/>
    <mergeCell ref="UEH178:UEM178"/>
    <mergeCell ref="UEN178:UES178"/>
    <mergeCell ref="UBZ178:UCE178"/>
    <mergeCell ref="UCF178:UCK178"/>
    <mergeCell ref="UCL178:UCQ178"/>
    <mergeCell ref="UCR178:UCW178"/>
    <mergeCell ref="UCX178:UDC178"/>
    <mergeCell ref="UDD178:UDI178"/>
    <mergeCell ref="UIX178:UJC178"/>
    <mergeCell ref="UJD178:UJI178"/>
    <mergeCell ref="UJJ178:UJO178"/>
    <mergeCell ref="UJP178:UJU178"/>
    <mergeCell ref="UJV178:UKA178"/>
    <mergeCell ref="UKB178:UKG178"/>
    <mergeCell ref="UHN178:UHS178"/>
    <mergeCell ref="UHT178:UHY178"/>
    <mergeCell ref="UHZ178:UIE178"/>
    <mergeCell ref="UIF178:UIK178"/>
    <mergeCell ref="UIL178:UIQ178"/>
    <mergeCell ref="UIR178:UIW178"/>
    <mergeCell ref="UGD178:UGI178"/>
    <mergeCell ref="UGJ178:UGO178"/>
    <mergeCell ref="UGP178:UGU178"/>
    <mergeCell ref="UGV178:UHA178"/>
    <mergeCell ref="UHB178:UHG178"/>
    <mergeCell ref="UHH178:UHM178"/>
    <mergeCell ref="UNB178:UNG178"/>
    <mergeCell ref="UNH178:UNM178"/>
    <mergeCell ref="UNN178:UNS178"/>
    <mergeCell ref="UNT178:UNY178"/>
    <mergeCell ref="UNZ178:UOE178"/>
    <mergeCell ref="UOF178:UOK178"/>
    <mergeCell ref="ULR178:ULW178"/>
    <mergeCell ref="ULX178:UMC178"/>
    <mergeCell ref="UMD178:UMI178"/>
    <mergeCell ref="UMJ178:UMO178"/>
    <mergeCell ref="UMP178:UMU178"/>
    <mergeCell ref="UMV178:UNA178"/>
    <mergeCell ref="UKH178:UKM178"/>
    <mergeCell ref="UKN178:UKS178"/>
    <mergeCell ref="UKT178:UKY178"/>
    <mergeCell ref="UKZ178:ULE178"/>
    <mergeCell ref="ULF178:ULK178"/>
    <mergeCell ref="ULL178:ULQ178"/>
    <mergeCell ref="URF178:URK178"/>
    <mergeCell ref="URL178:URQ178"/>
    <mergeCell ref="URR178:URW178"/>
    <mergeCell ref="URX178:USC178"/>
    <mergeCell ref="USD178:USI178"/>
    <mergeCell ref="USJ178:USO178"/>
    <mergeCell ref="UPV178:UQA178"/>
    <mergeCell ref="UQB178:UQG178"/>
    <mergeCell ref="UQH178:UQM178"/>
    <mergeCell ref="UQN178:UQS178"/>
    <mergeCell ref="UQT178:UQY178"/>
    <mergeCell ref="UQZ178:URE178"/>
    <mergeCell ref="UOL178:UOQ178"/>
    <mergeCell ref="UOR178:UOW178"/>
    <mergeCell ref="UOX178:UPC178"/>
    <mergeCell ref="UPD178:UPI178"/>
    <mergeCell ref="UPJ178:UPO178"/>
    <mergeCell ref="UPP178:UPU178"/>
    <mergeCell ref="UVJ178:UVO178"/>
    <mergeCell ref="UVP178:UVU178"/>
    <mergeCell ref="UVV178:UWA178"/>
    <mergeCell ref="UWB178:UWG178"/>
    <mergeCell ref="UWH178:UWM178"/>
    <mergeCell ref="UWN178:UWS178"/>
    <mergeCell ref="UTZ178:UUE178"/>
    <mergeCell ref="UUF178:UUK178"/>
    <mergeCell ref="UUL178:UUQ178"/>
    <mergeCell ref="UUR178:UUW178"/>
    <mergeCell ref="UUX178:UVC178"/>
    <mergeCell ref="UVD178:UVI178"/>
    <mergeCell ref="USP178:USU178"/>
    <mergeCell ref="USV178:UTA178"/>
    <mergeCell ref="UTB178:UTG178"/>
    <mergeCell ref="UTH178:UTM178"/>
    <mergeCell ref="UTN178:UTS178"/>
    <mergeCell ref="UTT178:UTY178"/>
    <mergeCell ref="UZN178:UZS178"/>
    <mergeCell ref="UZT178:UZY178"/>
    <mergeCell ref="UZZ178:VAE178"/>
    <mergeCell ref="VAF178:VAK178"/>
    <mergeCell ref="VAL178:VAQ178"/>
    <mergeCell ref="VAR178:VAW178"/>
    <mergeCell ref="UYD178:UYI178"/>
    <mergeCell ref="UYJ178:UYO178"/>
    <mergeCell ref="UYP178:UYU178"/>
    <mergeCell ref="UYV178:UZA178"/>
    <mergeCell ref="UZB178:UZG178"/>
    <mergeCell ref="UZH178:UZM178"/>
    <mergeCell ref="UWT178:UWY178"/>
    <mergeCell ref="UWZ178:UXE178"/>
    <mergeCell ref="UXF178:UXK178"/>
    <mergeCell ref="UXL178:UXQ178"/>
    <mergeCell ref="UXR178:UXW178"/>
    <mergeCell ref="UXX178:UYC178"/>
    <mergeCell ref="VDR178:VDW178"/>
    <mergeCell ref="VDX178:VEC178"/>
    <mergeCell ref="VED178:VEI178"/>
    <mergeCell ref="VEJ178:VEO178"/>
    <mergeCell ref="VEP178:VEU178"/>
    <mergeCell ref="VEV178:VFA178"/>
    <mergeCell ref="VCH178:VCM178"/>
    <mergeCell ref="VCN178:VCS178"/>
    <mergeCell ref="VCT178:VCY178"/>
    <mergeCell ref="VCZ178:VDE178"/>
    <mergeCell ref="VDF178:VDK178"/>
    <mergeCell ref="VDL178:VDQ178"/>
    <mergeCell ref="VAX178:VBC178"/>
    <mergeCell ref="VBD178:VBI178"/>
    <mergeCell ref="VBJ178:VBO178"/>
    <mergeCell ref="VBP178:VBU178"/>
    <mergeCell ref="VBV178:VCA178"/>
    <mergeCell ref="VCB178:VCG178"/>
    <mergeCell ref="VHV178:VIA178"/>
    <mergeCell ref="VIB178:VIG178"/>
    <mergeCell ref="VIH178:VIM178"/>
    <mergeCell ref="VIN178:VIS178"/>
    <mergeCell ref="VIT178:VIY178"/>
    <mergeCell ref="VIZ178:VJE178"/>
    <mergeCell ref="VGL178:VGQ178"/>
    <mergeCell ref="VGR178:VGW178"/>
    <mergeCell ref="VGX178:VHC178"/>
    <mergeCell ref="VHD178:VHI178"/>
    <mergeCell ref="VHJ178:VHO178"/>
    <mergeCell ref="VHP178:VHU178"/>
    <mergeCell ref="VFB178:VFG178"/>
    <mergeCell ref="VFH178:VFM178"/>
    <mergeCell ref="VFN178:VFS178"/>
    <mergeCell ref="VFT178:VFY178"/>
    <mergeCell ref="VFZ178:VGE178"/>
    <mergeCell ref="VGF178:VGK178"/>
    <mergeCell ref="VLZ178:VME178"/>
    <mergeCell ref="VMF178:VMK178"/>
    <mergeCell ref="VML178:VMQ178"/>
    <mergeCell ref="VMR178:VMW178"/>
    <mergeCell ref="VMX178:VNC178"/>
    <mergeCell ref="VND178:VNI178"/>
    <mergeCell ref="VKP178:VKU178"/>
    <mergeCell ref="VKV178:VLA178"/>
    <mergeCell ref="VLB178:VLG178"/>
    <mergeCell ref="VLH178:VLM178"/>
    <mergeCell ref="VLN178:VLS178"/>
    <mergeCell ref="VLT178:VLY178"/>
    <mergeCell ref="VJF178:VJK178"/>
    <mergeCell ref="VJL178:VJQ178"/>
    <mergeCell ref="VJR178:VJW178"/>
    <mergeCell ref="VJX178:VKC178"/>
    <mergeCell ref="VKD178:VKI178"/>
    <mergeCell ref="VKJ178:VKO178"/>
    <mergeCell ref="VQD178:VQI178"/>
    <mergeCell ref="VQJ178:VQO178"/>
    <mergeCell ref="VQP178:VQU178"/>
    <mergeCell ref="VQV178:VRA178"/>
    <mergeCell ref="VRB178:VRG178"/>
    <mergeCell ref="VRH178:VRM178"/>
    <mergeCell ref="VOT178:VOY178"/>
    <mergeCell ref="VOZ178:VPE178"/>
    <mergeCell ref="VPF178:VPK178"/>
    <mergeCell ref="VPL178:VPQ178"/>
    <mergeCell ref="VPR178:VPW178"/>
    <mergeCell ref="VPX178:VQC178"/>
    <mergeCell ref="VNJ178:VNO178"/>
    <mergeCell ref="VNP178:VNU178"/>
    <mergeCell ref="VNV178:VOA178"/>
    <mergeCell ref="VOB178:VOG178"/>
    <mergeCell ref="VOH178:VOM178"/>
    <mergeCell ref="VON178:VOS178"/>
    <mergeCell ref="VUH178:VUM178"/>
    <mergeCell ref="VUN178:VUS178"/>
    <mergeCell ref="VUT178:VUY178"/>
    <mergeCell ref="VUZ178:VVE178"/>
    <mergeCell ref="VVF178:VVK178"/>
    <mergeCell ref="VVL178:VVQ178"/>
    <mergeCell ref="VSX178:VTC178"/>
    <mergeCell ref="VTD178:VTI178"/>
    <mergeCell ref="VTJ178:VTO178"/>
    <mergeCell ref="VTP178:VTU178"/>
    <mergeCell ref="VTV178:VUA178"/>
    <mergeCell ref="VUB178:VUG178"/>
    <mergeCell ref="VRN178:VRS178"/>
    <mergeCell ref="VRT178:VRY178"/>
    <mergeCell ref="VRZ178:VSE178"/>
    <mergeCell ref="VSF178:VSK178"/>
    <mergeCell ref="VSL178:VSQ178"/>
    <mergeCell ref="VSR178:VSW178"/>
    <mergeCell ref="WAN178:WAS178"/>
    <mergeCell ref="WAT178:WAY178"/>
    <mergeCell ref="WAZ178:WBE178"/>
    <mergeCell ref="VYL178:VYQ178"/>
    <mergeCell ref="VYR178:VYW178"/>
    <mergeCell ref="VYX178:VZC178"/>
    <mergeCell ref="VZD178:VZI178"/>
    <mergeCell ref="VZJ178:VZO178"/>
    <mergeCell ref="VZP178:VZU178"/>
    <mergeCell ref="VXB178:VXG178"/>
    <mergeCell ref="VXH178:VXM178"/>
    <mergeCell ref="VXN178:VXS178"/>
    <mergeCell ref="VXT178:VXY178"/>
    <mergeCell ref="VXZ178:VYE178"/>
    <mergeCell ref="VYF178:VYK178"/>
    <mergeCell ref="VVR178:VVW178"/>
    <mergeCell ref="VVX178:VWC178"/>
    <mergeCell ref="VWD178:VWI178"/>
    <mergeCell ref="VWJ178:VWO178"/>
    <mergeCell ref="VWP178:VWU178"/>
    <mergeCell ref="VWV178:VXA178"/>
    <mergeCell ref="WKX178:WLC178"/>
    <mergeCell ref="WLD178:WLI178"/>
    <mergeCell ref="WLJ178:WLO178"/>
    <mergeCell ref="WLP178:WLU178"/>
    <mergeCell ref="WLV178:WMA178"/>
    <mergeCell ref="WMB178:WMG178"/>
    <mergeCell ref="WJN178:WJS178"/>
    <mergeCell ref="WJT178:WJY178"/>
    <mergeCell ref="WJZ178:WKE178"/>
    <mergeCell ref="WKF178:WKK178"/>
    <mergeCell ref="WKL178:WKQ178"/>
    <mergeCell ref="WKR178:WKW178"/>
    <mergeCell ref="WGH178:WGM178"/>
    <mergeCell ref="WGN178:WGS178"/>
    <mergeCell ref="WDZ178:WEE178"/>
    <mergeCell ref="WEF178:WEK178"/>
    <mergeCell ref="WEL178:WEQ178"/>
    <mergeCell ref="WER178:WEW178"/>
    <mergeCell ref="WEX178:WFC178"/>
    <mergeCell ref="WFD178:WFI178"/>
    <mergeCell ref="WPH178:WPM178"/>
    <mergeCell ref="WPN178:WPS178"/>
    <mergeCell ref="WPT178:WPY178"/>
    <mergeCell ref="WPZ178:WQE178"/>
    <mergeCell ref="WQF178:WQK178"/>
    <mergeCell ref="WTR178:WTW178"/>
    <mergeCell ref="WTX178:WUC178"/>
    <mergeCell ref="WOD178:WOI178"/>
    <mergeCell ref="WOJ178:WOO178"/>
    <mergeCell ref="WOP178:WOU178"/>
    <mergeCell ref="WOV178:WPA178"/>
    <mergeCell ref="WMH178:WMM178"/>
    <mergeCell ref="WMN178:WMS178"/>
    <mergeCell ref="WMT178:WMY178"/>
    <mergeCell ref="WMZ178:WNE178"/>
    <mergeCell ref="WNF178:WNK178"/>
    <mergeCell ref="WNL178:WNQ178"/>
    <mergeCell ref="XET178:XEW178"/>
    <mergeCell ref="XCX178:XDC178"/>
    <mergeCell ref="XDD178:XDI178"/>
    <mergeCell ref="XDJ178:XDO178"/>
    <mergeCell ref="XDP178:XDU178"/>
    <mergeCell ref="XDV178:XEA178"/>
    <mergeCell ref="XEB178:XEG178"/>
    <mergeCell ref="XBN178:XBS178"/>
    <mergeCell ref="XBT178:XBY178"/>
    <mergeCell ref="XBZ178:XCE178"/>
    <mergeCell ref="XCF178:XCK178"/>
    <mergeCell ref="XCL178:XCQ178"/>
    <mergeCell ref="XCR178:XCW178"/>
    <mergeCell ref="XAD178:XAI178"/>
    <mergeCell ref="XAJ178:XAO178"/>
    <mergeCell ref="XAP178:XAU178"/>
    <mergeCell ref="XAV178:XBA178"/>
    <mergeCell ref="XBB178:XBG178"/>
    <mergeCell ref="XBH178:XBM178"/>
    <mergeCell ref="XEH178:XEM178"/>
    <mergeCell ref="XEN178:XES178"/>
    <mergeCell ref="WYT178:WYY178"/>
    <mergeCell ref="WYZ178:WZE178"/>
    <mergeCell ref="WZF178:WZK178"/>
    <mergeCell ref="WZL178:WZQ178"/>
    <mergeCell ref="WZR178:WZW178"/>
    <mergeCell ref="WZX178:XAC178"/>
    <mergeCell ref="WXJ178:WXO178"/>
    <mergeCell ref="WXP178:WXU178"/>
    <mergeCell ref="WXV178:WYA178"/>
    <mergeCell ref="WYB178:WYG178"/>
    <mergeCell ref="WYH178:WYM178"/>
    <mergeCell ref="WYN178:WYS178"/>
    <mergeCell ref="WVZ178:WWE178"/>
    <mergeCell ref="WWF178:WWK178"/>
    <mergeCell ref="WWL178:WWQ178"/>
    <mergeCell ref="WWR178:WWW178"/>
    <mergeCell ref="WWX178:WXC178"/>
    <mergeCell ref="WXD178:WXI178"/>
    <mergeCell ref="WUP178:WUU178"/>
    <mergeCell ref="WUV178:WVA178"/>
    <mergeCell ref="WVB178:WVG178"/>
    <mergeCell ref="WVH178:WVM178"/>
    <mergeCell ref="WVN178:WVS178"/>
    <mergeCell ref="WVT178:WVY178"/>
    <mergeCell ref="WTF178:WTK178"/>
    <mergeCell ref="WTL178:WTQ178"/>
    <mergeCell ref="A313:A314"/>
    <mergeCell ref="B313:C313"/>
    <mergeCell ref="D313:D314"/>
    <mergeCell ref="E313:F313"/>
    <mergeCell ref="G313:H313"/>
    <mergeCell ref="I313:J313"/>
    <mergeCell ref="K313:L313"/>
    <mergeCell ref="WNR178:WNW178"/>
    <mergeCell ref="WNX178:WOC178"/>
    <mergeCell ref="WUD178:WUI178"/>
    <mergeCell ref="WUJ178:WUO178"/>
    <mergeCell ref="WRV178:WSA178"/>
    <mergeCell ref="WSB178:WSG178"/>
    <mergeCell ref="WSH178:WSM178"/>
    <mergeCell ref="WSN178:WSS178"/>
    <mergeCell ref="WST178:WSY178"/>
    <mergeCell ref="WSZ178:WTE178"/>
    <mergeCell ref="WQL178:WQQ178"/>
    <mergeCell ref="WQR178:WQW178"/>
    <mergeCell ref="WQX178:WRC178"/>
    <mergeCell ref="WRD178:WRI178"/>
    <mergeCell ref="WRJ178:WRO178"/>
    <mergeCell ref="WRP178:WRU178"/>
    <mergeCell ref="WPB178:WPG178"/>
    <mergeCell ref="K433:L433"/>
    <mergeCell ref="WID178:WII178"/>
    <mergeCell ref="WIJ178:WIO178"/>
    <mergeCell ref="WIP178:WIU178"/>
    <mergeCell ref="WIV178:WJA178"/>
    <mergeCell ref="WJB178:WJG178"/>
    <mergeCell ref="WJH178:WJM178"/>
    <mergeCell ref="WGT178:WGY178"/>
    <mergeCell ref="WGZ178:WHE178"/>
    <mergeCell ref="WHF178:WHK178"/>
    <mergeCell ref="WHL178:WHQ178"/>
    <mergeCell ref="WHR178:WHW178"/>
    <mergeCell ref="WHX178:WIC178"/>
    <mergeCell ref="WFJ178:WFO178"/>
    <mergeCell ref="WFP178:WFU178"/>
    <mergeCell ref="WFV178:WGA178"/>
    <mergeCell ref="WGB178:WGG178"/>
    <mergeCell ref="WCP178:WCU178"/>
    <mergeCell ref="WCV178:WDA178"/>
    <mergeCell ref="WDB178:WDG178"/>
    <mergeCell ref="WDH178:WDM178"/>
    <mergeCell ref="WDN178:WDS178"/>
    <mergeCell ref="WDT178:WDY178"/>
    <mergeCell ref="WBF178:WBK178"/>
    <mergeCell ref="WBL178:WBQ178"/>
    <mergeCell ref="WBR178:WBW178"/>
    <mergeCell ref="WBX178:WCC178"/>
    <mergeCell ref="WCD178:WCI178"/>
    <mergeCell ref="WCJ178:WCO178"/>
    <mergeCell ref="VZV178:WAA178"/>
    <mergeCell ref="WAB178:WAG178"/>
    <mergeCell ref="WAH178:WAM178"/>
    <mergeCell ref="A481:A482"/>
    <mergeCell ref="B481:C481"/>
    <mergeCell ref="D481:D482"/>
    <mergeCell ref="E481:F481"/>
    <mergeCell ref="G481:H481"/>
    <mergeCell ref="A385:A386"/>
    <mergeCell ref="B385:C385"/>
    <mergeCell ref="D385:D386"/>
    <mergeCell ref="E385:F385"/>
    <mergeCell ref="G385:H385"/>
    <mergeCell ref="I385:J385"/>
    <mergeCell ref="K385:L385"/>
    <mergeCell ref="A409:A410"/>
    <mergeCell ref="B409:C409"/>
    <mergeCell ref="D409:D410"/>
    <mergeCell ref="E409:F409"/>
    <mergeCell ref="G409:H409"/>
    <mergeCell ref="I409:J409"/>
    <mergeCell ref="K409:L409"/>
    <mergeCell ref="I457:J457"/>
    <mergeCell ref="K457:L457"/>
    <mergeCell ref="A457:A458"/>
    <mergeCell ref="B457:C457"/>
    <mergeCell ref="D457:D458"/>
    <mergeCell ref="E457:F457"/>
    <mergeCell ref="G457:H457"/>
    <mergeCell ref="A433:A434"/>
    <mergeCell ref="B433:C433"/>
    <mergeCell ref="D433:D434"/>
    <mergeCell ref="E433:F433"/>
    <mergeCell ref="G433:H433"/>
    <mergeCell ref="I433:J433"/>
  </mergeCells>
  <phoneticPr fontId="17" type="noConversion"/>
  <pageMargins left="0.7" right="0.7" top="0.75" bottom="0.75" header="0.3" footer="0.3"/>
  <pageSetup orientation="landscape" horizontalDpi="200" verticalDpi="200" r:id="rId1"/>
  <headerFooter alignWithMargins="0"/>
  <ignoredErrors>
    <ignoredError sqref="D28:F36 F297:F300 H297:H300 J297:J300 F321:F324 G297:G300 I297:I300 K297:K300 K321:K324 I321:I324 G321:G324 F345:F348 H345:H348 J345:J348 F417:F420 H417:H420 J417:J420 F489:F492 F441:F444 H441:H444 J441:J444 G417:G420 I417:I420 K417:K420 F393:F396 H393:H396 J393:J396 F369:F372 H369:H372 J369:J372 G345:G348 I345:I348 K345:K348 H321:H324 J321:J324 G369:G372 I369:I372 K369:K372 G393:G396 I393:I396 K393:K396 G441:G444 I442:I444 K441:K444 G489:G492 D37:F38 I397 H465:H46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92D050"/>
    <pageSetUpPr fitToPage="1"/>
  </sheetPr>
  <dimension ref="A1:N52"/>
  <sheetViews>
    <sheetView tabSelected="1" zoomScaleNormal="100" workbookViewId="0">
      <pane xSplit="1" ySplit="3" topLeftCell="B10" activePane="bottomRight" state="frozen"/>
      <selection pane="topRight" activeCell="B1" sqref="B1"/>
      <selection pane="bottomLeft" activeCell="A4" sqref="A4"/>
      <selection pane="bottomRight" activeCell="L28" sqref="A28:L28"/>
    </sheetView>
  </sheetViews>
  <sheetFormatPr defaultRowHeight="12.75" x14ac:dyDescent="0.2"/>
  <cols>
    <col min="1" max="1" width="42.5703125" customWidth="1"/>
    <col min="2" max="2" width="16.140625" bestFit="1" customWidth="1"/>
    <col min="3" max="3" width="14" bestFit="1" customWidth="1"/>
    <col min="4" max="8" width="12.5703125" bestFit="1" customWidth="1"/>
    <col min="9" max="11" width="12.5703125" customWidth="1"/>
    <col min="12" max="13" width="12.5703125" bestFit="1" customWidth="1"/>
  </cols>
  <sheetData>
    <row r="1" spans="1:14" ht="15.75" x14ac:dyDescent="0.25">
      <c r="A1" s="27" t="s">
        <v>223</v>
      </c>
    </row>
    <row r="2" spans="1:14" x14ac:dyDescent="0.2">
      <c r="L2" s="29"/>
      <c r="M2" s="29" t="s">
        <v>209</v>
      </c>
    </row>
    <row r="3" spans="1:14" ht="25.5" x14ac:dyDescent="0.2">
      <c r="B3" s="29" t="s">
        <v>210</v>
      </c>
      <c r="C3" s="29" t="s">
        <v>207</v>
      </c>
      <c r="D3" s="29" t="s">
        <v>51</v>
      </c>
      <c r="E3" s="29" t="s">
        <v>52</v>
      </c>
      <c r="F3" s="29" t="s">
        <v>55</v>
      </c>
      <c r="G3" s="29" t="s">
        <v>56</v>
      </c>
      <c r="H3" s="29" t="s">
        <v>144</v>
      </c>
      <c r="I3" s="29" t="s">
        <v>69</v>
      </c>
      <c r="J3" s="29" t="s">
        <v>70</v>
      </c>
      <c r="K3" s="29" t="s">
        <v>222</v>
      </c>
      <c r="L3" s="29" t="s">
        <v>249</v>
      </c>
      <c r="M3" s="29" t="s">
        <v>107</v>
      </c>
    </row>
    <row r="4" spans="1:14" x14ac:dyDescent="0.2">
      <c r="A4" s="13" t="s">
        <v>42</v>
      </c>
      <c r="B4" s="20">
        <f>+'Power Purchased Model'!B152</f>
        <v>25737257.069999997</v>
      </c>
      <c r="C4" s="20">
        <f>+'Power Purchased Model'!B153</f>
        <v>34929593.239999995</v>
      </c>
      <c r="D4" s="20">
        <f>+'Power Purchased Model'!B154</f>
        <v>38074821.230769224</v>
      </c>
      <c r="E4" s="20">
        <f>+'Power Purchased Model'!B155</f>
        <v>32032893.047619052</v>
      </c>
      <c r="F4" s="20">
        <f>+'Power Purchased Model'!B156</f>
        <v>32615191.333333336</v>
      </c>
      <c r="G4" s="20">
        <f>+'Power Purchased Model'!B157</f>
        <v>31966205</v>
      </c>
      <c r="H4" s="20">
        <f>+'Power Purchased Model'!B158</f>
        <v>32780485.850000001</v>
      </c>
      <c r="I4" s="20">
        <f>+'Power Purchased Model'!B159</f>
        <v>33741759</v>
      </c>
      <c r="J4" s="20">
        <f>+'Power Purchased Model'!B160</f>
        <v>32081389</v>
      </c>
      <c r="K4" s="20">
        <f>+'Power Purchased Model'!B161</f>
        <v>31929641</v>
      </c>
    </row>
    <row r="5" spans="1:14" x14ac:dyDescent="0.2">
      <c r="A5" s="13" t="s">
        <v>43</v>
      </c>
      <c r="B5" s="20">
        <f>+'Power Purchased Model'!H152</f>
        <v>25885503.155275811</v>
      </c>
      <c r="C5" s="20">
        <f>+'Power Purchased Model'!H153</f>
        <v>34895860.022439003</v>
      </c>
      <c r="D5" s="20">
        <f>+'Power Purchased Model'!H154</f>
        <v>36268063.807231545</v>
      </c>
      <c r="E5" s="20">
        <f>+'Power Purchased Model'!H155</f>
        <v>32327823.883200567</v>
      </c>
      <c r="F5" s="20">
        <f>+'Power Purchased Model'!H156</f>
        <v>33368600.356360652</v>
      </c>
      <c r="G5" s="20">
        <f>+'Power Purchased Model'!H157</f>
        <v>32482536.697219722</v>
      </c>
      <c r="H5" s="20">
        <f>+'Power Purchased Model'!H158</f>
        <v>33781714.039513543</v>
      </c>
      <c r="I5" s="20">
        <f>+'Power Purchased Model'!H159</f>
        <v>33269503.836934485</v>
      </c>
      <c r="J5" s="20">
        <f>+'Power Purchased Model'!H160</f>
        <v>31668233.564430892</v>
      </c>
      <c r="K5" s="20">
        <f>+'Power Purchased Model'!H161</f>
        <v>32150170.482867278</v>
      </c>
      <c r="L5" s="20">
        <f>+'Power Purchased Model'!H162</f>
        <v>30692874.926248491</v>
      </c>
      <c r="M5" s="20">
        <f>+'Power Purchased Model'!H163</f>
        <v>31055128.783905894</v>
      </c>
    </row>
    <row r="6" spans="1:14" x14ac:dyDescent="0.2">
      <c r="A6" s="13" t="s">
        <v>7</v>
      </c>
      <c r="B6" s="28">
        <f t="shared" ref="B6:K6" si="0">(B5-B4)/B4</f>
        <v>5.7599799727148611E-3</v>
      </c>
      <c r="C6" s="28">
        <f t="shared" si="0"/>
        <v>-9.6574893756168031E-4</v>
      </c>
      <c r="D6" s="28">
        <f t="shared" si="0"/>
        <v>-4.745281435694812E-2</v>
      </c>
      <c r="E6" s="28">
        <f t="shared" si="0"/>
        <v>9.2071245373647782E-3</v>
      </c>
      <c r="F6" s="28">
        <f t="shared" si="0"/>
        <v>2.3099941843889096E-2</v>
      </c>
      <c r="G6" s="28">
        <f t="shared" si="0"/>
        <v>1.6152424012162908E-2</v>
      </c>
      <c r="H6" s="28">
        <f t="shared" si="0"/>
        <v>3.0543421293236925E-2</v>
      </c>
      <c r="I6" s="28">
        <f t="shared" si="0"/>
        <v>-1.3996163124320681E-2</v>
      </c>
      <c r="J6" s="28">
        <f t="shared" si="0"/>
        <v>-1.2878352479348931E-2</v>
      </c>
      <c r="K6" s="28">
        <f t="shared" si="0"/>
        <v>6.9067323014147938E-3</v>
      </c>
    </row>
    <row r="7" spans="1:14" x14ac:dyDescent="0.2">
      <c r="A7" s="13"/>
      <c r="B7" s="28"/>
      <c r="C7" s="28"/>
      <c r="D7" s="28"/>
      <c r="E7" s="28"/>
      <c r="F7" s="28"/>
      <c r="G7" s="28"/>
      <c r="H7" s="28"/>
      <c r="I7" s="28"/>
      <c r="J7" s="28"/>
      <c r="K7" s="28"/>
      <c r="L7" s="20"/>
      <c r="M7" s="20"/>
    </row>
    <row r="8" spans="1:14" x14ac:dyDescent="0.2">
      <c r="A8" s="13"/>
      <c r="B8" s="28"/>
      <c r="C8" s="28"/>
      <c r="D8" s="28"/>
      <c r="E8" s="28"/>
      <c r="F8" s="28"/>
      <c r="G8" s="28"/>
      <c r="H8" s="28"/>
      <c r="I8" s="28"/>
      <c r="J8" s="28"/>
      <c r="K8" s="28"/>
      <c r="L8" s="33"/>
      <c r="M8" s="33"/>
    </row>
    <row r="9" spans="1:14" x14ac:dyDescent="0.2">
      <c r="A9" s="13"/>
      <c r="B9" s="28"/>
      <c r="C9" s="28"/>
      <c r="D9" s="28"/>
      <c r="E9" s="28"/>
      <c r="F9" s="28"/>
      <c r="G9" s="28"/>
      <c r="H9" s="28"/>
      <c r="I9" s="28"/>
      <c r="J9" s="28"/>
      <c r="K9" s="28"/>
    </row>
    <row r="10" spans="1:14" x14ac:dyDescent="0.2">
      <c r="A10" s="13" t="s">
        <v>57</v>
      </c>
      <c r="B10" s="6">
        <f>'Rate Class Energy Model'!G3</f>
        <v>23376739.190000001</v>
      </c>
      <c r="C10" s="6">
        <f>'Rate Class Energy Model'!G4</f>
        <v>32406292.23</v>
      </c>
      <c r="D10" s="6">
        <f>'Rate Class Energy Model'!G5</f>
        <v>35534462.879999995</v>
      </c>
      <c r="E10" s="6">
        <f>'Rate Class Energy Model'!G6</f>
        <v>29609898.409999996</v>
      </c>
      <c r="F10" s="6">
        <f>'Rate Class Energy Model'!G7</f>
        <v>30145503.620000001</v>
      </c>
      <c r="G10" s="6">
        <f>'Rate Class Energy Model'!G8</f>
        <v>29573579.190388303</v>
      </c>
      <c r="H10" s="6">
        <f>'Rate Class Energy Model'!G9</f>
        <v>30497927.909999996</v>
      </c>
      <c r="I10" s="6">
        <f>'Rate Class Energy Model'!G10</f>
        <v>31687365.220000003</v>
      </c>
      <c r="J10" s="6">
        <f>'Rate Class Energy Model'!G11</f>
        <v>29981191.059999999</v>
      </c>
      <c r="K10" s="6">
        <f>'Rate Class Energy Model'!G12</f>
        <v>29786783.909999996</v>
      </c>
      <c r="L10" s="6">
        <f>'Rate Class Energy Model'!G13</f>
        <v>28877832.060000002</v>
      </c>
      <c r="M10" s="6">
        <f>'Rate Class Energy Model'!G14</f>
        <v>28835476.776684482</v>
      </c>
    </row>
    <row r="11" spans="1:14" x14ac:dyDescent="0.2">
      <c r="A11" s="13"/>
      <c r="L11" s="6"/>
      <c r="M11" s="6"/>
    </row>
    <row r="12" spans="1:14" ht="15.75" x14ac:dyDescent="0.25">
      <c r="A12" s="27" t="s">
        <v>44</v>
      </c>
      <c r="C12" s="1"/>
      <c r="E12" s="1"/>
      <c r="H12" s="33"/>
    </row>
    <row r="13" spans="1:14" x14ac:dyDescent="0.2">
      <c r="A13" s="26" t="str">
        <f>'Rate Class Energy Model'!H2</f>
        <v>Residential</v>
      </c>
      <c r="C13" s="1"/>
      <c r="D13" s="1"/>
      <c r="E13" s="1"/>
      <c r="H13" s="6"/>
      <c r="I13" s="6"/>
      <c r="J13" s="6"/>
      <c r="K13" s="6"/>
      <c r="L13" s="6"/>
      <c r="M13" s="6"/>
    </row>
    <row r="14" spans="1:14" x14ac:dyDescent="0.2">
      <c r="A14" t="s">
        <v>36</v>
      </c>
      <c r="B14" s="6">
        <f>'Rate Class Customer Model'!B11</f>
        <v>1408.75</v>
      </c>
      <c r="C14" s="6">
        <f>'Rate Class Customer Model'!B12</f>
        <v>1404.25</v>
      </c>
      <c r="D14" s="6">
        <f>'Rate Class Customer Model'!B13</f>
        <v>1396.0833333333333</v>
      </c>
      <c r="E14" s="6">
        <f>'Rate Class Customer Model'!B14</f>
        <v>1389.75</v>
      </c>
      <c r="F14" s="6">
        <f>'Rate Class Customer Model'!B15</f>
        <v>1384.75</v>
      </c>
      <c r="G14" s="6">
        <f>'Rate Class Customer Model'!B16</f>
        <v>1382.1666666666667</v>
      </c>
      <c r="H14" s="6">
        <f>'Rate Class Customer Model'!B17</f>
        <v>1382.1666666666667</v>
      </c>
      <c r="I14" s="6">
        <f>'Rate Class Customer Model'!B18</f>
        <v>1375.3333333333333</v>
      </c>
      <c r="J14" s="6">
        <f>'Rate Class Customer Model'!B19</f>
        <v>1374.25</v>
      </c>
      <c r="K14" s="6">
        <f>'Rate Class Customer Model'!B20</f>
        <v>1373.25</v>
      </c>
      <c r="L14" s="6">
        <f>'Rate Class Customer Model'!B21</f>
        <v>1371.4166666666667</v>
      </c>
      <c r="M14" s="6">
        <f>'Rate Class Customer Model'!B22</f>
        <v>1367.7381869430576</v>
      </c>
      <c r="N14" s="33"/>
    </row>
    <row r="15" spans="1:14" x14ac:dyDescent="0.2">
      <c r="A15" t="s">
        <v>37</v>
      </c>
      <c r="B15" s="6">
        <f>'Rate Class Energy Model'!H3</f>
        <v>9746016.6500000004</v>
      </c>
      <c r="C15" s="6">
        <f>'Rate Class Energy Model'!H4</f>
        <v>9228521.790000001</v>
      </c>
      <c r="D15" s="6">
        <f>'Rate Class Energy Model'!H5</f>
        <v>8885317.2299999986</v>
      </c>
      <c r="E15" s="32">
        <f>'Rate Class Energy Model'!H6</f>
        <v>8711446.4899999984</v>
      </c>
      <c r="F15" s="6">
        <f>'Rate Class Energy Model'!H7</f>
        <v>9142615.4499999993</v>
      </c>
      <c r="G15" s="6">
        <f>'Rate Class Energy Model'!H8</f>
        <v>9094155.1499999985</v>
      </c>
      <c r="H15" s="6">
        <f>'Rate Class Energy Model'!H9</f>
        <v>9262308.5</v>
      </c>
      <c r="I15" s="6">
        <f>'Rate Class Energy Model'!H10</f>
        <v>9440222.7800000012</v>
      </c>
      <c r="J15" s="6">
        <f>'Rate Class Energy Model'!H11</f>
        <v>9369383.0700000003</v>
      </c>
      <c r="K15" s="6">
        <f>'Rate Class Energy Model'!H12</f>
        <v>8825872.7699999996</v>
      </c>
      <c r="L15" s="6">
        <f>'Rate Class Energy Model'!H13</f>
        <v>8779856.7200000007</v>
      </c>
      <c r="M15" s="6">
        <f>'Rate Class Energy Model'!H29</f>
        <v>8853696.5193797834</v>
      </c>
      <c r="N15" s="33"/>
    </row>
    <row r="16" spans="1:14" x14ac:dyDescent="0.2">
      <c r="C16" s="32"/>
      <c r="F16" s="33"/>
      <c r="G16" s="33"/>
      <c r="I16" s="33"/>
      <c r="J16" s="33"/>
      <c r="K16" s="33"/>
      <c r="L16" s="33"/>
      <c r="M16" s="33"/>
      <c r="N16" s="33"/>
    </row>
    <row r="17" spans="1:14" x14ac:dyDescent="0.2">
      <c r="A17" s="26" t="str">
        <f>'Rate Class Energy Model'!I2</f>
        <v>General Service &lt; 50 kW</v>
      </c>
      <c r="C17" s="43"/>
      <c r="D17" s="1"/>
      <c r="E17" s="1"/>
      <c r="F17" s="1"/>
      <c r="G17" s="6"/>
      <c r="H17" s="6"/>
      <c r="I17" s="6"/>
      <c r="J17" s="6"/>
      <c r="K17" s="6"/>
      <c r="L17" s="6"/>
      <c r="M17" s="6"/>
      <c r="N17" s="33"/>
    </row>
    <row r="18" spans="1:14" ht="13.5" customHeight="1" x14ac:dyDescent="0.2">
      <c r="A18" t="s">
        <v>36</v>
      </c>
      <c r="B18" s="6">
        <f>'Rate Class Customer Model'!C11</f>
        <v>234.16666666666666</v>
      </c>
      <c r="C18" s="6">
        <f>'Rate Class Customer Model'!C12</f>
        <v>235.41666666666666</v>
      </c>
      <c r="D18" s="6">
        <f>'Rate Class Customer Model'!C13</f>
        <v>231.41666666666666</v>
      </c>
      <c r="E18" s="6">
        <f>'Rate Class Customer Model'!C14</f>
        <v>232.5</v>
      </c>
      <c r="F18" s="6">
        <f>'Rate Class Customer Model'!C15</f>
        <v>233.16666666666666</v>
      </c>
      <c r="G18" s="6">
        <f>'Rate Class Customer Model'!C16</f>
        <v>233</v>
      </c>
      <c r="H18" s="6">
        <f>'Rate Class Customer Model'!C17</f>
        <v>231.41666666666666</v>
      </c>
      <c r="I18" s="6">
        <f>'Rate Class Customer Model'!C18</f>
        <v>232.83333333333334</v>
      </c>
      <c r="J18" s="6">
        <f>'Rate Class Customer Model'!C19</f>
        <v>232.16666666666666</v>
      </c>
      <c r="K18" s="6">
        <f>'Rate Class Customer Model'!C20</f>
        <v>232.66666666666666</v>
      </c>
      <c r="L18" s="6">
        <f>'Rate Class Customer Model'!C21</f>
        <v>233.91666666666666</v>
      </c>
      <c r="M18" s="6">
        <f>'Rate Class Customer Model'!C22</f>
        <v>233.89168135108605</v>
      </c>
      <c r="N18" s="33"/>
    </row>
    <row r="19" spans="1:14" x14ac:dyDescent="0.2">
      <c r="A19" t="s">
        <v>37</v>
      </c>
      <c r="B19" s="6">
        <f>'Rate Class Energy Model'!I3</f>
        <v>5326984.41</v>
      </c>
      <c r="C19" s="6">
        <f>'Rate Class Energy Model'!I4</f>
        <v>5132274.67</v>
      </c>
      <c r="D19" s="6">
        <f>'Rate Class Energy Model'!I5</f>
        <v>4951710.95</v>
      </c>
      <c r="E19" s="6">
        <f>'Rate Class Energy Model'!I6</f>
        <v>4776480.3099999996</v>
      </c>
      <c r="F19" s="6">
        <f>'Rate Class Energy Model'!I7</f>
        <v>4728871.66</v>
      </c>
      <c r="G19" s="6">
        <f>'Rate Class Energy Model'!I8</f>
        <v>4649964.6899999995</v>
      </c>
      <c r="H19" s="6">
        <f>'Rate Class Energy Model'!I9</f>
        <v>4251506.3099999996</v>
      </c>
      <c r="I19" s="6">
        <f>'Rate Class Energy Model'!I10</f>
        <v>4361718.66</v>
      </c>
      <c r="J19" s="6">
        <f>'Rate Class Energy Model'!I11</f>
        <v>4638599.13</v>
      </c>
      <c r="K19" s="6">
        <f>'Rate Class Energy Model'!I12</f>
        <v>4501424.13</v>
      </c>
      <c r="L19" s="6">
        <f>'Rate Class Energy Model'!I13</f>
        <v>4660998.8900000006</v>
      </c>
      <c r="M19" s="6">
        <f>'Rate Class Energy Model'!I29</f>
        <v>4712336.142814598</v>
      </c>
      <c r="N19" s="33"/>
    </row>
    <row r="20" spans="1:14" x14ac:dyDescent="0.2">
      <c r="B20" s="6"/>
      <c r="C20" s="1"/>
      <c r="G20" s="33"/>
      <c r="I20" s="33"/>
      <c r="J20" s="33"/>
      <c r="K20" s="33"/>
      <c r="L20" s="33"/>
      <c r="M20" s="33"/>
      <c r="N20" s="33"/>
    </row>
    <row r="21" spans="1:14" x14ac:dyDescent="0.2">
      <c r="A21" s="26" t="str">
        <f>'Rate Class Energy Model'!J2</f>
        <v>General Service &gt; 50 to 4999 kW</v>
      </c>
      <c r="B21" s="6"/>
      <c r="C21" s="1"/>
      <c r="D21" s="1"/>
      <c r="E21" s="1"/>
      <c r="F21" s="1"/>
      <c r="N21" s="33"/>
    </row>
    <row r="22" spans="1:14" x14ac:dyDescent="0.2">
      <c r="A22" t="s">
        <v>36</v>
      </c>
      <c r="B22" s="6">
        <f>'Rate Class Customer Model'!D11</f>
        <v>18.75</v>
      </c>
      <c r="C22" s="6">
        <f>'Rate Class Customer Model'!D12</f>
        <v>18.75</v>
      </c>
      <c r="D22" s="6">
        <f>'Rate Class Customer Model'!D13</f>
        <v>17.416666666666668</v>
      </c>
      <c r="E22" s="6">
        <f>'Rate Class Customer Model'!D14</f>
        <v>17</v>
      </c>
      <c r="F22" s="6">
        <f>'Rate Class Customer Model'!D15</f>
        <v>16.666666666666668</v>
      </c>
      <c r="G22" s="6">
        <f>'Rate Class Customer Model'!D16</f>
        <v>16</v>
      </c>
      <c r="H22" s="6">
        <f>'Rate Class Customer Model'!D17</f>
        <v>16</v>
      </c>
      <c r="I22" s="6">
        <f>'Rate Class Customer Model'!D18</f>
        <v>15.833333333333334</v>
      </c>
      <c r="J22" s="6">
        <f>'Rate Class Customer Model'!D19</f>
        <v>16.333333333333332</v>
      </c>
      <c r="K22" s="6">
        <f>'Rate Class Customer Model'!D20</f>
        <v>16</v>
      </c>
      <c r="L22" s="6">
        <f>'Rate Class Customer Model'!D21</f>
        <v>15.333333333333334</v>
      </c>
      <c r="M22" s="6">
        <f>'Rate Class Customer Model'!D22</f>
        <v>15.02796266523036</v>
      </c>
      <c r="N22" s="33"/>
    </row>
    <row r="23" spans="1:14" x14ac:dyDescent="0.2">
      <c r="A23" t="s">
        <v>37</v>
      </c>
      <c r="B23" s="6">
        <f>'Rate Class Energy Model'!J3</f>
        <v>7837175.5100000007</v>
      </c>
      <c r="C23" s="6">
        <f>'Rate Class Energy Model'!J4</f>
        <v>17581899.640000001</v>
      </c>
      <c r="D23" s="6">
        <f>'Rate Class Energy Model'!J5</f>
        <v>21235005.439999998</v>
      </c>
      <c r="E23" s="6">
        <f>'Rate Class Energy Model'!J6</f>
        <v>15667365</v>
      </c>
      <c r="F23" s="6">
        <f>'Rate Class Energy Model'!J7</f>
        <v>15854585.91</v>
      </c>
      <c r="G23" s="6">
        <f>'Rate Class Energy Model'!J8</f>
        <v>15421989.340388302</v>
      </c>
      <c r="H23" s="6">
        <f>'Rate Class Energy Model'!J9</f>
        <v>16578363.700000001</v>
      </c>
      <c r="I23" s="6">
        <f>'Rate Class Energy Model'!J10</f>
        <v>17481240.91</v>
      </c>
      <c r="J23" s="6">
        <f>'Rate Class Energy Model'!J11</f>
        <v>15578432.450000001</v>
      </c>
      <c r="K23" s="6">
        <f>'Rate Class Energy Model'!J12</f>
        <v>16062198.299999999</v>
      </c>
      <c r="L23" s="6">
        <f>'Rate Class Energy Model'!J13</f>
        <v>15081903.560000002</v>
      </c>
      <c r="M23" s="6">
        <f>'Rate Class Energy Model'!J29</f>
        <v>14914371.224490099</v>
      </c>
      <c r="N23" s="33"/>
    </row>
    <row r="24" spans="1:14" x14ac:dyDescent="0.2">
      <c r="A24" t="s">
        <v>38</v>
      </c>
      <c r="B24" s="6">
        <f>'Rate Class Load Model'!B2</f>
        <v>24636.35</v>
      </c>
      <c r="C24" s="6">
        <f>'Rate Class Load Model'!B3</f>
        <v>50558.44999999999</v>
      </c>
      <c r="D24" s="6">
        <f>'Rate Class Load Model'!B4</f>
        <v>53769.410000000011</v>
      </c>
      <c r="E24" s="6">
        <f>'Rate Class Load Model'!B5</f>
        <v>50147.540000000008</v>
      </c>
      <c r="F24" s="6">
        <f>'Rate Class Load Model'!B6</f>
        <v>55782.540000000008</v>
      </c>
      <c r="G24" s="6">
        <f>'Rate Class Load Model'!B7</f>
        <v>48321.4</v>
      </c>
      <c r="H24" s="6">
        <f>'Rate Class Load Model'!B8</f>
        <v>47169.919999999998</v>
      </c>
      <c r="I24" s="6">
        <f>'Rate Class Load Model'!B9</f>
        <v>49426.239999999998</v>
      </c>
      <c r="J24" s="6">
        <f>'Rate Class Load Model'!B10</f>
        <v>46588.650000000009</v>
      </c>
      <c r="K24" s="6">
        <f>'Rate Class Load Model'!B11</f>
        <v>48332.42</v>
      </c>
      <c r="L24" s="6">
        <f>'Rate Class Load Model'!B12</f>
        <v>45627.18</v>
      </c>
      <c r="M24" s="6">
        <f>'Rate Class Load Model'!B13</f>
        <v>44856.438696787365</v>
      </c>
      <c r="N24" s="33"/>
    </row>
    <row r="25" spans="1:14" x14ac:dyDescent="0.2">
      <c r="B25" s="6"/>
      <c r="C25" s="6"/>
      <c r="D25" s="6"/>
      <c r="E25" s="6"/>
      <c r="F25" s="6"/>
      <c r="G25" s="6"/>
      <c r="H25" s="6"/>
      <c r="I25" s="6"/>
      <c r="K25" s="6"/>
      <c r="L25" s="6"/>
      <c r="M25" s="6"/>
      <c r="N25" s="33"/>
    </row>
    <row r="26" spans="1:14" x14ac:dyDescent="0.2">
      <c r="A26" s="26" t="str">
        <f>'Rate Class Energy Model'!K2</f>
        <v>Street Lights</v>
      </c>
      <c r="E26" s="1"/>
      <c r="F26" s="1"/>
      <c r="H26" s="1"/>
      <c r="K26" s="6"/>
      <c r="N26" s="33"/>
    </row>
    <row r="27" spans="1:14" x14ac:dyDescent="0.2">
      <c r="A27" t="s">
        <v>39</v>
      </c>
      <c r="B27" s="6">
        <f>'Rate Class Customer Model'!E11</f>
        <v>630</v>
      </c>
      <c r="C27" s="6">
        <f>'Rate Class Customer Model'!E12</f>
        <v>627.08333333333337</v>
      </c>
      <c r="D27" s="6">
        <f>'Rate Class Customer Model'!E13</f>
        <v>625</v>
      </c>
      <c r="E27" s="6">
        <f>'Rate Class Customer Model'!E14</f>
        <v>626</v>
      </c>
      <c r="F27" s="6">
        <f>'Rate Class Customer Model'!E15</f>
        <v>626</v>
      </c>
      <c r="G27" s="6">
        <f>'Rate Class Customer Model'!E16</f>
        <v>626</v>
      </c>
      <c r="H27" s="6">
        <f>'Rate Class Customer Model'!E17</f>
        <v>624</v>
      </c>
      <c r="I27" s="6">
        <f>'Rate Class Customer Model'!E18</f>
        <v>624</v>
      </c>
      <c r="J27" s="6">
        <f>'Rate Class Customer Model'!E19</f>
        <v>622</v>
      </c>
      <c r="K27" s="6">
        <f>'Rate Class Customer Model'!E20</f>
        <v>621.33333333333337</v>
      </c>
      <c r="L27" s="6">
        <f>'Rate Class Customer Model'!E21</f>
        <v>622</v>
      </c>
      <c r="M27" s="6">
        <f>'Rate Class Customer Model'!E22</f>
        <v>622</v>
      </c>
      <c r="N27" s="33"/>
    </row>
    <row r="28" spans="1:14" x14ac:dyDescent="0.2">
      <c r="A28" s="6" t="e">
        <f>'Rate Class Energy Model'!#REF!</f>
        <v>#REF!</v>
      </c>
      <c r="B28" s="6">
        <f>'Rate Class Energy Model'!A13</f>
        <v>2024</v>
      </c>
      <c r="C28" s="6">
        <f>'Rate Class Energy Model'!B13</f>
        <v>30901649</v>
      </c>
      <c r="D28" s="6">
        <f>'Rate Class Energy Model'!C13</f>
        <v>30692874.926248491</v>
      </c>
      <c r="E28" s="6">
        <f>'Rate Class Energy Model'!D13</f>
        <v>-208774.07375150919</v>
      </c>
      <c r="F28" s="6">
        <f>'Rate Class Energy Model'!E13</f>
        <v>-6.7560819732147368E-3</v>
      </c>
      <c r="G28" s="6">
        <f>'Rate Class Energy Model'!F13</f>
        <v>1.0700820247099947</v>
      </c>
      <c r="H28" s="6">
        <f>'Rate Class Energy Model'!G13</f>
        <v>28877832.060000002</v>
      </c>
      <c r="I28" s="6">
        <f>'Rate Class Energy Model'!H13</f>
        <v>8779856.7200000007</v>
      </c>
      <c r="J28" s="6">
        <f>'Rate Class Energy Model'!I13</f>
        <v>4660998.8900000006</v>
      </c>
      <c r="K28" s="6">
        <f>'Rate Class Energy Model'!J13</f>
        <v>15081903.560000002</v>
      </c>
      <c r="L28" s="6">
        <f>'Rate Class Energy Model'!K13</f>
        <v>355072.89</v>
      </c>
      <c r="M28" s="6">
        <f>'Rate Class Energy Model'!K29</f>
        <v>355072.89</v>
      </c>
      <c r="N28" s="33"/>
    </row>
    <row r="29" spans="1:14" x14ac:dyDescent="0.2">
      <c r="A29" t="s">
        <v>38</v>
      </c>
      <c r="B29" s="6">
        <f>'Rate Class Load Model'!C2</f>
        <v>1446.7199999999996</v>
      </c>
      <c r="C29" s="6">
        <f>'Rate Class Load Model'!C3</f>
        <v>1436.0099999999998</v>
      </c>
      <c r="D29" s="6">
        <f>'Rate Class Load Model'!C4</f>
        <v>1432.5600000000004</v>
      </c>
      <c r="E29" s="6">
        <f>'Rate Class Load Model'!C5</f>
        <v>1409.64</v>
      </c>
      <c r="F29" s="6">
        <f>'Rate Class Load Model'!C6</f>
        <v>1300.56</v>
      </c>
      <c r="G29" s="6">
        <f>'Rate Class Load Model'!C7</f>
        <v>1263.4799999999998</v>
      </c>
      <c r="H29" s="6">
        <f>'Rate Class Load Model'!C8</f>
        <v>1253.2800000000004</v>
      </c>
      <c r="I29" s="6">
        <f>'Rate Class Load Model'!C9</f>
        <v>1253.2800000000004</v>
      </c>
      <c r="J29" s="6">
        <f>'Rate Class Load Model'!C10</f>
        <v>1153.8000000000002</v>
      </c>
      <c r="K29" s="6">
        <f>'Rate Class Load Model'!C11</f>
        <v>1112.5200000000002</v>
      </c>
      <c r="L29" s="6">
        <f>'Rate Class Load Model'!C12</f>
        <v>1057.6799999999998</v>
      </c>
      <c r="M29" s="6">
        <f>'Rate Class Load Model'!C13</f>
        <v>1057.6799999999998</v>
      </c>
      <c r="N29" s="33"/>
    </row>
    <row r="30" spans="1:14" x14ac:dyDescent="0.2">
      <c r="H30" s="6"/>
      <c r="I30" s="6"/>
      <c r="K30" s="6"/>
      <c r="L30" s="6"/>
      <c r="M30" s="6"/>
    </row>
    <row r="32" spans="1:14" x14ac:dyDescent="0.2">
      <c r="A32" s="26" t="s">
        <v>8</v>
      </c>
      <c r="C32" s="1"/>
      <c r="E32" s="1"/>
      <c r="H32" s="41"/>
    </row>
    <row r="33" spans="1:13" x14ac:dyDescent="0.2">
      <c r="A33" t="s">
        <v>41</v>
      </c>
      <c r="B33" s="6">
        <f>+B14+B18+B22+B27</f>
        <v>2291.666666666667</v>
      </c>
      <c r="C33" s="6">
        <f>+C14+C18+C22+C27</f>
        <v>2285.5</v>
      </c>
      <c r="D33" s="6">
        <f t="shared" ref="D33:M33" si="1">+D14+D18+D22+D27</f>
        <v>2269.916666666667</v>
      </c>
      <c r="E33" s="6">
        <f t="shared" si="1"/>
        <v>2265.25</v>
      </c>
      <c r="F33" s="6">
        <f t="shared" si="1"/>
        <v>2260.5833333333335</v>
      </c>
      <c r="G33" s="6">
        <f t="shared" si="1"/>
        <v>2257.166666666667</v>
      </c>
      <c r="H33" s="6">
        <f t="shared" si="1"/>
        <v>2253.5833333333335</v>
      </c>
      <c r="I33" s="6">
        <f t="shared" si="1"/>
        <v>2248</v>
      </c>
      <c r="J33" s="6">
        <f t="shared" si="1"/>
        <v>2244.75</v>
      </c>
      <c r="K33" s="6">
        <f t="shared" si="1"/>
        <v>2243.25</v>
      </c>
      <c r="L33" s="6">
        <f t="shared" si="1"/>
        <v>2242.666666666667</v>
      </c>
      <c r="M33" s="6">
        <f t="shared" si="1"/>
        <v>2238.6578309593742</v>
      </c>
    </row>
    <row r="34" spans="1:13" x14ac:dyDescent="0.2">
      <c r="A34" t="s">
        <v>37</v>
      </c>
      <c r="B34" s="6">
        <f>+B15+B19+B23+B28</f>
        <v>22912200.57</v>
      </c>
      <c r="C34" s="6">
        <f>+C15+C19+C23+C28</f>
        <v>62844345.100000001</v>
      </c>
      <c r="D34" s="6">
        <f t="shared" ref="D34:M34" si="2">+D15+D19+D23+D28</f>
        <v>65764908.546248488</v>
      </c>
      <c r="E34" s="6">
        <f t="shared" si="2"/>
        <v>28946517.726248488</v>
      </c>
      <c r="F34" s="6">
        <f t="shared" si="2"/>
        <v>29726073.013243917</v>
      </c>
      <c r="G34" s="6">
        <f t="shared" si="2"/>
        <v>29166110.250470325</v>
      </c>
      <c r="H34" s="6">
        <f t="shared" si="2"/>
        <v>58970010.57</v>
      </c>
      <c r="I34" s="6">
        <f t="shared" si="2"/>
        <v>40063039.07</v>
      </c>
      <c r="J34" s="6">
        <f t="shared" si="2"/>
        <v>34247413.539999999</v>
      </c>
      <c r="K34" s="6">
        <f t="shared" si="2"/>
        <v>44471398.759999998</v>
      </c>
      <c r="L34" s="6">
        <f t="shared" si="2"/>
        <v>28877832.060000002</v>
      </c>
      <c r="M34" s="6">
        <f t="shared" si="2"/>
        <v>28835476.776684482</v>
      </c>
    </row>
    <row r="35" spans="1:13" x14ac:dyDescent="0.2">
      <c r="A35" t="s">
        <v>40</v>
      </c>
      <c r="B35" s="6">
        <f>+B24+B29</f>
        <v>26083.07</v>
      </c>
      <c r="C35" s="6">
        <f>+C24+C29</f>
        <v>51994.459999999992</v>
      </c>
      <c r="D35" s="6">
        <f t="shared" ref="D35:M35" si="3">+D24+D29</f>
        <v>55201.970000000008</v>
      </c>
      <c r="E35" s="6">
        <f t="shared" si="3"/>
        <v>51557.180000000008</v>
      </c>
      <c r="F35" s="6">
        <f t="shared" si="3"/>
        <v>57083.100000000006</v>
      </c>
      <c r="G35" s="6">
        <f t="shared" si="3"/>
        <v>49584.880000000005</v>
      </c>
      <c r="H35" s="6">
        <f t="shared" si="3"/>
        <v>48423.199999999997</v>
      </c>
      <c r="I35" s="6">
        <f t="shared" si="3"/>
        <v>50679.519999999997</v>
      </c>
      <c r="J35" s="6">
        <f t="shared" si="3"/>
        <v>47742.450000000012</v>
      </c>
      <c r="K35" s="6">
        <f t="shared" si="3"/>
        <v>49444.939999999995</v>
      </c>
      <c r="L35" s="6">
        <f t="shared" si="3"/>
        <v>46684.86</v>
      </c>
      <c r="M35" s="6">
        <f t="shared" si="3"/>
        <v>45914.118696787365</v>
      </c>
    </row>
    <row r="36" spans="1:13" x14ac:dyDescent="0.2">
      <c r="C36" s="41"/>
      <c r="D36" s="1"/>
      <c r="E36" s="1"/>
      <c r="F36" s="1"/>
    </row>
    <row r="37" spans="1:13" x14ac:dyDescent="0.2">
      <c r="A37" t="s">
        <v>41</v>
      </c>
      <c r="B37" s="6">
        <f>'Rate Class Customer Model'!F11</f>
        <v>2291.666666666667</v>
      </c>
      <c r="C37" s="6">
        <f>'Rate Class Customer Model'!F12</f>
        <v>2285.5</v>
      </c>
      <c r="D37" s="6">
        <f>'Rate Class Customer Model'!F13</f>
        <v>2269.916666666667</v>
      </c>
      <c r="E37" s="6">
        <f>'Rate Class Customer Model'!F14</f>
        <v>2265.25</v>
      </c>
      <c r="F37" s="6">
        <f>'Rate Class Customer Model'!F15</f>
        <v>2260.5833333333335</v>
      </c>
      <c r="G37" s="6">
        <f>'Rate Class Customer Model'!F16</f>
        <v>2257.166666666667</v>
      </c>
      <c r="H37" s="6">
        <f>'Rate Class Customer Model'!F17</f>
        <v>2253.5833333333335</v>
      </c>
      <c r="I37" s="6">
        <f>'Rate Class Customer Model'!F18</f>
        <v>2248</v>
      </c>
      <c r="J37" s="6">
        <f>'Rate Class Customer Model'!F19</f>
        <v>2244.75</v>
      </c>
      <c r="K37" s="6">
        <f>'Rate Class Customer Model'!F20</f>
        <v>2243.25</v>
      </c>
      <c r="L37" s="6">
        <f>'Rate Class Customer Model'!F21</f>
        <v>2242.666666666667</v>
      </c>
      <c r="M37" s="6">
        <f>'Rate Class Customer Model'!F22</f>
        <v>2238.6578309593742</v>
      </c>
    </row>
    <row r="38" spans="1:13" x14ac:dyDescent="0.2">
      <c r="A38" t="s">
        <v>37</v>
      </c>
      <c r="B38" s="6">
        <f>'Rate Class Energy Model'!G3</f>
        <v>23376739.190000001</v>
      </c>
      <c r="C38" s="6">
        <f>'Rate Class Energy Model'!G4</f>
        <v>32406292.23</v>
      </c>
      <c r="D38" s="6">
        <f>'Rate Class Energy Model'!G5</f>
        <v>35534462.879999995</v>
      </c>
      <c r="E38" s="6">
        <f>'Rate Class Energy Model'!G6</f>
        <v>29609898.409999996</v>
      </c>
      <c r="F38" s="6">
        <f>'Rate Class Energy Model'!G7</f>
        <v>30145503.620000001</v>
      </c>
      <c r="G38" s="6">
        <f>'Rate Class Energy Model'!G8</f>
        <v>29573579.190388303</v>
      </c>
      <c r="H38" s="6">
        <f>'Rate Class Energy Model'!G9</f>
        <v>30497927.909999996</v>
      </c>
      <c r="I38" s="6">
        <f>'Rate Class Energy Model'!G10</f>
        <v>31687365.220000003</v>
      </c>
      <c r="J38" s="6">
        <f>'Rate Class Energy Model'!G11</f>
        <v>29981191.059999999</v>
      </c>
      <c r="K38" s="6">
        <f>'Rate Class Energy Model'!G12</f>
        <v>29786783.909999996</v>
      </c>
      <c r="L38" s="6">
        <f>'Rate Class Energy Model'!G13</f>
        <v>28877832.060000002</v>
      </c>
      <c r="M38" s="6">
        <f>'Rate Class Energy Model'!L29</f>
        <v>28835476.776684482</v>
      </c>
    </row>
    <row r="39" spans="1:13" x14ac:dyDescent="0.2">
      <c r="A39" t="s">
        <v>40</v>
      </c>
      <c r="B39" s="6">
        <f>'Rate Class Load Model'!D2</f>
        <v>26083.07</v>
      </c>
      <c r="C39" s="6">
        <f>'Rate Class Load Model'!D3</f>
        <v>51994.459999999992</v>
      </c>
      <c r="D39" s="6">
        <f>'Rate Class Load Model'!D4</f>
        <v>55201.970000000008</v>
      </c>
      <c r="E39" s="6">
        <f>'Rate Class Load Model'!D5</f>
        <v>51557.180000000008</v>
      </c>
      <c r="F39" s="6">
        <f>'Rate Class Load Model'!D6</f>
        <v>57083.100000000006</v>
      </c>
      <c r="G39" s="6">
        <f>'Rate Class Load Model'!D7</f>
        <v>49584.880000000005</v>
      </c>
      <c r="H39" s="6">
        <f>'Rate Class Load Model'!D8</f>
        <v>48423.199999999997</v>
      </c>
      <c r="I39" s="6">
        <f>'Rate Class Load Model'!D9</f>
        <v>50679.519999999997</v>
      </c>
      <c r="J39" s="6">
        <f>'Rate Class Load Model'!D10</f>
        <v>47742.450000000012</v>
      </c>
      <c r="K39" s="6">
        <f>'Rate Class Load Model'!D11</f>
        <v>49444.939999999995</v>
      </c>
      <c r="L39" s="6">
        <f>'Rate Class Load Model'!D12</f>
        <v>46684.86</v>
      </c>
      <c r="M39" s="6">
        <f>'Rate Class Load Model'!D13</f>
        <v>45914.118696787365</v>
      </c>
    </row>
    <row r="41" spans="1:13" hidden="1" x14ac:dyDescent="0.2">
      <c r="A41" t="s">
        <v>41</v>
      </c>
      <c r="H41" s="6">
        <f>'Rate Class Load Model'!D12</f>
        <v>46684.86</v>
      </c>
      <c r="I41" s="6" t="e">
        <f>#REF!</f>
        <v>#REF!</v>
      </c>
      <c r="J41" s="6"/>
      <c r="K41" s="6"/>
      <c r="L41" s="6" t="e">
        <f>#REF!</f>
        <v>#REF!</v>
      </c>
      <c r="M41" s="6" t="e">
        <f>#REF!</f>
        <v>#REF!</v>
      </c>
    </row>
    <row r="42" spans="1:13" hidden="1" x14ac:dyDescent="0.2">
      <c r="A42" t="s">
        <v>37</v>
      </c>
      <c r="H42" s="6">
        <f>'Rate Class Load Model'!D13</f>
        <v>45914.118696787365</v>
      </c>
      <c r="I42" s="6" t="e">
        <f>#REF!</f>
        <v>#REF!</v>
      </c>
      <c r="J42" s="6"/>
      <c r="K42" s="6"/>
      <c r="L42" s="6" t="e">
        <f>#REF!</f>
        <v>#REF!</v>
      </c>
      <c r="M42" s="6" t="e">
        <f>#REF!</f>
        <v>#REF!</v>
      </c>
    </row>
    <row r="43" spans="1:13" hidden="1" x14ac:dyDescent="0.2">
      <c r="A43" t="s">
        <v>40</v>
      </c>
      <c r="H43" s="6">
        <f>'Rate Class Load Model'!D14</f>
        <v>0</v>
      </c>
      <c r="I43" s="6" t="e">
        <f>#REF!</f>
        <v>#REF!</v>
      </c>
      <c r="J43" s="6"/>
      <c r="K43" s="6"/>
      <c r="L43" s="6" t="e">
        <f>#REF!</f>
        <v>#REF!</v>
      </c>
      <c r="M43" s="6" t="e">
        <f>#REF!</f>
        <v>#REF!</v>
      </c>
    </row>
    <row r="44" spans="1:13" hidden="1" x14ac:dyDescent="0.2">
      <c r="H44" s="6">
        <f>'Rate Class Load Model'!D15</f>
        <v>0</v>
      </c>
    </row>
    <row r="45" spans="1:13" hidden="1" x14ac:dyDescent="0.2">
      <c r="A45" t="s">
        <v>41</v>
      </c>
      <c r="H45" s="6">
        <f>'Rate Class Load Model'!D16</f>
        <v>0</v>
      </c>
      <c r="I45" s="6" t="e">
        <f>#REF!-I41</f>
        <v>#REF!</v>
      </c>
      <c r="J45" s="6"/>
      <c r="K45" s="6"/>
      <c r="L45" s="6" t="e">
        <f>#REF!-L41</f>
        <v>#REF!</v>
      </c>
      <c r="M45" s="6" t="e">
        <f>#REF!-M41</f>
        <v>#REF!</v>
      </c>
    </row>
    <row r="46" spans="1:13" hidden="1" x14ac:dyDescent="0.2">
      <c r="A46" t="s">
        <v>37</v>
      </c>
      <c r="H46" s="6">
        <f>'Rate Class Load Model'!D17</f>
        <v>0</v>
      </c>
      <c r="I46" s="6" t="e">
        <f>#REF!-I42</f>
        <v>#REF!</v>
      </c>
      <c r="J46" s="6"/>
      <c r="K46" s="6"/>
      <c r="L46" s="6" t="e">
        <f>#REF!-L42</f>
        <v>#REF!</v>
      </c>
      <c r="M46" s="6" t="e">
        <f>#REF!-M42</f>
        <v>#REF!</v>
      </c>
    </row>
    <row r="47" spans="1:13" hidden="1" x14ac:dyDescent="0.2">
      <c r="A47" t="s">
        <v>40</v>
      </c>
      <c r="H47" s="6">
        <f>'Rate Class Load Model'!D18</f>
        <v>0</v>
      </c>
      <c r="I47" s="6" t="e">
        <f>#REF!-I43</f>
        <v>#REF!</v>
      </c>
      <c r="J47" s="6"/>
      <c r="K47" s="6"/>
      <c r="L47" s="6" t="e">
        <f>#REF!-L43</f>
        <v>#REF!</v>
      </c>
      <c r="M47" s="6" t="e">
        <f>#REF!-M43</f>
        <v>#REF!</v>
      </c>
    </row>
    <row r="48" spans="1:13" hidden="1" x14ac:dyDescent="0.2">
      <c r="H48" s="6">
        <f>'Rate Class Load Model'!D19</f>
        <v>0</v>
      </c>
    </row>
    <row r="49" spans="1:13" x14ac:dyDescent="0.2">
      <c r="A49" s="40" t="s">
        <v>13</v>
      </c>
      <c r="H49" s="6"/>
    </row>
    <row r="50" spans="1:13" x14ac:dyDescent="0.2">
      <c r="A50" t="s">
        <v>41</v>
      </c>
      <c r="B50" s="6">
        <f t="shared" ref="B50:M50" si="4">B33-B37</f>
        <v>0</v>
      </c>
      <c r="C50" s="6">
        <f t="shared" si="4"/>
        <v>0</v>
      </c>
      <c r="D50" s="6">
        <f t="shared" si="4"/>
        <v>0</v>
      </c>
      <c r="E50" s="6">
        <f t="shared" si="4"/>
        <v>0</v>
      </c>
      <c r="F50" s="6">
        <f t="shared" si="4"/>
        <v>0</v>
      </c>
      <c r="G50" s="6">
        <f t="shared" si="4"/>
        <v>0</v>
      </c>
      <c r="H50" s="6">
        <f t="shared" si="4"/>
        <v>0</v>
      </c>
      <c r="I50" s="6">
        <f t="shared" si="4"/>
        <v>0</v>
      </c>
      <c r="J50" s="6">
        <f t="shared" ref="J50:K52" si="5">J33-J37</f>
        <v>0</v>
      </c>
      <c r="K50" s="6">
        <f t="shared" si="5"/>
        <v>0</v>
      </c>
      <c r="L50" s="6">
        <f t="shared" si="4"/>
        <v>0</v>
      </c>
      <c r="M50" s="6">
        <f t="shared" si="4"/>
        <v>0</v>
      </c>
    </row>
    <row r="51" spans="1:13" x14ac:dyDescent="0.2">
      <c r="A51" t="s">
        <v>37</v>
      </c>
      <c r="B51" s="6">
        <f>B34-B38</f>
        <v>-464538.62000000104</v>
      </c>
      <c r="C51" s="6">
        <f t="shared" ref="C51:M51" si="6">C34-C38</f>
        <v>30438052.870000001</v>
      </c>
      <c r="D51" s="6">
        <f t="shared" si="6"/>
        <v>30230445.666248493</v>
      </c>
      <c r="E51" s="6">
        <f t="shared" si="6"/>
        <v>-663380.68375150859</v>
      </c>
      <c r="F51" s="6">
        <f t="shared" si="6"/>
        <v>-419430.60675608367</v>
      </c>
      <c r="G51" s="6">
        <f t="shared" si="6"/>
        <v>-407468.9399179779</v>
      </c>
      <c r="H51" s="6">
        <f t="shared" si="6"/>
        <v>28472082.660000004</v>
      </c>
      <c r="I51" s="6">
        <f t="shared" si="6"/>
        <v>8375673.8499999978</v>
      </c>
      <c r="J51" s="6">
        <f t="shared" si="5"/>
        <v>4266222.4800000004</v>
      </c>
      <c r="K51" s="6">
        <f t="shared" si="5"/>
        <v>14684614.850000001</v>
      </c>
      <c r="L51" s="6">
        <f t="shared" si="6"/>
        <v>0</v>
      </c>
      <c r="M51" s="6">
        <f t="shared" si="6"/>
        <v>0</v>
      </c>
    </row>
    <row r="52" spans="1:13" x14ac:dyDescent="0.2">
      <c r="A52" t="s">
        <v>40</v>
      </c>
      <c r="B52" s="6">
        <f t="shared" ref="B52:M52" si="7">B35-B39</f>
        <v>0</v>
      </c>
      <c r="C52" s="6">
        <f t="shared" si="7"/>
        <v>0</v>
      </c>
      <c r="D52" s="6">
        <f t="shared" si="7"/>
        <v>0</v>
      </c>
      <c r="E52" s="6">
        <f t="shared" si="7"/>
        <v>0</v>
      </c>
      <c r="F52" s="6">
        <f t="shared" si="7"/>
        <v>0</v>
      </c>
      <c r="G52" s="6">
        <f t="shared" si="7"/>
        <v>0</v>
      </c>
      <c r="H52" s="6">
        <f t="shared" si="7"/>
        <v>0</v>
      </c>
      <c r="I52" s="6">
        <f t="shared" si="7"/>
        <v>0</v>
      </c>
      <c r="J52" s="6">
        <f t="shared" si="5"/>
        <v>0</v>
      </c>
      <c r="K52" s="6">
        <f t="shared" si="5"/>
        <v>0</v>
      </c>
      <c r="L52" s="6">
        <f t="shared" si="7"/>
        <v>0</v>
      </c>
      <c r="M52" s="6">
        <f t="shared" si="7"/>
        <v>0</v>
      </c>
    </row>
  </sheetData>
  <phoneticPr fontId="0" type="noConversion"/>
  <pageMargins left="0.38" right="0.75" top="0.73" bottom="0.74" header="0.5" footer="0.5"/>
  <pageSetup scale="64" fitToHeight="2" orientation="landscape" r:id="rId1"/>
  <headerFooter alignWithMargins="0">
    <oddFooter>&amp;L&amp;Z&amp;F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1CB1C-F5FC-42A4-93FC-49ED38E5CC22}">
  <sheetPr>
    <tabColor theme="0" tint="-0.14999847407452621"/>
  </sheetPr>
  <dimension ref="A3:Z155"/>
  <sheetViews>
    <sheetView showGridLines="0" topLeftCell="A124" zoomScale="85" zoomScaleNormal="85" workbookViewId="0">
      <pane xSplit="2" topLeftCell="C1" activePane="topRight" state="frozen"/>
      <selection pane="topRight" activeCell="L36" sqref="L36"/>
    </sheetView>
  </sheetViews>
  <sheetFormatPr defaultRowHeight="12.75" x14ac:dyDescent="0.2"/>
  <cols>
    <col min="1" max="2" width="15.140625" style="54" customWidth="1"/>
    <col min="3" max="3" width="15.140625" customWidth="1"/>
    <col min="4" max="6" width="15.140625" style="55" customWidth="1"/>
    <col min="7" max="7" width="15.140625" customWidth="1"/>
    <col min="8" max="8" width="15.140625" style="55" customWidth="1"/>
    <col min="9" max="10" width="14.5703125" style="54" customWidth="1"/>
    <col min="11" max="17" width="14" style="54" customWidth="1"/>
    <col min="18" max="18" width="2.140625" customWidth="1"/>
    <col min="19" max="20" width="14" style="54" customWidth="1"/>
    <col min="21" max="22" width="13.28515625" style="54" customWidth="1"/>
    <col min="23" max="24" width="12.85546875" style="54" bestFit="1" customWidth="1"/>
    <col min="25" max="25" width="13.28515625" style="250" bestFit="1" customWidth="1"/>
    <col min="26" max="26" width="11.5703125" style="54" customWidth="1"/>
    <col min="27" max="247" width="9.140625" style="54"/>
    <col min="248" max="248" width="31" style="54" customWidth="1"/>
    <col min="249" max="249" width="18.5703125" style="54" customWidth="1"/>
    <col min="250" max="250" width="3.85546875" style="54" customWidth="1"/>
    <col min="251" max="251" width="18.7109375" style="54" customWidth="1"/>
    <col min="252" max="260" width="14" style="54" customWidth="1"/>
    <col min="261" max="261" width="13" style="54" bestFit="1" customWidth="1"/>
    <col min="262" max="262" width="14.5703125" style="54" bestFit="1" customWidth="1"/>
    <col min="263" max="263" width="12.140625" style="54" bestFit="1" customWidth="1"/>
    <col min="264" max="274" width="14" style="54" customWidth="1"/>
    <col min="275" max="278" width="13.28515625" style="54" customWidth="1"/>
    <col min="279" max="503" width="9.140625" style="54"/>
    <col min="504" max="504" width="31" style="54" customWidth="1"/>
    <col min="505" max="505" width="18.5703125" style="54" customWidth="1"/>
    <col min="506" max="506" width="3.85546875" style="54" customWidth="1"/>
    <col min="507" max="507" width="18.7109375" style="54" customWidth="1"/>
    <col min="508" max="516" width="14" style="54" customWidth="1"/>
    <col min="517" max="517" width="13" style="54" bestFit="1" customWidth="1"/>
    <col min="518" max="518" width="14.5703125" style="54" bestFit="1" customWidth="1"/>
    <col min="519" max="519" width="12.140625" style="54" bestFit="1" customWidth="1"/>
    <col min="520" max="530" width="14" style="54" customWidth="1"/>
    <col min="531" max="534" width="13.28515625" style="54" customWidth="1"/>
    <col min="535" max="759" width="9.140625" style="54"/>
    <col min="760" max="760" width="31" style="54" customWidth="1"/>
    <col min="761" max="761" width="18.5703125" style="54" customWidth="1"/>
    <col min="762" max="762" width="3.85546875" style="54" customWidth="1"/>
    <col min="763" max="763" width="18.7109375" style="54" customWidth="1"/>
    <col min="764" max="772" width="14" style="54" customWidth="1"/>
    <col min="773" max="773" width="13" style="54" bestFit="1" customWidth="1"/>
    <col min="774" max="774" width="14.5703125" style="54" bestFit="1" customWidth="1"/>
    <col min="775" max="775" width="12.140625" style="54" bestFit="1" customWidth="1"/>
    <col min="776" max="786" width="14" style="54" customWidth="1"/>
    <col min="787" max="790" width="13.28515625" style="54" customWidth="1"/>
    <col min="791" max="1015" width="9.140625" style="54"/>
    <col min="1016" max="1016" width="31" style="54" customWidth="1"/>
    <col min="1017" max="1017" width="18.5703125" style="54" customWidth="1"/>
    <col min="1018" max="1018" width="3.85546875" style="54" customWidth="1"/>
    <col min="1019" max="1019" width="18.7109375" style="54" customWidth="1"/>
    <col min="1020" max="1028" width="14" style="54" customWidth="1"/>
    <col min="1029" max="1029" width="13" style="54" bestFit="1" customWidth="1"/>
    <col min="1030" max="1030" width="14.5703125" style="54" bestFit="1" customWidth="1"/>
    <col min="1031" max="1031" width="12.140625" style="54" bestFit="1" customWidth="1"/>
    <col min="1032" max="1042" width="14" style="54" customWidth="1"/>
    <col min="1043" max="1046" width="13.28515625" style="54" customWidth="1"/>
    <col min="1047" max="1271" width="9.140625" style="54"/>
    <col min="1272" max="1272" width="31" style="54" customWidth="1"/>
    <col min="1273" max="1273" width="18.5703125" style="54" customWidth="1"/>
    <col min="1274" max="1274" width="3.85546875" style="54" customWidth="1"/>
    <col min="1275" max="1275" width="18.7109375" style="54" customWidth="1"/>
    <col min="1276" max="1284" width="14" style="54" customWidth="1"/>
    <col min="1285" max="1285" width="13" style="54" bestFit="1" customWidth="1"/>
    <col min="1286" max="1286" width="14.5703125" style="54" bestFit="1" customWidth="1"/>
    <col min="1287" max="1287" width="12.140625" style="54" bestFit="1" customWidth="1"/>
    <col min="1288" max="1298" width="14" style="54" customWidth="1"/>
    <col min="1299" max="1302" width="13.28515625" style="54" customWidth="1"/>
    <col min="1303" max="1527" width="9.140625" style="54"/>
    <col min="1528" max="1528" width="31" style="54" customWidth="1"/>
    <col min="1529" max="1529" width="18.5703125" style="54" customWidth="1"/>
    <col min="1530" max="1530" width="3.85546875" style="54" customWidth="1"/>
    <col min="1531" max="1531" width="18.7109375" style="54" customWidth="1"/>
    <col min="1532" max="1540" width="14" style="54" customWidth="1"/>
    <col min="1541" max="1541" width="13" style="54" bestFit="1" customWidth="1"/>
    <col min="1542" max="1542" width="14.5703125" style="54" bestFit="1" customWidth="1"/>
    <col min="1543" max="1543" width="12.140625" style="54" bestFit="1" customWidth="1"/>
    <col min="1544" max="1554" width="14" style="54" customWidth="1"/>
    <col min="1555" max="1558" width="13.28515625" style="54" customWidth="1"/>
    <col min="1559" max="1783" width="9.140625" style="54"/>
    <col min="1784" max="1784" width="31" style="54" customWidth="1"/>
    <col min="1785" max="1785" width="18.5703125" style="54" customWidth="1"/>
    <col min="1786" max="1786" width="3.85546875" style="54" customWidth="1"/>
    <col min="1787" max="1787" width="18.7109375" style="54" customWidth="1"/>
    <col min="1788" max="1796" width="14" style="54" customWidth="1"/>
    <col min="1797" max="1797" width="13" style="54" bestFit="1" customWidth="1"/>
    <col min="1798" max="1798" width="14.5703125" style="54" bestFit="1" customWidth="1"/>
    <col min="1799" max="1799" width="12.140625" style="54" bestFit="1" customWidth="1"/>
    <col min="1800" max="1810" width="14" style="54" customWidth="1"/>
    <col min="1811" max="1814" width="13.28515625" style="54" customWidth="1"/>
    <col min="1815" max="2039" width="9.140625" style="54"/>
    <col min="2040" max="2040" width="31" style="54" customWidth="1"/>
    <col min="2041" max="2041" width="18.5703125" style="54" customWidth="1"/>
    <col min="2042" max="2042" width="3.85546875" style="54" customWidth="1"/>
    <col min="2043" max="2043" width="18.7109375" style="54" customWidth="1"/>
    <col min="2044" max="2052" width="14" style="54" customWidth="1"/>
    <col min="2053" max="2053" width="13" style="54" bestFit="1" customWidth="1"/>
    <col min="2054" max="2054" width="14.5703125" style="54" bestFit="1" customWidth="1"/>
    <col min="2055" max="2055" width="12.140625" style="54" bestFit="1" customWidth="1"/>
    <col min="2056" max="2066" width="14" style="54" customWidth="1"/>
    <col min="2067" max="2070" width="13.28515625" style="54" customWidth="1"/>
    <col min="2071" max="2295" width="9.140625" style="54"/>
    <col min="2296" max="2296" width="31" style="54" customWidth="1"/>
    <col min="2297" max="2297" width="18.5703125" style="54" customWidth="1"/>
    <col min="2298" max="2298" width="3.85546875" style="54" customWidth="1"/>
    <col min="2299" max="2299" width="18.7109375" style="54" customWidth="1"/>
    <col min="2300" max="2308" width="14" style="54" customWidth="1"/>
    <col min="2309" max="2309" width="13" style="54" bestFit="1" customWidth="1"/>
    <col min="2310" max="2310" width="14.5703125" style="54" bestFit="1" customWidth="1"/>
    <col min="2311" max="2311" width="12.140625" style="54" bestFit="1" customWidth="1"/>
    <col min="2312" max="2322" width="14" style="54" customWidth="1"/>
    <col min="2323" max="2326" width="13.28515625" style="54" customWidth="1"/>
    <col min="2327" max="2551" width="9.140625" style="54"/>
    <col min="2552" max="2552" width="31" style="54" customWidth="1"/>
    <col min="2553" max="2553" width="18.5703125" style="54" customWidth="1"/>
    <col min="2554" max="2554" width="3.85546875" style="54" customWidth="1"/>
    <col min="2555" max="2555" width="18.7109375" style="54" customWidth="1"/>
    <col min="2556" max="2564" width="14" style="54" customWidth="1"/>
    <col min="2565" max="2565" width="13" style="54" bestFit="1" customWidth="1"/>
    <col min="2566" max="2566" width="14.5703125" style="54" bestFit="1" customWidth="1"/>
    <col min="2567" max="2567" width="12.140625" style="54" bestFit="1" customWidth="1"/>
    <col min="2568" max="2578" width="14" style="54" customWidth="1"/>
    <col min="2579" max="2582" width="13.28515625" style="54" customWidth="1"/>
    <col min="2583" max="2807" width="9.140625" style="54"/>
    <col min="2808" max="2808" width="31" style="54" customWidth="1"/>
    <col min="2809" max="2809" width="18.5703125" style="54" customWidth="1"/>
    <col min="2810" max="2810" width="3.85546875" style="54" customWidth="1"/>
    <col min="2811" max="2811" width="18.7109375" style="54" customWidth="1"/>
    <col min="2812" max="2820" width="14" style="54" customWidth="1"/>
    <col min="2821" max="2821" width="13" style="54" bestFit="1" customWidth="1"/>
    <col min="2822" max="2822" width="14.5703125" style="54" bestFit="1" customWidth="1"/>
    <col min="2823" max="2823" width="12.140625" style="54" bestFit="1" customWidth="1"/>
    <col min="2824" max="2834" width="14" style="54" customWidth="1"/>
    <col min="2835" max="2838" width="13.28515625" style="54" customWidth="1"/>
    <col min="2839" max="3063" width="9.140625" style="54"/>
    <col min="3064" max="3064" width="31" style="54" customWidth="1"/>
    <col min="3065" max="3065" width="18.5703125" style="54" customWidth="1"/>
    <col min="3066" max="3066" width="3.85546875" style="54" customWidth="1"/>
    <col min="3067" max="3067" width="18.7109375" style="54" customWidth="1"/>
    <col min="3068" max="3076" width="14" style="54" customWidth="1"/>
    <col min="3077" max="3077" width="13" style="54" bestFit="1" customWidth="1"/>
    <col min="3078" max="3078" width="14.5703125" style="54" bestFit="1" customWidth="1"/>
    <col min="3079" max="3079" width="12.140625" style="54" bestFit="1" customWidth="1"/>
    <col min="3080" max="3090" width="14" style="54" customWidth="1"/>
    <col min="3091" max="3094" width="13.28515625" style="54" customWidth="1"/>
    <col min="3095" max="3319" width="9.140625" style="54"/>
    <col min="3320" max="3320" width="31" style="54" customWidth="1"/>
    <col min="3321" max="3321" width="18.5703125" style="54" customWidth="1"/>
    <col min="3322" max="3322" width="3.85546875" style="54" customWidth="1"/>
    <col min="3323" max="3323" width="18.7109375" style="54" customWidth="1"/>
    <col min="3324" max="3332" width="14" style="54" customWidth="1"/>
    <col min="3333" max="3333" width="13" style="54" bestFit="1" customWidth="1"/>
    <col min="3334" max="3334" width="14.5703125" style="54" bestFit="1" customWidth="1"/>
    <col min="3335" max="3335" width="12.140625" style="54" bestFit="1" customWidth="1"/>
    <col min="3336" max="3346" width="14" style="54" customWidth="1"/>
    <col min="3347" max="3350" width="13.28515625" style="54" customWidth="1"/>
    <col min="3351" max="3575" width="9.140625" style="54"/>
    <col min="3576" max="3576" width="31" style="54" customWidth="1"/>
    <col min="3577" max="3577" width="18.5703125" style="54" customWidth="1"/>
    <col min="3578" max="3578" width="3.85546875" style="54" customWidth="1"/>
    <col min="3579" max="3579" width="18.7109375" style="54" customWidth="1"/>
    <col min="3580" max="3588" width="14" style="54" customWidth="1"/>
    <col min="3589" max="3589" width="13" style="54" bestFit="1" customWidth="1"/>
    <col min="3590" max="3590" width="14.5703125" style="54" bestFit="1" customWidth="1"/>
    <col min="3591" max="3591" width="12.140625" style="54" bestFit="1" customWidth="1"/>
    <col min="3592" max="3602" width="14" style="54" customWidth="1"/>
    <col min="3603" max="3606" width="13.28515625" style="54" customWidth="1"/>
    <col min="3607" max="3831" width="9.140625" style="54"/>
    <col min="3832" max="3832" width="31" style="54" customWidth="1"/>
    <col min="3833" max="3833" width="18.5703125" style="54" customWidth="1"/>
    <col min="3834" max="3834" width="3.85546875" style="54" customWidth="1"/>
    <col min="3835" max="3835" width="18.7109375" style="54" customWidth="1"/>
    <col min="3836" max="3844" width="14" style="54" customWidth="1"/>
    <col min="3845" max="3845" width="13" style="54" bestFit="1" customWidth="1"/>
    <col min="3846" max="3846" width="14.5703125" style="54" bestFit="1" customWidth="1"/>
    <col min="3847" max="3847" width="12.140625" style="54" bestFit="1" customWidth="1"/>
    <col min="3848" max="3858" width="14" style="54" customWidth="1"/>
    <col min="3859" max="3862" width="13.28515625" style="54" customWidth="1"/>
    <col min="3863" max="4087" width="9.140625" style="54"/>
    <col min="4088" max="4088" width="31" style="54" customWidth="1"/>
    <col min="4089" max="4089" width="18.5703125" style="54" customWidth="1"/>
    <col min="4090" max="4090" width="3.85546875" style="54" customWidth="1"/>
    <col min="4091" max="4091" width="18.7109375" style="54" customWidth="1"/>
    <col min="4092" max="4100" width="14" style="54" customWidth="1"/>
    <col min="4101" max="4101" width="13" style="54" bestFit="1" customWidth="1"/>
    <col min="4102" max="4102" width="14.5703125" style="54" bestFit="1" customWidth="1"/>
    <col min="4103" max="4103" width="12.140625" style="54" bestFit="1" customWidth="1"/>
    <col min="4104" max="4114" width="14" style="54" customWidth="1"/>
    <col min="4115" max="4118" width="13.28515625" style="54" customWidth="1"/>
    <col min="4119" max="4343" width="9.140625" style="54"/>
    <col min="4344" max="4344" width="31" style="54" customWidth="1"/>
    <col min="4345" max="4345" width="18.5703125" style="54" customWidth="1"/>
    <col min="4346" max="4346" width="3.85546875" style="54" customWidth="1"/>
    <col min="4347" max="4347" width="18.7109375" style="54" customWidth="1"/>
    <col min="4348" max="4356" width="14" style="54" customWidth="1"/>
    <col min="4357" max="4357" width="13" style="54" bestFit="1" customWidth="1"/>
    <col min="4358" max="4358" width="14.5703125" style="54" bestFit="1" customWidth="1"/>
    <col min="4359" max="4359" width="12.140625" style="54" bestFit="1" customWidth="1"/>
    <col min="4360" max="4370" width="14" style="54" customWidth="1"/>
    <col min="4371" max="4374" width="13.28515625" style="54" customWidth="1"/>
    <col min="4375" max="4599" width="9.140625" style="54"/>
    <col min="4600" max="4600" width="31" style="54" customWidth="1"/>
    <col min="4601" max="4601" width="18.5703125" style="54" customWidth="1"/>
    <col min="4602" max="4602" width="3.85546875" style="54" customWidth="1"/>
    <col min="4603" max="4603" width="18.7109375" style="54" customWidth="1"/>
    <col min="4604" max="4612" width="14" style="54" customWidth="1"/>
    <col min="4613" max="4613" width="13" style="54" bestFit="1" customWidth="1"/>
    <col min="4614" max="4614" width="14.5703125" style="54" bestFit="1" customWidth="1"/>
    <col min="4615" max="4615" width="12.140625" style="54" bestFit="1" customWidth="1"/>
    <col min="4616" max="4626" width="14" style="54" customWidth="1"/>
    <col min="4627" max="4630" width="13.28515625" style="54" customWidth="1"/>
    <col min="4631" max="4855" width="9.140625" style="54"/>
    <col min="4856" max="4856" width="31" style="54" customWidth="1"/>
    <col min="4857" max="4857" width="18.5703125" style="54" customWidth="1"/>
    <col min="4858" max="4858" width="3.85546875" style="54" customWidth="1"/>
    <col min="4859" max="4859" width="18.7109375" style="54" customWidth="1"/>
    <col min="4860" max="4868" width="14" style="54" customWidth="1"/>
    <col min="4869" max="4869" width="13" style="54" bestFit="1" customWidth="1"/>
    <col min="4870" max="4870" width="14.5703125" style="54" bestFit="1" customWidth="1"/>
    <col min="4871" max="4871" width="12.140625" style="54" bestFit="1" customWidth="1"/>
    <col min="4872" max="4882" width="14" style="54" customWidth="1"/>
    <col min="4883" max="4886" width="13.28515625" style="54" customWidth="1"/>
    <col min="4887" max="5111" width="9.140625" style="54"/>
    <col min="5112" max="5112" width="31" style="54" customWidth="1"/>
    <col min="5113" max="5113" width="18.5703125" style="54" customWidth="1"/>
    <col min="5114" max="5114" width="3.85546875" style="54" customWidth="1"/>
    <col min="5115" max="5115" width="18.7109375" style="54" customWidth="1"/>
    <col min="5116" max="5124" width="14" style="54" customWidth="1"/>
    <col min="5125" max="5125" width="13" style="54" bestFit="1" customWidth="1"/>
    <col min="5126" max="5126" width="14.5703125" style="54" bestFit="1" customWidth="1"/>
    <col min="5127" max="5127" width="12.140625" style="54" bestFit="1" customWidth="1"/>
    <col min="5128" max="5138" width="14" style="54" customWidth="1"/>
    <col min="5139" max="5142" width="13.28515625" style="54" customWidth="1"/>
    <col min="5143" max="5367" width="9.140625" style="54"/>
    <col min="5368" max="5368" width="31" style="54" customWidth="1"/>
    <col min="5369" max="5369" width="18.5703125" style="54" customWidth="1"/>
    <col min="5370" max="5370" width="3.85546875" style="54" customWidth="1"/>
    <col min="5371" max="5371" width="18.7109375" style="54" customWidth="1"/>
    <col min="5372" max="5380" width="14" style="54" customWidth="1"/>
    <col min="5381" max="5381" width="13" style="54" bestFit="1" customWidth="1"/>
    <col min="5382" max="5382" width="14.5703125" style="54" bestFit="1" customWidth="1"/>
    <col min="5383" max="5383" width="12.140625" style="54" bestFit="1" customWidth="1"/>
    <col min="5384" max="5394" width="14" style="54" customWidth="1"/>
    <col min="5395" max="5398" width="13.28515625" style="54" customWidth="1"/>
    <col min="5399" max="5623" width="9.140625" style="54"/>
    <col min="5624" max="5624" width="31" style="54" customWidth="1"/>
    <col min="5625" max="5625" width="18.5703125" style="54" customWidth="1"/>
    <col min="5626" max="5626" width="3.85546875" style="54" customWidth="1"/>
    <col min="5627" max="5627" width="18.7109375" style="54" customWidth="1"/>
    <col min="5628" max="5636" width="14" style="54" customWidth="1"/>
    <col min="5637" max="5637" width="13" style="54" bestFit="1" customWidth="1"/>
    <col min="5638" max="5638" width="14.5703125" style="54" bestFit="1" customWidth="1"/>
    <col min="5639" max="5639" width="12.140625" style="54" bestFit="1" customWidth="1"/>
    <col min="5640" max="5650" width="14" style="54" customWidth="1"/>
    <col min="5651" max="5654" width="13.28515625" style="54" customWidth="1"/>
    <col min="5655" max="5879" width="9.140625" style="54"/>
    <col min="5880" max="5880" width="31" style="54" customWidth="1"/>
    <col min="5881" max="5881" width="18.5703125" style="54" customWidth="1"/>
    <col min="5882" max="5882" width="3.85546875" style="54" customWidth="1"/>
    <col min="5883" max="5883" width="18.7109375" style="54" customWidth="1"/>
    <col min="5884" max="5892" width="14" style="54" customWidth="1"/>
    <col min="5893" max="5893" width="13" style="54" bestFit="1" customWidth="1"/>
    <col min="5894" max="5894" width="14.5703125" style="54" bestFit="1" customWidth="1"/>
    <col min="5895" max="5895" width="12.140625" style="54" bestFit="1" customWidth="1"/>
    <col min="5896" max="5906" width="14" style="54" customWidth="1"/>
    <col min="5907" max="5910" width="13.28515625" style="54" customWidth="1"/>
    <col min="5911" max="6135" width="9.140625" style="54"/>
    <col min="6136" max="6136" width="31" style="54" customWidth="1"/>
    <col min="6137" max="6137" width="18.5703125" style="54" customWidth="1"/>
    <col min="6138" max="6138" width="3.85546875" style="54" customWidth="1"/>
    <col min="6139" max="6139" width="18.7109375" style="54" customWidth="1"/>
    <col min="6140" max="6148" width="14" style="54" customWidth="1"/>
    <col min="6149" max="6149" width="13" style="54" bestFit="1" customWidth="1"/>
    <col min="6150" max="6150" width="14.5703125" style="54" bestFit="1" customWidth="1"/>
    <col min="6151" max="6151" width="12.140625" style="54" bestFit="1" customWidth="1"/>
    <col min="6152" max="6162" width="14" style="54" customWidth="1"/>
    <col min="6163" max="6166" width="13.28515625" style="54" customWidth="1"/>
    <col min="6167" max="6391" width="9.140625" style="54"/>
    <col min="6392" max="6392" width="31" style="54" customWidth="1"/>
    <col min="6393" max="6393" width="18.5703125" style="54" customWidth="1"/>
    <col min="6394" max="6394" width="3.85546875" style="54" customWidth="1"/>
    <col min="6395" max="6395" width="18.7109375" style="54" customWidth="1"/>
    <col min="6396" max="6404" width="14" style="54" customWidth="1"/>
    <col min="6405" max="6405" width="13" style="54" bestFit="1" customWidth="1"/>
    <col min="6406" max="6406" width="14.5703125" style="54" bestFit="1" customWidth="1"/>
    <col min="6407" max="6407" width="12.140625" style="54" bestFit="1" customWidth="1"/>
    <col min="6408" max="6418" width="14" style="54" customWidth="1"/>
    <col min="6419" max="6422" width="13.28515625" style="54" customWidth="1"/>
    <col min="6423" max="6647" width="9.140625" style="54"/>
    <col min="6648" max="6648" width="31" style="54" customWidth="1"/>
    <col min="6649" max="6649" width="18.5703125" style="54" customWidth="1"/>
    <col min="6650" max="6650" width="3.85546875" style="54" customWidth="1"/>
    <col min="6651" max="6651" width="18.7109375" style="54" customWidth="1"/>
    <col min="6652" max="6660" width="14" style="54" customWidth="1"/>
    <col min="6661" max="6661" width="13" style="54" bestFit="1" customWidth="1"/>
    <col min="6662" max="6662" width="14.5703125" style="54" bestFit="1" customWidth="1"/>
    <col min="6663" max="6663" width="12.140625" style="54" bestFit="1" customWidth="1"/>
    <col min="6664" max="6674" width="14" style="54" customWidth="1"/>
    <col min="6675" max="6678" width="13.28515625" style="54" customWidth="1"/>
    <col min="6679" max="6903" width="9.140625" style="54"/>
    <col min="6904" max="6904" width="31" style="54" customWidth="1"/>
    <col min="6905" max="6905" width="18.5703125" style="54" customWidth="1"/>
    <col min="6906" max="6906" width="3.85546875" style="54" customWidth="1"/>
    <col min="6907" max="6907" width="18.7109375" style="54" customWidth="1"/>
    <col min="6908" max="6916" width="14" style="54" customWidth="1"/>
    <col min="6917" max="6917" width="13" style="54" bestFit="1" customWidth="1"/>
    <col min="6918" max="6918" width="14.5703125" style="54" bestFit="1" customWidth="1"/>
    <col min="6919" max="6919" width="12.140625" style="54" bestFit="1" customWidth="1"/>
    <col min="6920" max="6930" width="14" style="54" customWidth="1"/>
    <col min="6931" max="6934" width="13.28515625" style="54" customWidth="1"/>
    <col min="6935" max="7159" width="9.140625" style="54"/>
    <col min="7160" max="7160" width="31" style="54" customWidth="1"/>
    <col min="7161" max="7161" width="18.5703125" style="54" customWidth="1"/>
    <col min="7162" max="7162" width="3.85546875" style="54" customWidth="1"/>
    <col min="7163" max="7163" width="18.7109375" style="54" customWidth="1"/>
    <col min="7164" max="7172" width="14" style="54" customWidth="1"/>
    <col min="7173" max="7173" width="13" style="54" bestFit="1" customWidth="1"/>
    <col min="7174" max="7174" width="14.5703125" style="54" bestFit="1" customWidth="1"/>
    <col min="7175" max="7175" width="12.140625" style="54" bestFit="1" customWidth="1"/>
    <col min="7176" max="7186" width="14" style="54" customWidth="1"/>
    <col min="7187" max="7190" width="13.28515625" style="54" customWidth="1"/>
    <col min="7191" max="7415" width="9.140625" style="54"/>
    <col min="7416" max="7416" width="31" style="54" customWidth="1"/>
    <col min="7417" max="7417" width="18.5703125" style="54" customWidth="1"/>
    <col min="7418" max="7418" width="3.85546875" style="54" customWidth="1"/>
    <col min="7419" max="7419" width="18.7109375" style="54" customWidth="1"/>
    <col min="7420" max="7428" width="14" style="54" customWidth="1"/>
    <col min="7429" max="7429" width="13" style="54" bestFit="1" customWidth="1"/>
    <col min="7430" max="7430" width="14.5703125" style="54" bestFit="1" customWidth="1"/>
    <col min="7431" max="7431" width="12.140625" style="54" bestFit="1" customWidth="1"/>
    <col min="7432" max="7442" width="14" style="54" customWidth="1"/>
    <col min="7443" max="7446" width="13.28515625" style="54" customWidth="1"/>
    <col min="7447" max="7671" width="9.140625" style="54"/>
    <col min="7672" max="7672" width="31" style="54" customWidth="1"/>
    <col min="7673" max="7673" width="18.5703125" style="54" customWidth="1"/>
    <col min="7674" max="7674" width="3.85546875" style="54" customWidth="1"/>
    <col min="7675" max="7675" width="18.7109375" style="54" customWidth="1"/>
    <col min="7676" max="7684" width="14" style="54" customWidth="1"/>
    <col min="7685" max="7685" width="13" style="54" bestFit="1" customWidth="1"/>
    <col min="7686" max="7686" width="14.5703125" style="54" bestFit="1" customWidth="1"/>
    <col min="7687" max="7687" width="12.140625" style="54" bestFit="1" customWidth="1"/>
    <col min="7688" max="7698" width="14" style="54" customWidth="1"/>
    <col min="7699" max="7702" width="13.28515625" style="54" customWidth="1"/>
    <col min="7703" max="7927" width="9.140625" style="54"/>
    <col min="7928" max="7928" width="31" style="54" customWidth="1"/>
    <col min="7929" max="7929" width="18.5703125" style="54" customWidth="1"/>
    <col min="7930" max="7930" width="3.85546875" style="54" customWidth="1"/>
    <col min="7931" max="7931" width="18.7109375" style="54" customWidth="1"/>
    <col min="7932" max="7940" width="14" style="54" customWidth="1"/>
    <col min="7941" max="7941" width="13" style="54" bestFit="1" customWidth="1"/>
    <col min="7942" max="7942" width="14.5703125" style="54" bestFit="1" customWidth="1"/>
    <col min="7943" max="7943" width="12.140625" style="54" bestFit="1" customWidth="1"/>
    <col min="7944" max="7954" width="14" style="54" customWidth="1"/>
    <col min="7955" max="7958" width="13.28515625" style="54" customWidth="1"/>
    <col min="7959" max="8183" width="9.140625" style="54"/>
    <col min="8184" max="8184" width="31" style="54" customWidth="1"/>
    <col min="8185" max="8185" width="18.5703125" style="54" customWidth="1"/>
    <col min="8186" max="8186" width="3.85546875" style="54" customWidth="1"/>
    <col min="8187" max="8187" width="18.7109375" style="54" customWidth="1"/>
    <col min="8188" max="8196" width="14" style="54" customWidth="1"/>
    <col min="8197" max="8197" width="13" style="54" bestFit="1" customWidth="1"/>
    <col min="8198" max="8198" width="14.5703125" style="54" bestFit="1" customWidth="1"/>
    <col min="8199" max="8199" width="12.140625" style="54" bestFit="1" customWidth="1"/>
    <col min="8200" max="8210" width="14" style="54" customWidth="1"/>
    <col min="8211" max="8214" width="13.28515625" style="54" customWidth="1"/>
    <col min="8215" max="8439" width="9.140625" style="54"/>
    <col min="8440" max="8440" width="31" style="54" customWidth="1"/>
    <col min="8441" max="8441" width="18.5703125" style="54" customWidth="1"/>
    <col min="8442" max="8442" width="3.85546875" style="54" customWidth="1"/>
    <col min="8443" max="8443" width="18.7109375" style="54" customWidth="1"/>
    <col min="8444" max="8452" width="14" style="54" customWidth="1"/>
    <col min="8453" max="8453" width="13" style="54" bestFit="1" customWidth="1"/>
    <col min="8454" max="8454" width="14.5703125" style="54" bestFit="1" customWidth="1"/>
    <col min="8455" max="8455" width="12.140625" style="54" bestFit="1" customWidth="1"/>
    <col min="8456" max="8466" width="14" style="54" customWidth="1"/>
    <col min="8467" max="8470" width="13.28515625" style="54" customWidth="1"/>
    <col min="8471" max="8695" width="9.140625" style="54"/>
    <col min="8696" max="8696" width="31" style="54" customWidth="1"/>
    <col min="8697" max="8697" width="18.5703125" style="54" customWidth="1"/>
    <col min="8698" max="8698" width="3.85546875" style="54" customWidth="1"/>
    <col min="8699" max="8699" width="18.7109375" style="54" customWidth="1"/>
    <col min="8700" max="8708" width="14" style="54" customWidth="1"/>
    <col min="8709" max="8709" width="13" style="54" bestFit="1" customWidth="1"/>
    <col min="8710" max="8710" width="14.5703125" style="54" bestFit="1" customWidth="1"/>
    <col min="8711" max="8711" width="12.140625" style="54" bestFit="1" customWidth="1"/>
    <col min="8712" max="8722" width="14" style="54" customWidth="1"/>
    <col min="8723" max="8726" width="13.28515625" style="54" customWidth="1"/>
    <col min="8727" max="8951" width="9.140625" style="54"/>
    <col min="8952" max="8952" width="31" style="54" customWidth="1"/>
    <col min="8953" max="8953" width="18.5703125" style="54" customWidth="1"/>
    <col min="8954" max="8954" width="3.85546875" style="54" customWidth="1"/>
    <col min="8955" max="8955" width="18.7109375" style="54" customWidth="1"/>
    <col min="8956" max="8964" width="14" style="54" customWidth="1"/>
    <col min="8965" max="8965" width="13" style="54" bestFit="1" customWidth="1"/>
    <col min="8966" max="8966" width="14.5703125" style="54" bestFit="1" customWidth="1"/>
    <col min="8967" max="8967" width="12.140625" style="54" bestFit="1" customWidth="1"/>
    <col min="8968" max="8978" width="14" style="54" customWidth="1"/>
    <col min="8979" max="8982" width="13.28515625" style="54" customWidth="1"/>
    <col min="8983" max="9207" width="9.140625" style="54"/>
    <col min="9208" max="9208" width="31" style="54" customWidth="1"/>
    <col min="9209" max="9209" width="18.5703125" style="54" customWidth="1"/>
    <col min="9210" max="9210" width="3.85546875" style="54" customWidth="1"/>
    <col min="9211" max="9211" width="18.7109375" style="54" customWidth="1"/>
    <col min="9212" max="9220" width="14" style="54" customWidth="1"/>
    <col min="9221" max="9221" width="13" style="54" bestFit="1" customWidth="1"/>
    <col min="9222" max="9222" width="14.5703125" style="54" bestFit="1" customWidth="1"/>
    <col min="9223" max="9223" width="12.140625" style="54" bestFit="1" customWidth="1"/>
    <col min="9224" max="9234" width="14" style="54" customWidth="1"/>
    <col min="9235" max="9238" width="13.28515625" style="54" customWidth="1"/>
    <col min="9239" max="9463" width="9.140625" style="54"/>
    <col min="9464" max="9464" width="31" style="54" customWidth="1"/>
    <col min="9465" max="9465" width="18.5703125" style="54" customWidth="1"/>
    <col min="9466" max="9466" width="3.85546875" style="54" customWidth="1"/>
    <col min="9467" max="9467" width="18.7109375" style="54" customWidth="1"/>
    <col min="9468" max="9476" width="14" style="54" customWidth="1"/>
    <col min="9477" max="9477" width="13" style="54" bestFit="1" customWidth="1"/>
    <col min="9478" max="9478" width="14.5703125" style="54" bestFit="1" customWidth="1"/>
    <col min="9479" max="9479" width="12.140625" style="54" bestFit="1" customWidth="1"/>
    <col min="9480" max="9490" width="14" style="54" customWidth="1"/>
    <col min="9491" max="9494" width="13.28515625" style="54" customWidth="1"/>
    <col min="9495" max="9719" width="9.140625" style="54"/>
    <col min="9720" max="9720" width="31" style="54" customWidth="1"/>
    <col min="9721" max="9721" width="18.5703125" style="54" customWidth="1"/>
    <col min="9722" max="9722" width="3.85546875" style="54" customWidth="1"/>
    <col min="9723" max="9723" width="18.7109375" style="54" customWidth="1"/>
    <col min="9724" max="9732" width="14" style="54" customWidth="1"/>
    <col min="9733" max="9733" width="13" style="54" bestFit="1" customWidth="1"/>
    <col min="9734" max="9734" width="14.5703125" style="54" bestFit="1" customWidth="1"/>
    <col min="9735" max="9735" width="12.140625" style="54" bestFit="1" customWidth="1"/>
    <col min="9736" max="9746" width="14" style="54" customWidth="1"/>
    <col min="9747" max="9750" width="13.28515625" style="54" customWidth="1"/>
    <col min="9751" max="9975" width="9.140625" style="54"/>
    <col min="9976" max="9976" width="31" style="54" customWidth="1"/>
    <col min="9977" max="9977" width="18.5703125" style="54" customWidth="1"/>
    <col min="9978" max="9978" width="3.85546875" style="54" customWidth="1"/>
    <col min="9979" max="9979" width="18.7109375" style="54" customWidth="1"/>
    <col min="9980" max="9988" width="14" style="54" customWidth="1"/>
    <col min="9989" max="9989" width="13" style="54" bestFit="1" customWidth="1"/>
    <col min="9990" max="9990" width="14.5703125" style="54" bestFit="1" customWidth="1"/>
    <col min="9991" max="9991" width="12.140625" style="54" bestFit="1" customWidth="1"/>
    <col min="9992" max="10002" width="14" style="54" customWidth="1"/>
    <col min="10003" max="10006" width="13.28515625" style="54" customWidth="1"/>
    <col min="10007" max="10231" width="9.140625" style="54"/>
    <col min="10232" max="10232" width="31" style="54" customWidth="1"/>
    <col min="10233" max="10233" width="18.5703125" style="54" customWidth="1"/>
    <col min="10234" max="10234" width="3.85546875" style="54" customWidth="1"/>
    <col min="10235" max="10235" width="18.7109375" style="54" customWidth="1"/>
    <col min="10236" max="10244" width="14" style="54" customWidth="1"/>
    <col min="10245" max="10245" width="13" style="54" bestFit="1" customWidth="1"/>
    <col min="10246" max="10246" width="14.5703125" style="54" bestFit="1" customWidth="1"/>
    <col min="10247" max="10247" width="12.140625" style="54" bestFit="1" customWidth="1"/>
    <col min="10248" max="10258" width="14" style="54" customWidth="1"/>
    <col min="10259" max="10262" width="13.28515625" style="54" customWidth="1"/>
    <col min="10263" max="10487" width="9.140625" style="54"/>
    <col min="10488" max="10488" width="31" style="54" customWidth="1"/>
    <col min="10489" max="10489" width="18.5703125" style="54" customWidth="1"/>
    <col min="10490" max="10490" width="3.85546875" style="54" customWidth="1"/>
    <col min="10491" max="10491" width="18.7109375" style="54" customWidth="1"/>
    <col min="10492" max="10500" width="14" style="54" customWidth="1"/>
    <col min="10501" max="10501" width="13" style="54" bestFit="1" customWidth="1"/>
    <col min="10502" max="10502" width="14.5703125" style="54" bestFit="1" customWidth="1"/>
    <col min="10503" max="10503" width="12.140625" style="54" bestFit="1" customWidth="1"/>
    <col min="10504" max="10514" width="14" style="54" customWidth="1"/>
    <col min="10515" max="10518" width="13.28515625" style="54" customWidth="1"/>
    <col min="10519" max="10743" width="9.140625" style="54"/>
    <col min="10744" max="10744" width="31" style="54" customWidth="1"/>
    <col min="10745" max="10745" width="18.5703125" style="54" customWidth="1"/>
    <col min="10746" max="10746" width="3.85546875" style="54" customWidth="1"/>
    <col min="10747" max="10747" width="18.7109375" style="54" customWidth="1"/>
    <col min="10748" max="10756" width="14" style="54" customWidth="1"/>
    <col min="10757" max="10757" width="13" style="54" bestFit="1" customWidth="1"/>
    <col min="10758" max="10758" width="14.5703125" style="54" bestFit="1" customWidth="1"/>
    <col min="10759" max="10759" width="12.140625" style="54" bestFit="1" customWidth="1"/>
    <col min="10760" max="10770" width="14" style="54" customWidth="1"/>
    <col min="10771" max="10774" width="13.28515625" style="54" customWidth="1"/>
    <col min="10775" max="10999" width="9.140625" style="54"/>
    <col min="11000" max="11000" width="31" style="54" customWidth="1"/>
    <col min="11001" max="11001" width="18.5703125" style="54" customWidth="1"/>
    <col min="11002" max="11002" width="3.85546875" style="54" customWidth="1"/>
    <col min="11003" max="11003" width="18.7109375" style="54" customWidth="1"/>
    <col min="11004" max="11012" width="14" style="54" customWidth="1"/>
    <col min="11013" max="11013" width="13" style="54" bestFit="1" customWidth="1"/>
    <col min="11014" max="11014" width="14.5703125" style="54" bestFit="1" customWidth="1"/>
    <col min="11015" max="11015" width="12.140625" style="54" bestFit="1" customWidth="1"/>
    <col min="11016" max="11026" width="14" style="54" customWidth="1"/>
    <col min="11027" max="11030" width="13.28515625" style="54" customWidth="1"/>
    <col min="11031" max="11255" width="9.140625" style="54"/>
    <col min="11256" max="11256" width="31" style="54" customWidth="1"/>
    <col min="11257" max="11257" width="18.5703125" style="54" customWidth="1"/>
    <col min="11258" max="11258" width="3.85546875" style="54" customWidth="1"/>
    <col min="11259" max="11259" width="18.7109375" style="54" customWidth="1"/>
    <col min="11260" max="11268" width="14" style="54" customWidth="1"/>
    <col min="11269" max="11269" width="13" style="54" bestFit="1" customWidth="1"/>
    <col min="11270" max="11270" width="14.5703125" style="54" bestFit="1" customWidth="1"/>
    <col min="11271" max="11271" width="12.140625" style="54" bestFit="1" customWidth="1"/>
    <col min="11272" max="11282" width="14" style="54" customWidth="1"/>
    <col min="11283" max="11286" width="13.28515625" style="54" customWidth="1"/>
    <col min="11287" max="11511" width="9.140625" style="54"/>
    <col min="11512" max="11512" width="31" style="54" customWidth="1"/>
    <col min="11513" max="11513" width="18.5703125" style="54" customWidth="1"/>
    <col min="11514" max="11514" width="3.85546875" style="54" customWidth="1"/>
    <col min="11515" max="11515" width="18.7109375" style="54" customWidth="1"/>
    <col min="11516" max="11524" width="14" style="54" customWidth="1"/>
    <col min="11525" max="11525" width="13" style="54" bestFit="1" customWidth="1"/>
    <col min="11526" max="11526" width="14.5703125" style="54" bestFit="1" customWidth="1"/>
    <col min="11527" max="11527" width="12.140625" style="54" bestFit="1" customWidth="1"/>
    <col min="11528" max="11538" width="14" style="54" customWidth="1"/>
    <col min="11539" max="11542" width="13.28515625" style="54" customWidth="1"/>
    <col min="11543" max="11767" width="9.140625" style="54"/>
    <col min="11768" max="11768" width="31" style="54" customWidth="1"/>
    <col min="11769" max="11769" width="18.5703125" style="54" customWidth="1"/>
    <col min="11770" max="11770" width="3.85546875" style="54" customWidth="1"/>
    <col min="11771" max="11771" width="18.7109375" style="54" customWidth="1"/>
    <col min="11772" max="11780" width="14" style="54" customWidth="1"/>
    <col min="11781" max="11781" width="13" style="54" bestFit="1" customWidth="1"/>
    <col min="11782" max="11782" width="14.5703125" style="54" bestFit="1" customWidth="1"/>
    <col min="11783" max="11783" width="12.140625" style="54" bestFit="1" customWidth="1"/>
    <col min="11784" max="11794" width="14" style="54" customWidth="1"/>
    <col min="11795" max="11798" width="13.28515625" style="54" customWidth="1"/>
    <col min="11799" max="12023" width="9.140625" style="54"/>
    <col min="12024" max="12024" width="31" style="54" customWidth="1"/>
    <col min="12025" max="12025" width="18.5703125" style="54" customWidth="1"/>
    <col min="12026" max="12026" width="3.85546875" style="54" customWidth="1"/>
    <col min="12027" max="12027" width="18.7109375" style="54" customWidth="1"/>
    <col min="12028" max="12036" width="14" style="54" customWidth="1"/>
    <col min="12037" max="12037" width="13" style="54" bestFit="1" customWidth="1"/>
    <col min="12038" max="12038" width="14.5703125" style="54" bestFit="1" customWidth="1"/>
    <col min="12039" max="12039" width="12.140625" style="54" bestFit="1" customWidth="1"/>
    <col min="12040" max="12050" width="14" style="54" customWidth="1"/>
    <col min="12051" max="12054" width="13.28515625" style="54" customWidth="1"/>
    <col min="12055" max="12279" width="9.140625" style="54"/>
    <col min="12280" max="12280" width="31" style="54" customWidth="1"/>
    <col min="12281" max="12281" width="18.5703125" style="54" customWidth="1"/>
    <col min="12282" max="12282" width="3.85546875" style="54" customWidth="1"/>
    <col min="12283" max="12283" width="18.7109375" style="54" customWidth="1"/>
    <col min="12284" max="12292" width="14" style="54" customWidth="1"/>
    <col min="12293" max="12293" width="13" style="54" bestFit="1" customWidth="1"/>
    <col min="12294" max="12294" width="14.5703125" style="54" bestFit="1" customWidth="1"/>
    <col min="12295" max="12295" width="12.140625" style="54" bestFit="1" customWidth="1"/>
    <col min="12296" max="12306" width="14" style="54" customWidth="1"/>
    <col min="12307" max="12310" width="13.28515625" style="54" customWidth="1"/>
    <col min="12311" max="12535" width="9.140625" style="54"/>
    <col min="12536" max="12536" width="31" style="54" customWidth="1"/>
    <col min="12537" max="12537" width="18.5703125" style="54" customWidth="1"/>
    <col min="12538" max="12538" width="3.85546875" style="54" customWidth="1"/>
    <col min="12539" max="12539" width="18.7109375" style="54" customWidth="1"/>
    <col min="12540" max="12548" width="14" style="54" customWidth="1"/>
    <col min="12549" max="12549" width="13" style="54" bestFit="1" customWidth="1"/>
    <col min="12550" max="12550" width="14.5703125" style="54" bestFit="1" customWidth="1"/>
    <col min="12551" max="12551" width="12.140625" style="54" bestFit="1" customWidth="1"/>
    <col min="12552" max="12562" width="14" style="54" customWidth="1"/>
    <col min="12563" max="12566" width="13.28515625" style="54" customWidth="1"/>
    <col min="12567" max="12791" width="9.140625" style="54"/>
    <col min="12792" max="12792" width="31" style="54" customWidth="1"/>
    <col min="12793" max="12793" width="18.5703125" style="54" customWidth="1"/>
    <col min="12794" max="12794" width="3.85546875" style="54" customWidth="1"/>
    <col min="12795" max="12795" width="18.7109375" style="54" customWidth="1"/>
    <col min="12796" max="12804" width="14" style="54" customWidth="1"/>
    <col min="12805" max="12805" width="13" style="54" bestFit="1" customWidth="1"/>
    <col min="12806" max="12806" width="14.5703125" style="54" bestFit="1" customWidth="1"/>
    <col min="12807" max="12807" width="12.140625" style="54" bestFit="1" customWidth="1"/>
    <col min="12808" max="12818" width="14" style="54" customWidth="1"/>
    <col min="12819" max="12822" width="13.28515625" style="54" customWidth="1"/>
    <col min="12823" max="13047" width="9.140625" style="54"/>
    <col min="13048" max="13048" width="31" style="54" customWidth="1"/>
    <col min="13049" max="13049" width="18.5703125" style="54" customWidth="1"/>
    <col min="13050" max="13050" width="3.85546875" style="54" customWidth="1"/>
    <col min="13051" max="13051" width="18.7109375" style="54" customWidth="1"/>
    <col min="13052" max="13060" width="14" style="54" customWidth="1"/>
    <col min="13061" max="13061" width="13" style="54" bestFit="1" customWidth="1"/>
    <col min="13062" max="13062" width="14.5703125" style="54" bestFit="1" customWidth="1"/>
    <col min="13063" max="13063" width="12.140625" style="54" bestFit="1" customWidth="1"/>
    <col min="13064" max="13074" width="14" style="54" customWidth="1"/>
    <col min="13075" max="13078" width="13.28515625" style="54" customWidth="1"/>
    <col min="13079" max="13303" width="9.140625" style="54"/>
    <col min="13304" max="13304" width="31" style="54" customWidth="1"/>
    <col min="13305" max="13305" width="18.5703125" style="54" customWidth="1"/>
    <col min="13306" max="13306" width="3.85546875" style="54" customWidth="1"/>
    <col min="13307" max="13307" width="18.7109375" style="54" customWidth="1"/>
    <col min="13308" max="13316" width="14" style="54" customWidth="1"/>
    <col min="13317" max="13317" width="13" style="54" bestFit="1" customWidth="1"/>
    <col min="13318" max="13318" width="14.5703125" style="54" bestFit="1" customWidth="1"/>
    <col min="13319" max="13319" width="12.140625" style="54" bestFit="1" customWidth="1"/>
    <col min="13320" max="13330" width="14" style="54" customWidth="1"/>
    <col min="13331" max="13334" width="13.28515625" style="54" customWidth="1"/>
    <col min="13335" max="13559" width="9.140625" style="54"/>
    <col min="13560" max="13560" width="31" style="54" customWidth="1"/>
    <col min="13561" max="13561" width="18.5703125" style="54" customWidth="1"/>
    <col min="13562" max="13562" width="3.85546875" style="54" customWidth="1"/>
    <col min="13563" max="13563" width="18.7109375" style="54" customWidth="1"/>
    <col min="13564" max="13572" width="14" style="54" customWidth="1"/>
    <col min="13573" max="13573" width="13" style="54" bestFit="1" customWidth="1"/>
    <col min="13574" max="13574" width="14.5703125" style="54" bestFit="1" customWidth="1"/>
    <col min="13575" max="13575" width="12.140625" style="54" bestFit="1" customWidth="1"/>
    <col min="13576" max="13586" width="14" style="54" customWidth="1"/>
    <col min="13587" max="13590" width="13.28515625" style="54" customWidth="1"/>
    <col min="13591" max="13815" width="9.140625" style="54"/>
    <col min="13816" max="13816" width="31" style="54" customWidth="1"/>
    <col min="13817" max="13817" width="18.5703125" style="54" customWidth="1"/>
    <col min="13818" max="13818" width="3.85546875" style="54" customWidth="1"/>
    <col min="13819" max="13819" width="18.7109375" style="54" customWidth="1"/>
    <col min="13820" max="13828" width="14" style="54" customWidth="1"/>
    <col min="13829" max="13829" width="13" style="54" bestFit="1" customWidth="1"/>
    <col min="13830" max="13830" width="14.5703125" style="54" bestFit="1" customWidth="1"/>
    <col min="13831" max="13831" width="12.140625" style="54" bestFit="1" customWidth="1"/>
    <col min="13832" max="13842" width="14" style="54" customWidth="1"/>
    <col min="13843" max="13846" width="13.28515625" style="54" customWidth="1"/>
    <col min="13847" max="14071" width="9.140625" style="54"/>
    <col min="14072" max="14072" width="31" style="54" customWidth="1"/>
    <col min="14073" max="14073" width="18.5703125" style="54" customWidth="1"/>
    <col min="14074" max="14074" width="3.85546875" style="54" customWidth="1"/>
    <col min="14075" max="14075" width="18.7109375" style="54" customWidth="1"/>
    <col min="14076" max="14084" width="14" style="54" customWidth="1"/>
    <col min="14085" max="14085" width="13" style="54" bestFit="1" customWidth="1"/>
    <col min="14086" max="14086" width="14.5703125" style="54" bestFit="1" customWidth="1"/>
    <col min="14087" max="14087" width="12.140625" style="54" bestFit="1" customWidth="1"/>
    <col min="14088" max="14098" width="14" style="54" customWidth="1"/>
    <col min="14099" max="14102" width="13.28515625" style="54" customWidth="1"/>
    <col min="14103" max="14327" width="9.140625" style="54"/>
    <col min="14328" max="14328" width="31" style="54" customWidth="1"/>
    <col min="14329" max="14329" width="18.5703125" style="54" customWidth="1"/>
    <col min="14330" max="14330" width="3.85546875" style="54" customWidth="1"/>
    <col min="14331" max="14331" width="18.7109375" style="54" customWidth="1"/>
    <col min="14332" max="14340" width="14" style="54" customWidth="1"/>
    <col min="14341" max="14341" width="13" style="54" bestFit="1" customWidth="1"/>
    <col min="14342" max="14342" width="14.5703125" style="54" bestFit="1" customWidth="1"/>
    <col min="14343" max="14343" width="12.140625" style="54" bestFit="1" customWidth="1"/>
    <col min="14344" max="14354" width="14" style="54" customWidth="1"/>
    <col min="14355" max="14358" width="13.28515625" style="54" customWidth="1"/>
    <col min="14359" max="14583" width="9.140625" style="54"/>
    <col min="14584" max="14584" width="31" style="54" customWidth="1"/>
    <col min="14585" max="14585" width="18.5703125" style="54" customWidth="1"/>
    <col min="14586" max="14586" width="3.85546875" style="54" customWidth="1"/>
    <col min="14587" max="14587" width="18.7109375" style="54" customWidth="1"/>
    <col min="14588" max="14596" width="14" style="54" customWidth="1"/>
    <col min="14597" max="14597" width="13" style="54" bestFit="1" customWidth="1"/>
    <col min="14598" max="14598" width="14.5703125" style="54" bestFit="1" customWidth="1"/>
    <col min="14599" max="14599" width="12.140625" style="54" bestFit="1" customWidth="1"/>
    <col min="14600" max="14610" width="14" style="54" customWidth="1"/>
    <col min="14611" max="14614" width="13.28515625" style="54" customWidth="1"/>
    <col min="14615" max="14839" width="9.140625" style="54"/>
    <col min="14840" max="14840" width="31" style="54" customWidth="1"/>
    <col min="14841" max="14841" width="18.5703125" style="54" customWidth="1"/>
    <col min="14842" max="14842" width="3.85546875" style="54" customWidth="1"/>
    <col min="14843" max="14843" width="18.7109375" style="54" customWidth="1"/>
    <col min="14844" max="14852" width="14" style="54" customWidth="1"/>
    <col min="14853" max="14853" width="13" style="54" bestFit="1" customWidth="1"/>
    <col min="14854" max="14854" width="14.5703125" style="54" bestFit="1" customWidth="1"/>
    <col min="14855" max="14855" width="12.140625" style="54" bestFit="1" customWidth="1"/>
    <col min="14856" max="14866" width="14" style="54" customWidth="1"/>
    <col min="14867" max="14870" width="13.28515625" style="54" customWidth="1"/>
    <col min="14871" max="15095" width="9.140625" style="54"/>
    <col min="15096" max="15096" width="31" style="54" customWidth="1"/>
    <col min="15097" max="15097" width="18.5703125" style="54" customWidth="1"/>
    <col min="15098" max="15098" width="3.85546875" style="54" customWidth="1"/>
    <col min="15099" max="15099" width="18.7109375" style="54" customWidth="1"/>
    <col min="15100" max="15108" width="14" style="54" customWidth="1"/>
    <col min="15109" max="15109" width="13" style="54" bestFit="1" customWidth="1"/>
    <col min="15110" max="15110" width="14.5703125" style="54" bestFit="1" customWidth="1"/>
    <col min="15111" max="15111" width="12.140625" style="54" bestFit="1" customWidth="1"/>
    <col min="15112" max="15122" width="14" style="54" customWidth="1"/>
    <col min="15123" max="15126" width="13.28515625" style="54" customWidth="1"/>
    <col min="15127" max="15351" width="9.140625" style="54"/>
    <col min="15352" max="15352" width="31" style="54" customWidth="1"/>
    <col min="15353" max="15353" width="18.5703125" style="54" customWidth="1"/>
    <col min="15354" max="15354" width="3.85546875" style="54" customWidth="1"/>
    <col min="15355" max="15355" width="18.7109375" style="54" customWidth="1"/>
    <col min="15356" max="15364" width="14" style="54" customWidth="1"/>
    <col min="15365" max="15365" width="13" style="54" bestFit="1" customWidth="1"/>
    <col min="15366" max="15366" width="14.5703125" style="54" bestFit="1" customWidth="1"/>
    <col min="15367" max="15367" width="12.140625" style="54" bestFit="1" customWidth="1"/>
    <col min="15368" max="15378" width="14" style="54" customWidth="1"/>
    <col min="15379" max="15382" width="13.28515625" style="54" customWidth="1"/>
    <col min="15383" max="15607" width="9.140625" style="54"/>
    <col min="15608" max="15608" width="31" style="54" customWidth="1"/>
    <col min="15609" max="15609" width="18.5703125" style="54" customWidth="1"/>
    <col min="15610" max="15610" width="3.85546875" style="54" customWidth="1"/>
    <col min="15611" max="15611" width="18.7109375" style="54" customWidth="1"/>
    <col min="15612" max="15620" width="14" style="54" customWidth="1"/>
    <col min="15621" max="15621" width="13" style="54" bestFit="1" customWidth="1"/>
    <col min="15622" max="15622" width="14.5703125" style="54" bestFit="1" customWidth="1"/>
    <col min="15623" max="15623" width="12.140625" style="54" bestFit="1" customWidth="1"/>
    <col min="15624" max="15634" width="14" style="54" customWidth="1"/>
    <col min="15635" max="15638" width="13.28515625" style="54" customWidth="1"/>
    <col min="15639" max="15863" width="9.140625" style="54"/>
    <col min="15864" max="15864" width="31" style="54" customWidth="1"/>
    <col min="15865" max="15865" width="18.5703125" style="54" customWidth="1"/>
    <col min="15866" max="15866" width="3.85546875" style="54" customWidth="1"/>
    <col min="15867" max="15867" width="18.7109375" style="54" customWidth="1"/>
    <col min="15868" max="15876" width="14" style="54" customWidth="1"/>
    <col min="15877" max="15877" width="13" style="54" bestFit="1" customWidth="1"/>
    <col min="15878" max="15878" width="14.5703125" style="54" bestFit="1" customWidth="1"/>
    <col min="15879" max="15879" width="12.140625" style="54" bestFit="1" customWidth="1"/>
    <col min="15880" max="15890" width="14" style="54" customWidth="1"/>
    <col min="15891" max="15894" width="13.28515625" style="54" customWidth="1"/>
    <col min="15895" max="16119" width="9.140625" style="54"/>
    <col min="16120" max="16120" width="31" style="54" customWidth="1"/>
    <col min="16121" max="16121" width="18.5703125" style="54" customWidth="1"/>
    <col min="16122" max="16122" width="3.85546875" style="54" customWidth="1"/>
    <col min="16123" max="16123" width="18.7109375" style="54" customWidth="1"/>
    <col min="16124" max="16132" width="14" style="54" customWidth="1"/>
    <col min="16133" max="16133" width="13" style="54" bestFit="1" customWidth="1"/>
    <col min="16134" max="16134" width="14.5703125" style="54" bestFit="1" customWidth="1"/>
    <col min="16135" max="16135" width="12.140625" style="54" bestFit="1" customWidth="1"/>
    <col min="16136" max="16146" width="14" style="54" customWidth="1"/>
    <col min="16147" max="16150" width="13.28515625" style="54" customWidth="1"/>
    <col min="16151" max="16376" width="9.140625" style="54"/>
    <col min="16377" max="16384" width="8.85546875" style="54" customWidth="1"/>
  </cols>
  <sheetData>
    <row r="3" spans="1:8" ht="15.75" x14ac:dyDescent="0.2">
      <c r="A3" s="249" t="s">
        <v>104</v>
      </c>
      <c r="B3" s="249"/>
      <c r="C3" s="249"/>
      <c r="D3" s="249"/>
      <c r="E3" s="249"/>
      <c r="F3" s="249"/>
      <c r="G3" s="249"/>
      <c r="H3" s="249"/>
    </row>
    <row r="4" spans="1:8" ht="22.5" x14ac:dyDescent="0.2">
      <c r="A4" s="83" t="s">
        <v>71</v>
      </c>
      <c r="B4" s="83" t="s">
        <v>59</v>
      </c>
      <c r="C4" s="83" t="s">
        <v>72</v>
      </c>
      <c r="D4" s="83" t="s">
        <v>73</v>
      </c>
      <c r="E4" s="83" t="s">
        <v>47</v>
      </c>
      <c r="F4" s="83"/>
      <c r="G4" s="83"/>
      <c r="H4" s="83"/>
    </row>
    <row r="5" spans="1:8" x14ac:dyDescent="0.2">
      <c r="A5" s="85">
        <v>2014</v>
      </c>
      <c r="B5" s="84">
        <f>AVERAGEIF($A$24:$A$143,$A5,I$24:I$143)</f>
        <v>1408.75</v>
      </c>
      <c r="C5" s="84">
        <f>AVERAGEIF($A$24:$A$143,$A5,K$24:K$143)</f>
        <v>234.16666666666666</v>
      </c>
      <c r="D5" s="84">
        <f>AVERAGEIF($A$24:$A$143,$A5,N$24:N$143)</f>
        <v>18.75</v>
      </c>
      <c r="E5" s="84">
        <f>AVERAGEIF($A$24:$A$143,$A5,Q$24:Q$143)</f>
        <v>630</v>
      </c>
      <c r="F5" s="84"/>
      <c r="G5" s="84"/>
      <c r="H5" s="84"/>
    </row>
    <row r="6" spans="1:8" x14ac:dyDescent="0.2">
      <c r="A6" s="85">
        <v>2015</v>
      </c>
      <c r="B6" s="84">
        <f t="shared" ref="B6:B14" si="0">AVERAGEIF($A$24:$A$143,$A6,I$24:I$143)</f>
        <v>1404.25</v>
      </c>
      <c r="C6" s="84">
        <f t="shared" ref="C6:C14" si="1">AVERAGEIF($A$24:$A$143,$A6,K$24:K$143)</f>
        <v>235.41666666666666</v>
      </c>
      <c r="D6" s="84">
        <f t="shared" ref="D6:D14" si="2">AVERAGEIF($A$24:$A$143,$A6,N$24:N$143)</f>
        <v>18.75</v>
      </c>
      <c r="E6" s="84">
        <f t="shared" ref="E6:E14" si="3">AVERAGEIF($A$24:$A$143,$A6,Q$24:Q$143)</f>
        <v>627.08333333333337</v>
      </c>
      <c r="F6" s="84"/>
      <c r="G6" s="84"/>
      <c r="H6" s="84"/>
    </row>
    <row r="7" spans="1:8" x14ac:dyDescent="0.2">
      <c r="A7" s="85">
        <v>2016</v>
      </c>
      <c r="B7" s="84">
        <f t="shared" si="0"/>
        <v>1396.0833333333333</v>
      </c>
      <c r="C7" s="84">
        <f t="shared" si="1"/>
        <v>231.41666666666666</v>
      </c>
      <c r="D7" s="84">
        <f t="shared" si="2"/>
        <v>17.416666666666668</v>
      </c>
      <c r="E7" s="84">
        <f t="shared" si="3"/>
        <v>625</v>
      </c>
      <c r="F7" s="84"/>
      <c r="G7" s="84"/>
      <c r="H7" s="84"/>
    </row>
    <row r="8" spans="1:8" x14ac:dyDescent="0.2">
      <c r="A8" s="85">
        <v>2017</v>
      </c>
      <c r="B8" s="84">
        <f t="shared" si="0"/>
        <v>1389.75</v>
      </c>
      <c r="C8" s="84">
        <f t="shared" si="1"/>
        <v>232.5</v>
      </c>
      <c r="D8" s="84">
        <f t="shared" si="2"/>
        <v>17</v>
      </c>
      <c r="E8" s="84">
        <f t="shared" si="3"/>
        <v>626</v>
      </c>
      <c r="F8" s="84"/>
      <c r="G8" s="84"/>
      <c r="H8" s="84"/>
    </row>
    <row r="9" spans="1:8" x14ac:dyDescent="0.2">
      <c r="A9" s="85">
        <v>2018</v>
      </c>
      <c r="B9" s="84">
        <f t="shared" si="0"/>
        <v>1384.75</v>
      </c>
      <c r="C9" s="84">
        <f t="shared" si="1"/>
        <v>233.16666666666666</v>
      </c>
      <c r="D9" s="84">
        <f t="shared" si="2"/>
        <v>16.666666666666668</v>
      </c>
      <c r="E9" s="84">
        <f t="shared" si="3"/>
        <v>626</v>
      </c>
      <c r="F9" s="84"/>
      <c r="G9" s="84"/>
      <c r="H9" s="84"/>
    </row>
    <row r="10" spans="1:8" x14ac:dyDescent="0.2">
      <c r="A10" s="85">
        <v>2019</v>
      </c>
      <c r="B10" s="84">
        <f t="shared" si="0"/>
        <v>1382.1666666666667</v>
      </c>
      <c r="C10" s="84">
        <f t="shared" si="1"/>
        <v>233</v>
      </c>
      <c r="D10" s="84">
        <f t="shared" si="2"/>
        <v>16</v>
      </c>
      <c r="E10" s="84">
        <f t="shared" si="3"/>
        <v>626</v>
      </c>
      <c r="F10" s="84"/>
      <c r="G10" s="84"/>
      <c r="H10" s="84"/>
    </row>
    <row r="11" spans="1:8" x14ac:dyDescent="0.2">
      <c r="A11" s="85">
        <v>2020</v>
      </c>
      <c r="B11" s="84">
        <f t="shared" si="0"/>
        <v>1382.1666666666667</v>
      </c>
      <c r="C11" s="84">
        <f t="shared" si="1"/>
        <v>231.41666666666666</v>
      </c>
      <c r="D11" s="84">
        <f t="shared" si="2"/>
        <v>16</v>
      </c>
      <c r="E11" s="84">
        <f t="shared" si="3"/>
        <v>624</v>
      </c>
      <c r="F11" s="84"/>
      <c r="G11" s="84"/>
      <c r="H11" s="84"/>
    </row>
    <row r="12" spans="1:8" x14ac:dyDescent="0.2">
      <c r="A12" s="85">
        <v>2021</v>
      </c>
      <c r="B12" s="84">
        <f t="shared" si="0"/>
        <v>1375.3333333333333</v>
      </c>
      <c r="C12" s="84">
        <f t="shared" si="1"/>
        <v>232.83333333333334</v>
      </c>
      <c r="D12" s="84">
        <f t="shared" si="2"/>
        <v>15.833333333333334</v>
      </c>
      <c r="E12" s="84">
        <f t="shared" si="3"/>
        <v>624</v>
      </c>
      <c r="F12" s="84"/>
      <c r="G12" s="84"/>
      <c r="H12" s="84"/>
    </row>
    <row r="13" spans="1:8" x14ac:dyDescent="0.2">
      <c r="A13" s="85">
        <v>2022</v>
      </c>
      <c r="B13" s="84">
        <f t="shared" si="0"/>
        <v>1374.25</v>
      </c>
      <c r="C13" s="84">
        <f t="shared" si="1"/>
        <v>232.16666666666666</v>
      </c>
      <c r="D13" s="84">
        <f t="shared" si="2"/>
        <v>16.333333333333332</v>
      </c>
      <c r="E13" s="84">
        <f t="shared" si="3"/>
        <v>622</v>
      </c>
      <c r="F13" s="84"/>
      <c r="G13" s="84"/>
      <c r="H13" s="84"/>
    </row>
    <row r="14" spans="1:8" x14ac:dyDescent="0.2">
      <c r="A14" s="85">
        <v>2023</v>
      </c>
      <c r="B14" s="84">
        <f t="shared" si="0"/>
        <v>1373.25</v>
      </c>
      <c r="C14" s="84">
        <f t="shared" si="1"/>
        <v>232.66666666666666</v>
      </c>
      <c r="D14" s="84">
        <f t="shared" si="2"/>
        <v>16</v>
      </c>
      <c r="E14" s="84">
        <f t="shared" si="3"/>
        <v>621.33333333333337</v>
      </c>
      <c r="F14" s="84"/>
      <c r="G14" s="84"/>
      <c r="H14" s="84"/>
    </row>
    <row r="15" spans="1:8" x14ac:dyDescent="0.2">
      <c r="A15" s="336">
        <v>2024</v>
      </c>
      <c r="B15" s="337">
        <f>AVERAGEIF($A$24:$A$155,$A15,I$24:I$155)</f>
        <v>1371.4166666666667</v>
      </c>
      <c r="C15" s="337">
        <f>AVERAGEIF($A$24:$A$155,$A15,K$24:K$155)</f>
        <v>233.91666666666666</v>
      </c>
      <c r="D15" s="337">
        <f>AVERAGEIF($A$24:$A$155,$A15,N$24:N$155)</f>
        <v>15.333333333333334</v>
      </c>
      <c r="E15" s="337">
        <f>AVERAGEIF($A$24:$A$155,$A15,Q$24:Q$155)</f>
        <v>622</v>
      </c>
      <c r="F15" s="337"/>
      <c r="G15" s="337"/>
      <c r="H15" s="337"/>
    </row>
    <row r="21" spans="1:25" ht="15" customHeight="1" x14ac:dyDescent="0.2">
      <c r="A21" s="386"/>
      <c r="B21" s="386"/>
      <c r="D21" s="386" t="s">
        <v>74</v>
      </c>
      <c r="E21" s="386"/>
      <c r="F21" s="386"/>
      <c r="H21" s="383" t="s">
        <v>75</v>
      </c>
      <c r="I21" s="384"/>
      <c r="J21" s="384"/>
      <c r="K21" s="384"/>
      <c r="L21" s="384"/>
      <c r="M21" s="384"/>
      <c r="N21" s="384"/>
      <c r="O21" s="384"/>
      <c r="P21" s="384"/>
      <c r="Q21" s="385"/>
      <c r="S21" s="273"/>
      <c r="T21" s="273"/>
    </row>
    <row r="22" spans="1:25" ht="21.4" customHeight="1" x14ac:dyDescent="0.2">
      <c r="A22" s="390" t="s">
        <v>65</v>
      </c>
      <c r="B22" s="390" t="s">
        <v>105</v>
      </c>
      <c r="D22" s="378" t="s">
        <v>76</v>
      </c>
      <c r="E22" s="379"/>
      <c r="F22" s="380"/>
      <c r="H22" s="387" t="s">
        <v>59</v>
      </c>
      <c r="I22" s="388"/>
      <c r="J22" s="389" t="s">
        <v>72</v>
      </c>
      <c r="K22" s="388"/>
      <c r="L22" s="389" t="s">
        <v>73</v>
      </c>
      <c r="M22" s="387"/>
      <c r="N22" s="388"/>
      <c r="O22" s="389" t="s">
        <v>47</v>
      </c>
      <c r="P22" s="387"/>
      <c r="Q22" s="388"/>
      <c r="S22" s="381" t="s">
        <v>214</v>
      </c>
      <c r="T22" s="382"/>
    </row>
    <row r="23" spans="1:25" ht="34.5" thickBot="1" x14ac:dyDescent="0.25">
      <c r="A23" s="391"/>
      <c r="B23" s="391"/>
      <c r="D23" s="271" t="s">
        <v>213</v>
      </c>
      <c r="E23" s="271" t="s">
        <v>212</v>
      </c>
      <c r="F23" s="271" t="s">
        <v>211</v>
      </c>
      <c r="H23" s="272" t="s">
        <v>49</v>
      </c>
      <c r="I23" s="270" t="s">
        <v>77</v>
      </c>
      <c r="J23" s="271" t="s">
        <v>49</v>
      </c>
      <c r="K23" s="270" t="s">
        <v>77</v>
      </c>
      <c r="L23" s="271" t="s">
        <v>49</v>
      </c>
      <c r="M23" s="269" t="s">
        <v>50</v>
      </c>
      <c r="N23" s="270" t="s">
        <v>77</v>
      </c>
      <c r="O23" s="271" t="s">
        <v>49</v>
      </c>
      <c r="P23" s="269" t="s">
        <v>50</v>
      </c>
      <c r="Q23" s="270" t="s">
        <v>77</v>
      </c>
      <c r="S23" s="269" t="s">
        <v>3</v>
      </c>
      <c r="T23" s="269" t="s">
        <v>4</v>
      </c>
    </row>
    <row r="24" spans="1:25" x14ac:dyDescent="0.2">
      <c r="A24" s="254">
        <v>2014</v>
      </c>
      <c r="B24" s="253" t="s">
        <v>78</v>
      </c>
      <c r="D24" s="261">
        <v>2759483.33</v>
      </c>
      <c r="E24" s="56">
        <v>1816</v>
      </c>
      <c r="F24" s="56"/>
      <c r="H24" s="260">
        <v>1202113.48</v>
      </c>
      <c r="I24" s="57">
        <v>1412</v>
      </c>
      <c r="J24" s="56">
        <v>648884.47</v>
      </c>
      <c r="K24" s="57">
        <v>233</v>
      </c>
      <c r="L24" s="58">
        <v>761176</v>
      </c>
      <c r="M24" s="258">
        <v>1656.29</v>
      </c>
      <c r="N24" s="57">
        <f>14+3+1</f>
        <v>18</v>
      </c>
      <c r="O24" s="58">
        <f>55348.95+711.45</f>
        <v>56060.399999999994</v>
      </c>
      <c r="P24" s="268">
        <f t="shared" ref="P24:P40" si="4">119.03+1.53</f>
        <v>120.56</v>
      </c>
      <c r="Q24" s="57">
        <f t="shared" ref="Q24:Q40" si="5">625+5</f>
        <v>630</v>
      </c>
      <c r="S24" s="258">
        <v>1216.3</v>
      </c>
      <c r="T24" s="57">
        <v>0</v>
      </c>
    </row>
    <row r="25" spans="1:25" x14ac:dyDescent="0.2">
      <c r="A25" s="254">
        <v>2014</v>
      </c>
      <c r="B25" s="253" t="s">
        <v>79</v>
      </c>
      <c r="D25" s="252">
        <v>2339475</v>
      </c>
      <c r="E25" s="59">
        <v>3008</v>
      </c>
      <c r="F25" s="59"/>
      <c r="H25" s="256">
        <v>957350.04</v>
      </c>
      <c r="I25" s="60">
        <v>1410</v>
      </c>
      <c r="J25" s="59">
        <v>530526.18000000005</v>
      </c>
      <c r="K25" s="60">
        <v>233</v>
      </c>
      <c r="L25" s="61">
        <v>601924</v>
      </c>
      <c r="M25" s="257">
        <v>1662.97</v>
      </c>
      <c r="N25" s="60">
        <v>18</v>
      </c>
      <c r="O25" s="61">
        <v>50635.199999999997</v>
      </c>
      <c r="P25" s="266">
        <f t="shared" si="4"/>
        <v>120.56</v>
      </c>
      <c r="Q25" s="60">
        <f t="shared" si="5"/>
        <v>630</v>
      </c>
      <c r="S25" s="257">
        <v>1021.7999999999998</v>
      </c>
      <c r="T25" s="60">
        <v>0</v>
      </c>
      <c r="X25" s="250"/>
    </row>
    <row r="26" spans="1:25" x14ac:dyDescent="0.2">
      <c r="A26" s="254">
        <v>2014</v>
      </c>
      <c r="B26" s="253" t="s">
        <v>80</v>
      </c>
      <c r="D26" s="252">
        <v>2364158.33</v>
      </c>
      <c r="E26" s="59">
        <v>7539</v>
      </c>
      <c r="F26" s="59"/>
      <c r="H26" s="256">
        <v>923764.56</v>
      </c>
      <c r="I26" s="60">
        <v>1409</v>
      </c>
      <c r="J26" s="59">
        <v>532069.5</v>
      </c>
      <c r="K26" s="60">
        <v>233</v>
      </c>
      <c r="L26" s="61">
        <v>677160.4</v>
      </c>
      <c r="M26" s="257">
        <v>1711.74</v>
      </c>
      <c r="N26" s="60">
        <v>18</v>
      </c>
      <c r="O26" s="61">
        <f>55348.95+711.45</f>
        <v>56060.399999999994</v>
      </c>
      <c r="P26" s="266">
        <f t="shared" si="4"/>
        <v>120.56</v>
      </c>
      <c r="Q26" s="60">
        <f t="shared" si="5"/>
        <v>630</v>
      </c>
      <c r="S26" s="257">
        <v>928.20000000000027</v>
      </c>
      <c r="T26" s="60">
        <v>0</v>
      </c>
    </row>
    <row r="27" spans="1:25" x14ac:dyDescent="0.2">
      <c r="A27" s="254">
        <v>2014</v>
      </c>
      <c r="B27" s="253" t="s">
        <v>81</v>
      </c>
      <c r="D27" s="252">
        <v>2015133.33</v>
      </c>
      <c r="E27" s="59">
        <v>12408</v>
      </c>
      <c r="F27" s="59"/>
      <c r="H27" s="256">
        <v>764932.83</v>
      </c>
      <c r="I27" s="60">
        <v>1412</v>
      </c>
      <c r="J27" s="59">
        <v>437412.16</v>
      </c>
      <c r="K27" s="60">
        <v>234</v>
      </c>
      <c r="L27" s="61">
        <v>561272.39</v>
      </c>
      <c r="M27" s="257">
        <v>2121.1999999999998</v>
      </c>
      <c r="N27" s="60">
        <v>18</v>
      </c>
      <c r="O27" s="61">
        <f>35708.7+458.7</f>
        <v>36167.399999999994</v>
      </c>
      <c r="P27" s="266">
        <f t="shared" si="4"/>
        <v>120.56</v>
      </c>
      <c r="Q27" s="60">
        <f t="shared" si="5"/>
        <v>630</v>
      </c>
      <c r="S27" s="257">
        <v>554.60000000000014</v>
      </c>
      <c r="T27" s="60">
        <v>0</v>
      </c>
    </row>
    <row r="28" spans="1:25" ht="15" x14ac:dyDescent="0.25">
      <c r="A28" s="254">
        <v>2014</v>
      </c>
      <c r="B28" s="253" t="s">
        <v>48</v>
      </c>
      <c r="D28" s="252">
        <v>2100684.62</v>
      </c>
      <c r="E28" s="59">
        <v>13749</v>
      </c>
      <c r="F28" s="59"/>
      <c r="H28" s="256">
        <v>700470.93</v>
      </c>
      <c r="I28" s="60">
        <v>1409</v>
      </c>
      <c r="J28" s="59">
        <v>387252.06</v>
      </c>
      <c r="K28" s="60">
        <v>235</v>
      </c>
      <c r="L28" s="61">
        <v>779438</v>
      </c>
      <c r="M28" s="257">
        <v>1915</v>
      </c>
      <c r="N28" s="60">
        <v>18</v>
      </c>
      <c r="O28" s="61">
        <f>36898.99+473.99</f>
        <v>37372.979999999996</v>
      </c>
      <c r="P28" s="266">
        <f t="shared" si="4"/>
        <v>120.56</v>
      </c>
      <c r="Q28" s="60">
        <f t="shared" si="5"/>
        <v>630</v>
      </c>
      <c r="S28" s="257">
        <v>237.80000000000007</v>
      </c>
      <c r="T28" s="60">
        <v>8.2999999999999989</v>
      </c>
      <c r="Y28" s="267"/>
    </row>
    <row r="29" spans="1:25" x14ac:dyDescent="0.2">
      <c r="A29" s="254">
        <v>2014</v>
      </c>
      <c r="B29" s="253" t="s">
        <v>82</v>
      </c>
      <c r="D29" s="252">
        <v>1992407.69</v>
      </c>
      <c r="E29" s="59">
        <v>13982</v>
      </c>
      <c r="F29" s="59"/>
      <c r="H29" s="256">
        <v>655861.03</v>
      </c>
      <c r="I29" s="60">
        <v>1408</v>
      </c>
      <c r="J29" s="59">
        <v>365689.18</v>
      </c>
      <c r="K29" s="60">
        <v>235</v>
      </c>
      <c r="L29" s="61">
        <v>804696.89</v>
      </c>
      <c r="M29" s="257">
        <v>2020.62</v>
      </c>
      <c r="N29" s="60">
        <v>18</v>
      </c>
      <c r="O29" s="61">
        <f>35708.7+468.64</f>
        <v>36177.339999999997</v>
      </c>
      <c r="P29" s="266">
        <f t="shared" si="4"/>
        <v>120.56</v>
      </c>
      <c r="Q29" s="60">
        <f t="shared" si="5"/>
        <v>630</v>
      </c>
      <c r="S29" s="257">
        <v>78.7</v>
      </c>
      <c r="T29" s="60">
        <v>15.7</v>
      </c>
    </row>
    <row r="30" spans="1:25" x14ac:dyDescent="0.2">
      <c r="A30" s="254">
        <v>2014</v>
      </c>
      <c r="B30" s="253" t="s">
        <v>83</v>
      </c>
      <c r="D30" s="252">
        <v>1907330.77</v>
      </c>
      <c r="E30" s="59">
        <v>16061</v>
      </c>
      <c r="F30" s="59"/>
      <c r="H30" s="256">
        <v>698827.71</v>
      </c>
      <c r="I30" s="60">
        <v>1407</v>
      </c>
      <c r="J30" s="59">
        <v>378873.06</v>
      </c>
      <c r="K30" s="60">
        <v>235</v>
      </c>
      <c r="L30" s="61">
        <v>586115.67000000004</v>
      </c>
      <c r="M30" s="257">
        <v>1886.98</v>
      </c>
      <c r="N30" s="60">
        <v>18</v>
      </c>
      <c r="O30" s="61">
        <f>23984.39+298.2</f>
        <v>24282.59</v>
      </c>
      <c r="P30" s="266">
        <f t="shared" si="4"/>
        <v>120.56</v>
      </c>
      <c r="Q30" s="60">
        <f t="shared" si="5"/>
        <v>630</v>
      </c>
      <c r="S30" s="257">
        <v>54.20000000000001</v>
      </c>
      <c r="T30" s="60">
        <v>21.099999999999998</v>
      </c>
    </row>
    <row r="31" spans="1:25" x14ac:dyDescent="0.2">
      <c r="A31" s="254">
        <v>2014</v>
      </c>
      <c r="B31" s="253" t="s">
        <v>84</v>
      </c>
      <c r="D31" s="252">
        <v>1759069.23</v>
      </c>
      <c r="E31" s="59">
        <v>12969</v>
      </c>
      <c r="F31" s="59"/>
      <c r="H31" s="256">
        <v>692848.86</v>
      </c>
      <c r="I31" s="60">
        <v>1407</v>
      </c>
      <c r="J31" s="59">
        <v>361150.52</v>
      </c>
      <c r="K31" s="60">
        <v>234</v>
      </c>
      <c r="L31" s="61">
        <v>515759.53</v>
      </c>
      <c r="M31" s="257">
        <v>1838.21</v>
      </c>
      <c r="N31" s="60">
        <v>19</v>
      </c>
      <c r="O31" s="61">
        <f>23984.39+308.14</f>
        <v>24292.53</v>
      </c>
      <c r="P31" s="266">
        <f t="shared" si="4"/>
        <v>120.56</v>
      </c>
      <c r="Q31" s="60">
        <f t="shared" si="5"/>
        <v>630</v>
      </c>
      <c r="S31" s="257">
        <v>59.599999999999994</v>
      </c>
      <c r="T31" s="60">
        <v>10.899999999999999</v>
      </c>
    </row>
    <row r="32" spans="1:25" x14ac:dyDescent="0.2">
      <c r="A32" s="254">
        <v>2014</v>
      </c>
      <c r="B32" s="253" t="s">
        <v>85</v>
      </c>
      <c r="D32" s="252">
        <v>1616430.77</v>
      </c>
      <c r="E32" s="59">
        <v>10600</v>
      </c>
      <c r="F32" s="59"/>
      <c r="H32" s="256">
        <v>634288.15</v>
      </c>
      <c r="I32" s="60">
        <v>1408</v>
      </c>
      <c r="J32" s="59">
        <v>338393.76</v>
      </c>
      <c r="K32" s="60">
        <v>235</v>
      </c>
      <c r="L32" s="61">
        <v>462180.9</v>
      </c>
      <c r="M32" s="257">
        <v>1382.96</v>
      </c>
      <c r="N32" s="60">
        <v>20</v>
      </c>
      <c r="O32" s="61">
        <f>23210.7+298.2</f>
        <v>23508.9</v>
      </c>
      <c r="P32" s="266">
        <f t="shared" si="4"/>
        <v>120.56</v>
      </c>
      <c r="Q32" s="60">
        <f t="shared" si="5"/>
        <v>630</v>
      </c>
      <c r="S32" s="257">
        <v>167.50000000000003</v>
      </c>
      <c r="T32" s="60">
        <v>2.4</v>
      </c>
    </row>
    <row r="33" spans="1:20" x14ac:dyDescent="0.2">
      <c r="A33" s="254">
        <v>2014</v>
      </c>
      <c r="B33" s="253" t="s">
        <v>86</v>
      </c>
      <c r="D33" s="252">
        <v>1859369.23</v>
      </c>
      <c r="E33" s="59">
        <v>7714</v>
      </c>
      <c r="F33" s="59"/>
      <c r="H33" s="256">
        <v>723622.79</v>
      </c>
      <c r="I33" s="60">
        <v>1408</v>
      </c>
      <c r="J33" s="59">
        <v>375176.56</v>
      </c>
      <c r="K33" s="60">
        <v>232</v>
      </c>
      <c r="L33" s="61">
        <v>543698.34</v>
      </c>
      <c r="M33" s="257">
        <v>2069.44</v>
      </c>
      <c r="N33" s="60">
        <v>20</v>
      </c>
      <c r="O33" s="61">
        <f>40588.92+521.42</f>
        <v>41110.339999999997</v>
      </c>
      <c r="P33" s="266">
        <f t="shared" si="4"/>
        <v>120.56</v>
      </c>
      <c r="Q33" s="60">
        <f t="shared" si="5"/>
        <v>630</v>
      </c>
      <c r="S33" s="257">
        <v>389.5</v>
      </c>
      <c r="T33" s="60">
        <v>0</v>
      </c>
    </row>
    <row r="34" spans="1:20" x14ac:dyDescent="0.2">
      <c r="A34" s="254">
        <v>2014</v>
      </c>
      <c r="B34" s="253" t="s">
        <v>87</v>
      </c>
      <c r="D34" s="252">
        <v>2415630.77</v>
      </c>
      <c r="E34" s="59">
        <v>2650</v>
      </c>
      <c r="F34" s="59"/>
      <c r="H34" s="256">
        <v>866322.03</v>
      </c>
      <c r="I34" s="60">
        <v>1407</v>
      </c>
      <c r="J34" s="59">
        <v>474147.92</v>
      </c>
      <c r="K34" s="60">
        <v>236</v>
      </c>
      <c r="L34" s="61">
        <v>797763.05</v>
      </c>
      <c r="M34" s="257">
        <v>2253.36</v>
      </c>
      <c r="N34" s="60">
        <v>20</v>
      </c>
      <c r="O34" s="61">
        <f>39279.6+504.6</f>
        <v>39784.199999999997</v>
      </c>
      <c r="P34" s="266">
        <f t="shared" si="4"/>
        <v>120.56</v>
      </c>
      <c r="Q34" s="60">
        <f t="shared" si="5"/>
        <v>630</v>
      </c>
      <c r="S34" s="257">
        <v>781.20000000000027</v>
      </c>
      <c r="T34" s="60">
        <v>0</v>
      </c>
    </row>
    <row r="35" spans="1:20" x14ac:dyDescent="0.2">
      <c r="A35" s="254">
        <v>2014</v>
      </c>
      <c r="B35" s="253" t="s">
        <v>88</v>
      </c>
      <c r="D35" s="252">
        <v>2504000</v>
      </c>
      <c r="E35" s="59">
        <v>1588</v>
      </c>
      <c r="F35" s="59"/>
      <c r="H35" s="256">
        <v>925614.24</v>
      </c>
      <c r="I35" s="60">
        <v>1408</v>
      </c>
      <c r="J35" s="59">
        <v>497409.04</v>
      </c>
      <c r="K35" s="60">
        <v>235</v>
      </c>
      <c r="L35" s="61">
        <v>745990.34</v>
      </c>
      <c r="M35" s="257">
        <v>4117.58</v>
      </c>
      <c r="N35" s="60">
        <v>20</v>
      </c>
      <c r="O35" s="61">
        <f>40588.92+521.42</f>
        <v>41110.339999999997</v>
      </c>
      <c r="P35" s="266">
        <f t="shared" si="4"/>
        <v>120.56</v>
      </c>
      <c r="Q35" s="60">
        <f t="shared" si="5"/>
        <v>630</v>
      </c>
      <c r="S35" s="257">
        <v>821.99999999999977</v>
      </c>
      <c r="T35" s="60">
        <v>0</v>
      </c>
    </row>
    <row r="36" spans="1:20" x14ac:dyDescent="0.2">
      <c r="A36" s="254">
        <v>2015</v>
      </c>
      <c r="B36" s="253" t="s">
        <v>78</v>
      </c>
      <c r="D36" s="261">
        <v>2799215.38</v>
      </c>
      <c r="E36" s="56">
        <v>1104</v>
      </c>
      <c r="F36" s="56"/>
      <c r="H36" s="260">
        <v>1081009.3400000001</v>
      </c>
      <c r="I36" s="57">
        <v>1408</v>
      </c>
      <c r="J36" s="56">
        <v>595079.85</v>
      </c>
      <c r="K36" s="57">
        <v>234</v>
      </c>
      <c r="L36" s="58">
        <v>812094.86</v>
      </c>
      <c r="M36" s="258">
        <v>3846.89</v>
      </c>
      <c r="N36" s="57">
        <v>19</v>
      </c>
      <c r="O36" s="57">
        <f>55348.95+711.45</f>
        <v>56060.399999999994</v>
      </c>
      <c r="P36" s="57">
        <f t="shared" si="4"/>
        <v>120.56</v>
      </c>
      <c r="Q36" s="57">
        <f t="shared" si="5"/>
        <v>630</v>
      </c>
      <c r="S36" s="258">
        <v>1031.4999999999998</v>
      </c>
      <c r="T36" s="57">
        <v>0</v>
      </c>
    </row>
    <row r="37" spans="1:20" x14ac:dyDescent="0.2">
      <c r="A37" s="254">
        <v>2015</v>
      </c>
      <c r="B37" s="253" t="s">
        <v>79</v>
      </c>
      <c r="D37" s="252">
        <v>3184223.08</v>
      </c>
      <c r="E37" s="59">
        <v>4098</v>
      </c>
      <c r="F37" s="59"/>
      <c r="H37" s="256">
        <v>977738.93</v>
      </c>
      <c r="I37" s="60">
        <v>1407</v>
      </c>
      <c r="J37" s="59">
        <v>572565.96</v>
      </c>
      <c r="K37" s="60">
        <v>235</v>
      </c>
      <c r="L37" s="61">
        <v>1458529.09</v>
      </c>
      <c r="M37" s="257">
        <v>3090.67</v>
      </c>
      <c r="N37" s="60">
        <v>19</v>
      </c>
      <c r="O37" s="60">
        <f>49992.6+642.6</f>
        <v>50635.199999999997</v>
      </c>
      <c r="P37" s="60">
        <f t="shared" si="4"/>
        <v>120.56</v>
      </c>
      <c r="Q37" s="60">
        <f t="shared" si="5"/>
        <v>630</v>
      </c>
      <c r="S37" s="257">
        <v>1110.2000000000003</v>
      </c>
      <c r="T37" s="60">
        <v>0</v>
      </c>
    </row>
    <row r="38" spans="1:20" x14ac:dyDescent="0.2">
      <c r="A38" s="254">
        <v>2015</v>
      </c>
      <c r="B38" s="253" t="s">
        <v>80</v>
      </c>
      <c r="D38" s="252">
        <v>3085284.62</v>
      </c>
      <c r="E38" s="59">
        <v>12779</v>
      </c>
      <c r="F38" s="59"/>
      <c r="H38" s="256">
        <v>823291.03</v>
      </c>
      <c r="I38" s="60">
        <v>1408</v>
      </c>
      <c r="J38" s="59">
        <v>498357.21</v>
      </c>
      <c r="K38" s="60">
        <v>238</v>
      </c>
      <c r="L38" s="61">
        <v>1520040.4</v>
      </c>
      <c r="M38" s="257">
        <v>3817.43</v>
      </c>
      <c r="N38" s="60">
        <v>19</v>
      </c>
      <c r="O38" s="60">
        <f>55348.95+711.45</f>
        <v>56060.399999999994</v>
      </c>
      <c r="P38" s="60">
        <f t="shared" si="4"/>
        <v>120.56</v>
      </c>
      <c r="Q38" s="60">
        <f t="shared" si="5"/>
        <v>630</v>
      </c>
      <c r="S38" s="257">
        <v>713.69999999999982</v>
      </c>
      <c r="T38" s="60">
        <v>0</v>
      </c>
    </row>
    <row r="39" spans="1:20" x14ac:dyDescent="0.2">
      <c r="A39" s="254">
        <v>2015</v>
      </c>
      <c r="B39" s="253" t="s">
        <v>81</v>
      </c>
      <c r="D39" s="252">
        <v>2788138.46</v>
      </c>
      <c r="E39" s="59">
        <v>15959</v>
      </c>
      <c r="F39" s="59"/>
      <c r="H39" s="256">
        <v>691017.38</v>
      </c>
      <c r="I39" s="60">
        <v>1404</v>
      </c>
      <c r="J39" s="59">
        <v>399340.5</v>
      </c>
      <c r="K39" s="60">
        <v>238</v>
      </c>
      <c r="L39" s="61">
        <v>1436992.4</v>
      </c>
      <c r="M39" s="257">
        <v>4103.72</v>
      </c>
      <c r="N39" s="60">
        <v>20</v>
      </c>
      <c r="O39" s="60">
        <f>35708.7+458.7</f>
        <v>36167.399999999994</v>
      </c>
      <c r="P39" s="60">
        <f t="shared" si="4"/>
        <v>120.56</v>
      </c>
      <c r="Q39" s="60">
        <f t="shared" si="5"/>
        <v>630</v>
      </c>
      <c r="S39" s="257">
        <v>459</v>
      </c>
      <c r="T39" s="60">
        <v>0</v>
      </c>
    </row>
    <row r="40" spans="1:20" x14ac:dyDescent="0.2">
      <c r="A40" s="254">
        <v>2015</v>
      </c>
      <c r="B40" s="253" t="s">
        <v>48</v>
      </c>
      <c r="D40" s="252">
        <v>2839484.62</v>
      </c>
      <c r="E40" s="59">
        <v>15482</v>
      </c>
      <c r="F40" s="59"/>
      <c r="H40" s="256">
        <v>642740.56000000006</v>
      </c>
      <c r="I40" s="60">
        <v>1404</v>
      </c>
      <c r="J40" s="59">
        <v>356696.09</v>
      </c>
      <c r="K40" s="60">
        <v>237</v>
      </c>
      <c r="L40" s="61">
        <v>1635645.48</v>
      </c>
      <c r="M40" s="257">
        <v>4424.3500000000004</v>
      </c>
      <c r="N40" s="60">
        <v>19</v>
      </c>
      <c r="O40" s="60">
        <f>36898.99+428.12</f>
        <v>37327.11</v>
      </c>
      <c r="P40" s="60">
        <f t="shared" si="4"/>
        <v>120.56</v>
      </c>
      <c r="Q40" s="60">
        <f t="shared" si="5"/>
        <v>630</v>
      </c>
      <c r="S40" s="257">
        <v>245.7</v>
      </c>
      <c r="T40" s="60">
        <v>0</v>
      </c>
    </row>
    <row r="41" spans="1:20" x14ac:dyDescent="0.2">
      <c r="A41" s="254">
        <v>2015</v>
      </c>
      <c r="B41" s="253" t="s">
        <v>82</v>
      </c>
      <c r="D41" s="252">
        <v>2589715.38</v>
      </c>
      <c r="E41" s="59">
        <v>16605</v>
      </c>
      <c r="F41" s="59"/>
      <c r="H41" s="256">
        <v>623153.54</v>
      </c>
      <c r="I41" s="60">
        <v>1403</v>
      </c>
      <c r="J41" s="59">
        <v>362450.83</v>
      </c>
      <c r="K41" s="60">
        <v>235</v>
      </c>
      <c r="L41" s="61">
        <v>1445462.71</v>
      </c>
      <c r="M41" s="257">
        <v>3833.09</v>
      </c>
      <c r="N41" s="60">
        <v>19</v>
      </c>
      <c r="O41" s="60">
        <v>35708.699999999997</v>
      </c>
      <c r="P41" s="60">
        <v>119.03</v>
      </c>
      <c r="Q41" s="60">
        <v>625</v>
      </c>
      <c r="S41" s="257">
        <v>80.2</v>
      </c>
      <c r="T41" s="60">
        <v>2</v>
      </c>
    </row>
    <row r="42" spans="1:20" x14ac:dyDescent="0.2">
      <c r="A42" s="254">
        <v>2015</v>
      </c>
      <c r="B42" s="253" t="s">
        <v>83</v>
      </c>
      <c r="D42" s="252">
        <v>2779461.54</v>
      </c>
      <c r="E42" s="59">
        <v>15073</v>
      </c>
      <c r="F42" s="59"/>
      <c r="H42" s="256">
        <v>727616.94</v>
      </c>
      <c r="I42" s="60">
        <v>1404</v>
      </c>
      <c r="J42" s="59">
        <v>374355.45</v>
      </c>
      <c r="K42" s="60">
        <v>236</v>
      </c>
      <c r="L42" s="61">
        <v>1432652</v>
      </c>
      <c r="M42" s="257">
        <v>4275.9399999999996</v>
      </c>
      <c r="N42" s="60">
        <v>19</v>
      </c>
      <c r="O42" s="60">
        <v>23984.39</v>
      </c>
      <c r="P42" s="60">
        <v>119.03</v>
      </c>
      <c r="Q42" s="60">
        <v>625</v>
      </c>
      <c r="S42" s="257">
        <v>22.4</v>
      </c>
      <c r="T42" s="60">
        <v>48.800000000000004</v>
      </c>
    </row>
    <row r="43" spans="1:20" x14ac:dyDescent="0.2">
      <c r="A43" s="254">
        <v>2015</v>
      </c>
      <c r="B43" s="253" t="s">
        <v>84</v>
      </c>
      <c r="D43" s="252">
        <v>2450792.31</v>
      </c>
      <c r="E43" s="59">
        <v>14201</v>
      </c>
      <c r="F43" s="59"/>
      <c r="H43" s="256">
        <v>700950.31</v>
      </c>
      <c r="I43" s="60">
        <v>1403</v>
      </c>
      <c r="J43" s="59">
        <v>359009.84</v>
      </c>
      <c r="K43" s="60">
        <v>236</v>
      </c>
      <c r="L43" s="61">
        <v>1151678</v>
      </c>
      <c r="M43" s="257">
        <v>4384.96</v>
      </c>
      <c r="N43" s="60">
        <v>19</v>
      </c>
      <c r="O43" s="60">
        <v>23984.39</v>
      </c>
      <c r="P43" s="60">
        <v>119.03</v>
      </c>
      <c r="Q43" s="60">
        <v>625</v>
      </c>
      <c r="S43" s="257">
        <v>66.7</v>
      </c>
      <c r="T43" s="60">
        <v>32.099999999999994</v>
      </c>
    </row>
    <row r="44" spans="1:20" x14ac:dyDescent="0.2">
      <c r="A44" s="254">
        <v>2015</v>
      </c>
      <c r="B44" s="253" t="s">
        <v>85</v>
      </c>
      <c r="D44" s="252">
        <v>2722200</v>
      </c>
      <c r="E44" s="59">
        <v>13438</v>
      </c>
      <c r="F44" s="59"/>
      <c r="H44" s="256">
        <v>638111.51</v>
      </c>
      <c r="I44" s="60">
        <v>1402</v>
      </c>
      <c r="J44" s="59">
        <v>345260.89</v>
      </c>
      <c r="K44" s="60">
        <v>236</v>
      </c>
      <c r="L44" s="61">
        <v>1376777.7</v>
      </c>
      <c r="M44" s="257">
        <v>4301.71</v>
      </c>
      <c r="N44" s="60">
        <v>19</v>
      </c>
      <c r="O44" s="60">
        <v>23210.7</v>
      </c>
      <c r="P44" s="60">
        <v>119.03</v>
      </c>
      <c r="Q44" s="60">
        <v>625</v>
      </c>
      <c r="S44" s="257">
        <v>101.2</v>
      </c>
      <c r="T44" s="60">
        <v>24.1</v>
      </c>
    </row>
    <row r="45" spans="1:20" x14ac:dyDescent="0.2">
      <c r="A45" s="254">
        <v>2015</v>
      </c>
      <c r="B45" s="253" t="s">
        <v>86</v>
      </c>
      <c r="D45" s="252">
        <v>3269292.31</v>
      </c>
      <c r="E45" s="59">
        <v>8499</v>
      </c>
      <c r="F45" s="59"/>
      <c r="H45" s="256">
        <v>670010.03</v>
      </c>
      <c r="I45" s="60">
        <v>1404</v>
      </c>
      <c r="J45" s="59">
        <v>365229.45</v>
      </c>
      <c r="K45" s="60">
        <v>232</v>
      </c>
      <c r="L45" s="61">
        <v>2100086</v>
      </c>
      <c r="M45" s="257">
        <v>5126.53</v>
      </c>
      <c r="N45" s="60">
        <v>17</v>
      </c>
      <c r="O45" s="60">
        <v>40588.92</v>
      </c>
      <c r="P45" s="60">
        <v>119.03</v>
      </c>
      <c r="Q45" s="60">
        <v>625</v>
      </c>
      <c r="S45" s="257">
        <v>357.5</v>
      </c>
      <c r="T45" s="60">
        <v>0</v>
      </c>
    </row>
    <row r="46" spans="1:20" x14ac:dyDescent="0.2">
      <c r="A46" s="254">
        <v>2015</v>
      </c>
      <c r="B46" s="253" t="s">
        <v>87</v>
      </c>
      <c r="D46" s="252">
        <v>2988930.77</v>
      </c>
      <c r="E46" s="59">
        <v>4187</v>
      </c>
      <c r="F46" s="59"/>
      <c r="H46" s="256">
        <v>782844.56</v>
      </c>
      <c r="I46" s="60">
        <v>1402</v>
      </c>
      <c r="J46" s="59">
        <v>432833.5</v>
      </c>
      <c r="K46" s="60">
        <v>235</v>
      </c>
      <c r="L46" s="61">
        <v>1589160</v>
      </c>
      <c r="M46" s="257">
        <v>4800.24</v>
      </c>
      <c r="N46" s="60">
        <v>18</v>
      </c>
      <c r="O46" s="60">
        <v>39279.599999999999</v>
      </c>
      <c r="P46" s="60">
        <v>119.03</v>
      </c>
      <c r="Q46" s="60">
        <v>625</v>
      </c>
      <c r="S46" s="257">
        <v>502.50000000000006</v>
      </c>
      <c r="T46" s="60">
        <v>0</v>
      </c>
    </row>
    <row r="47" spans="1:20" x14ac:dyDescent="0.2">
      <c r="A47" s="254">
        <v>2015</v>
      </c>
      <c r="B47" s="253" t="s">
        <v>88</v>
      </c>
      <c r="D47" s="252">
        <v>3309930.77</v>
      </c>
      <c r="E47" s="59">
        <v>1499</v>
      </c>
      <c r="F47" s="59"/>
      <c r="H47" s="256">
        <v>870037.66</v>
      </c>
      <c r="I47" s="60">
        <v>1402</v>
      </c>
      <c r="J47" s="59">
        <v>471095.1</v>
      </c>
      <c r="K47" s="60">
        <v>233</v>
      </c>
      <c r="L47" s="61">
        <v>1622781</v>
      </c>
      <c r="M47" s="257">
        <v>4552.92</v>
      </c>
      <c r="N47" s="60">
        <v>18</v>
      </c>
      <c r="O47" s="60">
        <v>40588.92</v>
      </c>
      <c r="P47" s="60">
        <v>119.03</v>
      </c>
      <c r="Q47" s="60">
        <v>625</v>
      </c>
      <c r="S47" s="257">
        <v>733.30000000000018</v>
      </c>
      <c r="T47" s="60">
        <v>0</v>
      </c>
    </row>
    <row r="48" spans="1:20" x14ac:dyDescent="0.2">
      <c r="A48" s="254">
        <v>2016</v>
      </c>
      <c r="B48" s="253" t="s">
        <v>78</v>
      </c>
      <c r="D48" s="261">
        <v>3289353.846153846</v>
      </c>
      <c r="E48" s="56">
        <v>737</v>
      </c>
      <c r="F48" s="56"/>
      <c r="H48" s="260">
        <v>989541.68</v>
      </c>
      <c r="I48" s="57">
        <v>1395</v>
      </c>
      <c r="J48" s="56">
        <v>571637.68000000005</v>
      </c>
      <c r="K48" s="57">
        <v>232</v>
      </c>
      <c r="L48" s="58">
        <v>1488217</v>
      </c>
      <c r="M48" s="258">
        <v>4046.75</v>
      </c>
      <c r="N48" s="57">
        <v>18</v>
      </c>
      <c r="O48" s="58">
        <v>55348.95</v>
      </c>
      <c r="P48" s="259">
        <v>119.38</v>
      </c>
      <c r="Q48" s="57">
        <v>625</v>
      </c>
      <c r="S48" s="258">
        <v>935.1</v>
      </c>
      <c r="T48" s="57">
        <v>0</v>
      </c>
    </row>
    <row r="49" spans="1:25" x14ac:dyDescent="0.2">
      <c r="A49" s="254">
        <v>2016</v>
      </c>
      <c r="B49" s="253" t="s">
        <v>79</v>
      </c>
      <c r="D49" s="252">
        <v>3345061.5384615385</v>
      </c>
      <c r="E49" s="59">
        <v>3309</v>
      </c>
      <c r="F49" s="59"/>
      <c r="H49" s="256">
        <v>855200.08</v>
      </c>
      <c r="I49" s="60">
        <v>1399</v>
      </c>
      <c r="J49" s="59">
        <v>517574.59</v>
      </c>
      <c r="K49" s="60">
        <v>231</v>
      </c>
      <c r="L49" s="61">
        <v>1756184</v>
      </c>
      <c r="M49" s="257">
        <v>4296.2</v>
      </c>
      <c r="N49" s="60">
        <v>18</v>
      </c>
      <c r="O49" s="61">
        <v>51778.05</v>
      </c>
      <c r="P49" s="255">
        <v>119.38</v>
      </c>
      <c r="Q49" s="60">
        <v>625</v>
      </c>
      <c r="S49" s="257">
        <v>880.39999999999986</v>
      </c>
      <c r="T49" s="60">
        <v>0</v>
      </c>
    </row>
    <row r="50" spans="1:25" x14ac:dyDescent="0.2">
      <c r="A50" s="254">
        <v>2016</v>
      </c>
      <c r="B50" s="253" t="s">
        <v>80</v>
      </c>
      <c r="D50" s="252">
        <v>3426492.3076923075</v>
      </c>
      <c r="E50" s="59">
        <v>11635</v>
      </c>
      <c r="F50" s="59"/>
      <c r="H50" s="256">
        <v>757775.33</v>
      </c>
      <c r="I50" s="60">
        <v>1398</v>
      </c>
      <c r="J50" s="59">
        <v>466653.74</v>
      </c>
      <c r="K50" s="60">
        <v>230</v>
      </c>
      <c r="L50" s="61">
        <v>2380130</v>
      </c>
      <c r="M50" s="257">
        <v>4772.32</v>
      </c>
      <c r="N50" s="60">
        <v>18</v>
      </c>
      <c r="O50" s="61">
        <v>55348.95</v>
      </c>
      <c r="P50" s="255">
        <v>119.38</v>
      </c>
      <c r="Q50" s="60">
        <v>625</v>
      </c>
      <c r="S50" s="257">
        <v>588.99999999999989</v>
      </c>
      <c r="T50" s="60">
        <v>0</v>
      </c>
    </row>
    <row r="51" spans="1:25" x14ac:dyDescent="0.2">
      <c r="A51" s="254">
        <v>2016</v>
      </c>
      <c r="B51" s="253" t="s">
        <v>81</v>
      </c>
      <c r="D51" s="252">
        <v>3357023.076923077</v>
      </c>
      <c r="E51" s="59">
        <v>14216</v>
      </c>
      <c r="F51" s="59"/>
      <c r="H51" s="256">
        <v>649400.85</v>
      </c>
      <c r="I51" s="60">
        <v>1398</v>
      </c>
      <c r="J51" s="59">
        <v>386652.88</v>
      </c>
      <c r="K51" s="60">
        <v>231</v>
      </c>
      <c r="L51" s="61">
        <v>1589586</v>
      </c>
      <c r="M51" s="257">
        <v>4535.78</v>
      </c>
      <c r="N51" s="60">
        <v>18</v>
      </c>
      <c r="O51" s="61">
        <v>35708.699999999997</v>
      </c>
      <c r="P51" s="255">
        <v>119.38</v>
      </c>
      <c r="Q51" s="60">
        <v>625</v>
      </c>
      <c r="S51" s="257">
        <v>493</v>
      </c>
      <c r="T51" s="60">
        <v>0</v>
      </c>
    </row>
    <row r="52" spans="1:25" x14ac:dyDescent="0.2">
      <c r="A52" s="254">
        <v>2016</v>
      </c>
      <c r="B52" s="253" t="s">
        <v>48</v>
      </c>
      <c r="D52" s="252">
        <v>2913761.5384615385</v>
      </c>
      <c r="E52" s="59">
        <v>28599</v>
      </c>
      <c r="F52" s="59"/>
      <c r="H52" s="256">
        <v>636075.42000000004</v>
      </c>
      <c r="I52" s="60">
        <v>1397</v>
      </c>
      <c r="J52" s="59">
        <v>370423.18</v>
      </c>
      <c r="K52" s="60">
        <v>232</v>
      </c>
      <c r="L52" s="61">
        <v>1683140.7</v>
      </c>
      <c r="M52" s="257">
        <v>4954.1499999999996</v>
      </c>
      <c r="N52" s="60">
        <v>17</v>
      </c>
      <c r="O52" s="61">
        <v>35708.699999999997</v>
      </c>
      <c r="P52" s="255">
        <v>119.38</v>
      </c>
      <c r="Q52" s="60">
        <v>625</v>
      </c>
      <c r="S52" s="257">
        <v>201.09999999999997</v>
      </c>
      <c r="T52" s="60">
        <v>1.3</v>
      </c>
    </row>
    <row r="53" spans="1:25" x14ac:dyDescent="0.2">
      <c r="A53" s="254">
        <v>2016</v>
      </c>
      <c r="B53" s="253" t="s">
        <v>82</v>
      </c>
      <c r="D53" s="252">
        <v>2779069.230769231</v>
      </c>
      <c r="E53" s="59">
        <v>13378</v>
      </c>
      <c r="F53" s="59"/>
      <c r="H53" s="256">
        <v>610262.41</v>
      </c>
      <c r="I53" s="60">
        <v>1398</v>
      </c>
      <c r="J53" s="59">
        <v>336859.07</v>
      </c>
      <c r="K53" s="60">
        <v>231</v>
      </c>
      <c r="L53" s="61">
        <v>1691635.47</v>
      </c>
      <c r="M53" s="257">
        <v>3340.18</v>
      </c>
      <c r="N53" s="60">
        <v>17</v>
      </c>
      <c r="O53" s="61">
        <v>36898.99</v>
      </c>
      <c r="P53" s="255">
        <v>119.38</v>
      </c>
      <c r="Q53" s="60">
        <v>625</v>
      </c>
      <c r="S53" s="257">
        <v>112.40000000000002</v>
      </c>
      <c r="T53" s="60">
        <v>8.6</v>
      </c>
    </row>
    <row r="54" spans="1:25" x14ac:dyDescent="0.2">
      <c r="A54" s="254">
        <v>2016</v>
      </c>
      <c r="B54" s="253" t="s">
        <v>83</v>
      </c>
      <c r="D54" s="252">
        <v>2922792.307692308</v>
      </c>
      <c r="E54" s="59">
        <v>16219</v>
      </c>
      <c r="F54" s="59"/>
      <c r="H54" s="256">
        <v>758838.51</v>
      </c>
      <c r="I54" s="60">
        <v>1395</v>
      </c>
      <c r="J54" s="59">
        <v>366733.79</v>
      </c>
      <c r="K54" s="60">
        <v>231</v>
      </c>
      <c r="L54" s="61">
        <v>1566601.77</v>
      </c>
      <c r="M54" s="257">
        <v>4237.6099999999997</v>
      </c>
      <c r="N54" s="60">
        <v>17</v>
      </c>
      <c r="O54" s="61">
        <v>23984.39</v>
      </c>
      <c r="P54" s="255">
        <v>119.38</v>
      </c>
      <c r="Q54" s="60">
        <v>625</v>
      </c>
      <c r="S54" s="257">
        <v>21.700000000000003</v>
      </c>
      <c r="T54" s="60">
        <v>47.9</v>
      </c>
    </row>
    <row r="55" spans="1:25" x14ac:dyDescent="0.2">
      <c r="A55" s="254">
        <v>2016</v>
      </c>
      <c r="B55" s="253" t="s">
        <v>84</v>
      </c>
      <c r="D55" s="252">
        <v>3293223.076923077</v>
      </c>
      <c r="E55" s="59">
        <v>14957</v>
      </c>
      <c r="F55" s="59"/>
      <c r="H55" s="256">
        <v>731146.14</v>
      </c>
      <c r="I55" s="60">
        <v>1395</v>
      </c>
      <c r="J55" s="59">
        <v>383719.87</v>
      </c>
      <c r="K55" s="60">
        <v>230</v>
      </c>
      <c r="L55" s="61">
        <v>1960776.5</v>
      </c>
      <c r="M55" s="257">
        <v>4478.62</v>
      </c>
      <c r="N55" s="60">
        <v>17</v>
      </c>
      <c r="O55" s="61">
        <v>23984.39</v>
      </c>
      <c r="P55" s="255">
        <v>119.38</v>
      </c>
      <c r="Q55" s="60">
        <v>625</v>
      </c>
      <c r="S55" s="257">
        <v>24.8</v>
      </c>
      <c r="T55" s="60">
        <v>34.299999999999997</v>
      </c>
    </row>
    <row r="56" spans="1:25" x14ac:dyDescent="0.2">
      <c r="A56" s="254">
        <v>2016</v>
      </c>
      <c r="B56" s="253" t="s">
        <v>85</v>
      </c>
      <c r="D56" s="252">
        <v>2638023.076923077</v>
      </c>
      <c r="E56" s="59">
        <v>10012</v>
      </c>
      <c r="F56" s="59"/>
      <c r="H56" s="256">
        <v>603323.22</v>
      </c>
      <c r="I56" s="60">
        <v>1395</v>
      </c>
      <c r="J56" s="59">
        <v>324299.55</v>
      </c>
      <c r="K56" s="60">
        <v>234</v>
      </c>
      <c r="L56" s="61">
        <v>1493152</v>
      </c>
      <c r="M56" s="257">
        <v>4240.55</v>
      </c>
      <c r="N56" s="60">
        <v>17</v>
      </c>
      <c r="O56" s="61">
        <v>23210.7</v>
      </c>
      <c r="P56" s="255">
        <v>119.38</v>
      </c>
      <c r="Q56" s="60">
        <v>625</v>
      </c>
      <c r="S56" s="257">
        <v>111.89999999999999</v>
      </c>
      <c r="T56" s="60">
        <v>5.2</v>
      </c>
    </row>
    <row r="57" spans="1:25" x14ac:dyDescent="0.2">
      <c r="A57" s="254">
        <v>2016</v>
      </c>
      <c r="B57" s="253" t="s">
        <v>86</v>
      </c>
      <c r="D57" s="252">
        <v>3166561.5384615385</v>
      </c>
      <c r="E57" s="59">
        <v>7585</v>
      </c>
      <c r="F57" s="59"/>
      <c r="H57" s="256">
        <v>644048.59</v>
      </c>
      <c r="I57" s="60">
        <v>1398</v>
      </c>
      <c r="J57" s="59">
        <v>325314.06</v>
      </c>
      <c r="K57" s="60">
        <v>234</v>
      </c>
      <c r="L57" s="61">
        <v>1895504</v>
      </c>
      <c r="M57" s="257">
        <v>4538.62</v>
      </c>
      <c r="N57" s="60">
        <v>17</v>
      </c>
      <c r="O57" s="61">
        <v>40588.92</v>
      </c>
      <c r="P57" s="255">
        <v>119.38</v>
      </c>
      <c r="Q57" s="60">
        <v>625</v>
      </c>
      <c r="S57" s="257">
        <v>341.9</v>
      </c>
      <c r="T57" s="60">
        <v>0</v>
      </c>
    </row>
    <row r="58" spans="1:25" x14ac:dyDescent="0.2">
      <c r="A58" s="254">
        <v>2016</v>
      </c>
      <c r="B58" s="253" t="s">
        <v>87</v>
      </c>
      <c r="D58" s="252">
        <v>3228776.923076923</v>
      </c>
      <c r="E58" s="59">
        <v>4372</v>
      </c>
      <c r="F58" s="59"/>
      <c r="H58" s="256">
        <v>729101.85</v>
      </c>
      <c r="I58" s="60">
        <v>1393</v>
      </c>
      <c r="J58" s="59">
        <v>405190.04</v>
      </c>
      <c r="K58" s="60">
        <v>232</v>
      </c>
      <c r="L58" s="61">
        <v>1912766</v>
      </c>
      <c r="M58" s="257">
        <v>5516.37</v>
      </c>
      <c r="N58" s="60">
        <v>17</v>
      </c>
      <c r="O58" s="61">
        <v>39279.599999999999</v>
      </c>
      <c r="P58" s="255">
        <v>119.38</v>
      </c>
      <c r="Q58" s="60">
        <v>625</v>
      </c>
      <c r="S58" s="257">
        <v>481.6</v>
      </c>
      <c r="T58" s="60">
        <v>0</v>
      </c>
    </row>
    <row r="59" spans="1:25" x14ac:dyDescent="0.2">
      <c r="A59" s="254">
        <v>2016</v>
      </c>
      <c r="B59" s="253" t="s">
        <v>88</v>
      </c>
      <c r="D59" s="252">
        <v>3589030.769230769</v>
      </c>
      <c r="E59" s="59">
        <v>633</v>
      </c>
      <c r="F59" s="59"/>
      <c r="H59" s="256">
        <v>920603.15</v>
      </c>
      <c r="I59" s="60">
        <v>1392</v>
      </c>
      <c r="J59" s="59">
        <v>496652.5</v>
      </c>
      <c r="K59" s="60">
        <v>229</v>
      </c>
      <c r="L59" s="61">
        <v>1817312</v>
      </c>
      <c r="M59" s="257">
        <v>4812.26</v>
      </c>
      <c r="N59" s="60">
        <v>18</v>
      </c>
      <c r="O59" s="61">
        <v>40588.92</v>
      </c>
      <c r="P59" s="255">
        <v>119.38</v>
      </c>
      <c r="Q59" s="262">
        <v>625</v>
      </c>
      <c r="S59" s="257">
        <v>866.9</v>
      </c>
      <c r="T59" s="60">
        <v>0</v>
      </c>
    </row>
    <row r="60" spans="1:25" x14ac:dyDescent="0.2">
      <c r="A60" s="254">
        <v>2017</v>
      </c>
      <c r="B60" s="253" t="s">
        <v>78</v>
      </c>
      <c r="D60" s="261">
        <v>3195276.1904761908</v>
      </c>
      <c r="E60" s="56">
        <v>1675</v>
      </c>
      <c r="F60" s="56"/>
      <c r="H60" s="260">
        <v>939785.04</v>
      </c>
      <c r="I60" s="57">
        <v>1392</v>
      </c>
      <c r="J60" s="56">
        <v>546689.57999999996</v>
      </c>
      <c r="K60" s="57">
        <v>230</v>
      </c>
      <c r="L60" s="58">
        <v>1490514</v>
      </c>
      <c r="M60" s="258">
        <v>4589.28</v>
      </c>
      <c r="N60" s="57">
        <v>17</v>
      </c>
      <c r="O60" s="58">
        <v>54623.55</v>
      </c>
      <c r="P60" s="259">
        <v>117.47</v>
      </c>
      <c r="Q60" s="57">
        <v>626</v>
      </c>
      <c r="S60" s="258">
        <v>950.00000000000011</v>
      </c>
      <c r="T60" s="57">
        <v>0</v>
      </c>
      <c r="U60" s="263"/>
      <c r="V60" s="263"/>
      <c r="Y60" s="265"/>
    </row>
    <row r="61" spans="1:25" x14ac:dyDescent="0.2">
      <c r="A61" s="254">
        <v>2017</v>
      </c>
      <c r="B61" s="253" t="s">
        <v>79</v>
      </c>
      <c r="D61" s="252">
        <v>3011200.0000000005</v>
      </c>
      <c r="E61" s="59">
        <v>5739</v>
      </c>
      <c r="F61" s="59"/>
      <c r="H61" s="256">
        <v>758415.66</v>
      </c>
      <c r="I61" s="60">
        <v>1391</v>
      </c>
      <c r="J61" s="59">
        <v>455790.51</v>
      </c>
      <c r="K61" s="60">
        <v>230</v>
      </c>
      <c r="L61" s="61">
        <v>1572851</v>
      </c>
      <c r="M61" s="257">
        <v>4447.63</v>
      </c>
      <c r="N61" s="60">
        <v>17</v>
      </c>
      <c r="O61" s="61">
        <v>49337.4</v>
      </c>
      <c r="P61" s="255">
        <v>117.47</v>
      </c>
      <c r="Q61" s="60">
        <v>626</v>
      </c>
      <c r="S61" s="257">
        <v>755.29999999999984</v>
      </c>
      <c r="T61" s="60">
        <v>0</v>
      </c>
      <c r="U61" s="263"/>
      <c r="V61" s="263"/>
      <c r="Y61" s="265"/>
    </row>
    <row r="62" spans="1:25" x14ac:dyDescent="0.2">
      <c r="A62" s="254">
        <v>2017</v>
      </c>
      <c r="B62" s="253" t="s">
        <v>80</v>
      </c>
      <c r="D62" s="252">
        <v>2765404.7619047621</v>
      </c>
      <c r="E62" s="59">
        <v>13554</v>
      </c>
      <c r="F62" s="59"/>
      <c r="H62" s="256">
        <v>775551.18</v>
      </c>
      <c r="I62" s="60">
        <v>1392</v>
      </c>
      <c r="J62" s="59">
        <v>466448.75</v>
      </c>
      <c r="K62" s="60">
        <v>230</v>
      </c>
      <c r="L62" s="61">
        <v>1267694</v>
      </c>
      <c r="M62" s="257">
        <v>4340.76</v>
      </c>
      <c r="N62" s="60">
        <v>17</v>
      </c>
      <c r="O62" s="61">
        <v>54623.55</v>
      </c>
      <c r="P62" s="255">
        <v>117.47</v>
      </c>
      <c r="Q62" s="60">
        <v>626</v>
      </c>
      <c r="S62" s="257">
        <v>736.59999999999991</v>
      </c>
      <c r="T62" s="60">
        <v>0</v>
      </c>
      <c r="U62" s="263"/>
      <c r="V62" s="263"/>
      <c r="Y62" s="265"/>
    </row>
    <row r="63" spans="1:25" x14ac:dyDescent="0.2">
      <c r="A63" s="254">
        <v>2017</v>
      </c>
      <c r="B63" s="253" t="s">
        <v>81</v>
      </c>
      <c r="D63" s="252">
        <v>2576757.1428571427</v>
      </c>
      <c r="E63" s="59">
        <v>13457</v>
      </c>
      <c r="F63" s="59"/>
      <c r="H63" s="256">
        <v>633574.49</v>
      </c>
      <c r="I63" s="60">
        <v>1392</v>
      </c>
      <c r="J63" s="59">
        <v>356585.3</v>
      </c>
      <c r="K63" s="60">
        <v>232</v>
      </c>
      <c r="L63" s="61">
        <v>1261162</v>
      </c>
      <c r="M63" s="257">
        <v>4124.54</v>
      </c>
      <c r="N63" s="60">
        <v>17</v>
      </c>
      <c r="O63" s="61">
        <v>35240.699999999997</v>
      </c>
      <c r="P63" s="255">
        <v>117.47</v>
      </c>
      <c r="Q63" s="60">
        <v>626</v>
      </c>
      <c r="S63" s="257">
        <v>430.3</v>
      </c>
      <c r="T63" s="60">
        <v>0</v>
      </c>
      <c r="U63" s="263"/>
      <c r="V63" s="263"/>
      <c r="Y63" s="265"/>
    </row>
    <row r="64" spans="1:25" x14ac:dyDescent="0.2">
      <c r="A64" s="254">
        <v>2017</v>
      </c>
      <c r="B64" s="253" t="s">
        <v>48</v>
      </c>
      <c r="D64" s="252">
        <v>2438219.047619048</v>
      </c>
      <c r="E64" s="59">
        <v>14810</v>
      </c>
      <c r="F64" s="59"/>
      <c r="H64" s="256">
        <v>630345.55000000005</v>
      </c>
      <c r="I64" s="60">
        <v>1392</v>
      </c>
      <c r="J64" s="59">
        <v>359622.01</v>
      </c>
      <c r="K64" s="60">
        <v>234</v>
      </c>
      <c r="L64" s="61">
        <v>1349498</v>
      </c>
      <c r="M64" s="257">
        <v>4017.08</v>
      </c>
      <c r="N64" s="60">
        <v>17</v>
      </c>
      <c r="O64" s="61">
        <v>36415.39</v>
      </c>
      <c r="P64" s="255">
        <v>117.47</v>
      </c>
      <c r="Q64" s="60">
        <v>626</v>
      </c>
      <c r="S64" s="257">
        <v>280.89999999999998</v>
      </c>
      <c r="T64" s="60">
        <v>0</v>
      </c>
      <c r="U64" s="263"/>
      <c r="V64" s="263"/>
      <c r="Y64" s="265"/>
    </row>
    <row r="65" spans="1:26" x14ac:dyDescent="0.2">
      <c r="A65" s="254">
        <v>2017</v>
      </c>
      <c r="B65" s="253" t="s">
        <v>82</v>
      </c>
      <c r="D65" s="252">
        <v>2129561.9047619049</v>
      </c>
      <c r="E65" s="59">
        <v>13675</v>
      </c>
      <c r="F65" s="59"/>
      <c r="H65" s="256">
        <v>574163.66</v>
      </c>
      <c r="I65" s="60">
        <v>1390</v>
      </c>
      <c r="J65" s="59">
        <v>327003.21000000002</v>
      </c>
      <c r="K65" s="60">
        <v>234</v>
      </c>
      <c r="L65" s="61">
        <v>994330</v>
      </c>
      <c r="M65" s="257">
        <v>4020.58</v>
      </c>
      <c r="N65" s="60">
        <v>17</v>
      </c>
      <c r="O65" s="61">
        <v>35240.699999999997</v>
      </c>
      <c r="P65" s="255">
        <v>117.47</v>
      </c>
      <c r="Q65" s="60">
        <v>626</v>
      </c>
      <c r="S65" s="257">
        <v>76.000000000000028</v>
      </c>
      <c r="T65" s="60">
        <v>3</v>
      </c>
      <c r="U65" s="263"/>
      <c r="V65" s="263"/>
      <c r="Y65" s="265"/>
    </row>
    <row r="66" spans="1:26" x14ac:dyDescent="0.2">
      <c r="A66" s="254">
        <v>2017</v>
      </c>
      <c r="B66" s="253" t="s">
        <v>83</v>
      </c>
      <c r="D66" s="252">
        <v>2595733.3333333335</v>
      </c>
      <c r="E66" s="59">
        <v>15706</v>
      </c>
      <c r="F66" s="59"/>
      <c r="H66" s="256">
        <v>731910.17</v>
      </c>
      <c r="I66" s="60">
        <v>1390</v>
      </c>
      <c r="J66" s="59">
        <v>375880.46</v>
      </c>
      <c r="K66" s="60">
        <v>234</v>
      </c>
      <c r="L66" s="61">
        <v>1350874</v>
      </c>
      <c r="M66" s="257">
        <v>4014.11</v>
      </c>
      <c r="N66" s="60">
        <v>17</v>
      </c>
      <c r="O66" s="61">
        <v>23670.05</v>
      </c>
      <c r="P66" s="255">
        <v>117.47</v>
      </c>
      <c r="Q66" s="60">
        <v>626</v>
      </c>
      <c r="S66" s="257">
        <v>31.699999999999996</v>
      </c>
      <c r="T66" s="60">
        <v>26.499999999999996</v>
      </c>
      <c r="U66" s="263"/>
      <c r="V66" s="263"/>
      <c r="Y66" s="265"/>
    </row>
    <row r="67" spans="1:26" x14ac:dyDescent="0.2">
      <c r="A67" s="254">
        <v>2017</v>
      </c>
      <c r="B67" s="253" t="s">
        <v>84</v>
      </c>
      <c r="D67" s="252">
        <v>2366533.3333333335</v>
      </c>
      <c r="E67" s="59">
        <v>14773</v>
      </c>
      <c r="F67" s="59"/>
      <c r="H67" s="256">
        <v>645664.14</v>
      </c>
      <c r="I67" s="60">
        <v>1387</v>
      </c>
      <c r="J67" s="59">
        <v>329805.36</v>
      </c>
      <c r="K67" s="60">
        <v>233</v>
      </c>
      <c r="L67" s="61">
        <v>1160328</v>
      </c>
      <c r="M67" s="257">
        <v>3626.09</v>
      </c>
      <c r="N67" s="60">
        <v>17</v>
      </c>
      <c r="O67" s="61">
        <v>23670.05</v>
      </c>
      <c r="P67" s="255">
        <v>117.47</v>
      </c>
      <c r="Q67" s="60">
        <v>626</v>
      </c>
      <c r="S67" s="257">
        <v>71.5</v>
      </c>
      <c r="T67" s="60">
        <v>4.9000000000000004</v>
      </c>
      <c r="U67" s="263"/>
      <c r="V67" s="263"/>
      <c r="Y67" s="265"/>
    </row>
    <row r="68" spans="1:26" x14ac:dyDescent="0.2">
      <c r="A68" s="254">
        <v>2017</v>
      </c>
      <c r="B68" s="253" t="s">
        <v>85</v>
      </c>
      <c r="D68" s="252">
        <v>2261166.666666667</v>
      </c>
      <c r="E68" s="59">
        <v>9749</v>
      </c>
      <c r="F68" s="59"/>
      <c r="H68" s="256">
        <v>603560.51</v>
      </c>
      <c r="I68" s="60">
        <v>1388</v>
      </c>
      <c r="J68" s="59">
        <v>302471.90000000002</v>
      </c>
      <c r="K68" s="60">
        <v>235</v>
      </c>
      <c r="L68" s="61">
        <v>1182572</v>
      </c>
      <c r="M68" s="257">
        <v>4230.87</v>
      </c>
      <c r="N68" s="60">
        <v>17</v>
      </c>
      <c r="O68" s="61">
        <v>22906.5</v>
      </c>
      <c r="P68" s="255">
        <v>117.47</v>
      </c>
      <c r="Q68" s="60">
        <v>626</v>
      </c>
      <c r="S68" s="257">
        <v>157.69999999999996</v>
      </c>
      <c r="T68" s="60">
        <v>6.7</v>
      </c>
      <c r="U68" s="263"/>
      <c r="V68" s="263"/>
      <c r="Y68" s="265"/>
    </row>
    <row r="69" spans="1:26" x14ac:dyDescent="0.2">
      <c r="A69" s="254">
        <v>2017</v>
      </c>
      <c r="B69" s="253" t="s">
        <v>86</v>
      </c>
      <c r="D69" s="252">
        <v>2713033.3333333335</v>
      </c>
      <c r="E69" s="59">
        <v>7491</v>
      </c>
      <c r="F69" s="59"/>
      <c r="H69" s="256">
        <v>643446.64</v>
      </c>
      <c r="I69" s="60">
        <v>1387</v>
      </c>
      <c r="J69" s="59">
        <v>319601.69</v>
      </c>
      <c r="K69" s="60">
        <v>234</v>
      </c>
      <c r="L69" s="61">
        <v>1445424</v>
      </c>
      <c r="M69" s="257">
        <v>4403.78</v>
      </c>
      <c r="N69" s="60">
        <v>17</v>
      </c>
      <c r="O69" s="61">
        <v>40056.959999999999</v>
      </c>
      <c r="P69" s="255">
        <v>117.47</v>
      </c>
      <c r="Q69" s="60">
        <v>626</v>
      </c>
      <c r="S69" s="257">
        <v>273.79999999999995</v>
      </c>
      <c r="T69" s="60">
        <v>0</v>
      </c>
      <c r="U69" s="263"/>
      <c r="V69" s="263"/>
      <c r="Y69" s="265"/>
    </row>
    <row r="70" spans="1:26" x14ac:dyDescent="0.2">
      <c r="A70" s="254">
        <v>2017</v>
      </c>
      <c r="B70" s="253" t="s">
        <v>87</v>
      </c>
      <c r="D70" s="252">
        <v>2768866.666666667</v>
      </c>
      <c r="E70" s="59">
        <v>733</v>
      </c>
      <c r="F70" s="59"/>
      <c r="H70" s="256">
        <v>806287.24</v>
      </c>
      <c r="I70" s="60">
        <v>1388</v>
      </c>
      <c r="J70" s="59">
        <v>446187.35</v>
      </c>
      <c r="K70" s="60">
        <v>232</v>
      </c>
      <c r="L70" s="61">
        <v>1297136</v>
      </c>
      <c r="M70" s="257">
        <v>4171.79</v>
      </c>
      <c r="N70" s="60">
        <v>17</v>
      </c>
      <c r="O70" s="61">
        <v>38764.800000000003</v>
      </c>
      <c r="P70" s="255">
        <v>117.47</v>
      </c>
      <c r="Q70" s="60">
        <v>626</v>
      </c>
      <c r="S70" s="257">
        <v>549.40000000000009</v>
      </c>
      <c r="T70" s="60">
        <v>0</v>
      </c>
      <c r="U70" s="263"/>
      <c r="V70" s="263"/>
      <c r="Y70" s="265"/>
    </row>
    <row r="71" spans="1:26" x14ac:dyDescent="0.2">
      <c r="A71" s="254">
        <v>2017</v>
      </c>
      <c r="B71" s="253" t="s">
        <v>88</v>
      </c>
      <c r="D71" s="252">
        <v>3098766.666666667</v>
      </c>
      <c r="E71" s="59">
        <v>1012</v>
      </c>
      <c r="F71" s="59"/>
      <c r="H71" s="256">
        <v>968742.21</v>
      </c>
      <c r="I71" s="60">
        <v>1388</v>
      </c>
      <c r="J71" s="59">
        <v>490394.19</v>
      </c>
      <c r="K71" s="60">
        <v>232</v>
      </c>
      <c r="L71" s="61">
        <v>1294982</v>
      </c>
      <c r="M71" s="257">
        <v>4161.03</v>
      </c>
      <c r="N71" s="60">
        <v>17</v>
      </c>
      <c r="O71" s="61">
        <v>40056.959999999999</v>
      </c>
      <c r="P71" s="255">
        <v>117.47</v>
      </c>
      <c r="Q71" s="60">
        <v>626</v>
      </c>
      <c r="S71" s="257">
        <v>1034.9999999999998</v>
      </c>
      <c r="T71" s="60">
        <v>0</v>
      </c>
      <c r="U71" s="263"/>
      <c r="V71" s="263"/>
      <c r="Y71" s="265"/>
    </row>
    <row r="72" spans="1:26" x14ac:dyDescent="0.2">
      <c r="A72" s="254">
        <v>2018</v>
      </c>
      <c r="B72" s="253" t="s">
        <v>78</v>
      </c>
      <c r="D72" s="261">
        <v>3294366.666666667</v>
      </c>
      <c r="E72" s="56">
        <v>1565</v>
      </c>
      <c r="F72" s="56"/>
      <c r="H72" s="260">
        <v>1026830.69</v>
      </c>
      <c r="I72" s="57">
        <v>1387</v>
      </c>
      <c r="J72" s="264">
        <v>542910.53</v>
      </c>
      <c r="K72" s="57">
        <v>232</v>
      </c>
      <c r="L72" s="58">
        <v>1015344</v>
      </c>
      <c r="M72" s="258">
        <v>4088.5</v>
      </c>
      <c r="N72" s="57">
        <v>17</v>
      </c>
      <c r="O72" s="58">
        <v>50396.7</v>
      </c>
      <c r="P72" s="259">
        <v>108.38</v>
      </c>
      <c r="Q72" s="57">
        <v>626</v>
      </c>
      <c r="S72" s="258">
        <v>1035.8000000000002</v>
      </c>
      <c r="T72" s="57">
        <v>0</v>
      </c>
      <c r="X72" s="250"/>
      <c r="Z72" s="263"/>
    </row>
    <row r="73" spans="1:26" x14ac:dyDescent="0.2">
      <c r="A73" s="254">
        <v>2018</v>
      </c>
      <c r="B73" s="253" t="s">
        <v>79</v>
      </c>
      <c r="D73" s="252">
        <v>2880933.3333333335</v>
      </c>
      <c r="E73" s="59">
        <v>3614</v>
      </c>
      <c r="F73" s="59"/>
      <c r="H73" s="256">
        <v>857444.17</v>
      </c>
      <c r="I73" s="60">
        <v>1387</v>
      </c>
      <c r="J73" s="59">
        <v>474126.75</v>
      </c>
      <c r="K73" s="60">
        <v>231</v>
      </c>
      <c r="L73" s="61">
        <v>1830809.98</v>
      </c>
      <c r="M73" s="257">
        <v>6839.89</v>
      </c>
      <c r="N73" s="60">
        <v>17</v>
      </c>
      <c r="O73" s="61">
        <v>45519.6</v>
      </c>
      <c r="P73" s="255">
        <v>108.38</v>
      </c>
      <c r="Q73" s="60">
        <v>626</v>
      </c>
      <c r="S73" s="257">
        <v>982.69999999999982</v>
      </c>
      <c r="T73" s="60">
        <v>0</v>
      </c>
      <c r="X73" s="250"/>
      <c r="Z73" s="263"/>
    </row>
    <row r="74" spans="1:26" x14ac:dyDescent="0.2">
      <c r="A74" s="254">
        <v>2018</v>
      </c>
      <c r="B74" s="253" t="s">
        <v>80</v>
      </c>
      <c r="D74" s="252">
        <v>2839066.666666667</v>
      </c>
      <c r="E74" s="59">
        <v>11963</v>
      </c>
      <c r="F74" s="59"/>
      <c r="H74" s="256">
        <v>769891.46</v>
      </c>
      <c r="I74" s="60">
        <v>1386</v>
      </c>
      <c r="J74" s="59">
        <v>438356.63</v>
      </c>
      <c r="K74" s="60">
        <v>231</v>
      </c>
      <c r="L74" s="61">
        <v>1344351.98</v>
      </c>
      <c r="M74" s="257">
        <v>4636.2700000000004</v>
      </c>
      <c r="N74" s="60">
        <v>17</v>
      </c>
      <c r="O74" s="61">
        <v>50396.7</v>
      </c>
      <c r="P74" s="255">
        <v>108.38</v>
      </c>
      <c r="Q74" s="60">
        <v>626</v>
      </c>
      <c r="S74" s="257">
        <v>748.70000000000016</v>
      </c>
      <c r="T74" s="60">
        <v>0</v>
      </c>
      <c r="X74" s="250"/>
      <c r="Z74" s="263"/>
    </row>
    <row r="75" spans="1:26" x14ac:dyDescent="0.2">
      <c r="A75" s="254">
        <v>2018</v>
      </c>
      <c r="B75" s="253" t="s">
        <v>81</v>
      </c>
      <c r="D75" s="252">
        <v>2866533.3333333335</v>
      </c>
      <c r="E75" s="59">
        <v>16944</v>
      </c>
      <c r="F75" s="59"/>
      <c r="H75" s="256">
        <v>671384.47</v>
      </c>
      <c r="I75" s="60">
        <v>1384</v>
      </c>
      <c r="J75" s="59">
        <v>379937.55</v>
      </c>
      <c r="K75" s="60">
        <v>234</v>
      </c>
      <c r="L75" s="61">
        <v>1612812</v>
      </c>
      <c r="M75" s="257">
        <v>4779.45</v>
      </c>
      <c r="N75" s="60">
        <v>17</v>
      </c>
      <c r="O75" s="61">
        <v>32514</v>
      </c>
      <c r="P75" s="255">
        <v>108.38</v>
      </c>
      <c r="Q75" s="60">
        <v>626</v>
      </c>
      <c r="S75" s="257">
        <v>599.80000000000007</v>
      </c>
      <c r="T75" s="60">
        <v>0</v>
      </c>
      <c r="X75" s="250"/>
      <c r="Z75" s="263"/>
    </row>
    <row r="76" spans="1:26" x14ac:dyDescent="0.2">
      <c r="A76" s="254">
        <v>2018</v>
      </c>
      <c r="B76" s="253" t="s">
        <v>48</v>
      </c>
      <c r="D76" s="252">
        <v>2566333.3333333335</v>
      </c>
      <c r="E76" s="59">
        <v>15639</v>
      </c>
      <c r="F76" s="59"/>
      <c r="H76" s="256">
        <v>648942.06999999995</v>
      </c>
      <c r="I76" s="60">
        <v>1383</v>
      </c>
      <c r="J76" s="59">
        <v>342020.16</v>
      </c>
      <c r="K76" s="60">
        <v>234</v>
      </c>
      <c r="L76" s="61">
        <v>1314484</v>
      </c>
      <c r="M76" s="257">
        <v>4372.26</v>
      </c>
      <c r="N76" s="60">
        <v>17</v>
      </c>
      <c r="O76" s="61">
        <v>33597.800000000003</v>
      </c>
      <c r="P76" s="255">
        <v>108.38</v>
      </c>
      <c r="Q76" s="60">
        <v>626</v>
      </c>
      <c r="S76" s="257">
        <v>169.7</v>
      </c>
      <c r="T76" s="60">
        <v>14.100000000000001</v>
      </c>
      <c r="X76" s="250"/>
      <c r="Z76" s="263"/>
    </row>
    <row r="77" spans="1:26" x14ac:dyDescent="0.2">
      <c r="A77" s="254">
        <v>2018</v>
      </c>
      <c r="B77" s="253" t="s">
        <v>82</v>
      </c>
      <c r="D77" s="252">
        <v>2339200</v>
      </c>
      <c r="E77" s="59">
        <v>15456</v>
      </c>
      <c r="F77" s="59"/>
      <c r="H77" s="256">
        <v>654266.65</v>
      </c>
      <c r="I77" s="60">
        <v>1382</v>
      </c>
      <c r="J77" s="59">
        <v>317716.43</v>
      </c>
      <c r="K77" s="60">
        <v>233</v>
      </c>
      <c r="L77" s="61">
        <v>1214679.99</v>
      </c>
      <c r="M77" s="257">
        <v>4690.54</v>
      </c>
      <c r="N77" s="60">
        <v>17</v>
      </c>
      <c r="O77" s="61">
        <v>32514</v>
      </c>
      <c r="P77" s="255">
        <v>108.38</v>
      </c>
      <c r="Q77" s="60">
        <v>626</v>
      </c>
      <c r="S77" s="257">
        <v>55.8</v>
      </c>
      <c r="T77" s="60">
        <v>23.200000000000003</v>
      </c>
      <c r="X77" s="250"/>
      <c r="Z77" s="263"/>
    </row>
    <row r="78" spans="1:26" x14ac:dyDescent="0.2">
      <c r="A78" s="254">
        <v>2018</v>
      </c>
      <c r="B78" s="253" t="s">
        <v>83</v>
      </c>
      <c r="D78" s="252">
        <v>2465500</v>
      </c>
      <c r="E78" s="59">
        <v>15284</v>
      </c>
      <c r="F78" s="59"/>
      <c r="H78" s="256">
        <v>784178.59</v>
      </c>
      <c r="I78" s="60">
        <v>1381</v>
      </c>
      <c r="J78" s="59">
        <v>362106.2</v>
      </c>
      <c r="K78" s="60">
        <v>235</v>
      </c>
      <c r="L78" s="61">
        <v>1147048</v>
      </c>
      <c r="M78" s="257">
        <v>4534.3599999999997</v>
      </c>
      <c r="N78" s="60">
        <v>17</v>
      </c>
      <c r="O78" s="61">
        <v>21838.57</v>
      </c>
      <c r="P78" s="255">
        <v>108.38</v>
      </c>
      <c r="Q78" s="60">
        <v>626</v>
      </c>
      <c r="S78" s="257">
        <v>19.599999999999998</v>
      </c>
      <c r="T78" s="60">
        <v>48.5</v>
      </c>
      <c r="X78" s="250"/>
      <c r="Z78" s="263"/>
    </row>
    <row r="79" spans="1:26" x14ac:dyDescent="0.2">
      <c r="A79" s="254">
        <v>2018</v>
      </c>
      <c r="B79" s="253" t="s">
        <v>84</v>
      </c>
      <c r="D79" s="252">
        <v>2486800</v>
      </c>
      <c r="E79" s="59">
        <v>13279</v>
      </c>
      <c r="F79" s="59"/>
      <c r="H79" s="256">
        <v>719947.83</v>
      </c>
      <c r="I79" s="60">
        <v>1382</v>
      </c>
      <c r="J79" s="59">
        <v>339014.09</v>
      </c>
      <c r="K79" s="60">
        <v>235</v>
      </c>
      <c r="L79" s="61">
        <v>1208762</v>
      </c>
      <c r="M79" s="257">
        <v>4147.83</v>
      </c>
      <c r="N79" s="60">
        <v>17</v>
      </c>
      <c r="O79" s="61">
        <v>21838.57</v>
      </c>
      <c r="P79" s="255">
        <v>108.38</v>
      </c>
      <c r="Q79" s="60">
        <v>626</v>
      </c>
      <c r="S79" s="257">
        <v>38.1</v>
      </c>
      <c r="T79" s="60">
        <v>34.399999999999991</v>
      </c>
      <c r="X79" s="250"/>
      <c r="Z79" s="263"/>
    </row>
    <row r="80" spans="1:26" x14ac:dyDescent="0.2">
      <c r="A80" s="254">
        <v>2018</v>
      </c>
      <c r="B80" s="253" t="s">
        <v>85</v>
      </c>
      <c r="D80" s="252">
        <v>2313833.3333333335</v>
      </c>
      <c r="E80" s="59">
        <v>9265</v>
      </c>
      <c r="F80" s="59"/>
      <c r="H80" s="256">
        <v>628555.75</v>
      </c>
      <c r="I80" s="60">
        <v>1384</v>
      </c>
      <c r="J80" s="59">
        <v>302889.89</v>
      </c>
      <c r="K80" s="60">
        <v>234</v>
      </c>
      <c r="L80" s="61">
        <v>1144129.99</v>
      </c>
      <c r="M80" s="257">
        <v>4687.24</v>
      </c>
      <c r="N80" s="60">
        <v>16</v>
      </c>
      <c r="O80" s="61">
        <v>21134.1</v>
      </c>
      <c r="P80" s="255">
        <v>108.38</v>
      </c>
      <c r="Q80" s="60">
        <v>626</v>
      </c>
      <c r="S80" s="257">
        <v>152.9</v>
      </c>
      <c r="T80" s="60">
        <v>6.1</v>
      </c>
      <c r="X80" s="250"/>
      <c r="Z80" s="263"/>
    </row>
    <row r="81" spans="1:26" x14ac:dyDescent="0.2">
      <c r="A81" s="254">
        <v>2018</v>
      </c>
      <c r="B81" s="253" t="s">
        <v>86</v>
      </c>
      <c r="D81" s="252">
        <v>2714433.3333333335</v>
      </c>
      <c r="E81" s="59">
        <v>4382</v>
      </c>
      <c r="F81" s="59"/>
      <c r="H81" s="256">
        <v>686246.21</v>
      </c>
      <c r="I81" s="60">
        <v>1387</v>
      </c>
      <c r="J81" s="59">
        <v>355553.56</v>
      </c>
      <c r="K81" s="60">
        <v>233</v>
      </c>
      <c r="L81" s="61">
        <v>1424353.98</v>
      </c>
      <c r="M81" s="257">
        <v>4376.47</v>
      </c>
      <c r="N81" s="60">
        <v>16</v>
      </c>
      <c r="O81" s="61">
        <v>36957.58</v>
      </c>
      <c r="P81" s="255">
        <v>108.38</v>
      </c>
      <c r="Q81" s="60">
        <v>626</v>
      </c>
      <c r="S81" s="257">
        <v>491.1</v>
      </c>
      <c r="T81" s="60">
        <v>0</v>
      </c>
      <c r="W81" s="263"/>
      <c r="X81" s="250"/>
      <c r="Z81" s="263"/>
    </row>
    <row r="82" spans="1:26" x14ac:dyDescent="0.2">
      <c r="A82" s="254">
        <v>2018</v>
      </c>
      <c r="B82" s="253" t="s">
        <v>87</v>
      </c>
      <c r="D82" s="252">
        <v>2721066.666666667</v>
      </c>
      <c r="E82" s="59">
        <v>1369</v>
      </c>
      <c r="F82" s="59"/>
      <c r="H82" s="256">
        <v>820481.78</v>
      </c>
      <c r="I82" s="60">
        <v>1388</v>
      </c>
      <c r="J82" s="59">
        <v>437266.98</v>
      </c>
      <c r="K82" s="60">
        <v>233</v>
      </c>
      <c r="L82" s="61">
        <v>1253469.99</v>
      </c>
      <c r="M82" s="257">
        <v>4284.6400000000003</v>
      </c>
      <c r="N82" s="60">
        <v>16</v>
      </c>
      <c r="O82" s="61">
        <v>35765.4</v>
      </c>
      <c r="P82" s="255">
        <v>108.38</v>
      </c>
      <c r="Q82" s="60">
        <v>626</v>
      </c>
      <c r="S82" s="257">
        <v>750.8</v>
      </c>
      <c r="T82" s="60">
        <v>0</v>
      </c>
      <c r="X82" s="250"/>
      <c r="Z82" s="263"/>
    </row>
    <row r="83" spans="1:26" x14ac:dyDescent="0.2">
      <c r="A83" s="254">
        <v>2018</v>
      </c>
      <c r="B83" s="253" t="s">
        <v>88</v>
      </c>
      <c r="D83" s="252">
        <v>3016766.666666667</v>
      </c>
      <c r="E83" s="59">
        <v>1598</v>
      </c>
      <c r="F83" s="59"/>
      <c r="H83" s="256">
        <v>874445.78</v>
      </c>
      <c r="I83" s="60">
        <v>1386</v>
      </c>
      <c r="J83" s="59">
        <v>436972.89</v>
      </c>
      <c r="K83" s="60">
        <v>233</v>
      </c>
      <c r="L83" s="61">
        <v>1344340</v>
      </c>
      <c r="M83" s="257">
        <v>4345.09</v>
      </c>
      <c r="N83" s="262">
        <v>16</v>
      </c>
      <c r="O83" s="61">
        <v>36957.58</v>
      </c>
      <c r="P83" s="255">
        <v>108.38</v>
      </c>
      <c r="Q83" s="60">
        <v>626</v>
      </c>
      <c r="S83" s="257">
        <v>859.69999999999982</v>
      </c>
      <c r="T83" s="60">
        <v>0</v>
      </c>
      <c r="W83" s="263"/>
      <c r="X83" s="250"/>
      <c r="Z83" s="263"/>
    </row>
    <row r="84" spans="1:26" x14ac:dyDescent="0.2">
      <c r="A84" s="254">
        <v>2019</v>
      </c>
      <c r="B84" s="253" t="s">
        <v>78</v>
      </c>
      <c r="D84" s="261">
        <v>3432140</v>
      </c>
      <c r="E84" s="56">
        <v>1162</v>
      </c>
      <c r="F84" s="56"/>
      <c r="H84" s="260">
        <v>1057973.96</v>
      </c>
      <c r="I84" s="57">
        <v>1385</v>
      </c>
      <c r="J84" s="56">
        <v>538042.67000000004</v>
      </c>
      <c r="K84" s="57">
        <v>233</v>
      </c>
      <c r="L84" s="58">
        <v>1668145.9844677935</v>
      </c>
      <c r="M84" s="258">
        <f>4469.34+1.03</f>
        <v>4470.37</v>
      </c>
      <c r="N84" s="57">
        <v>16</v>
      </c>
      <c r="O84" s="58">
        <v>48959.85</v>
      </c>
      <c r="P84" s="259">
        <v>105.29</v>
      </c>
      <c r="Q84" s="57">
        <v>626</v>
      </c>
      <c r="S84" s="258">
        <v>1127.1999999999998</v>
      </c>
      <c r="T84" s="57">
        <v>0</v>
      </c>
      <c r="V84" s="196"/>
      <c r="X84" s="250"/>
    </row>
    <row r="85" spans="1:26" x14ac:dyDescent="0.2">
      <c r="A85" s="254">
        <v>2019</v>
      </c>
      <c r="B85" s="253" t="s">
        <v>79</v>
      </c>
      <c r="D85" s="252">
        <v>2887780</v>
      </c>
      <c r="E85" s="59">
        <v>1911</v>
      </c>
      <c r="F85" s="59"/>
      <c r="H85" s="256">
        <v>861753</v>
      </c>
      <c r="I85" s="60">
        <v>1383</v>
      </c>
      <c r="J85" s="61">
        <v>466146.69</v>
      </c>
      <c r="K85" s="60">
        <v>231</v>
      </c>
      <c r="L85" s="61">
        <v>1335047.9853814526</v>
      </c>
      <c r="M85" s="257">
        <f>4267.44+1.03</f>
        <v>4268.4699999999993</v>
      </c>
      <c r="N85" s="60">
        <v>16</v>
      </c>
      <c r="O85" s="61">
        <v>44221.8</v>
      </c>
      <c r="P85" s="255">
        <v>105.29</v>
      </c>
      <c r="Q85" s="60">
        <v>626</v>
      </c>
      <c r="S85" s="257">
        <v>963.1</v>
      </c>
      <c r="T85" s="60">
        <v>0</v>
      </c>
      <c r="V85" s="196"/>
      <c r="X85" s="250"/>
    </row>
    <row r="86" spans="1:26" x14ac:dyDescent="0.2">
      <c r="A86" s="254">
        <v>2019</v>
      </c>
      <c r="B86" s="253" t="s">
        <v>80</v>
      </c>
      <c r="D86" s="252">
        <v>2885800</v>
      </c>
      <c r="E86" s="59">
        <v>9265</v>
      </c>
      <c r="F86" s="59"/>
      <c r="H86" s="256">
        <v>809289.61</v>
      </c>
      <c r="I86" s="60">
        <v>1382</v>
      </c>
      <c r="J86" s="59">
        <v>448263.67999999999</v>
      </c>
      <c r="K86" s="60">
        <v>234</v>
      </c>
      <c r="L86" s="61">
        <v>1337063.9926907264</v>
      </c>
      <c r="M86" s="257">
        <f>4269.17+1.03</f>
        <v>4270.2</v>
      </c>
      <c r="N86" s="60">
        <v>16</v>
      </c>
      <c r="O86" s="61">
        <v>48959.85</v>
      </c>
      <c r="P86" s="255">
        <v>105.29</v>
      </c>
      <c r="Q86" s="60">
        <v>626</v>
      </c>
      <c r="S86" s="257">
        <v>772.60000000000036</v>
      </c>
      <c r="T86" s="60">
        <v>0</v>
      </c>
      <c r="V86" s="196"/>
      <c r="X86" s="250"/>
    </row>
    <row r="87" spans="1:26" x14ac:dyDescent="0.2">
      <c r="A87" s="254">
        <v>2019</v>
      </c>
      <c r="B87" s="253" t="s">
        <v>81</v>
      </c>
      <c r="D87" s="252">
        <v>2594080</v>
      </c>
      <c r="E87" s="59">
        <v>11828</v>
      </c>
      <c r="F87" s="59"/>
      <c r="H87" s="256">
        <v>651081.42000000004</v>
      </c>
      <c r="I87" s="60">
        <v>1382</v>
      </c>
      <c r="J87" s="59">
        <v>350553.39</v>
      </c>
      <c r="K87" s="60">
        <v>234</v>
      </c>
      <c r="L87" s="61">
        <v>1372709.9862951119</v>
      </c>
      <c r="M87" s="257">
        <f>4062.05+1.03</f>
        <v>4063.0800000000004</v>
      </c>
      <c r="N87" s="60">
        <v>16</v>
      </c>
      <c r="O87" s="61">
        <v>31586.7</v>
      </c>
      <c r="P87" s="255">
        <v>105.29</v>
      </c>
      <c r="Q87" s="60">
        <v>626</v>
      </c>
      <c r="S87" s="257">
        <v>469.70000000000005</v>
      </c>
      <c r="T87" s="60">
        <v>0</v>
      </c>
      <c r="V87" s="196"/>
      <c r="X87" s="250"/>
    </row>
    <row r="88" spans="1:26" x14ac:dyDescent="0.2">
      <c r="A88" s="254">
        <v>2019</v>
      </c>
      <c r="B88" s="253" t="s">
        <v>48</v>
      </c>
      <c r="D88" s="252">
        <v>2480800</v>
      </c>
      <c r="E88" s="59">
        <v>13951</v>
      </c>
      <c r="F88" s="59"/>
      <c r="H88" s="256">
        <v>643126.56999999995</v>
      </c>
      <c r="I88" s="60">
        <v>1382</v>
      </c>
      <c r="J88" s="59">
        <v>351934.41</v>
      </c>
      <c r="K88" s="60">
        <v>234</v>
      </c>
      <c r="L88" s="61">
        <v>1313277.9990863409</v>
      </c>
      <c r="M88" s="257">
        <f>3964.08+5.58</f>
        <v>3969.66</v>
      </c>
      <c r="N88" s="60">
        <v>16</v>
      </c>
      <c r="O88" s="61">
        <v>32639.59</v>
      </c>
      <c r="P88" s="255">
        <v>105.29</v>
      </c>
      <c r="Q88" s="60">
        <v>626</v>
      </c>
      <c r="S88" s="257">
        <v>307.60000000000008</v>
      </c>
      <c r="T88" s="60">
        <v>0</v>
      </c>
      <c r="V88" s="196"/>
      <c r="X88" s="250"/>
    </row>
    <row r="89" spans="1:26" x14ac:dyDescent="0.2">
      <c r="A89" s="254">
        <v>2019</v>
      </c>
      <c r="B89" s="253" t="s">
        <v>82</v>
      </c>
      <c r="D89" s="252">
        <v>2120640</v>
      </c>
      <c r="E89" s="59">
        <v>13887</v>
      </c>
      <c r="F89" s="59"/>
      <c r="H89" s="256">
        <v>611751.93000000005</v>
      </c>
      <c r="I89" s="60">
        <v>1383</v>
      </c>
      <c r="J89" s="59">
        <v>302434.19</v>
      </c>
      <c r="K89" s="60">
        <v>234</v>
      </c>
      <c r="L89" s="61">
        <v>957703.47190497932</v>
      </c>
      <c r="M89" s="257">
        <f>3854.14+44.95</f>
        <v>3899.0899999999997</v>
      </c>
      <c r="N89" s="60">
        <v>16</v>
      </c>
      <c r="O89" s="61">
        <v>31586.7</v>
      </c>
      <c r="P89" s="255">
        <v>105.29</v>
      </c>
      <c r="Q89" s="60">
        <v>626</v>
      </c>
      <c r="S89" s="257">
        <v>113.6</v>
      </c>
      <c r="T89" s="60">
        <v>16.7</v>
      </c>
      <c r="V89" s="196"/>
      <c r="X89" s="250"/>
    </row>
    <row r="90" spans="1:26" x14ac:dyDescent="0.2">
      <c r="A90" s="254">
        <v>2019</v>
      </c>
      <c r="B90" s="253" t="s">
        <v>83</v>
      </c>
      <c r="D90" s="252">
        <v>2441680</v>
      </c>
      <c r="E90" s="59">
        <v>14481</v>
      </c>
      <c r="F90" s="59"/>
      <c r="H90" s="256">
        <v>783136.61</v>
      </c>
      <c r="I90" s="60">
        <v>1380</v>
      </c>
      <c r="J90" s="59">
        <v>359814.02</v>
      </c>
      <c r="K90" s="60">
        <v>234</v>
      </c>
      <c r="L90" s="61">
        <v>1144671.99</v>
      </c>
      <c r="M90" s="257">
        <f>3780.32+46.21</f>
        <v>3826.53</v>
      </c>
      <c r="N90" s="60">
        <v>16</v>
      </c>
      <c r="O90" s="61">
        <v>21215.78</v>
      </c>
      <c r="P90" s="255">
        <v>105.29</v>
      </c>
      <c r="Q90" s="60">
        <v>626</v>
      </c>
      <c r="S90" s="257">
        <v>16.600000000000001</v>
      </c>
      <c r="T90" s="60">
        <v>38.699999999999996</v>
      </c>
      <c r="V90" s="196"/>
      <c r="X90" s="250"/>
    </row>
    <row r="91" spans="1:26" x14ac:dyDescent="0.2">
      <c r="A91" s="254">
        <v>2019</v>
      </c>
      <c r="B91" s="253" t="s">
        <v>84</v>
      </c>
      <c r="D91" s="252">
        <v>2319719.9999999995</v>
      </c>
      <c r="E91" s="59">
        <v>13594</v>
      </c>
      <c r="F91" s="59"/>
      <c r="H91" s="256">
        <v>686092.42</v>
      </c>
      <c r="I91" s="60">
        <v>1380</v>
      </c>
      <c r="J91" s="59">
        <v>326851.73</v>
      </c>
      <c r="K91" s="60">
        <v>236</v>
      </c>
      <c r="L91" s="61">
        <v>1087637.9808131566</v>
      </c>
      <c r="M91" s="257">
        <f>3677.13+40.72</f>
        <v>3717.85</v>
      </c>
      <c r="N91" s="60">
        <v>16</v>
      </c>
      <c r="O91" s="61">
        <v>21215.78</v>
      </c>
      <c r="P91" s="255">
        <v>105.29</v>
      </c>
      <c r="Q91" s="60">
        <v>626</v>
      </c>
      <c r="S91" s="257">
        <v>66.699999999999989</v>
      </c>
      <c r="T91" s="60">
        <v>18.899999999999999</v>
      </c>
      <c r="V91" s="196"/>
      <c r="X91" s="250"/>
    </row>
    <row r="92" spans="1:26" x14ac:dyDescent="0.2">
      <c r="A92" s="254">
        <v>2019</v>
      </c>
      <c r="B92" s="253" t="s">
        <v>85</v>
      </c>
      <c r="D92" s="252">
        <v>1910200</v>
      </c>
      <c r="E92" s="59">
        <v>7314</v>
      </c>
      <c r="F92" s="59"/>
      <c r="H92" s="256">
        <v>613933.02</v>
      </c>
      <c r="I92" s="60">
        <v>1381</v>
      </c>
      <c r="J92" s="59">
        <v>289994.23</v>
      </c>
      <c r="K92" s="60">
        <v>236</v>
      </c>
      <c r="L92" s="61">
        <v>794413.98812243028</v>
      </c>
      <c r="M92" s="257">
        <f>3443.76+24.97</f>
        <v>3468.73</v>
      </c>
      <c r="N92" s="60">
        <v>16</v>
      </c>
      <c r="O92" s="61">
        <v>20531.400000000001</v>
      </c>
      <c r="P92" s="255">
        <v>105.29</v>
      </c>
      <c r="Q92" s="60">
        <v>626</v>
      </c>
      <c r="S92" s="257">
        <v>173.2</v>
      </c>
      <c r="T92" s="60">
        <v>5.7</v>
      </c>
      <c r="V92" s="196"/>
      <c r="X92" s="250"/>
    </row>
    <row r="93" spans="1:26" x14ac:dyDescent="0.2">
      <c r="A93" s="254">
        <v>2019</v>
      </c>
      <c r="B93" s="253" t="s">
        <v>86</v>
      </c>
      <c r="D93" s="252">
        <v>2214840</v>
      </c>
      <c r="E93" s="59">
        <v>6332</v>
      </c>
      <c r="F93" s="59"/>
      <c r="H93" s="256">
        <v>671701.21</v>
      </c>
      <c r="I93" s="60">
        <v>1382</v>
      </c>
      <c r="J93" s="59">
        <v>335686.86</v>
      </c>
      <c r="K93" s="60">
        <v>230</v>
      </c>
      <c r="L93" s="61">
        <v>953033.98812243028</v>
      </c>
      <c r="M93" s="257">
        <f>4056.61+6.93</f>
        <v>4063.54</v>
      </c>
      <c r="N93" s="60">
        <v>16</v>
      </c>
      <c r="O93" s="61">
        <v>35903.58</v>
      </c>
      <c r="P93" s="255">
        <v>105.29</v>
      </c>
      <c r="Q93" s="60">
        <v>626</v>
      </c>
      <c r="S93" s="257">
        <v>412</v>
      </c>
      <c r="T93" s="60">
        <v>0</v>
      </c>
      <c r="V93" s="196"/>
      <c r="X93" s="250"/>
    </row>
    <row r="94" spans="1:26" x14ac:dyDescent="0.2">
      <c r="A94" s="254">
        <v>2019</v>
      </c>
      <c r="B94" s="253" t="s">
        <v>87</v>
      </c>
      <c r="D94" s="252">
        <v>3011660</v>
      </c>
      <c r="E94" s="59">
        <v>1077</v>
      </c>
      <c r="F94" s="59"/>
      <c r="H94" s="256">
        <v>807374.34</v>
      </c>
      <c r="I94" s="60">
        <v>1383</v>
      </c>
      <c r="J94" s="59">
        <v>421297.82</v>
      </c>
      <c r="K94" s="60">
        <v>230</v>
      </c>
      <c r="L94" s="61">
        <v>1553999.9817268159</v>
      </c>
      <c r="M94" s="257">
        <v>4156.8900000000003</v>
      </c>
      <c r="N94" s="60">
        <v>16</v>
      </c>
      <c r="O94" s="61">
        <v>34745.4</v>
      </c>
      <c r="P94" s="255">
        <v>105.29</v>
      </c>
      <c r="Q94" s="60">
        <v>626</v>
      </c>
      <c r="S94" s="257">
        <v>714.60000000000014</v>
      </c>
      <c r="T94" s="60">
        <v>0</v>
      </c>
      <c r="V94" s="196"/>
      <c r="X94" s="250"/>
    </row>
    <row r="95" spans="1:26" x14ac:dyDescent="0.2">
      <c r="A95" s="254">
        <v>2019</v>
      </c>
      <c r="B95" s="253" t="s">
        <v>88</v>
      </c>
      <c r="D95" s="252">
        <v>3571040</v>
      </c>
      <c r="E95" s="59">
        <v>1023</v>
      </c>
      <c r="F95" s="59"/>
      <c r="H95" s="256">
        <v>896941.06</v>
      </c>
      <c r="I95" s="60">
        <v>1383</v>
      </c>
      <c r="J95" s="59">
        <v>458945</v>
      </c>
      <c r="K95" s="60">
        <v>230</v>
      </c>
      <c r="L95" s="61">
        <v>1904281.9917770671</v>
      </c>
      <c r="M95" s="257">
        <f>4145.96+1.03</f>
        <v>4146.99</v>
      </c>
      <c r="N95" s="60">
        <v>16</v>
      </c>
      <c r="O95" s="61">
        <v>35903.58</v>
      </c>
      <c r="P95" s="255">
        <v>105.29</v>
      </c>
      <c r="Q95" s="60">
        <v>626</v>
      </c>
      <c r="S95" s="257">
        <v>930.19999999999982</v>
      </c>
      <c r="T95" s="60">
        <v>0</v>
      </c>
      <c r="V95" s="196"/>
      <c r="X95" s="250"/>
    </row>
    <row r="96" spans="1:26" x14ac:dyDescent="0.2">
      <c r="A96" s="254">
        <v>2020</v>
      </c>
      <c r="B96" s="253" t="s">
        <v>78</v>
      </c>
      <c r="D96" s="261">
        <v>3440340</v>
      </c>
      <c r="E96" s="56">
        <v>731</v>
      </c>
      <c r="F96" s="56"/>
      <c r="H96" s="260">
        <v>920726.41</v>
      </c>
      <c r="I96" s="57">
        <v>1382</v>
      </c>
      <c r="J96" s="56">
        <v>493559.48</v>
      </c>
      <c r="K96" s="57">
        <v>226</v>
      </c>
      <c r="L96" s="58">
        <v>1798840</v>
      </c>
      <c r="M96" s="258">
        <f>4220.5-104.44</f>
        <v>4116.0600000000004</v>
      </c>
      <c r="N96" s="57">
        <v>16</v>
      </c>
      <c r="O96" s="58">
        <v>48564.6</v>
      </c>
      <c r="P96" s="259">
        <v>104.44</v>
      </c>
      <c r="Q96" s="57">
        <v>624</v>
      </c>
      <c r="S96" s="258">
        <v>913.69999999999993</v>
      </c>
      <c r="T96" s="57">
        <v>0</v>
      </c>
    </row>
    <row r="97" spans="1:22" x14ac:dyDescent="0.2">
      <c r="A97" s="254">
        <v>2020</v>
      </c>
      <c r="B97" s="253" t="s">
        <v>79</v>
      </c>
      <c r="D97" s="252">
        <v>2979760</v>
      </c>
      <c r="E97" s="59">
        <v>3812</v>
      </c>
      <c r="F97" s="59"/>
      <c r="H97" s="256">
        <v>833289.56</v>
      </c>
      <c r="I97" s="60">
        <v>1382</v>
      </c>
      <c r="J97" s="59">
        <v>447139.66</v>
      </c>
      <c r="K97" s="60">
        <v>228</v>
      </c>
      <c r="L97" s="61">
        <v>1487420</v>
      </c>
      <c r="M97" s="257">
        <f>4350.99-104.44</f>
        <v>4246.55</v>
      </c>
      <c r="N97" s="60">
        <v>16</v>
      </c>
      <c r="O97" s="61">
        <v>45431.4</v>
      </c>
      <c r="P97" s="255">
        <v>104.44</v>
      </c>
      <c r="Q97" s="60">
        <v>624</v>
      </c>
      <c r="S97" s="257">
        <v>931.60000000000014</v>
      </c>
      <c r="T97" s="60">
        <v>0</v>
      </c>
      <c r="V97" s="196"/>
    </row>
    <row r="98" spans="1:22" x14ac:dyDescent="0.2">
      <c r="A98" s="254">
        <v>2020</v>
      </c>
      <c r="B98" s="253" t="s">
        <v>80</v>
      </c>
      <c r="D98" s="252">
        <v>2823739.9999999995</v>
      </c>
      <c r="E98" s="59">
        <v>9544</v>
      </c>
      <c r="F98" s="59"/>
      <c r="H98" s="256">
        <v>779299.16</v>
      </c>
      <c r="I98" s="60">
        <v>1382</v>
      </c>
      <c r="J98" s="59">
        <v>401668.15</v>
      </c>
      <c r="K98" s="60">
        <v>227</v>
      </c>
      <c r="L98" s="61">
        <v>1377520</v>
      </c>
      <c r="M98" s="257">
        <f>4097.51-104.44</f>
        <v>3993.07</v>
      </c>
      <c r="N98" s="60">
        <v>16</v>
      </c>
      <c r="O98" s="61">
        <v>48564.6</v>
      </c>
      <c r="P98" s="255">
        <v>104.44</v>
      </c>
      <c r="Q98" s="60">
        <v>624</v>
      </c>
      <c r="S98" s="257">
        <v>698.49999999999989</v>
      </c>
      <c r="T98" s="60">
        <v>0</v>
      </c>
    </row>
    <row r="99" spans="1:22" x14ac:dyDescent="0.2">
      <c r="A99" s="254">
        <v>2020</v>
      </c>
      <c r="B99" s="253" t="s">
        <v>81</v>
      </c>
      <c r="D99" s="252">
        <v>2559060</v>
      </c>
      <c r="E99" s="59">
        <v>13776</v>
      </c>
      <c r="F99" s="59"/>
      <c r="H99" s="256">
        <v>707317.67</v>
      </c>
      <c r="I99" s="60">
        <v>1383</v>
      </c>
      <c r="J99" s="59">
        <v>330953.87</v>
      </c>
      <c r="K99" s="60">
        <v>232</v>
      </c>
      <c r="L99" s="61">
        <v>1281046</v>
      </c>
      <c r="M99" s="257">
        <f>3861.95-104.44</f>
        <v>3757.5099999999998</v>
      </c>
      <c r="N99" s="60">
        <v>16</v>
      </c>
      <c r="O99" s="61">
        <v>31332</v>
      </c>
      <c r="P99" s="255">
        <v>104.44</v>
      </c>
      <c r="Q99" s="60">
        <v>624</v>
      </c>
      <c r="S99" s="257">
        <v>510.70000000000005</v>
      </c>
      <c r="T99" s="60">
        <v>0</v>
      </c>
    </row>
    <row r="100" spans="1:22" x14ac:dyDescent="0.2">
      <c r="A100" s="254">
        <v>2020</v>
      </c>
      <c r="B100" s="253" t="s">
        <v>48</v>
      </c>
      <c r="D100" s="252">
        <v>2324960</v>
      </c>
      <c r="E100" s="59">
        <v>14355</v>
      </c>
      <c r="F100" s="59"/>
      <c r="H100" s="256">
        <v>693194.63</v>
      </c>
      <c r="I100" s="60">
        <v>1381</v>
      </c>
      <c r="J100" s="59">
        <v>296689.24</v>
      </c>
      <c r="K100" s="60">
        <v>232</v>
      </c>
      <c r="L100" s="61">
        <v>1174238</v>
      </c>
      <c r="M100" s="257">
        <f>3892.98-104.44</f>
        <v>3788.54</v>
      </c>
      <c r="N100" s="60">
        <v>16</v>
      </c>
      <c r="O100" s="61">
        <v>32376.400000000001</v>
      </c>
      <c r="P100" s="255">
        <v>104.44</v>
      </c>
      <c r="Q100" s="60">
        <v>624</v>
      </c>
      <c r="S100" s="257">
        <v>251.2</v>
      </c>
      <c r="T100" s="60">
        <v>5.6000000000000005</v>
      </c>
    </row>
    <row r="101" spans="1:22" x14ac:dyDescent="0.2">
      <c r="A101" s="254">
        <v>2020</v>
      </c>
      <c r="B101" s="253" t="s">
        <v>82</v>
      </c>
      <c r="D101" s="252">
        <v>2234680</v>
      </c>
      <c r="E101" s="59">
        <v>13671</v>
      </c>
      <c r="F101" s="59"/>
      <c r="H101" s="256">
        <v>681956.49</v>
      </c>
      <c r="I101" s="60">
        <v>1383</v>
      </c>
      <c r="J101" s="59">
        <v>268501.5</v>
      </c>
      <c r="K101" s="60">
        <v>234</v>
      </c>
      <c r="L101" s="61">
        <v>1058424</v>
      </c>
      <c r="M101" s="257">
        <f>3762.82-104.44</f>
        <v>3658.38</v>
      </c>
      <c r="N101" s="60">
        <v>16</v>
      </c>
      <c r="O101" s="61">
        <v>31332</v>
      </c>
      <c r="P101" s="255">
        <v>104.44</v>
      </c>
      <c r="Q101" s="60">
        <v>624</v>
      </c>
      <c r="S101" s="257">
        <v>75.3</v>
      </c>
      <c r="T101" s="60">
        <v>38.700000000000003</v>
      </c>
    </row>
    <row r="102" spans="1:22" x14ac:dyDescent="0.2">
      <c r="A102" s="254">
        <v>2020</v>
      </c>
      <c r="B102" s="253" t="s">
        <v>83</v>
      </c>
      <c r="D102" s="252">
        <v>2745560</v>
      </c>
      <c r="E102" s="59">
        <v>13832</v>
      </c>
      <c r="F102" s="59"/>
      <c r="H102" s="256">
        <v>890092.87</v>
      </c>
      <c r="I102" s="60">
        <v>1383</v>
      </c>
      <c r="J102" s="59">
        <v>303093.92</v>
      </c>
      <c r="K102" s="60">
        <v>234</v>
      </c>
      <c r="L102" s="61">
        <v>1344604</v>
      </c>
      <c r="M102" s="257">
        <f>3872.54-104.44</f>
        <v>3768.1</v>
      </c>
      <c r="N102" s="60">
        <v>16</v>
      </c>
      <c r="O102" s="61">
        <v>21044.66</v>
      </c>
      <c r="P102" s="255">
        <v>104.44</v>
      </c>
      <c r="Q102" s="60">
        <v>624</v>
      </c>
      <c r="S102" s="257">
        <v>14.100000000000001</v>
      </c>
      <c r="T102" s="60">
        <v>74.000000000000014</v>
      </c>
    </row>
    <row r="103" spans="1:22" x14ac:dyDescent="0.2">
      <c r="A103" s="254">
        <v>2020</v>
      </c>
      <c r="B103" s="253" t="s">
        <v>84</v>
      </c>
      <c r="D103" s="252">
        <v>2273500</v>
      </c>
      <c r="E103" s="59">
        <v>12813</v>
      </c>
      <c r="F103" s="59"/>
      <c r="H103" s="256">
        <v>746136.72</v>
      </c>
      <c r="I103" s="60">
        <v>1381</v>
      </c>
      <c r="J103" s="59">
        <v>303528.8</v>
      </c>
      <c r="K103" s="60">
        <v>234</v>
      </c>
      <c r="L103" s="61">
        <v>1036530.8</v>
      </c>
      <c r="M103" s="257">
        <f>3893.35-104.44</f>
        <v>3788.91</v>
      </c>
      <c r="N103" s="60">
        <v>16</v>
      </c>
      <c r="O103" s="61">
        <v>21044.66</v>
      </c>
      <c r="P103" s="255">
        <v>104.44</v>
      </c>
      <c r="Q103" s="60">
        <v>624</v>
      </c>
      <c r="S103" s="257">
        <v>41.4</v>
      </c>
      <c r="T103" s="60">
        <v>28.5</v>
      </c>
    </row>
    <row r="104" spans="1:22" x14ac:dyDescent="0.2">
      <c r="A104" s="254">
        <v>2020</v>
      </c>
      <c r="B104" s="253" t="s">
        <v>85</v>
      </c>
      <c r="D104" s="252">
        <v>2411060</v>
      </c>
      <c r="E104" s="59">
        <v>10513</v>
      </c>
      <c r="F104" s="59"/>
      <c r="H104" s="256">
        <v>606932.16</v>
      </c>
      <c r="I104" s="60">
        <v>1383</v>
      </c>
      <c r="J104" s="59">
        <v>266401.13</v>
      </c>
      <c r="K104" s="60">
        <v>236</v>
      </c>
      <c r="L104" s="61">
        <v>1349800.8</v>
      </c>
      <c r="M104" s="257">
        <f>3932.88-104.44</f>
        <v>3828.44</v>
      </c>
      <c r="N104" s="60">
        <v>16</v>
      </c>
      <c r="O104" s="61">
        <v>20365.8</v>
      </c>
      <c r="P104" s="255">
        <v>104.44</v>
      </c>
      <c r="Q104" s="60">
        <v>624</v>
      </c>
      <c r="S104" s="257">
        <v>218.20000000000002</v>
      </c>
      <c r="T104" s="60">
        <v>0.8</v>
      </c>
    </row>
    <row r="105" spans="1:22" x14ac:dyDescent="0.2">
      <c r="A105" s="254">
        <v>2020</v>
      </c>
      <c r="B105" s="253" t="s">
        <v>86</v>
      </c>
      <c r="D105" s="252">
        <v>2762120</v>
      </c>
      <c r="E105" s="59">
        <v>4949.87</v>
      </c>
      <c r="F105" s="59"/>
      <c r="H105" s="256">
        <v>712922.08</v>
      </c>
      <c r="I105" s="60">
        <v>1383</v>
      </c>
      <c r="J105" s="59">
        <v>331831.78000000003</v>
      </c>
      <c r="K105" s="60">
        <v>233</v>
      </c>
      <c r="L105" s="61">
        <v>1421580.4</v>
      </c>
      <c r="M105" s="257">
        <f>4024.58-104.44</f>
        <v>3920.14</v>
      </c>
      <c r="N105" s="60">
        <v>16</v>
      </c>
      <c r="O105" s="61">
        <v>35614.04</v>
      </c>
      <c r="P105" s="255">
        <v>104.44</v>
      </c>
      <c r="Q105" s="60">
        <v>624</v>
      </c>
      <c r="S105" s="257">
        <v>529</v>
      </c>
      <c r="T105" s="60">
        <v>0</v>
      </c>
    </row>
    <row r="106" spans="1:22" x14ac:dyDescent="0.2">
      <c r="A106" s="254">
        <v>2020</v>
      </c>
      <c r="B106" s="253" t="s">
        <v>87</v>
      </c>
      <c r="D106" s="252">
        <v>2879820</v>
      </c>
      <c r="E106" s="59">
        <v>3619.98</v>
      </c>
      <c r="F106" s="59"/>
      <c r="H106" s="256">
        <v>790846.29</v>
      </c>
      <c r="I106" s="60">
        <v>1382</v>
      </c>
      <c r="J106" s="59">
        <v>381086.97</v>
      </c>
      <c r="K106" s="60">
        <v>231</v>
      </c>
      <c r="L106" s="61">
        <v>1555898</v>
      </c>
      <c r="M106" s="257">
        <f>4162.38-104.44</f>
        <v>4057.94</v>
      </c>
      <c r="N106" s="60">
        <v>16</v>
      </c>
      <c r="O106" s="61">
        <v>34465.199999999997</v>
      </c>
      <c r="P106" s="255">
        <v>104.44</v>
      </c>
      <c r="Q106" s="60">
        <v>624</v>
      </c>
      <c r="S106" s="257">
        <v>595</v>
      </c>
      <c r="T106" s="60">
        <v>0</v>
      </c>
    </row>
    <row r="107" spans="1:22" x14ac:dyDescent="0.2">
      <c r="A107" s="254">
        <v>2020</v>
      </c>
      <c r="B107" s="253" t="s">
        <v>88</v>
      </c>
      <c r="D107" s="252">
        <v>3242780</v>
      </c>
      <c r="E107" s="59">
        <v>1489</v>
      </c>
      <c r="F107" s="59"/>
      <c r="H107" s="256">
        <v>899594.46</v>
      </c>
      <c r="I107" s="60">
        <v>1381</v>
      </c>
      <c r="J107" s="59">
        <v>427051.81</v>
      </c>
      <c r="K107" s="60">
        <v>230</v>
      </c>
      <c r="L107" s="61">
        <v>1692461.7</v>
      </c>
      <c r="M107" s="257">
        <f>4350.72-104.44</f>
        <v>4246.2800000000007</v>
      </c>
      <c r="N107" s="60">
        <v>16</v>
      </c>
      <c r="O107" s="61">
        <v>35614.04</v>
      </c>
      <c r="P107" s="255">
        <v>104.44</v>
      </c>
      <c r="Q107" s="262">
        <v>624</v>
      </c>
      <c r="S107" s="257">
        <v>829.00000000000034</v>
      </c>
      <c r="T107" s="60">
        <v>0</v>
      </c>
    </row>
    <row r="108" spans="1:22" x14ac:dyDescent="0.2">
      <c r="A108" s="254">
        <v>2021</v>
      </c>
      <c r="B108" s="253" t="s">
        <v>78</v>
      </c>
      <c r="D108" s="261">
        <v>3357560</v>
      </c>
      <c r="E108" s="56">
        <v>1147</v>
      </c>
      <c r="F108" s="56"/>
      <c r="H108" s="260">
        <v>950027.06</v>
      </c>
      <c r="I108" s="57">
        <v>1380</v>
      </c>
      <c r="J108" s="56">
        <v>470121.81</v>
      </c>
      <c r="K108" s="57">
        <v>231</v>
      </c>
      <c r="L108" s="58">
        <v>1757525.2</v>
      </c>
      <c r="M108" s="258">
        <v>4072.52</v>
      </c>
      <c r="N108" s="57">
        <v>16</v>
      </c>
      <c r="O108" s="58">
        <v>48564.6</v>
      </c>
      <c r="P108" s="259">
        <v>104.44</v>
      </c>
      <c r="Q108" s="57">
        <v>624</v>
      </c>
      <c r="S108" s="258">
        <v>882.80000000000007</v>
      </c>
      <c r="T108" s="57">
        <v>0</v>
      </c>
    </row>
    <row r="109" spans="1:22" x14ac:dyDescent="0.2">
      <c r="A109" s="254">
        <v>2021</v>
      </c>
      <c r="B109" s="253" t="s">
        <v>79</v>
      </c>
      <c r="D109" s="252">
        <v>3205600</v>
      </c>
      <c r="E109" s="59">
        <v>3965</v>
      </c>
      <c r="F109" s="59"/>
      <c r="H109" s="256">
        <v>940979.27</v>
      </c>
      <c r="I109" s="60">
        <v>1380</v>
      </c>
      <c r="J109" s="59">
        <v>481946.65</v>
      </c>
      <c r="K109" s="60">
        <v>231</v>
      </c>
      <c r="L109" s="61">
        <v>1602093.6</v>
      </c>
      <c r="M109" s="257">
        <v>4341.24</v>
      </c>
      <c r="N109" s="60">
        <v>16</v>
      </c>
      <c r="O109" s="61">
        <v>43864.800000000003</v>
      </c>
      <c r="P109" s="255">
        <v>104.44</v>
      </c>
      <c r="Q109" s="60">
        <v>624</v>
      </c>
      <c r="S109" s="257">
        <v>963.10000000000014</v>
      </c>
      <c r="T109" s="60">
        <v>0</v>
      </c>
    </row>
    <row r="110" spans="1:22" x14ac:dyDescent="0.2">
      <c r="A110" s="254">
        <v>2021</v>
      </c>
      <c r="B110" s="253" t="s">
        <v>80</v>
      </c>
      <c r="D110" s="252">
        <v>3044920</v>
      </c>
      <c r="E110" s="59">
        <v>11217</v>
      </c>
      <c r="F110" s="59"/>
      <c r="H110" s="256">
        <v>778648.11</v>
      </c>
      <c r="I110" s="60">
        <v>1379</v>
      </c>
      <c r="J110" s="59">
        <v>409514.25</v>
      </c>
      <c r="K110" s="60">
        <v>231</v>
      </c>
      <c r="L110" s="61">
        <v>1660636.38</v>
      </c>
      <c r="M110" s="257">
        <v>4270</v>
      </c>
      <c r="N110" s="60">
        <v>16</v>
      </c>
      <c r="O110" s="61">
        <v>48564.6</v>
      </c>
      <c r="P110" s="255">
        <v>104.44</v>
      </c>
      <c r="Q110" s="60">
        <v>624</v>
      </c>
      <c r="S110" s="257">
        <v>596.69999999999993</v>
      </c>
      <c r="T110" s="60">
        <v>0</v>
      </c>
    </row>
    <row r="111" spans="1:22" x14ac:dyDescent="0.2">
      <c r="A111" s="254">
        <v>2021</v>
      </c>
      <c r="B111" s="253" t="s">
        <v>81</v>
      </c>
      <c r="D111" s="252">
        <v>2467780</v>
      </c>
      <c r="E111" s="59">
        <v>11938</v>
      </c>
      <c r="F111" s="59"/>
      <c r="H111" s="256">
        <v>677060.28</v>
      </c>
      <c r="I111" s="60">
        <v>1378</v>
      </c>
      <c r="J111" s="59">
        <v>331118.44</v>
      </c>
      <c r="K111" s="60">
        <v>235</v>
      </c>
      <c r="L111" s="61">
        <v>1243182.8</v>
      </c>
      <c r="M111" s="257">
        <v>3872.58</v>
      </c>
      <c r="N111" s="60">
        <v>16</v>
      </c>
      <c r="O111" s="61">
        <v>31332</v>
      </c>
      <c r="P111" s="255">
        <v>104.44</v>
      </c>
      <c r="Q111" s="60">
        <v>624</v>
      </c>
      <c r="S111" s="257">
        <v>418.59999999999997</v>
      </c>
      <c r="T111" s="60">
        <v>0</v>
      </c>
    </row>
    <row r="112" spans="1:22" x14ac:dyDescent="0.2">
      <c r="A112" s="254">
        <v>2021</v>
      </c>
      <c r="B112" s="253" t="s">
        <v>48</v>
      </c>
      <c r="D112" s="252">
        <v>2338480</v>
      </c>
      <c r="E112" s="59">
        <v>12722</v>
      </c>
      <c r="F112" s="59"/>
      <c r="H112" s="256">
        <v>702212.9</v>
      </c>
      <c r="I112" s="60">
        <v>1377</v>
      </c>
      <c r="J112" s="59">
        <v>311777.81</v>
      </c>
      <c r="K112" s="60">
        <v>234</v>
      </c>
      <c r="L112" s="61">
        <v>1180350.9099999999</v>
      </c>
      <c r="M112" s="257">
        <v>3676.64</v>
      </c>
      <c r="N112" s="60">
        <v>16</v>
      </c>
      <c r="O112" s="61">
        <v>32376.47</v>
      </c>
      <c r="P112" s="255">
        <v>104.44</v>
      </c>
      <c r="Q112" s="60">
        <v>624</v>
      </c>
      <c r="S112" s="257">
        <v>243.3000000000001</v>
      </c>
      <c r="T112" s="60">
        <v>9.1999999999999993</v>
      </c>
    </row>
    <row r="113" spans="1:20" x14ac:dyDescent="0.2">
      <c r="A113" s="254">
        <v>2021</v>
      </c>
      <c r="B113" s="253" t="s">
        <v>82</v>
      </c>
      <c r="D113" s="252">
        <v>2491440</v>
      </c>
      <c r="E113" s="59">
        <v>13368</v>
      </c>
      <c r="F113" s="59"/>
      <c r="H113" s="256">
        <v>748414.72</v>
      </c>
      <c r="I113" s="60">
        <v>1375</v>
      </c>
      <c r="J113" s="59">
        <v>301709.95</v>
      </c>
      <c r="K113" s="60">
        <v>237</v>
      </c>
      <c r="L113" s="61">
        <v>1226982.1000000001</v>
      </c>
      <c r="M113" s="257">
        <v>3560.43</v>
      </c>
      <c r="N113" s="60">
        <v>16</v>
      </c>
      <c r="O113" s="61">
        <v>31332</v>
      </c>
      <c r="P113" s="255">
        <v>104.44</v>
      </c>
      <c r="Q113" s="60">
        <v>624</v>
      </c>
      <c r="S113" s="257">
        <v>45</v>
      </c>
      <c r="T113" s="60">
        <v>38.000000000000007</v>
      </c>
    </row>
    <row r="114" spans="1:20" x14ac:dyDescent="0.2">
      <c r="A114" s="254">
        <v>2021</v>
      </c>
      <c r="B114" s="253" t="s">
        <v>83</v>
      </c>
      <c r="D114" s="252">
        <v>2659020</v>
      </c>
      <c r="E114" s="59">
        <v>14092</v>
      </c>
      <c r="F114" s="59"/>
      <c r="H114" s="256">
        <v>876785.11</v>
      </c>
      <c r="I114" s="60">
        <v>1369</v>
      </c>
      <c r="J114" s="59">
        <v>332130.57</v>
      </c>
      <c r="K114" s="60">
        <v>236</v>
      </c>
      <c r="L114" s="61">
        <v>1281429</v>
      </c>
      <c r="M114" s="257">
        <v>3331.71</v>
      </c>
      <c r="N114" s="60">
        <v>15</v>
      </c>
      <c r="O114" s="61">
        <v>21044.66</v>
      </c>
      <c r="P114" s="255">
        <v>104.44</v>
      </c>
      <c r="Q114" s="60">
        <v>624</v>
      </c>
      <c r="S114" s="257">
        <v>19.2</v>
      </c>
      <c r="T114" s="60">
        <v>62.800000000000004</v>
      </c>
    </row>
    <row r="115" spans="1:20" x14ac:dyDescent="0.2">
      <c r="A115" s="254">
        <v>2021</v>
      </c>
      <c r="B115" s="253" t="s">
        <v>84</v>
      </c>
      <c r="D115" s="252">
        <v>2664080</v>
      </c>
      <c r="E115" s="59">
        <v>11394</v>
      </c>
      <c r="F115" s="59"/>
      <c r="H115" s="256">
        <v>802780.99</v>
      </c>
      <c r="I115" s="60">
        <v>1369</v>
      </c>
      <c r="J115" s="59">
        <v>325073.65000000002</v>
      </c>
      <c r="K115" s="60">
        <v>237</v>
      </c>
      <c r="L115" s="61">
        <v>1328893.3999999999</v>
      </c>
      <c r="M115" s="257">
        <v>3722.97</v>
      </c>
      <c r="N115" s="60">
        <v>15</v>
      </c>
      <c r="O115" s="61">
        <v>21044.66</v>
      </c>
      <c r="P115" s="255">
        <v>104.44</v>
      </c>
      <c r="Q115" s="60">
        <v>624</v>
      </c>
      <c r="S115" s="257">
        <v>40.1</v>
      </c>
      <c r="T115" s="60">
        <v>59.100000000000009</v>
      </c>
    </row>
    <row r="116" spans="1:20" x14ac:dyDescent="0.2">
      <c r="A116" s="254">
        <v>2021</v>
      </c>
      <c r="B116" s="253" t="s">
        <v>85</v>
      </c>
      <c r="D116" s="252">
        <v>2187960</v>
      </c>
      <c r="E116" s="59">
        <v>10036</v>
      </c>
      <c r="F116" s="59"/>
      <c r="H116" s="256">
        <v>619867.41</v>
      </c>
      <c r="I116" s="60">
        <v>1375</v>
      </c>
      <c r="J116" s="59">
        <v>278363.44</v>
      </c>
      <c r="K116" s="60">
        <v>236</v>
      </c>
      <c r="L116" s="61">
        <v>1070748.05</v>
      </c>
      <c r="M116" s="257">
        <v>3640.67</v>
      </c>
      <c r="N116" s="60">
        <v>16</v>
      </c>
      <c r="O116" s="61">
        <v>20365.8</v>
      </c>
      <c r="P116" s="255">
        <v>104.44</v>
      </c>
      <c r="Q116" s="60">
        <v>624</v>
      </c>
      <c r="S116" s="257">
        <v>127.3</v>
      </c>
      <c r="T116" s="60">
        <v>3.9000000000000004</v>
      </c>
    </row>
    <row r="117" spans="1:20" x14ac:dyDescent="0.2">
      <c r="A117" s="254">
        <v>2021</v>
      </c>
      <c r="B117" s="253" t="s">
        <v>86</v>
      </c>
      <c r="D117" s="252">
        <v>2421100</v>
      </c>
      <c r="E117" s="59">
        <v>6527</v>
      </c>
      <c r="F117" s="59"/>
      <c r="H117" s="256">
        <v>648604.07999999996</v>
      </c>
      <c r="I117" s="60">
        <v>1375</v>
      </c>
      <c r="J117" s="59">
        <v>286747.08</v>
      </c>
      <c r="K117" s="60">
        <v>229</v>
      </c>
      <c r="L117" s="61">
        <v>1284997.1000000001</v>
      </c>
      <c r="M117" s="257">
        <v>4262.32</v>
      </c>
      <c r="N117" s="60">
        <v>16</v>
      </c>
      <c r="O117" s="61">
        <v>35614.04</v>
      </c>
      <c r="P117" s="255">
        <v>104.44</v>
      </c>
      <c r="Q117" s="60">
        <v>624</v>
      </c>
      <c r="S117" s="257">
        <v>278.60000000000002</v>
      </c>
      <c r="T117" s="60">
        <v>0</v>
      </c>
    </row>
    <row r="118" spans="1:20" x14ac:dyDescent="0.2">
      <c r="A118" s="254">
        <v>2021</v>
      </c>
      <c r="B118" s="253" t="s">
        <v>87</v>
      </c>
      <c r="D118" s="252">
        <v>3170400</v>
      </c>
      <c r="E118" s="59">
        <v>2771</v>
      </c>
      <c r="F118" s="59"/>
      <c r="H118" s="256">
        <v>784936.93</v>
      </c>
      <c r="I118" s="60">
        <v>1373</v>
      </c>
      <c r="J118" s="59">
        <v>383712.36</v>
      </c>
      <c r="K118" s="60">
        <v>228</v>
      </c>
      <c r="L118" s="61">
        <v>1833015.59</v>
      </c>
      <c r="M118" s="257">
        <v>4293.99</v>
      </c>
      <c r="N118" s="60">
        <v>16</v>
      </c>
      <c r="O118" s="61">
        <v>34465.199999999997</v>
      </c>
      <c r="P118" s="255">
        <v>104.44</v>
      </c>
      <c r="Q118" s="60">
        <v>624</v>
      </c>
      <c r="S118" s="257">
        <v>615.69999999999993</v>
      </c>
      <c r="T118" s="60">
        <v>0</v>
      </c>
    </row>
    <row r="119" spans="1:20" x14ac:dyDescent="0.2">
      <c r="A119" s="254">
        <v>2021</v>
      </c>
      <c r="B119" s="253" t="s">
        <v>88</v>
      </c>
      <c r="D119" s="252">
        <v>3633140</v>
      </c>
      <c r="E119" s="59">
        <v>1102</v>
      </c>
      <c r="F119" s="59"/>
      <c r="H119" s="256">
        <v>909905.92000000004</v>
      </c>
      <c r="I119" s="60">
        <v>1374</v>
      </c>
      <c r="J119" s="59">
        <v>449502.65</v>
      </c>
      <c r="K119" s="60">
        <v>229</v>
      </c>
      <c r="L119" s="61">
        <v>2011386.78</v>
      </c>
      <c r="M119" s="257">
        <v>6381.17</v>
      </c>
      <c r="N119" s="60">
        <v>16</v>
      </c>
      <c r="O119" s="61">
        <v>35614.04</v>
      </c>
      <c r="P119" s="255">
        <v>104.44</v>
      </c>
      <c r="Q119" s="262">
        <v>624</v>
      </c>
      <c r="S119" s="257">
        <v>887.69999999999993</v>
      </c>
      <c r="T119" s="60">
        <v>0</v>
      </c>
    </row>
    <row r="120" spans="1:20" x14ac:dyDescent="0.2">
      <c r="A120" s="254">
        <v>2022</v>
      </c>
      <c r="B120" s="253" t="s">
        <v>78</v>
      </c>
      <c r="D120" s="261">
        <v>3729140</v>
      </c>
      <c r="E120" s="56">
        <v>1493</v>
      </c>
      <c r="F120" s="56"/>
      <c r="H120" s="260">
        <v>1109005.76</v>
      </c>
      <c r="I120" s="57">
        <v>1374</v>
      </c>
      <c r="J120" s="260">
        <v>552115.72</v>
      </c>
      <c r="K120" s="57">
        <v>228</v>
      </c>
      <c r="L120" s="260">
        <v>1881340.32</v>
      </c>
      <c r="M120" s="258">
        <v>4532.91</v>
      </c>
      <c r="N120" s="57">
        <v>17</v>
      </c>
      <c r="O120" s="260">
        <v>47434.65</v>
      </c>
      <c r="P120" s="259">
        <v>102.01</v>
      </c>
      <c r="Q120" s="57">
        <v>622</v>
      </c>
      <c r="S120" s="258">
        <v>1195.9999999999998</v>
      </c>
      <c r="T120" s="57">
        <v>0</v>
      </c>
    </row>
    <row r="121" spans="1:20" x14ac:dyDescent="0.2">
      <c r="A121" s="254">
        <v>2022</v>
      </c>
      <c r="B121" s="253" t="s">
        <v>79</v>
      </c>
      <c r="D121" s="252">
        <v>3498340</v>
      </c>
      <c r="E121" s="59">
        <v>1854</v>
      </c>
      <c r="F121" s="59"/>
      <c r="H121" s="256">
        <v>930757.94</v>
      </c>
      <c r="I121" s="60">
        <v>1375</v>
      </c>
      <c r="J121" s="256">
        <v>479047.02</v>
      </c>
      <c r="K121" s="60">
        <v>230</v>
      </c>
      <c r="L121" s="256">
        <v>1884723.57</v>
      </c>
      <c r="M121" s="257">
        <v>4622.75</v>
      </c>
      <c r="N121" s="60">
        <v>17</v>
      </c>
      <c r="O121" s="256">
        <v>42844.2</v>
      </c>
      <c r="P121" s="255">
        <v>102.01</v>
      </c>
      <c r="Q121" s="60">
        <v>622</v>
      </c>
      <c r="S121" s="257">
        <v>1039.5000000000002</v>
      </c>
      <c r="T121" s="60">
        <v>0</v>
      </c>
    </row>
    <row r="122" spans="1:20" x14ac:dyDescent="0.2">
      <c r="A122" s="254">
        <v>2022</v>
      </c>
      <c r="B122" s="253" t="s">
        <v>80</v>
      </c>
      <c r="D122" s="252">
        <v>3229840</v>
      </c>
      <c r="E122" s="59">
        <v>6735</v>
      </c>
      <c r="F122" s="59"/>
      <c r="H122" s="256">
        <v>823721.49</v>
      </c>
      <c r="I122" s="60">
        <v>1375</v>
      </c>
      <c r="J122" s="256">
        <v>447714.75</v>
      </c>
      <c r="K122" s="60">
        <v>231</v>
      </c>
      <c r="L122" s="256">
        <v>1747010.8</v>
      </c>
      <c r="M122" s="257">
        <v>4078.86</v>
      </c>
      <c r="N122" s="60">
        <v>17</v>
      </c>
      <c r="O122" s="256">
        <v>47434.65</v>
      </c>
      <c r="P122" s="255">
        <v>102.01</v>
      </c>
      <c r="Q122" s="60">
        <v>622</v>
      </c>
      <c r="S122" s="257">
        <v>789.1</v>
      </c>
      <c r="T122" s="60">
        <v>0</v>
      </c>
    </row>
    <row r="123" spans="1:20" x14ac:dyDescent="0.2">
      <c r="A123" s="254">
        <v>2022</v>
      </c>
      <c r="B123" s="253" t="s">
        <v>81</v>
      </c>
      <c r="D123" s="252">
        <v>2627000</v>
      </c>
      <c r="E123" s="59">
        <v>6308</v>
      </c>
      <c r="F123" s="59"/>
      <c r="H123" s="256">
        <v>719602.39</v>
      </c>
      <c r="I123" s="60">
        <v>1374</v>
      </c>
      <c r="J123" s="256">
        <v>377529.59</v>
      </c>
      <c r="K123" s="60">
        <v>235</v>
      </c>
      <c r="L123" s="256">
        <v>1306088.1599999999</v>
      </c>
      <c r="M123" s="257">
        <v>3948.69</v>
      </c>
      <c r="N123" s="60">
        <v>17</v>
      </c>
      <c r="O123" s="256">
        <v>30602.7</v>
      </c>
      <c r="P123" s="255">
        <v>102.01</v>
      </c>
      <c r="Q123" s="60">
        <v>622</v>
      </c>
      <c r="S123" s="257">
        <v>557.90000000000009</v>
      </c>
      <c r="T123" s="60">
        <v>0</v>
      </c>
    </row>
    <row r="124" spans="1:20" x14ac:dyDescent="0.2">
      <c r="A124" s="254">
        <v>2022</v>
      </c>
      <c r="B124" s="253" t="s">
        <v>48</v>
      </c>
      <c r="D124" s="252">
        <v>2259239.9999999995</v>
      </c>
      <c r="E124" s="59">
        <v>11075</v>
      </c>
      <c r="F124" s="59"/>
      <c r="H124" s="256">
        <v>668566.19999999995</v>
      </c>
      <c r="I124" s="60">
        <v>1372</v>
      </c>
      <c r="J124" s="256">
        <v>352565.7</v>
      </c>
      <c r="K124" s="60">
        <v>235</v>
      </c>
      <c r="L124" s="256">
        <v>1066209.5</v>
      </c>
      <c r="M124" s="257">
        <v>3585.07</v>
      </c>
      <c r="N124" s="60">
        <v>16</v>
      </c>
      <c r="O124" s="256">
        <v>31622.79</v>
      </c>
      <c r="P124" s="255">
        <v>93.22</v>
      </c>
      <c r="Q124" s="60">
        <v>622</v>
      </c>
      <c r="S124" s="257">
        <v>251.1</v>
      </c>
      <c r="T124" s="60">
        <v>0.9</v>
      </c>
    </row>
    <row r="125" spans="1:20" x14ac:dyDescent="0.2">
      <c r="A125" s="254">
        <v>2022</v>
      </c>
      <c r="B125" s="253" t="s">
        <v>82</v>
      </c>
      <c r="D125" s="252">
        <v>2163632</v>
      </c>
      <c r="E125" s="59">
        <v>13167</v>
      </c>
      <c r="F125" s="59"/>
      <c r="H125" s="256">
        <v>643802.19999999995</v>
      </c>
      <c r="I125" s="60">
        <v>1372</v>
      </c>
      <c r="J125" s="256">
        <v>313926.81</v>
      </c>
      <c r="K125" s="60">
        <v>234</v>
      </c>
      <c r="L125" s="256">
        <v>1028041.6</v>
      </c>
      <c r="M125" s="257">
        <v>3945.06</v>
      </c>
      <c r="N125" s="60">
        <v>16</v>
      </c>
      <c r="O125" s="256">
        <v>30602.7</v>
      </c>
      <c r="P125" s="255">
        <v>93.22</v>
      </c>
      <c r="Q125" s="60">
        <v>622</v>
      </c>
      <c r="S125" s="257">
        <v>104.69999999999999</v>
      </c>
      <c r="T125" s="60">
        <v>22.2</v>
      </c>
    </row>
    <row r="126" spans="1:20" x14ac:dyDescent="0.2">
      <c r="A126" s="254">
        <v>2022</v>
      </c>
      <c r="B126" s="253" t="s">
        <v>83</v>
      </c>
      <c r="D126" s="252">
        <v>2795633</v>
      </c>
      <c r="E126" s="59">
        <v>12607</v>
      </c>
      <c r="F126" s="59"/>
      <c r="H126" s="256">
        <v>784520.37</v>
      </c>
      <c r="I126" s="60">
        <v>1374</v>
      </c>
      <c r="J126" s="256">
        <v>322873.11</v>
      </c>
      <c r="K126" s="60">
        <v>234</v>
      </c>
      <c r="L126" s="256">
        <v>1516599.3</v>
      </c>
      <c r="M126" s="257">
        <v>3745.35</v>
      </c>
      <c r="N126" s="60">
        <v>16</v>
      </c>
      <c r="O126" s="256">
        <v>20554.86</v>
      </c>
      <c r="P126" s="255">
        <v>93.22</v>
      </c>
      <c r="Q126" s="60">
        <v>622</v>
      </c>
      <c r="S126" s="257">
        <v>32.9</v>
      </c>
      <c r="T126" s="60">
        <v>30.4</v>
      </c>
    </row>
    <row r="127" spans="1:20" x14ac:dyDescent="0.2">
      <c r="A127" s="254">
        <v>2022</v>
      </c>
      <c r="B127" s="253" t="s">
        <v>84</v>
      </c>
      <c r="D127" s="252">
        <v>2536119</v>
      </c>
      <c r="E127" s="59">
        <v>11944</v>
      </c>
      <c r="F127" s="59"/>
      <c r="H127" s="256">
        <v>747799.34</v>
      </c>
      <c r="I127" s="60">
        <v>1374</v>
      </c>
      <c r="J127" s="256">
        <v>327151.59000000003</v>
      </c>
      <c r="K127" s="60">
        <v>235</v>
      </c>
      <c r="L127" s="256">
        <v>1270570.1000000001</v>
      </c>
      <c r="M127" s="257">
        <v>3670.61</v>
      </c>
      <c r="N127" s="60">
        <v>16</v>
      </c>
      <c r="O127" s="256">
        <v>20554.86</v>
      </c>
      <c r="P127" s="255">
        <v>93.22</v>
      </c>
      <c r="Q127" s="60">
        <v>622</v>
      </c>
      <c r="S127" s="257">
        <v>18.5</v>
      </c>
      <c r="T127" s="60">
        <v>28.599999999999998</v>
      </c>
    </row>
    <row r="128" spans="1:20" x14ac:dyDescent="0.2">
      <c r="A128" s="254">
        <v>2022</v>
      </c>
      <c r="B128" s="253" t="s">
        <v>85</v>
      </c>
      <c r="D128" s="252">
        <v>2137673</v>
      </c>
      <c r="E128" s="59">
        <v>9913</v>
      </c>
      <c r="F128" s="59"/>
      <c r="H128" s="256">
        <v>620163.12</v>
      </c>
      <c r="I128" s="60">
        <v>1376</v>
      </c>
      <c r="J128" s="256">
        <v>293398.88</v>
      </c>
      <c r="K128" s="60">
        <v>234</v>
      </c>
      <c r="L128" s="256">
        <v>1029824.1</v>
      </c>
      <c r="M128" s="257">
        <v>3822.07</v>
      </c>
      <c r="N128" s="60">
        <v>16</v>
      </c>
      <c r="O128" s="256">
        <v>19891.8</v>
      </c>
      <c r="P128" s="255">
        <v>93.22</v>
      </c>
      <c r="Q128" s="60">
        <v>622</v>
      </c>
      <c r="S128" s="257">
        <v>164.3</v>
      </c>
      <c r="T128" s="60">
        <v>2.6999999999999997</v>
      </c>
    </row>
    <row r="129" spans="1:21" x14ac:dyDescent="0.2">
      <c r="A129" s="254">
        <v>2022</v>
      </c>
      <c r="B129" s="253" t="s">
        <v>86</v>
      </c>
      <c r="D129" s="252">
        <v>2021915</v>
      </c>
      <c r="E129" s="59">
        <v>7145</v>
      </c>
      <c r="F129" s="59"/>
      <c r="H129" s="256">
        <v>648587.03</v>
      </c>
      <c r="I129" s="60">
        <v>1375</v>
      </c>
      <c r="J129" s="256">
        <v>310758.36</v>
      </c>
      <c r="K129" s="60">
        <v>231</v>
      </c>
      <c r="L129" s="256">
        <v>808631</v>
      </c>
      <c r="M129" s="257">
        <v>4028.55</v>
      </c>
      <c r="N129" s="60">
        <v>16</v>
      </c>
      <c r="O129" s="256">
        <v>34785.1</v>
      </c>
      <c r="P129" s="255">
        <v>93.22</v>
      </c>
      <c r="Q129" s="60">
        <v>622</v>
      </c>
      <c r="S129" s="255">
        <v>362.59999999999997</v>
      </c>
      <c r="T129" s="60">
        <v>0</v>
      </c>
    </row>
    <row r="130" spans="1:21" x14ac:dyDescent="0.2">
      <c r="A130" s="254">
        <v>2022</v>
      </c>
      <c r="B130" s="253" t="s">
        <v>87</v>
      </c>
      <c r="D130" s="252">
        <v>2055045</v>
      </c>
      <c r="E130" s="59">
        <v>2016</v>
      </c>
      <c r="F130" s="59"/>
      <c r="H130" s="256">
        <v>768220.74</v>
      </c>
      <c r="I130" s="60">
        <v>1374</v>
      </c>
      <c r="J130" s="256">
        <v>394304.75</v>
      </c>
      <c r="K130" s="60">
        <v>229</v>
      </c>
      <c r="L130" s="256">
        <v>731997.8</v>
      </c>
      <c r="M130" s="257">
        <v>2402.64</v>
      </c>
      <c r="N130" s="60">
        <v>16</v>
      </c>
      <c r="O130" s="256">
        <v>33663</v>
      </c>
      <c r="P130" s="255">
        <v>93.22</v>
      </c>
      <c r="Q130" s="60">
        <v>622</v>
      </c>
      <c r="S130" s="255">
        <v>620.5</v>
      </c>
      <c r="T130" s="60">
        <v>0</v>
      </c>
    </row>
    <row r="131" spans="1:21" ht="13.5" thickBot="1" x14ac:dyDescent="0.25">
      <c r="A131" s="254">
        <v>2022</v>
      </c>
      <c r="B131" s="253" t="s">
        <v>88</v>
      </c>
      <c r="D131" s="252">
        <v>2942980</v>
      </c>
      <c r="E131" s="62">
        <v>575</v>
      </c>
      <c r="F131" s="62"/>
      <c r="H131" s="256">
        <v>904636.49</v>
      </c>
      <c r="I131" s="64">
        <v>1376</v>
      </c>
      <c r="J131" s="256">
        <v>467212.85</v>
      </c>
      <c r="K131" s="64">
        <v>230</v>
      </c>
      <c r="L131" s="256">
        <v>1307396.2</v>
      </c>
      <c r="M131" s="66">
        <v>4206.09</v>
      </c>
      <c r="N131" s="64">
        <v>16</v>
      </c>
      <c r="O131" s="256">
        <v>34785.1</v>
      </c>
      <c r="P131" s="67">
        <v>93.22</v>
      </c>
      <c r="Q131" s="60">
        <v>622</v>
      </c>
      <c r="S131" s="67">
        <v>893.50000000000034</v>
      </c>
      <c r="T131" s="64">
        <v>0</v>
      </c>
    </row>
    <row r="132" spans="1:21" x14ac:dyDescent="0.2">
      <c r="A132" s="254">
        <v>2023</v>
      </c>
      <c r="B132" s="253" t="s">
        <v>78</v>
      </c>
      <c r="D132" s="261">
        <v>3212797</v>
      </c>
      <c r="E132" s="56">
        <v>1108</v>
      </c>
      <c r="F132" s="56"/>
      <c r="H132" s="260">
        <v>916958.14</v>
      </c>
      <c r="I132" s="57">
        <v>1375</v>
      </c>
      <c r="J132" s="56">
        <v>497373.68</v>
      </c>
      <c r="K132" s="57">
        <v>230</v>
      </c>
      <c r="L132" s="260">
        <f>10047+23325.6+105309.8+251263.2+992102+240583.2</f>
        <v>1622630.8</v>
      </c>
      <c r="M132" s="57">
        <f>17.82+57.36+289.97+448.64+2871.11+305.76+220.31</f>
        <v>4210.97</v>
      </c>
      <c r="N132" s="57">
        <v>16</v>
      </c>
      <c r="O132" s="58">
        <v>44068.05</v>
      </c>
      <c r="P132" s="259">
        <v>92.71</v>
      </c>
      <c r="Q132" s="57">
        <v>622</v>
      </c>
      <c r="S132" s="258">
        <v>906.5</v>
      </c>
      <c r="T132" s="57">
        <v>0</v>
      </c>
      <c r="U132" s="251"/>
    </row>
    <row r="133" spans="1:21" x14ac:dyDescent="0.2">
      <c r="A133" s="254">
        <v>2023</v>
      </c>
      <c r="B133" s="253" t="s">
        <v>79</v>
      </c>
      <c r="D133" s="252">
        <v>2853959</v>
      </c>
      <c r="E133" s="59">
        <v>3081</v>
      </c>
      <c r="F133" s="59"/>
      <c r="H133" s="256">
        <v>804597.73</v>
      </c>
      <c r="I133" s="60">
        <v>1375</v>
      </c>
      <c r="J133" s="59">
        <v>441070.94</v>
      </c>
      <c r="K133" s="60">
        <v>230</v>
      </c>
      <c r="L133" s="256">
        <f>8474+21248.4+97137.9+229314.4+818400+231159.2</f>
        <v>1405733.9</v>
      </c>
      <c r="M133" s="60">
        <f>14.1+50.88+281.51+432.56+2845.96+374.16+208.79</f>
        <v>4207.96</v>
      </c>
      <c r="N133" s="60">
        <v>16</v>
      </c>
      <c r="O133" s="61">
        <v>35909.160000000003</v>
      </c>
      <c r="P133" s="255">
        <v>92.71</v>
      </c>
      <c r="Q133" s="60">
        <v>622</v>
      </c>
      <c r="S133" s="257">
        <v>863.09999999999991</v>
      </c>
      <c r="T133" s="60">
        <v>0</v>
      </c>
      <c r="U133" s="251"/>
    </row>
    <row r="134" spans="1:21" x14ac:dyDescent="0.2">
      <c r="A134" s="254">
        <v>2023</v>
      </c>
      <c r="B134" s="253" t="s">
        <v>80</v>
      </c>
      <c r="D134" s="252">
        <v>2835800</v>
      </c>
      <c r="E134" s="59">
        <v>8622</v>
      </c>
      <c r="F134" s="59"/>
      <c r="H134" s="256">
        <v>783585.03</v>
      </c>
      <c r="I134" s="60">
        <v>1375</v>
      </c>
      <c r="J134" s="59">
        <v>445597.48</v>
      </c>
      <c r="K134" s="60">
        <v>231</v>
      </c>
      <c r="L134" s="256">
        <f>8941+22201.2+88817.7+245928.8+799500+242278.4</f>
        <v>1407667.0999999999</v>
      </c>
      <c r="M134" s="60">
        <f>21.24+34.44+258.57+428.96+328.64+246.16+2706.06</f>
        <v>4024.0699999999997</v>
      </c>
      <c r="N134" s="60">
        <v>16</v>
      </c>
      <c r="O134" s="61">
        <v>34966.449999999997</v>
      </c>
      <c r="P134" s="255">
        <v>92.71</v>
      </c>
      <c r="Q134" s="60">
        <v>622</v>
      </c>
      <c r="S134" s="257">
        <v>782</v>
      </c>
      <c r="T134" s="60">
        <v>0</v>
      </c>
      <c r="U134" s="251"/>
    </row>
    <row r="135" spans="1:21" x14ac:dyDescent="0.2">
      <c r="A135" s="254">
        <v>2023</v>
      </c>
      <c r="B135" s="253" t="s">
        <v>81</v>
      </c>
      <c r="D135" s="252">
        <v>2458993</v>
      </c>
      <c r="E135" s="59">
        <v>8442</v>
      </c>
      <c r="F135" s="59"/>
      <c r="H135" s="256">
        <v>685637.9</v>
      </c>
      <c r="I135" s="60">
        <v>1374</v>
      </c>
      <c r="J135" s="59">
        <v>374154.87</v>
      </c>
      <c r="K135" s="60">
        <v>231</v>
      </c>
      <c r="L135" s="256">
        <f>5625+19717.2+68962.5+227520.8+678138+177751.6</f>
        <v>1177715.1000000001</v>
      </c>
      <c r="M135" s="60">
        <f>17.91+38.64+201.82+507.2+2505.28+348.36+92.73</f>
        <v>3711.9400000000005</v>
      </c>
      <c r="N135" s="60">
        <v>16</v>
      </c>
      <c r="O135" s="61">
        <v>28739.7</v>
      </c>
      <c r="P135" s="255">
        <v>92.71</v>
      </c>
      <c r="Q135" s="60">
        <v>622</v>
      </c>
      <c r="S135" s="257">
        <v>526.9</v>
      </c>
      <c r="T135" s="60">
        <v>0</v>
      </c>
      <c r="U135" s="251"/>
    </row>
    <row r="136" spans="1:21" x14ac:dyDescent="0.2">
      <c r="A136" s="254">
        <v>2023</v>
      </c>
      <c r="B136" s="253" t="s">
        <v>48</v>
      </c>
      <c r="D136" s="252">
        <v>2216078</v>
      </c>
      <c r="E136" s="59">
        <v>13765</v>
      </c>
      <c r="F136" s="59"/>
      <c r="H136" s="256">
        <v>671047.21</v>
      </c>
      <c r="I136" s="60">
        <v>1374</v>
      </c>
      <c r="J136" s="59">
        <v>336215.77</v>
      </c>
      <c r="K136" s="60">
        <v>235</v>
      </c>
      <c r="L136" s="256">
        <v>1069090.3</v>
      </c>
      <c r="M136" s="60">
        <f>92.07+43.8+211.46+322.16+153.43+2612.91+218.52+191.48</f>
        <v>3845.83</v>
      </c>
      <c r="N136" s="60">
        <v>16</v>
      </c>
      <c r="O136" s="61">
        <v>25147.200000000001</v>
      </c>
      <c r="P136" s="255">
        <v>92.71</v>
      </c>
      <c r="Q136" s="60">
        <v>621</v>
      </c>
      <c r="S136" s="257">
        <v>177.7</v>
      </c>
      <c r="T136" s="60">
        <v>3.6999999999999997</v>
      </c>
      <c r="U136" s="251"/>
    </row>
    <row r="137" spans="1:21" x14ac:dyDescent="0.2">
      <c r="A137" s="254">
        <v>2023</v>
      </c>
      <c r="B137" s="253" t="s">
        <v>82</v>
      </c>
      <c r="D137" s="252">
        <v>2388710</v>
      </c>
      <c r="E137" s="59">
        <v>12958</v>
      </c>
      <c r="F137" s="59"/>
      <c r="H137" s="256">
        <v>710542.4</v>
      </c>
      <c r="I137" s="60">
        <v>1373</v>
      </c>
      <c r="J137" s="59">
        <v>312592.84999999998</v>
      </c>
      <c r="K137" s="60">
        <v>236</v>
      </c>
      <c r="L137" s="256">
        <v>1141375.8999999999</v>
      </c>
      <c r="M137" s="60">
        <f>67.95+52.92+149.73+324.64+156.67+2585.98+161.04+205.7</f>
        <v>3704.6299999999997</v>
      </c>
      <c r="N137" s="60">
        <v>16</v>
      </c>
      <c r="O137" s="61">
        <v>21323.1</v>
      </c>
      <c r="P137" s="255">
        <v>92.71</v>
      </c>
      <c r="Q137" s="60">
        <v>621</v>
      </c>
      <c r="S137" s="257">
        <v>41.399999999999984</v>
      </c>
      <c r="T137" s="60">
        <v>45.800000000000011</v>
      </c>
      <c r="U137" s="251"/>
    </row>
    <row r="138" spans="1:21" x14ac:dyDescent="0.2">
      <c r="A138" s="254">
        <v>2023</v>
      </c>
      <c r="B138" s="253" t="s">
        <v>83</v>
      </c>
      <c r="D138" s="252">
        <v>2440458</v>
      </c>
      <c r="E138" s="59">
        <v>13009</v>
      </c>
      <c r="F138" s="59"/>
      <c r="H138" s="256">
        <v>721763.35</v>
      </c>
      <c r="I138" s="60">
        <v>1373</v>
      </c>
      <c r="J138" s="59">
        <v>329645.15000000002</v>
      </c>
      <c r="K138" s="60">
        <v>235</v>
      </c>
      <c r="L138" s="256">
        <f>7322+18673.2+43534.9+199722.4+807490+156448.8</f>
        <v>1233191.3</v>
      </c>
      <c r="M138" s="60">
        <f>66.15+50.04+116.14+384.4+157.03+2869.96+158.08+206.49</f>
        <v>4008.29</v>
      </c>
      <c r="N138" s="60">
        <v>16</v>
      </c>
      <c r="O138" s="61">
        <v>23470.720000000001</v>
      </c>
      <c r="P138" s="255">
        <v>92.71</v>
      </c>
      <c r="Q138" s="60">
        <v>621</v>
      </c>
      <c r="S138" s="257">
        <v>49.499999999999986</v>
      </c>
      <c r="T138" s="60">
        <v>17.7</v>
      </c>
      <c r="U138" s="251"/>
    </row>
    <row r="139" spans="1:21" x14ac:dyDescent="0.2">
      <c r="A139" s="254">
        <v>2023</v>
      </c>
      <c r="B139" s="253" t="s">
        <v>84</v>
      </c>
      <c r="D139" s="252">
        <v>2535039</v>
      </c>
      <c r="E139" s="59">
        <v>10902</v>
      </c>
      <c r="F139" s="59"/>
      <c r="H139" s="256">
        <v>694328.34</v>
      </c>
      <c r="I139" s="60">
        <v>1373</v>
      </c>
      <c r="J139" s="59">
        <v>323221.96000000002</v>
      </c>
      <c r="K139" s="60">
        <v>235</v>
      </c>
      <c r="L139" s="256">
        <f>7351+18568.8+46819+197239.2+861280+165247.2</f>
        <v>1296505.2</v>
      </c>
      <c r="M139" s="60">
        <f>69.21+46.08+107.9+58.03+307.76+140.54+2824.09+159.64+201.52</f>
        <v>3914.77</v>
      </c>
      <c r="N139" s="60">
        <v>16</v>
      </c>
      <c r="O139" s="61">
        <v>27542.26</v>
      </c>
      <c r="P139" s="255">
        <v>92.71</v>
      </c>
      <c r="Q139" s="60">
        <v>621</v>
      </c>
      <c r="S139" s="257">
        <v>43.6</v>
      </c>
      <c r="T139" s="60">
        <v>21.7</v>
      </c>
      <c r="U139" s="251"/>
    </row>
    <row r="140" spans="1:21" x14ac:dyDescent="0.2">
      <c r="A140" s="254">
        <v>2023</v>
      </c>
      <c r="B140" s="253" t="s">
        <v>85</v>
      </c>
      <c r="D140" s="252">
        <v>2475702</v>
      </c>
      <c r="E140" s="59">
        <v>9172</v>
      </c>
      <c r="F140" s="59"/>
      <c r="H140" s="256">
        <v>624804.31999999995</v>
      </c>
      <c r="I140" s="60">
        <v>1372</v>
      </c>
      <c r="J140" s="59">
        <v>288420.71999999997</v>
      </c>
      <c r="K140" s="60">
        <v>235</v>
      </c>
      <c r="L140" s="256">
        <v>1307046.3</v>
      </c>
      <c r="M140" s="60">
        <f>67.23+49.2+99.72+71.74+303.12+166.75+101.92+487.18+2860.21</f>
        <v>4207.07</v>
      </c>
      <c r="N140" s="60">
        <v>16</v>
      </c>
      <c r="O140" s="61">
        <v>31520.7</v>
      </c>
      <c r="P140" s="255">
        <v>92.71</v>
      </c>
      <c r="Q140" s="60">
        <v>621</v>
      </c>
      <c r="S140" s="257">
        <v>111.40000000000002</v>
      </c>
      <c r="T140" s="60">
        <v>24.6</v>
      </c>
      <c r="U140" s="251"/>
    </row>
    <row r="141" spans="1:21" x14ac:dyDescent="0.2">
      <c r="A141" s="254">
        <v>2023</v>
      </c>
      <c r="B141" s="253" t="s">
        <v>86</v>
      </c>
      <c r="D141" s="252">
        <v>2600897</v>
      </c>
      <c r="E141" s="59">
        <v>5269</v>
      </c>
      <c r="F141" s="59"/>
      <c r="H141" s="256">
        <v>664610.93000000005</v>
      </c>
      <c r="I141" s="60">
        <v>1371</v>
      </c>
      <c r="J141" s="59">
        <v>315778.02</v>
      </c>
      <c r="K141" s="60">
        <v>233</v>
      </c>
      <c r="L141" s="256">
        <f>6279+17506.8+71994.4+186853.6+887386+215472.8</f>
        <v>1385492.6</v>
      </c>
      <c r="M141" s="60">
        <f>65.25+41.4+188.57+20.73+313.68+135.79+240.92+370.9+2674.13</f>
        <v>4051.37</v>
      </c>
      <c r="N141" s="60">
        <v>16</v>
      </c>
      <c r="O141" s="61">
        <v>37840.769999999997</v>
      </c>
      <c r="P141" s="255">
        <v>92.71</v>
      </c>
      <c r="Q141" s="60">
        <v>621</v>
      </c>
      <c r="S141" s="255">
        <v>387.99999999999994</v>
      </c>
      <c r="T141" s="60">
        <v>11</v>
      </c>
      <c r="U141" s="251"/>
    </row>
    <row r="142" spans="1:21" x14ac:dyDescent="0.2">
      <c r="A142" s="254">
        <v>2023</v>
      </c>
      <c r="B142" s="253" t="s">
        <v>87</v>
      </c>
      <c r="D142" s="252">
        <v>2814348</v>
      </c>
      <c r="E142" s="59">
        <v>3612</v>
      </c>
      <c r="F142" s="59"/>
      <c r="H142" s="256">
        <v>761056.74</v>
      </c>
      <c r="I142" s="60">
        <v>1372</v>
      </c>
      <c r="J142" s="59">
        <v>417022.94</v>
      </c>
      <c r="K142" s="60">
        <v>231</v>
      </c>
      <c r="L142" s="256">
        <f>6567+20775.6+88691.9+202436.8+924002+234078.4</f>
        <v>1476551.7</v>
      </c>
      <c r="M142" s="60">
        <f>34.11+43.92+163.22+65.7+394.94+2816.81+226.28+335.19</f>
        <v>4080.17</v>
      </c>
      <c r="N142" s="60">
        <v>16</v>
      </c>
      <c r="O142" s="61">
        <v>41255.699999999997</v>
      </c>
      <c r="P142" s="255">
        <v>92.71</v>
      </c>
      <c r="Q142" s="60">
        <v>621</v>
      </c>
      <c r="S142" s="255">
        <v>585.4</v>
      </c>
      <c r="T142" s="60">
        <v>0</v>
      </c>
      <c r="U142" s="251"/>
    </row>
    <row r="143" spans="1:21" ht="13.5" thickBot="1" x14ac:dyDescent="0.25">
      <c r="A143" s="254">
        <v>2023</v>
      </c>
      <c r="B143" s="253" t="s">
        <v>88</v>
      </c>
      <c r="D143" s="252">
        <v>3004941</v>
      </c>
      <c r="E143" s="62">
        <v>1979</v>
      </c>
      <c r="F143" s="62"/>
      <c r="H143" s="63">
        <v>786940.68</v>
      </c>
      <c r="I143" s="64">
        <v>1372</v>
      </c>
      <c r="J143" s="62">
        <v>420329.75</v>
      </c>
      <c r="K143" s="64">
        <v>230</v>
      </c>
      <c r="L143" s="63">
        <f>7641+22189.2+90717.1+207944.8+237476+973230</f>
        <v>1539198.1</v>
      </c>
      <c r="M143" s="64">
        <f>73.17+45.72+226.9+405.68+397.2+240.22+2976.46</f>
        <v>4365.3500000000004</v>
      </c>
      <c r="N143" s="64">
        <v>16</v>
      </c>
      <c r="O143" s="65">
        <v>45504.9</v>
      </c>
      <c r="P143" s="64">
        <v>92.71</v>
      </c>
      <c r="Q143" s="64">
        <v>621</v>
      </c>
      <c r="S143" s="67">
        <v>662.59999999999968</v>
      </c>
      <c r="T143" s="64">
        <v>0</v>
      </c>
      <c r="U143" s="251"/>
    </row>
    <row r="144" spans="1:21" x14ac:dyDescent="0.2">
      <c r="A144" s="254">
        <v>2024</v>
      </c>
      <c r="B144" s="253" t="s">
        <v>78</v>
      </c>
      <c r="D144" s="340">
        <v>3260883</v>
      </c>
      <c r="E144" s="57">
        <v>986</v>
      </c>
      <c r="F144" s="59"/>
      <c r="H144" s="260">
        <v>890526.63</v>
      </c>
      <c r="I144" s="57">
        <v>1373</v>
      </c>
      <c r="J144" s="56">
        <v>517627.34</v>
      </c>
      <c r="K144" s="57">
        <v>230</v>
      </c>
      <c r="L144" s="58">
        <v>1634472.1</v>
      </c>
      <c r="M144" s="258">
        <v>4490.6900000000005</v>
      </c>
      <c r="N144" s="57">
        <v>16</v>
      </c>
      <c r="O144" s="58">
        <v>40975.800000000003</v>
      </c>
      <c r="P144" s="268">
        <v>88.84</v>
      </c>
      <c r="Q144" s="57">
        <v>622</v>
      </c>
      <c r="R144" s="342"/>
      <c r="S144" s="255"/>
      <c r="T144" s="60"/>
      <c r="U144"/>
    </row>
    <row r="145" spans="1:21" x14ac:dyDescent="0.2">
      <c r="A145" s="254">
        <v>2024</v>
      </c>
      <c r="B145" s="253" t="s">
        <v>79</v>
      </c>
      <c r="D145" s="341">
        <v>2835910</v>
      </c>
      <c r="E145" s="59">
        <v>5835</v>
      </c>
      <c r="F145" s="59"/>
      <c r="H145" s="256">
        <v>754323.67</v>
      </c>
      <c r="I145" s="60">
        <v>1373</v>
      </c>
      <c r="J145" s="61">
        <v>441380.43</v>
      </c>
      <c r="K145" s="60">
        <v>230</v>
      </c>
      <c r="L145" s="61">
        <v>1449148.0999999999</v>
      </c>
      <c r="M145" s="257">
        <v>4075.72</v>
      </c>
      <c r="N145" s="60">
        <v>16</v>
      </c>
      <c r="O145" s="61">
        <v>38332.199999999997</v>
      </c>
      <c r="P145" s="266">
        <v>88.84</v>
      </c>
      <c r="Q145" s="60">
        <v>622</v>
      </c>
      <c r="R145" s="342"/>
      <c r="S145" s="255"/>
      <c r="T145" s="60"/>
      <c r="U145"/>
    </row>
    <row r="146" spans="1:21" x14ac:dyDescent="0.2">
      <c r="A146" s="254">
        <v>2024</v>
      </c>
      <c r="B146" s="253" t="s">
        <v>80</v>
      </c>
      <c r="D146" s="341">
        <v>2912763</v>
      </c>
      <c r="E146" s="59">
        <v>9476</v>
      </c>
      <c r="F146" s="59"/>
      <c r="H146" s="256">
        <v>779841.56</v>
      </c>
      <c r="I146" s="60">
        <v>1373</v>
      </c>
      <c r="J146" s="59">
        <v>456118.57</v>
      </c>
      <c r="K146" s="60">
        <v>230</v>
      </c>
      <c r="L146" s="61">
        <v>1478882.7999999998</v>
      </c>
      <c r="M146" s="257">
        <v>4067.5700000000006</v>
      </c>
      <c r="N146" s="60">
        <v>16</v>
      </c>
      <c r="O146" s="61">
        <v>40975.800000000003</v>
      </c>
      <c r="P146" s="266">
        <v>88.84</v>
      </c>
      <c r="Q146" s="60">
        <v>622</v>
      </c>
      <c r="R146" s="342"/>
      <c r="S146" s="255"/>
      <c r="T146" s="60"/>
      <c r="U146"/>
    </row>
    <row r="147" spans="1:21" x14ac:dyDescent="0.2">
      <c r="A147" s="254">
        <v>2024</v>
      </c>
      <c r="B147" s="253" t="s">
        <v>81</v>
      </c>
      <c r="D147" s="341">
        <v>2441448</v>
      </c>
      <c r="E147" s="59">
        <v>11317</v>
      </c>
      <c r="F147" s="59"/>
      <c r="H147" s="256">
        <v>660351.02</v>
      </c>
      <c r="I147" s="60">
        <v>1373</v>
      </c>
      <c r="J147" s="59">
        <v>379139.67</v>
      </c>
      <c r="K147" s="60">
        <v>234</v>
      </c>
      <c r="L147" s="61">
        <v>1227000.7</v>
      </c>
      <c r="M147" s="257">
        <v>3457.59</v>
      </c>
      <c r="N147" s="60">
        <v>16</v>
      </c>
      <c r="O147" s="61">
        <v>26292</v>
      </c>
      <c r="P147" s="266">
        <v>87.64</v>
      </c>
      <c r="Q147" s="60">
        <v>622</v>
      </c>
      <c r="R147" s="342"/>
      <c r="S147" s="255"/>
      <c r="T147" s="60"/>
      <c r="U147"/>
    </row>
    <row r="148" spans="1:21" x14ac:dyDescent="0.2">
      <c r="A148" s="254">
        <v>2024</v>
      </c>
      <c r="B148" s="253" t="s">
        <v>48</v>
      </c>
      <c r="D148" s="341">
        <v>2351712</v>
      </c>
      <c r="E148" s="59">
        <v>12829</v>
      </c>
      <c r="F148" s="59"/>
      <c r="H148" s="256">
        <v>609930.93000000005</v>
      </c>
      <c r="I148" s="60">
        <v>1372</v>
      </c>
      <c r="J148" s="59">
        <v>345325.27</v>
      </c>
      <c r="K148" s="60">
        <v>237</v>
      </c>
      <c r="L148" s="61">
        <v>1222599.7000000002</v>
      </c>
      <c r="M148" s="257">
        <v>3413.4</v>
      </c>
      <c r="N148" s="60">
        <v>15</v>
      </c>
      <c r="O148" s="61">
        <v>27168.400000000001</v>
      </c>
      <c r="P148" s="266">
        <v>87.64</v>
      </c>
      <c r="Q148" s="60">
        <v>622</v>
      </c>
      <c r="R148" s="342"/>
      <c r="S148" s="255"/>
      <c r="T148" s="60"/>
      <c r="U148"/>
    </row>
    <row r="149" spans="1:21" x14ac:dyDescent="0.2">
      <c r="A149" s="254">
        <v>2024</v>
      </c>
      <c r="B149" s="253" t="s">
        <v>82</v>
      </c>
      <c r="D149" s="341">
        <v>1983070</v>
      </c>
      <c r="E149" s="59">
        <v>10880</v>
      </c>
      <c r="F149" s="59"/>
      <c r="H149" s="256">
        <v>614001.96</v>
      </c>
      <c r="I149" s="60">
        <v>1373</v>
      </c>
      <c r="J149" s="59">
        <v>319917.42</v>
      </c>
      <c r="K149" s="60">
        <v>236</v>
      </c>
      <c r="L149" s="61">
        <v>877757.5</v>
      </c>
      <c r="M149" s="257">
        <v>2996.4300000000003</v>
      </c>
      <c r="N149" s="60">
        <v>15</v>
      </c>
      <c r="O149" s="61">
        <v>26292</v>
      </c>
      <c r="P149" s="266">
        <v>87.64</v>
      </c>
      <c r="Q149" s="60">
        <v>622</v>
      </c>
      <c r="R149" s="342"/>
      <c r="S149" s="255"/>
      <c r="T149" s="60"/>
    </row>
    <row r="150" spans="1:21" x14ac:dyDescent="0.2">
      <c r="A150" s="254">
        <v>2024</v>
      </c>
      <c r="B150" s="253" t="s">
        <v>83</v>
      </c>
      <c r="D150" s="341">
        <v>1984920</v>
      </c>
      <c r="E150" s="59">
        <v>11929</v>
      </c>
      <c r="F150" s="59"/>
      <c r="H150" s="256">
        <v>808075.16</v>
      </c>
      <c r="I150" s="60">
        <v>1372</v>
      </c>
      <c r="J150" s="59">
        <v>356224.31</v>
      </c>
      <c r="K150" s="60">
        <v>236</v>
      </c>
      <c r="L150" s="61">
        <v>629884.30000000005</v>
      </c>
      <c r="M150" s="257">
        <v>3428.3400000000006</v>
      </c>
      <c r="N150" s="60">
        <v>15</v>
      </c>
      <c r="O150" s="61">
        <v>17659.46</v>
      </c>
      <c r="P150" s="344">
        <v>87.64</v>
      </c>
      <c r="Q150" s="60">
        <v>622</v>
      </c>
      <c r="R150" s="342"/>
      <c r="S150" s="255"/>
      <c r="T150" s="60"/>
    </row>
    <row r="151" spans="1:21" x14ac:dyDescent="0.2">
      <c r="A151" s="254">
        <v>2024</v>
      </c>
      <c r="B151" s="253" t="s">
        <v>84</v>
      </c>
      <c r="D151" s="341">
        <v>2397446</v>
      </c>
      <c r="E151" s="59">
        <v>10333</v>
      </c>
      <c r="F151" s="59"/>
      <c r="H151" s="256">
        <v>745455.93</v>
      </c>
      <c r="I151" s="60">
        <v>1369</v>
      </c>
      <c r="J151" s="59">
        <v>343035.33</v>
      </c>
      <c r="K151" s="60">
        <v>236</v>
      </c>
      <c r="L151" s="61">
        <v>1121785.7</v>
      </c>
      <c r="M151" s="257">
        <v>3596.34</v>
      </c>
      <c r="N151" s="60">
        <v>15</v>
      </c>
      <c r="O151" s="61">
        <v>17659.46</v>
      </c>
      <c r="P151" s="344">
        <v>87.64</v>
      </c>
      <c r="Q151" s="60">
        <v>622</v>
      </c>
      <c r="R151" s="342"/>
      <c r="S151" s="255"/>
      <c r="T151" s="60"/>
    </row>
    <row r="152" spans="1:21" x14ac:dyDescent="0.2">
      <c r="A152" s="254">
        <v>2024</v>
      </c>
      <c r="B152" s="253" t="s">
        <v>85</v>
      </c>
      <c r="D152" s="341">
        <v>2392501</v>
      </c>
      <c r="E152" s="59">
        <v>10829</v>
      </c>
      <c r="F152" s="59"/>
      <c r="H152" s="256">
        <v>669261.56999999995</v>
      </c>
      <c r="I152" s="60">
        <v>1370</v>
      </c>
      <c r="J152" s="59">
        <v>310655.28999999998</v>
      </c>
      <c r="K152" s="60">
        <v>236</v>
      </c>
      <c r="L152" s="61">
        <v>1226776.3999999999</v>
      </c>
      <c r="M152" s="257">
        <v>3836.8099999999995</v>
      </c>
      <c r="N152" s="60">
        <v>15</v>
      </c>
      <c r="O152" s="61">
        <v>17089.8</v>
      </c>
      <c r="P152" s="344">
        <v>87.64</v>
      </c>
      <c r="Q152" s="60">
        <v>622</v>
      </c>
      <c r="R152" s="342"/>
      <c r="S152" s="255"/>
      <c r="T152" s="60"/>
    </row>
    <row r="153" spans="1:21" x14ac:dyDescent="0.2">
      <c r="A153" s="254">
        <v>2024</v>
      </c>
      <c r="B153" s="253" t="s">
        <v>86</v>
      </c>
      <c r="D153" s="341">
        <v>2421840</v>
      </c>
      <c r="E153" s="59">
        <v>8111</v>
      </c>
      <c r="F153" s="59"/>
      <c r="H153" s="256">
        <v>636451.21</v>
      </c>
      <c r="I153" s="60">
        <v>1368</v>
      </c>
      <c r="J153" s="59">
        <v>321110.09999999998</v>
      </c>
      <c r="K153" s="60">
        <v>235</v>
      </c>
      <c r="L153" s="61">
        <v>1271434.8</v>
      </c>
      <c r="M153" s="257">
        <v>4014.92</v>
      </c>
      <c r="N153" s="60">
        <v>15</v>
      </c>
      <c r="O153" s="61">
        <v>29885.24</v>
      </c>
      <c r="P153" s="344">
        <v>87.64</v>
      </c>
      <c r="Q153" s="60">
        <v>622</v>
      </c>
      <c r="R153" s="342"/>
      <c r="S153" s="255"/>
      <c r="T153" s="60"/>
    </row>
    <row r="154" spans="1:21" x14ac:dyDescent="0.2">
      <c r="A154" s="254">
        <v>2024</v>
      </c>
      <c r="B154" s="253" t="s">
        <v>87</v>
      </c>
      <c r="D154" s="341">
        <v>2684420</v>
      </c>
      <c r="E154" s="59">
        <v>3041</v>
      </c>
      <c r="F154" s="59"/>
      <c r="H154" s="256">
        <v>716962.97</v>
      </c>
      <c r="I154" s="60">
        <v>1370</v>
      </c>
      <c r="J154" s="59">
        <v>378310.89</v>
      </c>
      <c r="K154" s="60">
        <v>233</v>
      </c>
      <c r="L154" s="61">
        <v>1403248.4</v>
      </c>
      <c r="M154" s="257">
        <v>4129.8700000000008</v>
      </c>
      <c r="N154" s="60">
        <v>15</v>
      </c>
      <c r="O154" s="61">
        <v>29137.200000000001</v>
      </c>
      <c r="P154" s="344">
        <v>88.84</v>
      </c>
      <c r="Q154" s="60">
        <v>622</v>
      </c>
      <c r="R154" s="342"/>
      <c r="S154" s="255"/>
      <c r="T154" s="60"/>
    </row>
    <row r="155" spans="1:21" ht="13.5" thickBot="1" x14ac:dyDescent="0.25">
      <c r="A155" s="254">
        <v>2024</v>
      </c>
      <c r="B155" s="253" t="s">
        <v>88</v>
      </c>
      <c r="D155" s="341">
        <v>3138606</v>
      </c>
      <c r="E155" s="59">
        <v>564</v>
      </c>
      <c r="F155" s="59"/>
      <c r="H155" s="256">
        <v>894674.11</v>
      </c>
      <c r="I155" s="60">
        <v>1371</v>
      </c>
      <c r="J155" s="59">
        <v>492154.27</v>
      </c>
      <c r="K155" s="60">
        <v>234</v>
      </c>
      <c r="L155" s="61">
        <v>1538913.0599999998</v>
      </c>
      <c r="M155" s="257">
        <v>4119.5</v>
      </c>
      <c r="N155" s="60">
        <v>15</v>
      </c>
      <c r="O155" s="61">
        <v>43605.53</v>
      </c>
      <c r="P155" s="266">
        <v>88.84</v>
      </c>
      <c r="Q155" s="60">
        <v>622</v>
      </c>
      <c r="R155" s="343"/>
      <c r="S155" s="67"/>
      <c r="T155" s="64"/>
    </row>
  </sheetData>
  <sheetProtection selectLockedCells="1" selectUnlockedCells="1"/>
  <mergeCells count="11">
    <mergeCell ref="D22:F22"/>
    <mergeCell ref="S22:T22"/>
    <mergeCell ref="H21:Q21"/>
    <mergeCell ref="A21:B21"/>
    <mergeCell ref="D21:F21"/>
    <mergeCell ref="H22:I22"/>
    <mergeCell ref="J22:K22"/>
    <mergeCell ref="L22:N22"/>
    <mergeCell ref="A22:A23"/>
    <mergeCell ref="B22:B23"/>
    <mergeCell ref="O22:Q22"/>
  </mergeCells>
  <pageMargins left="0.7" right="0.7" top="0.75" bottom="0.75" header="0.3" footer="0.3"/>
  <pageSetup orientation="portrait" horizontalDpi="4294967293" verticalDpi="0" r:id="rId1"/>
  <ignoredErrors>
    <ignoredError sqref="C5:C14" formula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A0242-EF32-4FE0-859B-E0C4A9DC8D14}">
  <sheetPr>
    <tabColor rgb="FF00B0F0"/>
    <pageSetUpPr fitToPage="1"/>
  </sheetPr>
  <dimension ref="A1:AD196"/>
  <sheetViews>
    <sheetView zoomScale="85" zoomScaleNormal="85" workbookViewId="0">
      <pane xSplit="1" ySplit="2" topLeftCell="B111" activePane="bottomRight" state="frozen"/>
      <selection pane="topRight" activeCell="C1" sqref="C1"/>
      <selection pane="bottomLeft" activeCell="A3" sqref="A3"/>
      <selection pane="bottomRight" activeCell="F51" sqref="F51"/>
    </sheetView>
  </sheetViews>
  <sheetFormatPr defaultRowHeight="12.75" x14ac:dyDescent="0.2"/>
  <cols>
    <col min="1" max="1" width="11.85546875" style="25" customWidth="1"/>
    <col min="2" max="2" width="16.85546875" style="6" customWidth="1"/>
    <col min="3" max="3" width="11.5703125" style="1" customWidth="1"/>
    <col min="4" max="4" width="13.42578125" style="1" customWidth="1"/>
    <col min="5" max="5" width="10.140625" style="1" customWidth="1"/>
    <col min="6" max="7" width="13" style="1" customWidth="1"/>
    <col min="8" max="8" width="15.5703125" style="1" bestFit="1" customWidth="1"/>
    <col min="9" max="9" width="16" style="1" customWidth="1"/>
    <col min="10" max="10" width="13.28515625" style="1" customWidth="1"/>
    <col min="11" max="11" width="8.42578125" style="1" customWidth="1"/>
    <col min="12" max="14" width="19.42578125" style="1" customWidth="1"/>
    <col min="15" max="15" width="8.42578125" style="1" customWidth="1"/>
    <col min="16" max="16" width="34.42578125" style="1" bestFit="1" customWidth="1"/>
    <col min="17" max="17" width="16.42578125" bestFit="1" customWidth="1"/>
    <col min="18" max="18" width="13.42578125" bestFit="1" customWidth="1"/>
    <col min="19" max="19" width="12.7109375" bestFit="1" customWidth="1"/>
    <col min="20" max="20" width="12.5703125" customWidth="1"/>
    <col min="21" max="21" width="13" bestFit="1" customWidth="1"/>
    <col min="22" max="22" width="12.7109375" bestFit="1" customWidth="1"/>
    <col min="23" max="25" width="12.5703125" customWidth="1"/>
    <col min="26" max="26" width="42.42578125" bestFit="1" customWidth="1"/>
    <col min="27" max="27" width="15.5703125" bestFit="1" customWidth="1"/>
    <col min="28" max="28" width="26.140625" bestFit="1" customWidth="1"/>
    <col min="29" max="29" width="23" bestFit="1" customWidth="1"/>
    <col min="32" max="32" width="40.5703125" bestFit="1" customWidth="1"/>
    <col min="33" max="33" width="42.85546875" bestFit="1" customWidth="1"/>
  </cols>
  <sheetData>
    <row r="1" spans="1:30" x14ac:dyDescent="0.2">
      <c r="Z1" s="76" t="s">
        <v>61</v>
      </c>
      <c r="AA1" s="76"/>
      <c r="AB1" s="76"/>
      <c r="AC1" s="76"/>
      <c r="AD1" s="76"/>
    </row>
    <row r="2" spans="1:30" ht="38.25" x14ac:dyDescent="0.2">
      <c r="A2" s="73"/>
      <c r="B2" s="74" t="s">
        <v>53</v>
      </c>
      <c r="C2" s="75" t="s">
        <v>3</v>
      </c>
      <c r="D2" s="75" t="s">
        <v>4</v>
      </c>
      <c r="E2" s="75" t="s">
        <v>92</v>
      </c>
      <c r="F2" s="287" t="s">
        <v>225</v>
      </c>
      <c r="G2" s="75" t="s">
        <v>106</v>
      </c>
      <c r="H2" s="75" t="s">
        <v>9</v>
      </c>
      <c r="I2" s="318" t="s">
        <v>235</v>
      </c>
      <c r="J2" s="319" t="s">
        <v>236</v>
      </c>
      <c r="K2" s="320" t="s">
        <v>237</v>
      </c>
      <c r="L2" s="281" t="s">
        <v>238</v>
      </c>
      <c r="M2" s="281" t="s">
        <v>239</v>
      </c>
      <c r="N2" s="281" t="s">
        <v>240</v>
      </c>
      <c r="O2" s="281"/>
      <c r="P2" t="s">
        <v>14</v>
      </c>
      <c r="Z2" s="76" t="s">
        <v>62</v>
      </c>
      <c r="AA2" s="76"/>
      <c r="AB2" s="76"/>
      <c r="AC2" s="76"/>
      <c r="AD2" s="76"/>
    </row>
    <row r="3" spans="1:30" ht="13.5" thickBot="1" x14ac:dyDescent="0.25">
      <c r="A3" s="44">
        <v>41670</v>
      </c>
      <c r="B3" s="45">
        <f>Inputs!D24+Inputs!E24</f>
        <v>2761299.33</v>
      </c>
      <c r="C3" s="45">
        <f>Inputs!S24</f>
        <v>1216.3</v>
      </c>
      <c r="D3" s="45">
        <f>Inputs!T24</f>
        <v>0</v>
      </c>
      <c r="E3" s="275">
        <v>31</v>
      </c>
      <c r="F3" s="288">
        <f>Inputs!L24/(Inputs!H24+Inputs!J24+Inputs!L24+Inputs!O24)</f>
        <v>0.28527329317981381</v>
      </c>
      <c r="G3" s="279">
        <f>Inputs!I24+Inputs!K24+Inputs!N24</f>
        <v>1663</v>
      </c>
      <c r="H3" s="45">
        <f>$Q$18+$Q$19*C3+$Q$20*D3+$Q$21*E3+$Q$22*F3+$Q$23*G3</f>
        <v>2858430.8064854946</v>
      </c>
      <c r="I3" s="30">
        <f t="shared" ref="I3:I34" si="0">H3-B3</f>
        <v>97131.476485494524</v>
      </c>
      <c r="J3" s="38">
        <f t="shared" ref="J3:J34" si="1">I3/B3</f>
        <v>3.5176004075405519E-2</v>
      </c>
      <c r="K3" s="11">
        <f>ABS(J3)</f>
        <v>3.5176004075405519E-2</v>
      </c>
      <c r="L3" s="321">
        <f t="shared" ref="L3:L66" si="2">I3*I3</f>
        <v>9434523724.2521763</v>
      </c>
      <c r="M3" s="321"/>
      <c r="N3" s="321"/>
      <c r="O3" s="11"/>
      <c r="P3"/>
      <c r="Z3" s="76" t="s">
        <v>63</v>
      </c>
      <c r="AA3" s="76"/>
      <c r="AB3" s="76"/>
      <c r="AC3" s="76"/>
      <c r="AD3" s="76"/>
    </row>
    <row r="4" spans="1:30" x14ac:dyDescent="0.2">
      <c r="A4" s="44">
        <v>41698</v>
      </c>
      <c r="B4" s="45">
        <f>Inputs!D25+Inputs!E25</f>
        <v>2342483</v>
      </c>
      <c r="C4" s="45">
        <f>Inputs!S25</f>
        <v>1021.7999999999998</v>
      </c>
      <c r="D4" s="45">
        <f>Inputs!T25</f>
        <v>0</v>
      </c>
      <c r="E4" s="275">
        <v>28</v>
      </c>
      <c r="F4" s="288">
        <f>Inputs!L25/(Inputs!H25+Inputs!J25+Inputs!L25+Inputs!O25)</f>
        <v>0.281215679004228</v>
      </c>
      <c r="G4" s="279">
        <f>Inputs!I25+Inputs!K25+Inputs!N25</f>
        <v>1661</v>
      </c>
      <c r="H4" s="45">
        <f t="shared" ref="H4:H67" si="3">$Q$18+$Q$19*C4+$Q$20*D4+$Q$21*E4+$Q$22*F4+$Q$23*G4</f>
        <v>2279031.4998077955</v>
      </c>
      <c r="I4" s="30">
        <f t="shared" si="0"/>
        <v>-63451.50019220449</v>
      </c>
      <c r="J4" s="38">
        <f t="shared" si="1"/>
        <v>-2.7087283106090626E-2</v>
      </c>
      <c r="K4" s="11">
        <f t="shared" ref="K4:K66" si="4">ABS(J4)</f>
        <v>2.7087283106090626E-2</v>
      </c>
      <c r="L4" s="321">
        <f t="shared" si="2"/>
        <v>4026092876.6413264</v>
      </c>
      <c r="M4" s="321">
        <f t="shared" ref="M4:M67" si="5">I4-I3</f>
        <v>-160582.97667769901</v>
      </c>
      <c r="N4" s="321">
        <f t="shared" ref="N4:N67" si="6">M4*M4</f>
        <v>25786892398.670425</v>
      </c>
      <c r="O4" s="11"/>
      <c r="P4" s="346" t="s">
        <v>15</v>
      </c>
      <c r="Q4" s="346"/>
      <c r="Z4" s="76"/>
      <c r="AA4" s="76"/>
      <c r="AB4" s="76"/>
      <c r="AC4" s="76"/>
      <c r="AD4" s="76"/>
    </row>
    <row r="5" spans="1:30" x14ac:dyDescent="0.2">
      <c r="A5" s="44">
        <v>41729</v>
      </c>
      <c r="B5" s="45">
        <f>Inputs!D26+Inputs!E26</f>
        <v>2371697.33</v>
      </c>
      <c r="C5" s="45">
        <f>Inputs!S26</f>
        <v>928.20000000000027</v>
      </c>
      <c r="D5" s="45">
        <f>Inputs!T26</f>
        <v>0</v>
      </c>
      <c r="E5" s="275">
        <v>31</v>
      </c>
      <c r="F5" s="288">
        <f>Inputs!L26/(Inputs!H26+Inputs!J26+Inputs!L26+Inputs!O26)</f>
        <v>0.30933916384352289</v>
      </c>
      <c r="G5" s="279">
        <f>Inputs!I26+Inputs!K26+Inputs!N26</f>
        <v>1660</v>
      </c>
      <c r="H5" s="45">
        <f t="shared" si="3"/>
        <v>2565218.1006672066</v>
      </c>
      <c r="I5" s="30">
        <f t="shared" si="0"/>
        <v>193520.7706672065</v>
      </c>
      <c r="J5" s="38">
        <f t="shared" si="1"/>
        <v>8.1595896836973922E-2</v>
      </c>
      <c r="K5" s="11">
        <f t="shared" si="4"/>
        <v>8.1595896836973922E-2</v>
      </c>
      <c r="L5" s="321">
        <f t="shared" si="2"/>
        <v>37450288679.629532</v>
      </c>
      <c r="M5" s="321">
        <f t="shared" si="5"/>
        <v>256972.27085941099</v>
      </c>
      <c r="N5" s="321">
        <f t="shared" si="6"/>
        <v>66034747990.642487</v>
      </c>
      <c r="O5" s="11"/>
      <c r="P5" t="s">
        <v>16</v>
      </c>
      <c r="Q5" s="347">
        <v>0.93808200671518738</v>
      </c>
      <c r="Z5" s="76" t="s">
        <v>60</v>
      </c>
      <c r="AA5" s="76"/>
      <c r="AB5" s="76"/>
      <c r="AC5" s="76"/>
      <c r="AD5" s="76"/>
    </row>
    <row r="6" spans="1:30" x14ac:dyDescent="0.2">
      <c r="A6" s="44">
        <v>41759</v>
      </c>
      <c r="B6" s="45">
        <f>Inputs!D27+Inputs!E27</f>
        <v>2027541.33</v>
      </c>
      <c r="C6" s="45">
        <f>Inputs!S27</f>
        <v>554.60000000000014</v>
      </c>
      <c r="D6" s="45">
        <f>Inputs!T27</f>
        <v>0</v>
      </c>
      <c r="E6" s="275">
        <v>30</v>
      </c>
      <c r="F6" s="288">
        <f>Inputs!L27/(Inputs!H27+Inputs!J27+Inputs!L27+Inputs!O27)</f>
        <v>0.31185528194098855</v>
      </c>
      <c r="G6" s="279">
        <f>Inputs!I27+Inputs!K27+Inputs!N27</f>
        <v>1664</v>
      </c>
      <c r="H6" s="45">
        <f t="shared" si="3"/>
        <v>2013926.0099233557</v>
      </c>
      <c r="I6" s="30">
        <f t="shared" si="0"/>
        <v>-13615.320076644421</v>
      </c>
      <c r="J6" s="38">
        <f t="shared" si="1"/>
        <v>-6.7151874416510266E-3</v>
      </c>
      <c r="K6" s="11">
        <f t="shared" si="4"/>
        <v>6.7151874416510266E-3</v>
      </c>
      <c r="L6" s="321">
        <f t="shared" si="2"/>
        <v>185376940.78947663</v>
      </c>
      <c r="M6" s="321">
        <f t="shared" si="5"/>
        <v>-207136.09074385092</v>
      </c>
      <c r="N6" s="321">
        <f t="shared" si="6"/>
        <v>42905360088.644844</v>
      </c>
      <c r="O6" s="11"/>
      <c r="P6" t="s">
        <v>17</v>
      </c>
      <c r="Q6" s="347">
        <v>0.87999785132279296</v>
      </c>
      <c r="Z6" s="76" t="s">
        <v>64</v>
      </c>
      <c r="AA6" s="76"/>
      <c r="AB6" s="76"/>
      <c r="AC6" s="76"/>
      <c r="AD6" s="76"/>
    </row>
    <row r="7" spans="1:30" x14ac:dyDescent="0.2">
      <c r="A7" s="44">
        <v>41790</v>
      </c>
      <c r="B7" s="45">
        <f>Inputs!D28+Inputs!E28</f>
        <v>2114433.62</v>
      </c>
      <c r="C7" s="45">
        <f>Inputs!S28</f>
        <v>237.80000000000007</v>
      </c>
      <c r="D7" s="45">
        <f>Inputs!T28</f>
        <v>8.2999999999999989</v>
      </c>
      <c r="E7" s="275">
        <v>31</v>
      </c>
      <c r="F7" s="288">
        <f>Inputs!L28/(Inputs!H28+Inputs!J28+Inputs!L28+Inputs!O28)</f>
        <v>0.40925392367771735</v>
      </c>
      <c r="G7" s="279">
        <f>Inputs!I28+Inputs!K28+Inputs!N28</f>
        <v>1662</v>
      </c>
      <c r="H7" s="45">
        <f t="shared" si="3"/>
        <v>2171216.875825977</v>
      </c>
      <c r="I7" s="30">
        <f t="shared" si="0"/>
        <v>56783.255825976841</v>
      </c>
      <c r="J7" s="38">
        <f t="shared" si="1"/>
        <v>2.6855066666021343E-2</v>
      </c>
      <c r="K7" s="11">
        <f t="shared" si="4"/>
        <v>2.6855066666021343E-2</v>
      </c>
      <c r="L7" s="321">
        <f t="shared" si="2"/>
        <v>3224338142.1983328</v>
      </c>
      <c r="M7" s="321">
        <f t="shared" si="5"/>
        <v>70398.575902621262</v>
      </c>
      <c r="N7" s="321">
        <f t="shared" si="6"/>
        <v>4955959489.1171274</v>
      </c>
      <c r="O7" s="11"/>
      <c r="P7" t="s">
        <v>18</v>
      </c>
      <c r="Q7" s="347">
        <v>0.87523586129591968</v>
      </c>
      <c r="Z7" s="76"/>
      <c r="AA7" s="76"/>
      <c r="AB7" s="76"/>
      <c r="AC7" s="76"/>
      <c r="AD7" s="76"/>
    </row>
    <row r="8" spans="1:30" x14ac:dyDescent="0.2">
      <c r="A8" s="44">
        <v>41820</v>
      </c>
      <c r="B8" s="45">
        <f>Inputs!D29+Inputs!E29</f>
        <v>2006389.69</v>
      </c>
      <c r="C8" s="45">
        <f>Inputs!S29</f>
        <v>78.7</v>
      </c>
      <c r="D8" s="45">
        <f>Inputs!T29</f>
        <v>15.7</v>
      </c>
      <c r="E8" s="275">
        <v>30</v>
      </c>
      <c r="F8" s="288">
        <f>Inputs!L29/(Inputs!H29+Inputs!J29+Inputs!L29+Inputs!O29)</f>
        <v>0.43206955016118664</v>
      </c>
      <c r="G8" s="279">
        <f>Inputs!I29+Inputs!K29+Inputs!N29</f>
        <v>1661</v>
      </c>
      <c r="H8" s="45">
        <f t="shared" si="3"/>
        <v>2028545.7734922627</v>
      </c>
      <c r="I8" s="30">
        <f t="shared" si="0"/>
        <v>22156.083492262755</v>
      </c>
      <c r="J8" s="38">
        <f t="shared" si="1"/>
        <v>1.1042761833700787E-2</v>
      </c>
      <c r="K8" s="11">
        <f t="shared" si="4"/>
        <v>1.1042761833700787E-2</v>
      </c>
      <c r="L8" s="321">
        <f t="shared" si="2"/>
        <v>490892035.71611816</v>
      </c>
      <c r="M8" s="321">
        <f t="shared" si="5"/>
        <v>-34627.172333714087</v>
      </c>
      <c r="N8" s="321">
        <f t="shared" si="6"/>
        <v>1199041063.8287342</v>
      </c>
      <c r="O8" s="11"/>
      <c r="P8" t="s">
        <v>19</v>
      </c>
      <c r="Q8">
        <v>155719.13145033634</v>
      </c>
      <c r="Z8" s="76"/>
      <c r="AA8" s="76"/>
      <c r="AB8" s="76"/>
      <c r="AC8" s="76"/>
      <c r="AD8" s="76"/>
    </row>
    <row r="9" spans="1:30" ht="13.5" thickBot="1" x14ac:dyDescent="0.25">
      <c r="A9" s="44">
        <v>41851</v>
      </c>
      <c r="B9" s="45">
        <f>Inputs!D30+Inputs!E30</f>
        <v>1923391.77</v>
      </c>
      <c r="C9" s="45">
        <f>Inputs!S30</f>
        <v>54.20000000000001</v>
      </c>
      <c r="D9" s="45">
        <f>Inputs!T30</f>
        <v>21.099999999999998</v>
      </c>
      <c r="E9" s="275">
        <v>31</v>
      </c>
      <c r="F9" s="288">
        <f>Inputs!L30/(Inputs!H30+Inputs!J30+Inputs!L30+Inputs!O30)</f>
        <v>0.34720455351484919</v>
      </c>
      <c r="G9" s="279">
        <f>Inputs!I30+Inputs!K30+Inputs!N30</f>
        <v>1660</v>
      </c>
      <c r="H9" s="45">
        <f t="shared" si="3"/>
        <v>1805002.2230538037</v>
      </c>
      <c r="I9" s="30">
        <f t="shared" si="0"/>
        <v>-118389.54694619635</v>
      </c>
      <c r="J9" s="38">
        <f t="shared" si="1"/>
        <v>-6.1552487014227136E-2</v>
      </c>
      <c r="K9" s="11">
        <f t="shared" si="4"/>
        <v>6.1552487014227136E-2</v>
      </c>
      <c r="L9" s="321">
        <f t="shared" si="2"/>
        <v>14016084826.125629</v>
      </c>
      <c r="M9" s="321">
        <f t="shared" si="5"/>
        <v>-140545.63043845911</v>
      </c>
      <c r="N9" s="321">
        <f t="shared" si="6"/>
        <v>19753074235.343922</v>
      </c>
      <c r="O9" s="11"/>
      <c r="P9" s="338" t="s">
        <v>20</v>
      </c>
      <c r="Q9" s="338">
        <v>132</v>
      </c>
      <c r="Z9" s="76"/>
      <c r="AA9" s="76"/>
      <c r="AB9" s="76"/>
      <c r="AC9" s="76"/>
      <c r="AD9" s="76"/>
    </row>
    <row r="10" spans="1:30" x14ac:dyDescent="0.2">
      <c r="A10" s="44">
        <v>41882</v>
      </c>
      <c r="B10" s="45">
        <f>Inputs!D31+Inputs!E31</f>
        <v>1772038.23</v>
      </c>
      <c r="C10" s="45">
        <f>Inputs!S31</f>
        <v>59.599999999999994</v>
      </c>
      <c r="D10" s="45">
        <f>Inputs!T31</f>
        <v>10.899999999999999</v>
      </c>
      <c r="E10" s="275">
        <v>31</v>
      </c>
      <c r="F10" s="288">
        <f>Inputs!L31/(Inputs!H31+Inputs!J31+Inputs!L31+Inputs!O31)</f>
        <v>0.32355262638199433</v>
      </c>
      <c r="G10" s="279">
        <f>Inputs!I31+Inputs!K31+Inputs!N31</f>
        <v>1660</v>
      </c>
      <c r="H10" s="45">
        <f t="shared" si="3"/>
        <v>1610437.4000983536</v>
      </c>
      <c r="I10" s="30">
        <f t="shared" si="0"/>
        <v>-161600.82990164636</v>
      </c>
      <c r="J10" s="38">
        <f t="shared" si="1"/>
        <v>-9.1194889120223083E-2</v>
      </c>
      <c r="K10" s="11">
        <f t="shared" si="4"/>
        <v>9.1194889120223083E-2</v>
      </c>
      <c r="L10" s="321">
        <f t="shared" si="2"/>
        <v>26114828224.900841</v>
      </c>
      <c r="M10" s="321">
        <f t="shared" si="5"/>
        <v>-43211.282955450006</v>
      </c>
      <c r="N10" s="321">
        <f t="shared" si="6"/>
        <v>1867214974.6559641</v>
      </c>
      <c r="O10" s="11"/>
      <c r="P10"/>
      <c r="Z10" s="76"/>
      <c r="AA10" s="76"/>
      <c r="AB10" s="76"/>
      <c r="AC10" s="76"/>
      <c r="AD10" s="76"/>
    </row>
    <row r="11" spans="1:30" ht="13.5" thickBot="1" x14ac:dyDescent="0.25">
      <c r="A11" s="44">
        <v>41912</v>
      </c>
      <c r="B11" s="45">
        <f>Inputs!D32+Inputs!E32</f>
        <v>1627030.77</v>
      </c>
      <c r="C11" s="45">
        <f>Inputs!S32</f>
        <v>167.50000000000003</v>
      </c>
      <c r="D11" s="45">
        <f>Inputs!T32</f>
        <v>2.4</v>
      </c>
      <c r="E11" s="275">
        <v>30</v>
      </c>
      <c r="F11" s="288">
        <f>Inputs!L32/(Inputs!H32+Inputs!J32+Inputs!L32+Inputs!O32)</f>
        <v>0.31691570594166285</v>
      </c>
      <c r="G11" s="279">
        <f>Inputs!I32+Inputs!K32+Inputs!N32</f>
        <v>1663</v>
      </c>
      <c r="H11" s="45">
        <f t="shared" si="3"/>
        <v>1552051.768316458</v>
      </c>
      <c r="I11" s="30">
        <f t="shared" si="0"/>
        <v>-74979.001683542039</v>
      </c>
      <c r="J11" s="38">
        <f t="shared" si="1"/>
        <v>-4.608333355830882E-2</v>
      </c>
      <c r="K11" s="11">
        <f t="shared" si="4"/>
        <v>4.608333355830882E-2</v>
      </c>
      <c r="L11" s="321">
        <f t="shared" si="2"/>
        <v>5621850693.4605999</v>
      </c>
      <c r="M11" s="321">
        <f t="shared" si="5"/>
        <v>86621.828218104318</v>
      </c>
      <c r="N11" s="321">
        <f t="shared" si="6"/>
        <v>7503341123.8467731</v>
      </c>
      <c r="O11" s="11"/>
      <c r="P11" t="s">
        <v>21</v>
      </c>
    </row>
    <row r="12" spans="1:30" x14ac:dyDescent="0.2">
      <c r="A12" s="44">
        <v>41943</v>
      </c>
      <c r="B12" s="45">
        <f>Inputs!D33+Inputs!E33</f>
        <v>1867083.23</v>
      </c>
      <c r="C12" s="45">
        <f>Inputs!S33</f>
        <v>389.5</v>
      </c>
      <c r="D12" s="45">
        <f>Inputs!T33</f>
        <v>0</v>
      </c>
      <c r="E12" s="275">
        <v>31</v>
      </c>
      <c r="F12" s="288">
        <f>Inputs!L33/(Inputs!H33+Inputs!J33+Inputs!L33+Inputs!O33)</f>
        <v>0.32293641412484825</v>
      </c>
      <c r="G12" s="279">
        <f>Inputs!I33+Inputs!K33+Inputs!N33</f>
        <v>1660</v>
      </c>
      <c r="H12" s="45">
        <f t="shared" si="3"/>
        <v>1921988.1003460102</v>
      </c>
      <c r="I12" s="30">
        <f t="shared" si="0"/>
        <v>54904.870346010197</v>
      </c>
      <c r="J12" s="38">
        <f t="shared" si="1"/>
        <v>2.9406761018366704E-2</v>
      </c>
      <c r="K12" s="11">
        <f t="shared" si="4"/>
        <v>2.9406761018366704E-2</v>
      </c>
      <c r="L12" s="321">
        <f t="shared" si="2"/>
        <v>3014544787.7121897</v>
      </c>
      <c r="M12" s="321">
        <f t="shared" si="5"/>
        <v>129883.87202955224</v>
      </c>
      <c r="N12" s="321">
        <f t="shared" si="6"/>
        <v>16869820213.389101</v>
      </c>
      <c r="O12" s="11"/>
      <c r="P12" s="345"/>
      <c r="Q12" s="345" t="s">
        <v>25</v>
      </c>
      <c r="R12" s="345" t="s">
        <v>26</v>
      </c>
      <c r="S12" s="345" t="s">
        <v>27</v>
      </c>
      <c r="T12" s="345" t="s">
        <v>28</v>
      </c>
      <c r="U12" s="345" t="s">
        <v>29</v>
      </c>
    </row>
    <row r="13" spans="1:30" x14ac:dyDescent="0.2">
      <c r="A13" s="44">
        <v>41973</v>
      </c>
      <c r="B13" s="45">
        <f>Inputs!D34+Inputs!E34</f>
        <v>2418280.77</v>
      </c>
      <c r="C13" s="45">
        <f>Inputs!S34</f>
        <v>781.20000000000027</v>
      </c>
      <c r="D13" s="45">
        <f>Inputs!T34</f>
        <v>0</v>
      </c>
      <c r="E13" s="275">
        <v>30</v>
      </c>
      <c r="F13" s="288">
        <f>Inputs!L34/(Inputs!H34+Inputs!J34+Inputs!L34+Inputs!O34)</f>
        <v>0.36627949953746919</v>
      </c>
      <c r="G13" s="279">
        <f>Inputs!I34+Inputs!K34+Inputs!N34</f>
        <v>1663</v>
      </c>
      <c r="H13" s="45">
        <f t="shared" si="3"/>
        <v>2521408.572560099</v>
      </c>
      <c r="I13" s="30">
        <f t="shared" si="0"/>
        <v>103127.80256009893</v>
      </c>
      <c r="J13" s="38">
        <f t="shared" si="1"/>
        <v>4.2645090611252282E-2</v>
      </c>
      <c r="K13" s="11">
        <f t="shared" si="4"/>
        <v>4.2645090611252282E-2</v>
      </c>
      <c r="L13" s="321">
        <f t="shared" si="2"/>
        <v>10635343660.874748</v>
      </c>
      <c r="M13" s="321">
        <f t="shared" si="5"/>
        <v>48222.932214088738</v>
      </c>
      <c r="N13" s="321">
        <f t="shared" si="6"/>
        <v>2325451191.3245974</v>
      </c>
      <c r="O13" s="11"/>
      <c r="P13" t="s">
        <v>22</v>
      </c>
      <c r="Q13">
        <v>5</v>
      </c>
      <c r="R13">
        <v>22405109974172.918</v>
      </c>
      <c r="S13">
        <v>4481021994834.584</v>
      </c>
      <c r="T13">
        <v>184.79623988221502</v>
      </c>
      <c r="U13">
        <v>3.1273996364756588E-56</v>
      </c>
    </row>
    <row r="14" spans="1:30" x14ac:dyDescent="0.2">
      <c r="A14" s="44">
        <v>42004</v>
      </c>
      <c r="B14" s="45">
        <f>Inputs!D35+Inputs!E35</f>
        <v>2505588</v>
      </c>
      <c r="C14" s="45">
        <f>Inputs!S35</f>
        <v>821.99999999999977</v>
      </c>
      <c r="D14" s="45">
        <f>Inputs!T35</f>
        <v>0</v>
      </c>
      <c r="E14" s="275">
        <v>31</v>
      </c>
      <c r="F14" s="288">
        <f>Inputs!L35/(Inputs!H35+Inputs!J35+Inputs!L35+Inputs!O35)</f>
        <v>0.33753325763682501</v>
      </c>
      <c r="G14" s="279">
        <f>Inputs!I35+Inputs!K35+Inputs!N35</f>
        <v>1663</v>
      </c>
      <c r="H14" s="45">
        <f t="shared" si="3"/>
        <v>2558246.024698996</v>
      </c>
      <c r="I14" s="30">
        <f t="shared" si="0"/>
        <v>52658.024698995985</v>
      </c>
      <c r="J14" s="38">
        <f t="shared" si="1"/>
        <v>2.1016234392484314E-2</v>
      </c>
      <c r="K14" s="11">
        <f t="shared" si="4"/>
        <v>2.1016234392484314E-2</v>
      </c>
      <c r="L14" s="321">
        <f t="shared" si="2"/>
        <v>2772867565.2000713</v>
      </c>
      <c r="M14" s="321">
        <f t="shared" si="5"/>
        <v>-50469.77786110295</v>
      </c>
      <c r="N14" s="321">
        <f t="shared" si="6"/>
        <v>2547198477.3490772</v>
      </c>
      <c r="O14" s="11"/>
      <c r="P14" t="s">
        <v>23</v>
      </c>
      <c r="Q14">
        <v>126</v>
      </c>
      <c r="R14">
        <v>3055304435355.5381</v>
      </c>
      <c r="S14">
        <v>24248447899.647129</v>
      </c>
    </row>
    <row r="15" spans="1:30" ht="13.5" thickBot="1" x14ac:dyDescent="0.25">
      <c r="A15" s="44">
        <v>42035</v>
      </c>
      <c r="B15" s="45">
        <f>Inputs!D36+Inputs!E36</f>
        <v>2800319.38</v>
      </c>
      <c r="C15" s="45">
        <f>Inputs!S36</f>
        <v>1031.4999999999998</v>
      </c>
      <c r="D15" s="45">
        <f>Inputs!T36</f>
        <v>0</v>
      </c>
      <c r="E15" s="275">
        <v>31</v>
      </c>
      <c r="F15" s="288">
        <f>Inputs!L36/(Inputs!H36+Inputs!J36+Inputs!L36+Inputs!O36)</f>
        <v>0.3191890071726402</v>
      </c>
      <c r="G15" s="279">
        <f>Inputs!I36+Inputs!K36+Inputs!N36</f>
        <v>1661</v>
      </c>
      <c r="H15" s="45">
        <f t="shared" si="3"/>
        <v>2744448.8647821676</v>
      </c>
      <c r="I15" s="30">
        <f t="shared" si="0"/>
        <v>-55870.51521783229</v>
      </c>
      <c r="J15" s="38">
        <f t="shared" si="1"/>
        <v>-1.9951479683661046E-2</v>
      </c>
      <c r="K15" s="11">
        <f t="shared" si="4"/>
        <v>1.9951479683661046E-2</v>
      </c>
      <c r="L15" s="321">
        <f t="shared" si="2"/>
        <v>3121514470.7060294</v>
      </c>
      <c r="M15" s="321">
        <f t="shared" si="5"/>
        <v>-108528.53991682827</v>
      </c>
      <c r="N15" s="321">
        <f t="shared" si="6"/>
        <v>11778443976.478588</v>
      </c>
      <c r="O15" s="11"/>
      <c r="P15" s="338" t="s">
        <v>8</v>
      </c>
      <c r="Q15" s="338">
        <v>131</v>
      </c>
      <c r="R15" s="338">
        <v>25460414409528.457</v>
      </c>
      <c r="S15" s="338"/>
      <c r="T15" s="338"/>
      <c r="U15" s="338"/>
    </row>
    <row r="16" spans="1:30" ht="13.5" thickBot="1" x14ac:dyDescent="0.25">
      <c r="A16" s="44">
        <v>42063</v>
      </c>
      <c r="B16" s="45">
        <f>Inputs!D37+Inputs!E37</f>
        <v>3188321.08</v>
      </c>
      <c r="C16" s="45">
        <f>Inputs!S37</f>
        <v>1110.2000000000003</v>
      </c>
      <c r="D16" s="45">
        <f>Inputs!T37</f>
        <v>0</v>
      </c>
      <c r="E16" s="275">
        <v>28</v>
      </c>
      <c r="F16" s="288">
        <f>Inputs!L37/(Inputs!H37+Inputs!J37+Inputs!L37+Inputs!O37)</f>
        <v>0.47672619143690798</v>
      </c>
      <c r="G16" s="279">
        <f>Inputs!I37+Inputs!K37+Inputs!N37</f>
        <v>1661</v>
      </c>
      <c r="H16" s="45">
        <f t="shared" si="3"/>
        <v>3182075.3082919074</v>
      </c>
      <c r="I16" s="30">
        <f t="shared" si="0"/>
        <v>-6245.7717080926523</v>
      </c>
      <c r="J16" s="38">
        <f t="shared" si="1"/>
        <v>-1.9589531767273114E-3</v>
      </c>
      <c r="K16" s="11">
        <f t="shared" si="4"/>
        <v>1.9589531767273114E-3</v>
      </c>
      <c r="L16" s="321">
        <f t="shared" si="2"/>
        <v>39009664.229610607</v>
      </c>
      <c r="M16" s="321">
        <f t="shared" si="5"/>
        <v>49624.743509739637</v>
      </c>
      <c r="N16" s="321">
        <f t="shared" si="6"/>
        <v>2462615168.4074464</v>
      </c>
      <c r="O16" s="11"/>
      <c r="P16"/>
    </row>
    <row r="17" spans="1:24" x14ac:dyDescent="0.2">
      <c r="A17" s="44">
        <v>42094</v>
      </c>
      <c r="B17" s="45">
        <f>Inputs!D38+Inputs!E38</f>
        <v>3098063.62</v>
      </c>
      <c r="C17" s="45">
        <f>Inputs!S38</f>
        <v>713.69999999999982</v>
      </c>
      <c r="D17" s="45">
        <f>Inputs!T38</f>
        <v>0</v>
      </c>
      <c r="E17" s="275">
        <v>31</v>
      </c>
      <c r="F17" s="288">
        <f>Inputs!L38/(Inputs!H38+Inputs!J38+Inputs!L38+Inputs!O38)</f>
        <v>0.52455902116354425</v>
      </c>
      <c r="G17" s="279">
        <f>Inputs!I38+Inputs!K38+Inputs!N38</f>
        <v>1665</v>
      </c>
      <c r="H17" s="45">
        <f t="shared" si="3"/>
        <v>3183472.64549754</v>
      </c>
      <c r="I17" s="30">
        <f t="shared" si="0"/>
        <v>85409.0254975399</v>
      </c>
      <c r="J17" s="38">
        <f t="shared" si="1"/>
        <v>2.7568518911674222E-2</v>
      </c>
      <c r="K17" s="11">
        <f t="shared" si="4"/>
        <v>2.7568518911674222E-2</v>
      </c>
      <c r="L17" s="321">
        <f t="shared" si="2"/>
        <v>7294701636.4394207</v>
      </c>
      <c r="M17" s="321">
        <f t="shared" si="5"/>
        <v>91654.797205632553</v>
      </c>
      <c r="N17" s="321">
        <f t="shared" si="6"/>
        <v>8400601850.8056288</v>
      </c>
      <c r="O17" s="11"/>
      <c r="P17" s="345"/>
      <c r="Q17" s="345" t="s">
        <v>215</v>
      </c>
      <c r="R17" s="345" t="s">
        <v>19</v>
      </c>
      <c r="S17" s="345" t="s">
        <v>216</v>
      </c>
      <c r="T17" s="345" t="s">
        <v>217</v>
      </c>
      <c r="U17" s="345" t="s">
        <v>218</v>
      </c>
      <c r="V17" s="345" t="s">
        <v>219</v>
      </c>
      <c r="W17" s="345" t="s">
        <v>220</v>
      </c>
      <c r="X17" s="345" t="s">
        <v>221</v>
      </c>
    </row>
    <row r="18" spans="1:24" x14ac:dyDescent="0.2">
      <c r="A18" s="44">
        <v>42124</v>
      </c>
      <c r="B18" s="45">
        <f>Inputs!D39+Inputs!E39</f>
        <v>2804097.46</v>
      </c>
      <c r="C18" s="45">
        <f>Inputs!S39</f>
        <v>459</v>
      </c>
      <c r="D18" s="45">
        <f>Inputs!T39</f>
        <v>0</v>
      </c>
      <c r="E18" s="275">
        <v>30</v>
      </c>
      <c r="F18" s="288">
        <f>Inputs!L39/(Inputs!H39+Inputs!J39+Inputs!L39+Inputs!O39)</f>
        <v>0.56055490126364182</v>
      </c>
      <c r="G18" s="279">
        <f>Inputs!I39+Inputs!K39+Inputs!N39</f>
        <v>1662</v>
      </c>
      <c r="H18" s="45">
        <f t="shared" si="3"/>
        <v>2881753.9323844025</v>
      </c>
      <c r="I18" s="30">
        <f t="shared" si="0"/>
        <v>77656.472384402528</v>
      </c>
      <c r="J18" s="38">
        <f t="shared" si="1"/>
        <v>2.7693927722612938E-2</v>
      </c>
      <c r="K18" s="11">
        <f t="shared" si="4"/>
        <v>2.7693927722612938E-2</v>
      </c>
      <c r="L18" s="321">
        <f t="shared" si="2"/>
        <v>6030527703.1894722</v>
      </c>
      <c r="M18" s="321">
        <f t="shared" si="5"/>
        <v>-7752.5531131373718</v>
      </c>
      <c r="N18" s="321">
        <f t="shared" si="6"/>
        <v>60102079.772015959</v>
      </c>
      <c r="O18" s="11"/>
      <c r="P18" t="s">
        <v>24</v>
      </c>
      <c r="Q18">
        <v>-12355176.003584154</v>
      </c>
      <c r="R18">
        <v>1873801.3043426978</v>
      </c>
      <c r="S18">
        <v>-6.5936425462774286</v>
      </c>
      <c r="T18">
        <v>1.062897744004207E-9</v>
      </c>
      <c r="U18">
        <v>-16063373.698850043</v>
      </c>
      <c r="V18">
        <v>-8646978.3083182648</v>
      </c>
      <c r="W18">
        <v>-16063373.698850043</v>
      </c>
      <c r="X18">
        <v>-8646978.3083182648</v>
      </c>
    </row>
    <row r="19" spans="1:24" x14ac:dyDescent="0.2">
      <c r="A19" s="44">
        <v>42155</v>
      </c>
      <c r="B19" s="45">
        <f>Inputs!D40+Inputs!E40</f>
        <v>2854966.62</v>
      </c>
      <c r="C19" s="45">
        <f>Inputs!S40</f>
        <v>245.7</v>
      </c>
      <c r="D19" s="45">
        <f>Inputs!T40</f>
        <v>0</v>
      </c>
      <c r="E19" s="275">
        <v>31</v>
      </c>
      <c r="F19" s="288">
        <f>Inputs!L40/(Inputs!H40+Inputs!J40+Inputs!L40+Inputs!O40)</f>
        <v>0.61204902883811318</v>
      </c>
      <c r="G19" s="279">
        <f>Inputs!I40+Inputs!K40+Inputs!N40</f>
        <v>1660</v>
      </c>
      <c r="H19" s="45">
        <f t="shared" si="3"/>
        <v>2901634.7528309934</v>
      </c>
      <c r="I19" s="30">
        <f t="shared" si="0"/>
        <v>46668.132830993272</v>
      </c>
      <c r="J19" s="38">
        <f t="shared" si="1"/>
        <v>1.6346297187528332E-2</v>
      </c>
      <c r="K19" s="11">
        <f t="shared" si="4"/>
        <v>1.6346297187528332E-2</v>
      </c>
      <c r="L19" s="321">
        <f t="shared" si="2"/>
        <v>2177914621.931232</v>
      </c>
      <c r="M19" s="321">
        <f t="shared" si="5"/>
        <v>-30988.339553409256</v>
      </c>
      <c r="N19" s="321">
        <f t="shared" si="6"/>
        <v>960277188.27738857</v>
      </c>
      <c r="O19" s="11"/>
      <c r="P19" t="s">
        <v>3</v>
      </c>
      <c r="Q19">
        <v>1295.8373197583758</v>
      </c>
      <c r="R19">
        <v>52.132622659382342</v>
      </c>
      <c r="S19">
        <v>24.856553414259565</v>
      </c>
      <c r="T19">
        <v>2.0433171216910009E-50</v>
      </c>
      <c r="U19">
        <v>1192.6683921107876</v>
      </c>
      <c r="V19">
        <v>1399.0062474059639</v>
      </c>
      <c r="W19">
        <v>1192.6683921107876</v>
      </c>
      <c r="X19">
        <v>1399.0062474059639</v>
      </c>
    </row>
    <row r="20" spans="1:24" x14ac:dyDescent="0.2">
      <c r="A20" s="44">
        <v>42185</v>
      </c>
      <c r="B20" s="45">
        <f>Inputs!D41+Inputs!E41</f>
        <v>2606320.38</v>
      </c>
      <c r="C20" s="45">
        <f>Inputs!S41</f>
        <v>80.2</v>
      </c>
      <c r="D20" s="45">
        <f>Inputs!T41</f>
        <v>2</v>
      </c>
      <c r="E20" s="275">
        <v>30</v>
      </c>
      <c r="F20" s="288">
        <f>Inputs!L41/(Inputs!H41+Inputs!J41+Inputs!L41+Inputs!O41)</f>
        <v>0.58597247537431219</v>
      </c>
      <c r="G20" s="279">
        <f>Inputs!I41+Inputs!K41+Inputs!N41</f>
        <v>1657</v>
      </c>
      <c r="H20" s="45">
        <f t="shared" si="3"/>
        <v>2485985.7784458185</v>
      </c>
      <c r="I20" s="30">
        <f t="shared" si="0"/>
        <v>-120334.60155418143</v>
      </c>
      <c r="J20" s="38">
        <f t="shared" si="1"/>
        <v>-4.6170302959523894E-2</v>
      </c>
      <c r="K20" s="11">
        <f t="shared" si="4"/>
        <v>4.6170302959523894E-2</v>
      </c>
      <c r="L20" s="321">
        <f t="shared" si="2"/>
        <v>14480416331.203604</v>
      </c>
      <c r="M20" s="321">
        <f t="shared" si="5"/>
        <v>-167002.7343851747</v>
      </c>
      <c r="N20" s="321">
        <f t="shared" si="6"/>
        <v>27889913292.125214</v>
      </c>
      <c r="O20" s="11"/>
      <c r="P20" t="s">
        <v>4</v>
      </c>
      <c r="Q20">
        <v>10409.252674232357</v>
      </c>
      <c r="R20">
        <v>1130.2502410171351</v>
      </c>
      <c r="S20">
        <v>9.2096885242553537</v>
      </c>
      <c r="T20">
        <v>9.1371578691377868E-16</v>
      </c>
      <c r="U20">
        <v>8172.5206743666267</v>
      </c>
      <c r="V20">
        <v>12645.984674098087</v>
      </c>
      <c r="W20">
        <v>8172.5206743666267</v>
      </c>
      <c r="X20">
        <v>12645.984674098087</v>
      </c>
    </row>
    <row r="21" spans="1:24" x14ac:dyDescent="0.2">
      <c r="A21" s="44">
        <v>42216</v>
      </c>
      <c r="B21" s="45">
        <f>Inputs!D42+Inputs!E42</f>
        <v>2794534.54</v>
      </c>
      <c r="C21" s="45">
        <f>Inputs!S42</f>
        <v>22.4</v>
      </c>
      <c r="D21" s="45">
        <f>Inputs!T42</f>
        <v>48.800000000000004</v>
      </c>
      <c r="E21" s="275">
        <v>31</v>
      </c>
      <c r="F21" s="288">
        <f>Inputs!L42/(Inputs!H42+Inputs!J42+Inputs!L42+Inputs!O42)</f>
        <v>0.55993398099728253</v>
      </c>
      <c r="G21" s="279">
        <f>Inputs!I42+Inputs!K42+Inputs!N42</f>
        <v>1659</v>
      </c>
      <c r="H21" s="45">
        <f t="shared" si="3"/>
        <v>2904419.9265886266</v>
      </c>
      <c r="I21" s="30">
        <f t="shared" si="0"/>
        <v>109885.38658862654</v>
      </c>
      <c r="J21" s="38">
        <f t="shared" si="1"/>
        <v>3.9321534593960157E-2</v>
      </c>
      <c r="K21" s="11">
        <f t="shared" si="4"/>
        <v>3.9321534593960157E-2</v>
      </c>
      <c r="L21" s="321">
        <f t="shared" si="2"/>
        <v>12074798185.731905</v>
      </c>
      <c r="M21" s="321">
        <f t="shared" si="5"/>
        <v>230219.98814280797</v>
      </c>
      <c r="N21" s="321">
        <f t="shared" si="6"/>
        <v>53001242940.47464</v>
      </c>
      <c r="O21" s="11"/>
      <c r="P21" t="s">
        <v>92</v>
      </c>
      <c r="Q21">
        <v>99900.573249406414</v>
      </c>
      <c r="R21">
        <v>17316.984515732889</v>
      </c>
      <c r="S21">
        <v>5.7689358767194365</v>
      </c>
      <c r="T21">
        <v>5.8335707484381981E-8</v>
      </c>
      <c r="U21">
        <v>65630.769977644144</v>
      </c>
      <c r="V21">
        <v>134170.37652116868</v>
      </c>
      <c r="W21">
        <v>65630.769977644144</v>
      </c>
      <c r="X21">
        <v>134170.37652116868</v>
      </c>
    </row>
    <row r="22" spans="1:24" x14ac:dyDescent="0.2">
      <c r="A22" s="44">
        <v>42247</v>
      </c>
      <c r="B22" s="45">
        <f>Inputs!D43+Inputs!E43</f>
        <v>2464993.31</v>
      </c>
      <c r="C22" s="45">
        <f>Inputs!S43</f>
        <v>66.7</v>
      </c>
      <c r="D22" s="45">
        <f>Inputs!T43</f>
        <v>32.099999999999994</v>
      </c>
      <c r="E22" s="275">
        <v>31</v>
      </c>
      <c r="F22" s="288">
        <f>Inputs!L43/(Inputs!H43+Inputs!J43+Inputs!L43+Inputs!O43)</f>
        <v>0.51514867979457735</v>
      </c>
      <c r="G22" s="279">
        <f>Inputs!I43+Inputs!K43+Inputs!N43</f>
        <v>1658</v>
      </c>
      <c r="H22" s="45">
        <f t="shared" si="3"/>
        <v>2601725.9061425114</v>
      </c>
      <c r="I22" s="30">
        <f t="shared" si="0"/>
        <v>136732.59614251135</v>
      </c>
      <c r="J22" s="38">
        <f t="shared" si="1"/>
        <v>5.5469763584271692E-2</v>
      </c>
      <c r="K22" s="11">
        <f t="shared" si="4"/>
        <v>5.5469763584271692E-2</v>
      </c>
      <c r="L22" s="321">
        <f t="shared" si="2"/>
        <v>18695802847.871109</v>
      </c>
      <c r="M22" s="321">
        <f t="shared" si="5"/>
        <v>26847.209553884808</v>
      </c>
      <c r="N22" s="321">
        <f t="shared" si="6"/>
        <v>720772660.83020365</v>
      </c>
      <c r="O22" s="11"/>
      <c r="P22" t="s">
        <v>225</v>
      </c>
      <c r="Q22">
        <v>4032989.221942585</v>
      </c>
      <c r="R22">
        <v>193367.78901119606</v>
      </c>
      <c r="S22">
        <v>20.856572041112152</v>
      </c>
      <c r="T22">
        <v>1.106631265476776E-42</v>
      </c>
      <c r="U22">
        <v>3650320.0521175019</v>
      </c>
      <c r="V22">
        <v>4415658.3917676676</v>
      </c>
      <c r="W22">
        <v>3650320.0521175019</v>
      </c>
      <c r="X22">
        <v>4415658.3917676676</v>
      </c>
    </row>
    <row r="23" spans="1:24" ht="13.5" thickBot="1" x14ac:dyDescent="0.25">
      <c r="A23" s="44">
        <v>42277</v>
      </c>
      <c r="B23" s="45">
        <f>Inputs!D44+Inputs!E44</f>
        <v>2735638</v>
      </c>
      <c r="C23" s="45">
        <f>Inputs!S44</f>
        <v>101.2</v>
      </c>
      <c r="D23" s="45">
        <f>Inputs!T44</f>
        <v>24.1</v>
      </c>
      <c r="E23" s="275">
        <v>30</v>
      </c>
      <c r="F23" s="288">
        <f>Inputs!L44/(Inputs!H44+Inputs!J44+Inputs!L44+Inputs!O44)</f>
        <v>0.57766230777983751</v>
      </c>
      <c r="G23" s="279">
        <f>Inputs!I44+Inputs!K44+Inputs!N44</f>
        <v>1657</v>
      </c>
      <c r="H23" s="45">
        <f t="shared" si="3"/>
        <v>2709728.029920226</v>
      </c>
      <c r="I23" s="30">
        <f t="shared" si="0"/>
        <v>-25909.970079774037</v>
      </c>
      <c r="J23" s="38">
        <f t="shared" si="1"/>
        <v>-9.4712714473823064E-3</v>
      </c>
      <c r="K23" s="11">
        <f t="shared" si="4"/>
        <v>9.4712714473823064E-3</v>
      </c>
      <c r="L23" s="321">
        <f t="shared" si="2"/>
        <v>671326549.53478587</v>
      </c>
      <c r="M23" s="321">
        <f t="shared" si="5"/>
        <v>-162642.56622228539</v>
      </c>
      <c r="N23" s="321">
        <f t="shared" si="6"/>
        <v>26452604347.370487</v>
      </c>
      <c r="O23" s="11"/>
      <c r="P23" s="338" t="s">
        <v>106</v>
      </c>
      <c r="Q23" s="338">
        <v>5646.4569997676972</v>
      </c>
      <c r="R23" s="338">
        <v>1057.0974420576979</v>
      </c>
      <c r="S23" s="338">
        <v>5.3414725787024517</v>
      </c>
      <c r="T23" s="338">
        <v>4.160608354248029E-7</v>
      </c>
      <c r="U23" s="338">
        <v>3554.4922384960232</v>
      </c>
      <c r="V23" s="338">
        <v>7738.4217610393716</v>
      </c>
      <c r="W23" s="338">
        <v>3554.4922384960232</v>
      </c>
      <c r="X23" s="338">
        <v>7738.4217610393716</v>
      </c>
    </row>
    <row r="24" spans="1:24" x14ac:dyDescent="0.2">
      <c r="A24" s="44">
        <v>42308</v>
      </c>
      <c r="B24" s="45">
        <f>Inputs!D45+Inputs!E45</f>
        <v>3277791.31</v>
      </c>
      <c r="C24" s="45">
        <f>Inputs!S45</f>
        <v>357.5</v>
      </c>
      <c r="D24" s="45">
        <f>Inputs!T45</f>
        <v>0</v>
      </c>
      <c r="E24" s="275">
        <v>31</v>
      </c>
      <c r="F24" s="288">
        <f>Inputs!L45/(Inputs!H45+Inputs!J45+Inputs!L45+Inputs!O45)</f>
        <v>0.66125396830594685</v>
      </c>
      <c r="G24" s="279">
        <f>Inputs!I45+Inputs!K45+Inputs!N45</f>
        <v>1653</v>
      </c>
      <c r="H24" s="45">
        <f t="shared" si="3"/>
        <v>3205427.1567217149</v>
      </c>
      <c r="I24" s="30">
        <f t="shared" si="0"/>
        <v>-72364.153278285172</v>
      </c>
      <c r="J24" s="38">
        <f t="shared" si="1"/>
        <v>-2.2077108160459786E-2</v>
      </c>
      <c r="K24" s="11">
        <f t="shared" si="4"/>
        <v>2.2077108160459786E-2</v>
      </c>
      <c r="L24" s="321">
        <f t="shared" si="2"/>
        <v>5236570679.6831503</v>
      </c>
      <c r="M24" s="321">
        <f t="shared" si="5"/>
        <v>-46454.183198511135</v>
      </c>
      <c r="N24" s="321">
        <f t="shared" si="6"/>
        <v>2157991136.6408343</v>
      </c>
      <c r="O24" s="11"/>
      <c r="P24"/>
    </row>
    <row r="25" spans="1:24" x14ac:dyDescent="0.2">
      <c r="A25" s="44">
        <v>42338</v>
      </c>
      <c r="B25" s="45">
        <f>Inputs!D46+Inputs!E46</f>
        <v>2993117.77</v>
      </c>
      <c r="C25" s="45">
        <f>Inputs!S46</f>
        <v>502.50000000000006</v>
      </c>
      <c r="D25" s="45">
        <f>Inputs!T46</f>
        <v>0</v>
      </c>
      <c r="E25" s="275">
        <v>30</v>
      </c>
      <c r="F25" s="288">
        <f>Inputs!L46/(Inputs!H46+Inputs!J46+Inputs!L46+Inputs!O46)</f>
        <v>0.55875325495500072</v>
      </c>
      <c r="G25" s="279">
        <f>Inputs!I46+Inputs!K46+Inputs!N46</f>
        <v>1655</v>
      </c>
      <c r="H25" s="45">
        <f t="shared" si="3"/>
        <v>2891331.6366510168</v>
      </c>
      <c r="I25" s="30">
        <f t="shared" si="0"/>
        <v>-101786.13334898325</v>
      </c>
      <c r="J25" s="38">
        <f t="shared" si="1"/>
        <v>-3.4006725151006417E-2</v>
      </c>
      <c r="K25" s="11">
        <f t="shared" si="4"/>
        <v>3.4006725151006417E-2</v>
      </c>
      <c r="L25" s="321">
        <f t="shared" si="2"/>
        <v>10360416942.136999</v>
      </c>
      <c r="M25" s="321">
        <f t="shared" si="5"/>
        <v>-29421.980070698075</v>
      </c>
      <c r="N25" s="321">
        <f t="shared" si="6"/>
        <v>865652911.28055465</v>
      </c>
      <c r="O25" s="11"/>
      <c r="P25"/>
    </row>
    <row r="26" spans="1:24" x14ac:dyDescent="0.2">
      <c r="A26" s="44">
        <v>42369</v>
      </c>
      <c r="B26" s="45">
        <f>Inputs!D47+Inputs!E47</f>
        <v>3311429.77</v>
      </c>
      <c r="C26" s="45">
        <f>Inputs!S47</f>
        <v>733.30000000000018</v>
      </c>
      <c r="D26" s="45">
        <f>Inputs!T47</f>
        <v>0</v>
      </c>
      <c r="E26" s="275">
        <v>31</v>
      </c>
      <c r="F26" s="288">
        <f>Inputs!L47/(Inputs!H47+Inputs!J47+Inputs!L47+Inputs!O47)</f>
        <v>0.54011634298159461</v>
      </c>
      <c r="G26" s="279">
        <f>Inputs!I47+Inputs!K47+Inputs!N47</f>
        <v>1653</v>
      </c>
      <c r="H26" s="45">
        <f t="shared" si="3"/>
        <v>3203856.0841820817</v>
      </c>
      <c r="I26" s="30">
        <f t="shared" si="0"/>
        <v>-107573.68581791827</v>
      </c>
      <c r="J26" s="38">
        <f t="shared" si="1"/>
        <v>-3.2485570671764018E-2</v>
      </c>
      <c r="K26" s="11">
        <f t="shared" si="4"/>
        <v>3.2485570671764018E-2</v>
      </c>
      <c r="L26" s="321">
        <f t="shared" si="2"/>
        <v>11572097880.45219</v>
      </c>
      <c r="M26" s="321">
        <f t="shared" si="5"/>
        <v>-5787.5524689350277</v>
      </c>
      <c r="N26" s="321">
        <f t="shared" si="6"/>
        <v>33495763.580675934</v>
      </c>
      <c r="O26" s="11"/>
      <c r="P26"/>
    </row>
    <row r="27" spans="1:24" x14ac:dyDescent="0.2">
      <c r="A27" s="44">
        <v>42400</v>
      </c>
      <c r="B27" s="45">
        <f>Inputs!D48+Inputs!E48</f>
        <v>3290090.846153846</v>
      </c>
      <c r="C27" s="45">
        <f>Inputs!S48</f>
        <v>935.1</v>
      </c>
      <c r="D27" s="45">
        <f>Inputs!T48</f>
        <v>0</v>
      </c>
      <c r="E27" s="275">
        <v>31</v>
      </c>
      <c r="F27" s="288">
        <f>Inputs!L48/(Inputs!H48+Inputs!J48+Inputs!L48+Inputs!O48)</f>
        <v>0.47933625834191201</v>
      </c>
      <c r="G27" s="279">
        <f>Inputs!I48+Inputs!K48+Inputs!N48</f>
        <v>1645</v>
      </c>
      <c r="H27" s="45">
        <f t="shared" si="3"/>
        <v>3175058.9730505832</v>
      </c>
      <c r="I27" s="30">
        <f t="shared" si="0"/>
        <v>-115031.87310326286</v>
      </c>
      <c r="J27" s="38">
        <f t="shared" si="1"/>
        <v>-3.4963129737811474E-2</v>
      </c>
      <c r="K27" s="11">
        <f t="shared" si="4"/>
        <v>3.4963129737811474E-2</v>
      </c>
      <c r="L27" s="321">
        <f t="shared" si="2"/>
        <v>13232331829.645168</v>
      </c>
      <c r="M27" s="321">
        <f t="shared" si="5"/>
        <v>-7458.1872853445821</v>
      </c>
      <c r="N27" s="321">
        <f t="shared" si="6"/>
        <v>55624557.583275586</v>
      </c>
      <c r="O27" s="11"/>
      <c r="P27" t="s">
        <v>241</v>
      </c>
      <c r="Q27" s="322">
        <f>N123</f>
        <v>3095627673333.9243</v>
      </c>
    </row>
    <row r="28" spans="1:24" x14ac:dyDescent="0.2">
      <c r="A28" s="44">
        <v>42429</v>
      </c>
      <c r="B28" s="45">
        <f>Inputs!D49+Inputs!E49</f>
        <v>3348370.5384615385</v>
      </c>
      <c r="C28" s="45">
        <f>Inputs!S49</f>
        <v>880.39999999999986</v>
      </c>
      <c r="D28" s="45">
        <f>Inputs!T49</f>
        <v>0</v>
      </c>
      <c r="E28" s="275">
        <v>29</v>
      </c>
      <c r="F28" s="288">
        <f>Inputs!L49/(Inputs!H49+Inputs!J49+Inputs!L49+Inputs!O49)</f>
        <v>0.55213120562836149</v>
      </c>
      <c r="G28" s="279">
        <f>Inputs!I49+Inputs!K49+Inputs!N49</f>
        <v>1648</v>
      </c>
      <c r="H28" s="45">
        <f t="shared" si="3"/>
        <v>3214896.1339784171</v>
      </c>
      <c r="I28" s="30">
        <f t="shared" si="0"/>
        <v>-133474.40448312135</v>
      </c>
      <c r="J28" s="38">
        <f t="shared" si="1"/>
        <v>-3.9862495189809034E-2</v>
      </c>
      <c r="K28" s="11">
        <f t="shared" si="4"/>
        <v>3.9862495189809034E-2</v>
      </c>
      <c r="L28" s="321">
        <f t="shared" si="2"/>
        <v>17815416652.123886</v>
      </c>
      <c r="M28" s="321">
        <f t="shared" si="5"/>
        <v>-18442.531379858498</v>
      </c>
      <c r="N28" s="321">
        <f t="shared" si="6"/>
        <v>340126963.69706535</v>
      </c>
      <c r="O28" s="11"/>
      <c r="P28" t="s">
        <v>242</v>
      </c>
      <c r="Q28" s="322">
        <f>L123</f>
        <v>2098907733787.4197</v>
      </c>
    </row>
    <row r="29" spans="1:24" x14ac:dyDescent="0.2">
      <c r="A29" s="44">
        <v>42460</v>
      </c>
      <c r="B29" s="45">
        <f>Inputs!D50+Inputs!E50</f>
        <v>3438127.3076923075</v>
      </c>
      <c r="C29" s="45">
        <f>Inputs!S50</f>
        <v>588.99999999999989</v>
      </c>
      <c r="D29" s="45">
        <f>Inputs!T50</f>
        <v>0</v>
      </c>
      <c r="E29" s="275">
        <v>31</v>
      </c>
      <c r="F29" s="288">
        <f>Inputs!L50/(Inputs!H50+Inputs!J50+Inputs!L50+Inputs!O50)</f>
        <v>0.65032508658509947</v>
      </c>
      <c r="G29" s="279">
        <f>Inputs!I50+Inputs!K50+Inputs!N50</f>
        <v>1646</v>
      </c>
      <c r="H29" s="45">
        <f t="shared" si="3"/>
        <v>3421812.2350593433</v>
      </c>
      <c r="I29" s="30">
        <f t="shared" si="0"/>
        <v>-16315.072632964235</v>
      </c>
      <c r="J29" s="38">
        <f t="shared" si="1"/>
        <v>-4.7453369735500029E-3</v>
      </c>
      <c r="K29" s="11">
        <f t="shared" si="4"/>
        <v>4.7453369735500029E-3</v>
      </c>
      <c r="L29" s="321">
        <f t="shared" si="2"/>
        <v>266181595.01889852</v>
      </c>
      <c r="M29" s="321">
        <f t="shared" si="5"/>
        <v>117159.33185015712</v>
      </c>
      <c r="N29" s="321">
        <f t="shared" si="6"/>
        <v>13726309039.575241</v>
      </c>
      <c r="O29" s="11"/>
      <c r="P29"/>
    </row>
    <row r="30" spans="1:24" x14ac:dyDescent="0.2">
      <c r="A30" s="44">
        <v>42490</v>
      </c>
      <c r="B30" s="45">
        <f>Inputs!D51+Inputs!E51</f>
        <v>3371239.076923077</v>
      </c>
      <c r="C30" s="45">
        <f>Inputs!S51</f>
        <v>493</v>
      </c>
      <c r="D30" s="45">
        <f>Inputs!T51</f>
        <v>0</v>
      </c>
      <c r="E30" s="275">
        <v>30</v>
      </c>
      <c r="F30" s="288">
        <f>Inputs!L51/(Inputs!H51+Inputs!J51+Inputs!L51+Inputs!O51)</f>
        <v>0.59728594049596129</v>
      </c>
      <c r="G30" s="279">
        <f>Inputs!I51+Inputs!K51+Inputs!N51</f>
        <v>1647</v>
      </c>
      <c r="H30" s="45">
        <f t="shared" si="3"/>
        <v>2989251.4315943671</v>
      </c>
      <c r="I30" s="30">
        <f t="shared" si="0"/>
        <v>-381987.64532870986</v>
      </c>
      <c r="J30" s="38">
        <f t="shared" si="1"/>
        <v>-0.11330778880189928</v>
      </c>
      <c r="K30" s="11">
        <f t="shared" si="4"/>
        <v>0.11330778880189928</v>
      </c>
      <c r="L30" s="321">
        <f t="shared" si="2"/>
        <v>145914561183.77225</v>
      </c>
      <c r="M30" s="321">
        <f t="shared" si="5"/>
        <v>-365672.57269574562</v>
      </c>
      <c r="N30" s="321">
        <f t="shared" si="6"/>
        <v>133716430421.92537</v>
      </c>
      <c r="O30" s="11"/>
      <c r="P30" t="s">
        <v>243</v>
      </c>
      <c r="Q30" s="323">
        <f>Q27/Q28</f>
        <v>1.4748755381199876</v>
      </c>
    </row>
    <row r="31" spans="1:24" x14ac:dyDescent="0.2">
      <c r="A31" s="44">
        <v>42521</v>
      </c>
      <c r="B31" s="45">
        <f>Inputs!D52+Inputs!E52</f>
        <v>2942360.5384615385</v>
      </c>
      <c r="C31" s="45">
        <f>Inputs!S52</f>
        <v>201.09999999999997</v>
      </c>
      <c r="D31" s="45">
        <f>Inputs!T52</f>
        <v>1.3</v>
      </c>
      <c r="E31" s="275">
        <v>31</v>
      </c>
      <c r="F31" s="288">
        <f>Inputs!L52/(Inputs!H52+Inputs!J52+Inputs!L52+Inputs!O52)</f>
        <v>0.61758744204409854</v>
      </c>
      <c r="G31" s="279">
        <f>Inputs!I52+Inputs!K52+Inputs!N52</f>
        <v>1646</v>
      </c>
      <c r="H31" s="45">
        <f t="shared" si="3"/>
        <v>2800658.3996159267</v>
      </c>
      <c r="I31" s="30">
        <f t="shared" si="0"/>
        <v>-141702.13884561183</v>
      </c>
      <c r="J31" s="38">
        <f t="shared" si="1"/>
        <v>-4.8159339072601594E-2</v>
      </c>
      <c r="K31" s="11">
        <f t="shared" si="4"/>
        <v>4.8159339072601594E-2</v>
      </c>
      <c r="L31" s="321">
        <f t="shared" si="2"/>
        <v>20079496153.421055</v>
      </c>
      <c r="M31" s="321">
        <f t="shared" si="5"/>
        <v>240285.50648309803</v>
      </c>
      <c r="N31" s="321">
        <f t="shared" si="6"/>
        <v>57737124625.838943</v>
      </c>
      <c r="O31" s="11"/>
      <c r="P31"/>
    </row>
    <row r="32" spans="1:24" x14ac:dyDescent="0.2">
      <c r="A32" s="44">
        <v>42551</v>
      </c>
      <c r="B32" s="45">
        <f>Inputs!D53+Inputs!E53</f>
        <v>2792447.230769231</v>
      </c>
      <c r="C32" s="45">
        <f>Inputs!S53</f>
        <v>112.40000000000002</v>
      </c>
      <c r="D32" s="45">
        <f>Inputs!T53</f>
        <v>8.6</v>
      </c>
      <c r="E32" s="275">
        <v>30</v>
      </c>
      <c r="F32" s="288">
        <f>Inputs!L53/(Inputs!H53+Inputs!J53+Inputs!L53+Inputs!O53)</f>
        <v>0.63223206119692643</v>
      </c>
      <c r="G32" s="279">
        <f>Inputs!I53+Inputs!K53+Inputs!N53</f>
        <v>1646</v>
      </c>
      <c r="H32" s="45">
        <f t="shared" si="3"/>
        <v>2720866.1918286579</v>
      </c>
      <c r="I32" s="30">
        <f t="shared" si="0"/>
        <v>-71581.038940573111</v>
      </c>
      <c r="J32" s="38">
        <f t="shared" si="1"/>
        <v>-2.5633801832256931E-2</v>
      </c>
      <c r="K32" s="11">
        <f t="shared" si="4"/>
        <v>2.5633801832256931E-2</v>
      </c>
      <c r="L32" s="321">
        <f t="shared" si="2"/>
        <v>5123845135.8118439</v>
      </c>
      <c r="M32" s="321">
        <f t="shared" si="5"/>
        <v>70121.099905038718</v>
      </c>
      <c r="N32" s="321">
        <f t="shared" si="6"/>
        <v>4916968651.8924208</v>
      </c>
      <c r="O32" s="11"/>
      <c r="P32"/>
    </row>
    <row r="33" spans="1:16" x14ac:dyDescent="0.2">
      <c r="A33" s="44">
        <v>42582</v>
      </c>
      <c r="B33" s="45">
        <f>Inputs!D54+Inputs!E54</f>
        <v>2939011.307692308</v>
      </c>
      <c r="C33" s="45">
        <f>Inputs!S54</f>
        <v>21.700000000000003</v>
      </c>
      <c r="D33" s="45">
        <f>Inputs!T54</f>
        <v>47.9</v>
      </c>
      <c r="E33" s="275">
        <v>31</v>
      </c>
      <c r="F33" s="288">
        <f>Inputs!L54/(Inputs!H54+Inputs!J54+Inputs!L54+Inputs!O54)</f>
        <v>0.57677112475978287</v>
      </c>
      <c r="G33" s="279">
        <f>Inputs!I54+Inputs!K54+Inputs!N54</f>
        <v>1643</v>
      </c>
      <c r="H33" s="45">
        <f t="shared" si="3"/>
        <v>2871705.2203841638</v>
      </c>
      <c r="I33" s="30">
        <f t="shared" si="0"/>
        <v>-67306.087308144197</v>
      </c>
      <c r="J33" s="38">
        <f t="shared" si="1"/>
        <v>-2.2900928326469245E-2</v>
      </c>
      <c r="K33" s="11">
        <f t="shared" si="4"/>
        <v>2.2900928326469245E-2</v>
      </c>
      <c r="L33" s="321">
        <f t="shared" si="2"/>
        <v>4530109388.7315292</v>
      </c>
      <c r="M33" s="321">
        <f t="shared" si="5"/>
        <v>4274.9516324289143</v>
      </c>
      <c r="N33" s="321">
        <f t="shared" si="6"/>
        <v>18275211.45960664</v>
      </c>
      <c r="O33" s="11"/>
      <c r="P33"/>
    </row>
    <row r="34" spans="1:16" x14ac:dyDescent="0.2">
      <c r="A34" s="44">
        <v>42613</v>
      </c>
      <c r="B34" s="45">
        <f>Inputs!D55+Inputs!E55</f>
        <v>3308180.076923077</v>
      </c>
      <c r="C34" s="45">
        <f>Inputs!S55</f>
        <v>24.8</v>
      </c>
      <c r="D34" s="45">
        <f>Inputs!T55</f>
        <v>34.299999999999997</v>
      </c>
      <c r="E34" s="275">
        <v>31</v>
      </c>
      <c r="F34" s="288">
        <f>Inputs!L55/(Inputs!H55+Inputs!J55+Inputs!L55+Inputs!O55)</f>
        <v>0.63258468301459125</v>
      </c>
      <c r="G34" s="279">
        <f>Inputs!I55+Inputs!K55+Inputs!N55</f>
        <v>1642</v>
      </c>
      <c r="H34" s="45">
        <f t="shared" si="3"/>
        <v>2953605.501585993</v>
      </c>
      <c r="I34" s="30">
        <f t="shared" si="0"/>
        <v>-354574.57533708401</v>
      </c>
      <c r="J34" s="38">
        <f t="shared" si="1"/>
        <v>-0.10718115915469517</v>
      </c>
      <c r="K34" s="11">
        <f t="shared" si="4"/>
        <v>0.10718115915469517</v>
      </c>
      <c r="L34" s="321">
        <f t="shared" si="2"/>
        <v>125723129475.47346</v>
      </c>
      <c r="M34" s="321">
        <f t="shared" si="5"/>
        <v>-287268.48802893981</v>
      </c>
      <c r="N34" s="321">
        <f t="shared" si="6"/>
        <v>82523184214.433136</v>
      </c>
      <c r="O34" s="11"/>
      <c r="P34"/>
    </row>
    <row r="35" spans="1:16" x14ac:dyDescent="0.2">
      <c r="A35" s="44">
        <v>42643</v>
      </c>
      <c r="B35" s="45">
        <f>Inputs!D56+Inputs!E56</f>
        <v>2648035.076923077</v>
      </c>
      <c r="C35" s="45">
        <f>Inputs!S56</f>
        <v>111.89999999999999</v>
      </c>
      <c r="D35" s="45">
        <f>Inputs!T56</f>
        <v>5.2</v>
      </c>
      <c r="E35" s="275">
        <v>30</v>
      </c>
      <c r="F35" s="288">
        <f>Inputs!L56/(Inputs!H56+Inputs!J56+Inputs!L56+Inputs!O56)</f>
        <v>0.61094962238052908</v>
      </c>
      <c r="G35" s="279">
        <f>Inputs!I56+Inputs!K56+Inputs!N56</f>
        <v>1646</v>
      </c>
      <c r="H35" s="45">
        <f t="shared" si="3"/>
        <v>2598994.9677132061</v>
      </c>
      <c r="I35" s="30">
        <f t="shared" ref="I35:I66" si="7">H35-B35</f>
        <v>-49040.10920987092</v>
      </c>
      <c r="J35" s="38">
        <f t="shared" ref="J35:J66" si="8">I35/B35</f>
        <v>-1.8519433385623348E-2</v>
      </c>
      <c r="K35" s="11">
        <f t="shared" si="4"/>
        <v>1.8519433385623348E-2</v>
      </c>
      <c r="L35" s="321">
        <f t="shared" si="2"/>
        <v>2404932311.3160667</v>
      </c>
      <c r="M35" s="321">
        <f t="shared" si="5"/>
        <v>305534.46612721309</v>
      </c>
      <c r="N35" s="321">
        <f t="shared" si="6"/>
        <v>93351309991.641129</v>
      </c>
      <c r="O35" s="11"/>
      <c r="P35"/>
    </row>
    <row r="36" spans="1:16" x14ac:dyDescent="0.2">
      <c r="A36" s="44">
        <v>42674</v>
      </c>
      <c r="B36" s="45">
        <f>Inputs!D57+Inputs!E57</f>
        <v>3174146.5384615385</v>
      </c>
      <c r="C36" s="45">
        <f>Inputs!S57</f>
        <v>341.9</v>
      </c>
      <c r="D36" s="45">
        <f>Inputs!T57</f>
        <v>0</v>
      </c>
      <c r="E36" s="275">
        <v>31</v>
      </c>
      <c r="F36" s="288">
        <f>Inputs!L57/(Inputs!H57+Inputs!J57+Inputs!L57+Inputs!O57)</f>
        <v>0.65239476368933091</v>
      </c>
      <c r="G36" s="279">
        <f>Inputs!I57+Inputs!K57+Inputs!N57</f>
        <v>1649</v>
      </c>
      <c r="H36" s="45">
        <f t="shared" si="3"/>
        <v>3126897.1898006182</v>
      </c>
      <c r="I36" s="30">
        <f t="shared" si="7"/>
        <v>-47249.348660920281</v>
      </c>
      <c r="J36" s="38">
        <f t="shared" si="8"/>
        <v>-1.4885685990988096E-2</v>
      </c>
      <c r="K36" s="11">
        <f t="shared" si="4"/>
        <v>1.4885685990988096E-2</v>
      </c>
      <c r="L36" s="321">
        <f t="shared" si="2"/>
        <v>2232500948.8812094</v>
      </c>
      <c r="M36" s="321">
        <f t="shared" si="5"/>
        <v>1790.7605489506386</v>
      </c>
      <c r="N36" s="321">
        <f t="shared" si="6"/>
        <v>3206823.3436779925</v>
      </c>
      <c r="O36" s="11"/>
      <c r="P36"/>
    </row>
    <row r="37" spans="1:16" x14ac:dyDescent="0.2">
      <c r="A37" s="44">
        <v>42704</v>
      </c>
      <c r="B37" s="45">
        <f>Inputs!D58+Inputs!E58</f>
        <v>3233148.923076923</v>
      </c>
      <c r="C37" s="45">
        <f>Inputs!S58</f>
        <v>481.6</v>
      </c>
      <c r="D37" s="45">
        <f>Inputs!T58</f>
        <v>0</v>
      </c>
      <c r="E37" s="275">
        <v>30</v>
      </c>
      <c r="F37" s="288">
        <f>Inputs!L58/(Inputs!H58+Inputs!J58+Inputs!L58+Inputs!O58)</f>
        <v>0.61975270241751823</v>
      </c>
      <c r="G37" s="279">
        <f>Inputs!I58+Inputs!K58+Inputs!N58</f>
        <v>1642</v>
      </c>
      <c r="H37" s="45">
        <f t="shared" si="3"/>
        <v>3036854.8098318744</v>
      </c>
      <c r="I37" s="30">
        <f t="shared" si="7"/>
        <v>-196294.11324504856</v>
      </c>
      <c r="J37" s="38">
        <f t="shared" si="8"/>
        <v>-6.0712982270621607E-2</v>
      </c>
      <c r="K37" s="11">
        <f t="shared" si="4"/>
        <v>6.0712982270621607E-2</v>
      </c>
      <c r="L37" s="321">
        <f t="shared" si="2"/>
        <v>38531378894.65995</v>
      </c>
      <c r="M37" s="321">
        <f t="shared" si="5"/>
        <v>-149044.76458412828</v>
      </c>
      <c r="N37" s="321">
        <f t="shared" si="6"/>
        <v>22214341849.938221</v>
      </c>
      <c r="O37" s="11"/>
      <c r="P37"/>
    </row>
    <row r="38" spans="1:16" x14ac:dyDescent="0.2">
      <c r="A38" s="44">
        <v>42735</v>
      </c>
      <c r="B38" s="45">
        <f>Inputs!D59+Inputs!E59</f>
        <v>3589663.769230769</v>
      </c>
      <c r="C38" s="45">
        <f>Inputs!S59</f>
        <v>866.9</v>
      </c>
      <c r="D38" s="45">
        <f>Inputs!T59</f>
        <v>0</v>
      </c>
      <c r="E38" s="275">
        <v>31</v>
      </c>
      <c r="F38" s="288">
        <f>Inputs!L59/(Inputs!H59+Inputs!J59+Inputs!L59+Inputs!O59)</f>
        <v>0.554877900081583</v>
      </c>
      <c r="G38" s="279">
        <f>Inputs!I59+Inputs!K59+Inputs!N59</f>
        <v>1639</v>
      </c>
      <c r="H38" s="45">
        <f t="shared" si="3"/>
        <v>3357462.7527883947</v>
      </c>
      <c r="I38" s="30">
        <f t="shared" si="7"/>
        <v>-232201.01644237433</v>
      </c>
      <c r="J38" s="38">
        <f t="shared" si="8"/>
        <v>-6.4686007205664503E-2</v>
      </c>
      <c r="K38" s="11">
        <f t="shared" si="4"/>
        <v>6.4686007205664503E-2</v>
      </c>
      <c r="L38" s="321">
        <f t="shared" si="2"/>
        <v>53917312036.871796</v>
      </c>
      <c r="M38" s="321">
        <f t="shared" si="5"/>
        <v>-35906.903197325766</v>
      </c>
      <c r="N38" s="321">
        <f t="shared" si="6"/>
        <v>1289305697.2221234</v>
      </c>
      <c r="O38" s="11"/>
      <c r="P38"/>
    </row>
    <row r="39" spans="1:16" x14ac:dyDescent="0.2">
      <c r="A39" s="44">
        <v>42766</v>
      </c>
      <c r="B39" s="45">
        <f>Inputs!D60+Inputs!E60</f>
        <v>3196951.1904761908</v>
      </c>
      <c r="C39" s="45">
        <f>Inputs!S60</f>
        <v>950.00000000000011</v>
      </c>
      <c r="D39" s="45">
        <f>Inputs!T60</f>
        <v>0</v>
      </c>
      <c r="E39" s="275">
        <v>31</v>
      </c>
      <c r="F39" s="288">
        <f>Inputs!L60/(Inputs!H60+Inputs!J60+Inputs!L60+Inputs!O60)</f>
        <v>0.4916572161669347</v>
      </c>
      <c r="G39" s="279">
        <f>Inputs!I60+Inputs!K60+Inputs!N60</f>
        <v>1639</v>
      </c>
      <c r="H39" s="45">
        <f t="shared" si="3"/>
        <v>3210178.4972287007</v>
      </c>
      <c r="I39" s="30">
        <f t="shared" si="7"/>
        <v>13227.306752509903</v>
      </c>
      <c r="J39" s="38">
        <f t="shared" si="8"/>
        <v>4.1374753521149863E-3</v>
      </c>
      <c r="K39" s="11">
        <f t="shared" si="4"/>
        <v>4.1374753521149863E-3</v>
      </c>
      <c r="L39" s="321">
        <f t="shared" si="2"/>
        <v>174961643.92499408</v>
      </c>
      <c r="M39" s="321">
        <f t="shared" si="5"/>
        <v>245428.32319488423</v>
      </c>
      <c r="N39" s="321">
        <f t="shared" si="6"/>
        <v>60235061826.252548</v>
      </c>
      <c r="O39" s="11"/>
      <c r="P39"/>
    </row>
    <row r="40" spans="1:16" x14ac:dyDescent="0.2">
      <c r="A40" s="44">
        <v>42794</v>
      </c>
      <c r="B40" s="45">
        <f>Inputs!D61+Inputs!E61</f>
        <v>3016939.0000000005</v>
      </c>
      <c r="C40" s="45">
        <f>Inputs!S61</f>
        <v>755.29999999999984</v>
      </c>
      <c r="D40" s="45">
        <f>Inputs!T61</f>
        <v>0</v>
      </c>
      <c r="E40" s="275">
        <v>28</v>
      </c>
      <c r="F40" s="288">
        <f>Inputs!L61/(Inputs!H61+Inputs!J61+Inputs!L61+Inputs!O61)</f>
        <v>0.55452475358532372</v>
      </c>
      <c r="G40" s="279">
        <f>Inputs!I61+Inputs!K61+Inputs!N61</f>
        <v>1638</v>
      </c>
      <c r="H40" s="45">
        <f t="shared" si="3"/>
        <v>2906074.895142193</v>
      </c>
      <c r="I40" s="30">
        <f t="shared" si="7"/>
        <v>-110864.10485780751</v>
      </c>
      <c r="J40" s="38">
        <f t="shared" si="8"/>
        <v>-3.6747214596585309E-2</v>
      </c>
      <c r="K40" s="11">
        <f t="shared" si="4"/>
        <v>3.6747214596585309E-2</v>
      </c>
      <c r="L40" s="321">
        <f t="shared" si="2"/>
        <v>12290849745.922939</v>
      </c>
      <c r="M40" s="321">
        <f t="shared" si="5"/>
        <v>-124091.41161031742</v>
      </c>
      <c r="N40" s="321">
        <f t="shared" si="6"/>
        <v>15398678435.441219</v>
      </c>
      <c r="O40" s="11"/>
      <c r="P40"/>
    </row>
    <row r="41" spans="1:16" x14ac:dyDescent="0.2">
      <c r="A41" s="44">
        <v>42825</v>
      </c>
      <c r="B41" s="45">
        <f>Inputs!D62+Inputs!E62</f>
        <v>2778958.7619047621</v>
      </c>
      <c r="C41" s="45">
        <f>Inputs!S62</f>
        <v>736.59999999999991</v>
      </c>
      <c r="D41" s="45">
        <f>Inputs!T62</f>
        <v>0</v>
      </c>
      <c r="E41" s="275">
        <v>31</v>
      </c>
      <c r="F41" s="288">
        <f>Inputs!L62/(Inputs!H62+Inputs!J62+Inputs!L62+Inputs!O62)</f>
        <v>0.49435922419403389</v>
      </c>
      <c r="G41" s="279">
        <f>Inputs!I62+Inputs!K62+Inputs!N62</f>
        <v>1639</v>
      </c>
      <c r="H41" s="45">
        <f t="shared" si="3"/>
        <v>2944543.9824431557</v>
      </c>
      <c r="I41" s="30">
        <f t="shared" si="7"/>
        <v>165585.22053839359</v>
      </c>
      <c r="J41" s="38">
        <f t="shared" si="8"/>
        <v>5.9585346428421879E-2</v>
      </c>
      <c r="K41" s="11">
        <f t="shared" si="4"/>
        <v>5.9585346428421879E-2</v>
      </c>
      <c r="L41" s="321">
        <f t="shared" si="2"/>
        <v>27418465260.748444</v>
      </c>
      <c r="M41" s="321">
        <f t="shared" si="5"/>
        <v>276449.32539620111</v>
      </c>
      <c r="N41" s="321">
        <f t="shared" si="6"/>
        <v>76424229512.014679</v>
      </c>
      <c r="O41" s="11"/>
      <c r="P41"/>
    </row>
    <row r="42" spans="1:16" x14ac:dyDescent="0.2">
      <c r="A42" s="44">
        <v>42855</v>
      </c>
      <c r="B42" s="45">
        <f>Inputs!D63+Inputs!E63</f>
        <v>2590214.1428571427</v>
      </c>
      <c r="C42" s="45">
        <f>Inputs!S63</f>
        <v>430.3</v>
      </c>
      <c r="D42" s="45">
        <f>Inputs!T63</f>
        <v>0</v>
      </c>
      <c r="E42" s="275">
        <v>30</v>
      </c>
      <c r="F42" s="288">
        <f>Inputs!L63/(Inputs!H63+Inputs!J63+Inputs!L63+Inputs!O63)</f>
        <v>0.55155369928245424</v>
      </c>
      <c r="G42" s="279">
        <f>Inputs!I63+Inputs!K63+Inputs!N63</f>
        <v>1641</v>
      </c>
      <c r="H42" s="45">
        <f t="shared" si="3"/>
        <v>2689686.0537375594</v>
      </c>
      <c r="I42" s="30">
        <f t="shared" si="7"/>
        <v>99471.910880416632</v>
      </c>
      <c r="J42" s="38">
        <f t="shared" si="8"/>
        <v>3.8402968015105447E-2</v>
      </c>
      <c r="K42" s="11">
        <f t="shared" si="4"/>
        <v>3.8402968015105447E-2</v>
      </c>
      <c r="L42" s="321">
        <f t="shared" si="2"/>
        <v>9894661054.2015495</v>
      </c>
      <c r="M42" s="321">
        <f t="shared" si="5"/>
        <v>-66113.309657976963</v>
      </c>
      <c r="N42" s="321">
        <f t="shared" si="6"/>
        <v>4370969713.93155</v>
      </c>
      <c r="O42" s="11"/>
      <c r="P42"/>
    </row>
    <row r="43" spans="1:16" x14ac:dyDescent="0.2">
      <c r="A43" s="44">
        <v>42886</v>
      </c>
      <c r="B43" s="45">
        <f>Inputs!D64+Inputs!E64</f>
        <v>2453029.047619048</v>
      </c>
      <c r="C43" s="45">
        <f>Inputs!S64</f>
        <v>280.89999999999998</v>
      </c>
      <c r="D43" s="45">
        <f>Inputs!T64</f>
        <v>0</v>
      </c>
      <c r="E43" s="275">
        <v>31</v>
      </c>
      <c r="F43" s="288">
        <f>Inputs!L64/(Inputs!H64+Inputs!J64+Inputs!L64+Inputs!O64)</f>
        <v>0.56799899843466484</v>
      </c>
      <c r="G43" s="279">
        <f>Inputs!I64+Inputs!K64+Inputs!N64</f>
        <v>1643</v>
      </c>
      <c r="H43" s="45">
        <f t="shared" si="3"/>
        <v>2673605.1596470848</v>
      </c>
      <c r="I43" s="30">
        <f t="shared" si="7"/>
        <v>220576.11202803673</v>
      </c>
      <c r="J43" s="38">
        <f t="shared" si="8"/>
        <v>8.9919894035552367E-2</v>
      </c>
      <c r="K43" s="11">
        <f t="shared" si="4"/>
        <v>8.9919894035552367E-2</v>
      </c>
      <c r="L43" s="321">
        <f t="shared" si="2"/>
        <v>48653821197.405014</v>
      </c>
      <c r="M43" s="321">
        <f t="shared" si="5"/>
        <v>121104.2011476201</v>
      </c>
      <c r="N43" s="321">
        <f t="shared" si="6"/>
        <v>14666227535.60323</v>
      </c>
      <c r="O43" s="11"/>
      <c r="P43"/>
    </row>
    <row r="44" spans="1:16" x14ac:dyDescent="0.2">
      <c r="A44" s="44">
        <v>42916</v>
      </c>
      <c r="B44" s="45">
        <f>Inputs!D65+Inputs!E65</f>
        <v>2143236.9047619049</v>
      </c>
      <c r="C44" s="45">
        <f>Inputs!S65</f>
        <v>76.000000000000028</v>
      </c>
      <c r="D44" s="45">
        <f>Inputs!T65</f>
        <v>3</v>
      </c>
      <c r="E44" s="275">
        <v>30</v>
      </c>
      <c r="F44" s="288">
        <f>Inputs!L65/(Inputs!H65+Inputs!J65+Inputs!L65+Inputs!O65)</f>
        <v>0.51500007844152529</v>
      </c>
      <c r="G44" s="279">
        <f>Inputs!I65+Inputs!K65+Inputs!N65</f>
        <v>1641</v>
      </c>
      <c r="H44" s="45">
        <f t="shared" si="3"/>
        <v>2114378.2904954227</v>
      </c>
      <c r="I44" s="30">
        <f t="shared" si="7"/>
        <v>-28858.614266482182</v>
      </c>
      <c r="J44" s="38">
        <f t="shared" si="8"/>
        <v>-1.3464967032978618E-2</v>
      </c>
      <c r="K44" s="11">
        <f t="shared" si="4"/>
        <v>1.3464967032978618E-2</v>
      </c>
      <c r="L44" s="321">
        <f t="shared" si="2"/>
        <v>832819617.38160896</v>
      </c>
      <c r="M44" s="321">
        <f t="shared" si="5"/>
        <v>-249434.72629451891</v>
      </c>
      <c r="N44" s="321">
        <f t="shared" si="6"/>
        <v>62217682681.621567</v>
      </c>
      <c r="O44" s="11"/>
      <c r="P44"/>
    </row>
    <row r="45" spans="1:16" x14ac:dyDescent="0.2">
      <c r="A45" s="44">
        <v>42947</v>
      </c>
      <c r="B45" s="45">
        <f>Inputs!D66+Inputs!E66</f>
        <v>2611439.3333333335</v>
      </c>
      <c r="C45" s="45">
        <f>Inputs!S66</f>
        <v>31.699999999999996</v>
      </c>
      <c r="D45" s="45">
        <f>Inputs!T66</f>
        <v>26.499999999999996</v>
      </c>
      <c r="E45" s="275">
        <v>31</v>
      </c>
      <c r="F45" s="288">
        <f>Inputs!L66/(Inputs!H66+Inputs!J66+Inputs!L66+Inputs!O66)</f>
        <v>0.54419495118200589</v>
      </c>
      <c r="G45" s="279">
        <f>Inputs!I66+Inputs!K66+Inputs!N66</f>
        <v>1641</v>
      </c>
      <c r="H45" s="45">
        <f t="shared" si="3"/>
        <v>2519233.3154223338</v>
      </c>
      <c r="I45" s="30">
        <f t="shared" si="7"/>
        <v>-92206.017910999712</v>
      </c>
      <c r="J45" s="38">
        <f t="shared" si="8"/>
        <v>-3.5308504675582372E-2</v>
      </c>
      <c r="K45" s="11">
        <f t="shared" si="4"/>
        <v>3.5308504675582372E-2</v>
      </c>
      <c r="L45" s="321">
        <f t="shared" si="2"/>
        <v>8501949739.0035992</v>
      </c>
      <c r="M45" s="321">
        <f t="shared" si="5"/>
        <v>-63347.40364451753</v>
      </c>
      <c r="N45" s="321">
        <f t="shared" si="6"/>
        <v>4012893548.5014329</v>
      </c>
      <c r="O45" s="11"/>
      <c r="P45"/>
    </row>
    <row r="46" spans="1:16" x14ac:dyDescent="0.2">
      <c r="A46" s="44">
        <v>42978</v>
      </c>
      <c r="B46" s="45">
        <f>Inputs!D67+Inputs!E67</f>
        <v>2381306.3333333335</v>
      </c>
      <c r="C46" s="45">
        <f>Inputs!S67</f>
        <v>71.5</v>
      </c>
      <c r="D46" s="45">
        <f>Inputs!T67</f>
        <v>4.9000000000000004</v>
      </c>
      <c r="E46" s="275">
        <v>31</v>
      </c>
      <c r="F46" s="288">
        <f>Inputs!L67/(Inputs!H67+Inputs!J67+Inputs!L67+Inputs!O67)</f>
        <v>0.53732134108706575</v>
      </c>
      <c r="G46" s="279">
        <f>Inputs!I67+Inputs!K67+Inputs!N67</f>
        <v>1637</v>
      </c>
      <c r="H46" s="45">
        <f t="shared" si="3"/>
        <v>2295660.7595574986</v>
      </c>
      <c r="I46" s="30">
        <f t="shared" si="7"/>
        <v>-85645.57377583487</v>
      </c>
      <c r="J46" s="38">
        <f t="shared" si="8"/>
        <v>-3.5965794310868389E-2</v>
      </c>
      <c r="K46" s="11">
        <f t="shared" si="4"/>
        <v>3.5965794310868389E-2</v>
      </c>
      <c r="L46" s="321">
        <f>I46*I46</f>
        <v>7335164307.3919735</v>
      </c>
      <c r="M46" s="321">
        <f t="shared" si="5"/>
        <v>6560.444135164842</v>
      </c>
      <c r="N46" s="321">
        <f t="shared" si="6"/>
        <v>43039427.250618771</v>
      </c>
      <c r="O46" s="11"/>
      <c r="P46"/>
    </row>
    <row r="47" spans="1:16" x14ac:dyDescent="0.2">
      <c r="A47" s="44">
        <v>43008</v>
      </c>
      <c r="B47" s="45">
        <f>Inputs!D68+Inputs!E68</f>
        <v>2270915.666666667</v>
      </c>
      <c r="C47" s="45">
        <f>Inputs!S68</f>
        <v>157.69999999999996</v>
      </c>
      <c r="D47" s="45">
        <f>Inputs!T68</f>
        <v>6.7</v>
      </c>
      <c r="E47" s="275">
        <v>30</v>
      </c>
      <c r="F47" s="288">
        <f>Inputs!L68/(Inputs!H68+Inputs!J68+Inputs!L68+Inputs!O68)</f>
        <v>0.56005962100380524</v>
      </c>
      <c r="G47" s="279">
        <f>Inputs!I68+Inputs!K68+Inputs!N68</f>
        <v>1640</v>
      </c>
      <c r="H47" s="45">
        <f t="shared" si="3"/>
        <v>2434840.6269139117</v>
      </c>
      <c r="I47" s="30">
        <f t="shared" si="7"/>
        <v>163924.96024724469</v>
      </c>
      <c r="J47" s="38">
        <f t="shared" si="8"/>
        <v>7.2184521271923638E-2</v>
      </c>
      <c r="K47" s="11">
        <f t="shared" si="4"/>
        <v>7.2184521271923638E-2</v>
      </c>
      <c r="L47" s="321">
        <f t="shared" si="2"/>
        <v>26871392592.060749</v>
      </c>
      <c r="M47" s="321">
        <f t="shared" si="5"/>
        <v>249570.53402307956</v>
      </c>
      <c r="N47" s="321">
        <f t="shared" si="6"/>
        <v>62285451452.565109</v>
      </c>
      <c r="O47" s="11"/>
      <c r="P47"/>
    </row>
    <row r="48" spans="1:16" x14ac:dyDescent="0.2">
      <c r="A48" s="44">
        <v>43039</v>
      </c>
      <c r="B48" s="45">
        <f>Inputs!D69+Inputs!E69</f>
        <v>2720524.3333333335</v>
      </c>
      <c r="C48" s="45">
        <f>Inputs!S69</f>
        <v>273.79999999999995</v>
      </c>
      <c r="D48" s="45">
        <f>Inputs!T69</f>
        <v>0</v>
      </c>
      <c r="E48" s="275">
        <v>31</v>
      </c>
      <c r="F48" s="288">
        <f>Inputs!L69/(Inputs!H69+Inputs!J69+Inputs!L69+Inputs!O69)</f>
        <v>0.5903233446719357</v>
      </c>
      <c r="G48" s="279">
        <f>Inputs!I69+Inputs!K69+Inputs!N69</f>
        <v>1638</v>
      </c>
      <c r="H48" s="45">
        <f t="shared" si="3"/>
        <v>2726206.2774397898</v>
      </c>
      <c r="I48" s="30">
        <f t="shared" si="7"/>
        <v>5681.944106456358</v>
      </c>
      <c r="J48" s="38">
        <f t="shared" si="8"/>
        <v>2.0885474306691948E-3</v>
      </c>
      <c r="K48" s="11">
        <f t="shared" si="4"/>
        <v>2.0885474306691948E-3</v>
      </c>
      <c r="L48" s="321">
        <f t="shared" si="2"/>
        <v>32284488.828894142</v>
      </c>
      <c r="M48" s="321">
        <f t="shared" si="5"/>
        <v>-158243.01614078833</v>
      </c>
      <c r="N48" s="321">
        <f t="shared" si="6"/>
        <v>25040852157.333794</v>
      </c>
      <c r="O48" s="11"/>
      <c r="P48"/>
    </row>
    <row r="49" spans="1:16" x14ac:dyDescent="0.2">
      <c r="A49" s="44">
        <v>43069</v>
      </c>
      <c r="B49" s="45">
        <f>Inputs!D70+Inputs!E70</f>
        <v>2769599.666666667</v>
      </c>
      <c r="C49" s="45">
        <f>Inputs!S70</f>
        <v>549.40000000000009</v>
      </c>
      <c r="D49" s="45">
        <f>Inputs!T70</f>
        <v>0</v>
      </c>
      <c r="E49" s="275">
        <v>30</v>
      </c>
      <c r="F49" s="288">
        <f>Inputs!L70/(Inputs!H70+Inputs!J70+Inputs!L70+Inputs!O70)</f>
        <v>0.50113905618612764</v>
      </c>
      <c r="G49" s="279">
        <f>Inputs!I70+Inputs!K70+Inputs!N70</f>
        <v>1637</v>
      </c>
      <c r="H49" s="45">
        <f t="shared" si="3"/>
        <v>2618112.7382861432</v>
      </c>
      <c r="I49" s="30">
        <f t="shared" si="7"/>
        <v>-151486.92838052381</v>
      </c>
      <c r="J49" s="38">
        <f t="shared" si="8"/>
        <v>-5.4696326766548495E-2</v>
      </c>
      <c r="K49" s="11">
        <f t="shared" si="4"/>
        <v>5.4696326766548495E-2</v>
      </c>
      <c r="L49" s="321">
        <f t="shared" si="2"/>
        <v>22948289470.165951</v>
      </c>
      <c r="M49" s="321">
        <f t="shared" si="5"/>
        <v>-157168.87248698017</v>
      </c>
      <c r="N49" s="321">
        <f t="shared" si="6"/>
        <v>24702054478.828632</v>
      </c>
      <c r="O49" s="11"/>
      <c r="P49"/>
    </row>
    <row r="50" spans="1:16" x14ac:dyDescent="0.2">
      <c r="A50" s="44">
        <v>43100</v>
      </c>
      <c r="B50" s="45">
        <f>Inputs!D71+Inputs!E71</f>
        <v>3099778.666666667</v>
      </c>
      <c r="C50" s="45">
        <f>Inputs!S71</f>
        <v>1034.9999999999998</v>
      </c>
      <c r="D50" s="45">
        <f>Inputs!T71</f>
        <v>0</v>
      </c>
      <c r="E50" s="275">
        <v>31</v>
      </c>
      <c r="F50" s="288">
        <f>Inputs!L71/(Inputs!H71+Inputs!J71+Inputs!L71+Inputs!O71)</f>
        <v>0.46345766931392596</v>
      </c>
      <c r="G50" s="279">
        <f>Inputs!I71+Inputs!K71+Inputs!N71</f>
        <v>1637</v>
      </c>
      <c r="H50" s="45">
        <f t="shared" si="3"/>
        <v>3195303.2868867777</v>
      </c>
      <c r="I50" s="30">
        <f t="shared" si="7"/>
        <v>95524.620220110752</v>
      </c>
      <c r="J50" s="38">
        <f t="shared" si="8"/>
        <v>3.0816593857919773E-2</v>
      </c>
      <c r="K50" s="11">
        <f t="shared" si="4"/>
        <v>3.0816593857919773E-2</v>
      </c>
      <c r="L50" s="321">
        <f t="shared" si="2"/>
        <v>9124953068.1963921</v>
      </c>
      <c r="M50" s="321">
        <f t="shared" si="5"/>
        <v>247011.54860063456</v>
      </c>
      <c r="N50" s="321">
        <f t="shared" si="6"/>
        <v>61014705142.083649</v>
      </c>
      <c r="O50" s="11"/>
      <c r="P50"/>
    </row>
    <row r="51" spans="1:16" x14ac:dyDescent="0.2">
      <c r="A51" s="44">
        <v>43131</v>
      </c>
      <c r="B51" s="45">
        <f>Inputs!D72+Inputs!E72</f>
        <v>3295931.666666667</v>
      </c>
      <c r="C51" s="45">
        <f>Inputs!S72</f>
        <v>1035.8000000000002</v>
      </c>
      <c r="D51" s="45">
        <f>Inputs!T72</f>
        <v>0</v>
      </c>
      <c r="E51" s="275">
        <v>31</v>
      </c>
      <c r="F51" s="288">
        <f>Inputs!L72/(Inputs!H72+Inputs!J72+Inputs!L72+Inputs!O72)</f>
        <v>0.38525933048328409</v>
      </c>
      <c r="G51" s="279">
        <f>Inputs!I72+Inputs!K72+Inputs!N72</f>
        <v>1636</v>
      </c>
      <c r="H51" s="45">
        <f t="shared" si="3"/>
        <v>2875320.4420650247</v>
      </c>
      <c r="I51" s="30">
        <f t="shared" si="7"/>
        <v>-420611.22460164223</v>
      </c>
      <c r="J51" s="38">
        <f t="shared" si="8"/>
        <v>-0.12761527456879179</v>
      </c>
      <c r="K51" s="11">
        <f t="shared" si="4"/>
        <v>0.12761527456879179</v>
      </c>
      <c r="L51" s="321">
        <f t="shared" si="2"/>
        <v>176913802260.89313</v>
      </c>
      <c r="M51" s="321">
        <f t="shared" si="5"/>
        <v>-516135.84482175298</v>
      </c>
      <c r="N51" s="321">
        <f t="shared" si="6"/>
        <v>266396210309.86469</v>
      </c>
      <c r="O51" s="11"/>
      <c r="P51"/>
    </row>
    <row r="52" spans="1:16" x14ac:dyDescent="0.2">
      <c r="A52" s="44">
        <v>43159</v>
      </c>
      <c r="B52" s="45">
        <f>Inputs!D73+Inputs!E73</f>
        <v>2884547.3333333335</v>
      </c>
      <c r="C52" s="45">
        <f>Inputs!S73</f>
        <v>982.69999999999982</v>
      </c>
      <c r="D52" s="45">
        <f>Inputs!T73</f>
        <v>0</v>
      </c>
      <c r="E52" s="275">
        <v>28</v>
      </c>
      <c r="F52" s="288">
        <f>Inputs!L73/(Inputs!H73+Inputs!J73+Inputs!L73+Inputs!O73)</f>
        <v>0.57071906687878882</v>
      </c>
      <c r="G52" s="279">
        <f>Inputs!I73+Inputs!K73+Inputs!N73</f>
        <v>1635</v>
      </c>
      <c r="H52" s="45">
        <f t="shared" si="3"/>
        <v>3249120.421625251</v>
      </c>
      <c r="I52" s="30">
        <f t="shared" si="7"/>
        <v>364573.08829191746</v>
      </c>
      <c r="J52" s="38">
        <f t="shared" si="8"/>
        <v>0.12638831891540606</v>
      </c>
      <c r="K52" s="11">
        <f t="shared" si="4"/>
        <v>0.12638831891540606</v>
      </c>
      <c r="L52" s="321">
        <f t="shared" si="2"/>
        <v>132913536706.70624</v>
      </c>
      <c r="M52" s="321">
        <f t="shared" si="5"/>
        <v>785184.31289355969</v>
      </c>
      <c r="N52" s="321">
        <f t="shared" si="6"/>
        <v>616514405214.13147</v>
      </c>
      <c r="O52" s="11"/>
      <c r="P52"/>
    </row>
    <row r="53" spans="1:16" x14ac:dyDescent="0.2">
      <c r="A53" s="44">
        <v>43190</v>
      </c>
      <c r="B53" s="45">
        <f>Inputs!D74+Inputs!E74</f>
        <v>2851029.666666667</v>
      </c>
      <c r="C53" s="45">
        <f>Inputs!S74</f>
        <v>748.70000000000016</v>
      </c>
      <c r="D53" s="45">
        <f>Inputs!T74</f>
        <v>0</v>
      </c>
      <c r="E53" s="275">
        <v>31</v>
      </c>
      <c r="F53" s="288">
        <f>Inputs!L74/(Inputs!H74+Inputs!J74+Inputs!L74+Inputs!O74)</f>
        <v>0.51646317640263528</v>
      </c>
      <c r="G53" s="279">
        <f>Inputs!I74+Inputs!K74+Inputs!N74</f>
        <v>1634</v>
      </c>
      <c r="H53" s="45">
        <f t="shared" si="3"/>
        <v>3021136.3300330183</v>
      </c>
      <c r="I53" s="30">
        <f t="shared" si="7"/>
        <v>170106.66336635128</v>
      </c>
      <c r="J53" s="38">
        <f t="shared" si="8"/>
        <v>5.9664992390357892E-2</v>
      </c>
      <c r="K53" s="11">
        <f t="shared" si="4"/>
        <v>5.9664992390357892E-2</v>
      </c>
      <c r="L53" s="321">
        <f t="shared" si="2"/>
        <v>28936276921.633156</v>
      </c>
      <c r="M53" s="321">
        <f t="shared" si="5"/>
        <v>-194466.42492556619</v>
      </c>
      <c r="N53" s="321">
        <f t="shared" si="6"/>
        <v>37817190423.330872</v>
      </c>
      <c r="O53" s="11"/>
      <c r="P53"/>
    </row>
    <row r="54" spans="1:16" x14ac:dyDescent="0.2">
      <c r="A54" s="44">
        <v>43220</v>
      </c>
      <c r="B54" s="45">
        <f>Inputs!D75+Inputs!E75</f>
        <v>2883477.3333333335</v>
      </c>
      <c r="C54" s="45">
        <f>Inputs!S75</f>
        <v>599.80000000000007</v>
      </c>
      <c r="D54" s="45">
        <f>Inputs!T75</f>
        <v>0</v>
      </c>
      <c r="E54" s="275">
        <v>30</v>
      </c>
      <c r="F54" s="288">
        <f>Inputs!L75/(Inputs!H75+Inputs!J75+Inputs!L75+Inputs!O75)</f>
        <v>0.59808027893829463</v>
      </c>
      <c r="G54" s="279">
        <f>Inputs!I75+Inputs!K75+Inputs!N75</f>
        <v>1635</v>
      </c>
      <c r="H54" s="45">
        <f t="shared" si="3"/>
        <v>3063092.9317238536</v>
      </c>
      <c r="I54" s="30">
        <f t="shared" si="7"/>
        <v>179615.59839052008</v>
      </c>
      <c r="J54" s="38">
        <f t="shared" si="8"/>
        <v>6.229131622230661E-2</v>
      </c>
      <c r="K54" s="11">
        <f t="shared" si="4"/>
        <v>6.229131622230661E-2</v>
      </c>
      <c r="L54" s="321">
        <f t="shared" si="2"/>
        <v>32261763185.184601</v>
      </c>
      <c r="M54" s="321">
        <f t="shared" si="5"/>
        <v>9508.935024168808</v>
      </c>
      <c r="N54" s="321">
        <f t="shared" si="6"/>
        <v>90419845.29386425</v>
      </c>
      <c r="O54" s="11"/>
      <c r="P54"/>
    </row>
    <row r="55" spans="1:16" x14ac:dyDescent="0.2">
      <c r="A55" s="44">
        <v>43251</v>
      </c>
      <c r="B55" s="45">
        <f>Inputs!D76+Inputs!E76</f>
        <v>2581972.3333333335</v>
      </c>
      <c r="C55" s="45">
        <f>Inputs!S76</f>
        <v>169.7</v>
      </c>
      <c r="D55" s="45">
        <f>Inputs!T76</f>
        <v>14.100000000000001</v>
      </c>
      <c r="E55" s="275">
        <v>31</v>
      </c>
      <c r="F55" s="288">
        <f>Inputs!L76/(Inputs!H76+Inputs!J76+Inputs!L76+Inputs!O76)</f>
        <v>0.56197488509867854</v>
      </c>
      <c r="G55" s="279">
        <f>Inputs!I76+Inputs!K76+Inputs!N76</f>
        <v>1634</v>
      </c>
      <c r="H55" s="45">
        <f t="shared" si="3"/>
        <v>2601165.215242927</v>
      </c>
      <c r="I55" s="30">
        <f t="shared" si="7"/>
        <v>19192.881909593474</v>
      </c>
      <c r="J55" s="38">
        <f t="shared" si="8"/>
        <v>7.4334188874965249E-3</v>
      </c>
      <c r="K55" s="11">
        <f t="shared" si="4"/>
        <v>7.4334188874965249E-3</v>
      </c>
      <c r="L55" s="321">
        <f t="shared" si="2"/>
        <v>368366715.99560046</v>
      </c>
      <c r="M55" s="321">
        <f t="shared" si="5"/>
        <v>-160422.71648092661</v>
      </c>
      <c r="N55" s="321">
        <f t="shared" si="6"/>
        <v>25735447963.119762</v>
      </c>
      <c r="O55" s="11"/>
      <c r="P55"/>
    </row>
    <row r="56" spans="1:16" x14ac:dyDescent="0.2">
      <c r="A56" s="44">
        <v>43281</v>
      </c>
      <c r="B56" s="45">
        <f>Inputs!D77+Inputs!E77</f>
        <v>2354656</v>
      </c>
      <c r="C56" s="45">
        <f>Inputs!S77</f>
        <v>55.8</v>
      </c>
      <c r="D56" s="45">
        <f>Inputs!T77</f>
        <v>23.200000000000003</v>
      </c>
      <c r="E56" s="275">
        <v>30</v>
      </c>
      <c r="F56" s="288">
        <f>Inputs!L77/(Inputs!H77+Inputs!J77+Inputs!L77+Inputs!O77)</f>
        <v>0.54735604761813794</v>
      </c>
      <c r="G56" s="279">
        <f>Inputs!I77+Inputs!K77+Inputs!N77</f>
        <v>1632</v>
      </c>
      <c r="H56" s="45">
        <f t="shared" si="3"/>
        <v>2378142.4426126722</v>
      </c>
      <c r="I56" s="30">
        <f t="shared" si="7"/>
        <v>23486.442612672225</v>
      </c>
      <c r="J56" s="38">
        <f t="shared" si="8"/>
        <v>9.9744687175843203E-3</v>
      </c>
      <c r="K56" s="11">
        <f t="shared" si="4"/>
        <v>9.9744687175843203E-3</v>
      </c>
      <c r="L56" s="321">
        <f t="shared" si="2"/>
        <v>551612986.59834576</v>
      </c>
      <c r="M56" s="321">
        <f t="shared" si="5"/>
        <v>4293.5607030787505</v>
      </c>
      <c r="N56" s="321">
        <f t="shared" si="6"/>
        <v>18434663.511022095</v>
      </c>
      <c r="O56" s="11"/>
      <c r="P56"/>
    </row>
    <row r="57" spans="1:16" x14ac:dyDescent="0.2">
      <c r="A57" s="44">
        <v>43312</v>
      </c>
      <c r="B57" s="45">
        <f>Inputs!D78+Inputs!E78</f>
        <v>2480784</v>
      </c>
      <c r="C57" s="45">
        <f>Inputs!S78</f>
        <v>19.599999999999998</v>
      </c>
      <c r="D57" s="45">
        <f>Inputs!T78</f>
        <v>48.5</v>
      </c>
      <c r="E57" s="275">
        <v>31</v>
      </c>
      <c r="F57" s="288">
        <f>Inputs!L78/(Inputs!H78+Inputs!J78+Inputs!L78+Inputs!O78)</f>
        <v>0.49544842330806999</v>
      </c>
      <c r="G57" s="279">
        <f>Inputs!I78+Inputs!K78+Inputs!N78</f>
        <v>1633</v>
      </c>
      <c r="H57" s="45">
        <f t="shared" si="3"/>
        <v>2490791.3651655223</v>
      </c>
      <c r="I57" s="30">
        <f t="shared" si="7"/>
        <v>10007.365165522322</v>
      </c>
      <c r="J57" s="38">
        <f t="shared" si="8"/>
        <v>4.0339526397793288E-3</v>
      </c>
      <c r="K57" s="11">
        <f t="shared" si="4"/>
        <v>4.0339526397793288E-3</v>
      </c>
      <c r="L57" s="321">
        <f t="shared" si="2"/>
        <v>100147357.55610961</v>
      </c>
      <c r="M57" s="321">
        <f t="shared" si="5"/>
        <v>-13479.077447149903</v>
      </c>
      <c r="N57" s="321">
        <f t="shared" si="6"/>
        <v>181685528.82626513</v>
      </c>
      <c r="O57" s="11"/>
      <c r="P57"/>
    </row>
    <row r="58" spans="1:16" x14ac:dyDescent="0.2">
      <c r="A58" s="44">
        <v>43343</v>
      </c>
      <c r="B58" s="45">
        <f>Inputs!D79+Inputs!E79</f>
        <v>2500079</v>
      </c>
      <c r="C58" s="45">
        <f>Inputs!S79</f>
        <v>38.1</v>
      </c>
      <c r="D58" s="45">
        <f>Inputs!T79</f>
        <v>34.399999999999991</v>
      </c>
      <c r="E58" s="275">
        <v>31</v>
      </c>
      <c r="F58" s="288">
        <f>Inputs!L79/(Inputs!H79+Inputs!J79+Inputs!L79+Inputs!O79)</f>
        <v>0.52794453319332646</v>
      </c>
      <c r="G58" s="279">
        <f>Inputs!I79+Inputs!K79+Inputs!N79</f>
        <v>1634</v>
      </c>
      <c r="H58" s="45">
        <f t="shared" si="3"/>
        <v>2504696.8107964452</v>
      </c>
      <c r="I58" s="30">
        <f t="shared" si="7"/>
        <v>4617.8107964452356</v>
      </c>
      <c r="J58" s="38">
        <f t="shared" si="8"/>
        <v>1.8470659512940333E-3</v>
      </c>
      <c r="K58" s="11">
        <f t="shared" si="4"/>
        <v>1.8470659512940333E-3</v>
      </c>
      <c r="L58" s="321">
        <f t="shared" si="2"/>
        <v>21324176.55176618</v>
      </c>
      <c r="M58" s="321">
        <f t="shared" si="5"/>
        <v>-5389.5543690770864</v>
      </c>
      <c r="N58" s="321">
        <f t="shared" si="6"/>
        <v>29047296.29723791</v>
      </c>
      <c r="O58" s="11"/>
      <c r="P58"/>
    </row>
    <row r="59" spans="1:16" x14ac:dyDescent="0.2">
      <c r="A59" s="44">
        <v>43373</v>
      </c>
      <c r="B59" s="45">
        <f>Inputs!D80+Inputs!E80</f>
        <v>2323098.3333333335</v>
      </c>
      <c r="C59" s="45">
        <f>Inputs!S80</f>
        <v>152.9</v>
      </c>
      <c r="D59" s="45">
        <f>Inputs!T80</f>
        <v>6.1</v>
      </c>
      <c r="E59" s="275">
        <v>30</v>
      </c>
      <c r="F59" s="288">
        <f>Inputs!L80/(Inputs!H80+Inputs!J80+Inputs!L80+Inputs!O80)</f>
        <v>0.54567877166287582</v>
      </c>
      <c r="G59" s="279">
        <f>Inputs!I80+Inputs!K80+Inputs!N80</f>
        <v>1634</v>
      </c>
      <c r="H59" s="45">
        <f t="shared" si="3"/>
        <v>2330498.5037815766</v>
      </c>
      <c r="I59" s="30">
        <f t="shared" si="7"/>
        <v>7400.1704482431524</v>
      </c>
      <c r="J59" s="38">
        <f t="shared" si="8"/>
        <v>3.18547447693482E-3</v>
      </c>
      <c r="K59" s="11">
        <f t="shared" si="4"/>
        <v>3.18547447693482E-3</v>
      </c>
      <c r="L59" s="321">
        <f t="shared" si="2"/>
        <v>54762522.663051255</v>
      </c>
      <c r="M59" s="321">
        <f t="shared" si="5"/>
        <v>2782.3596517979167</v>
      </c>
      <c r="N59" s="321">
        <f t="shared" si="6"/>
        <v>7741525.2319530249</v>
      </c>
      <c r="O59" s="11"/>
      <c r="P59"/>
    </row>
    <row r="60" spans="1:16" x14ac:dyDescent="0.2">
      <c r="A60" s="44">
        <v>43404</v>
      </c>
      <c r="B60" s="45">
        <f>Inputs!D81+Inputs!E81</f>
        <v>2718815.3333333335</v>
      </c>
      <c r="C60" s="45">
        <f>Inputs!S81</f>
        <v>491.1</v>
      </c>
      <c r="D60" s="45">
        <f>Inputs!T81</f>
        <v>0</v>
      </c>
      <c r="E60" s="275">
        <v>31</v>
      </c>
      <c r="F60" s="288">
        <f>Inputs!L81/(Inputs!H81+Inputs!J81+Inputs!L81+Inputs!O81)</f>
        <v>0.56903341171005761</v>
      </c>
      <c r="G60" s="279">
        <f>Inputs!I81+Inputs!K81+Inputs!N81</f>
        <v>1636</v>
      </c>
      <c r="H60" s="45">
        <f t="shared" si="3"/>
        <v>2910636.7428526171</v>
      </c>
      <c r="I60" s="30">
        <f t="shared" si="7"/>
        <v>191821.40951928357</v>
      </c>
      <c r="J60" s="38">
        <f t="shared" si="8"/>
        <v>7.055330576060341E-2</v>
      </c>
      <c r="K60" s="11">
        <f t="shared" si="4"/>
        <v>7.055330576060341E-2</v>
      </c>
      <c r="L60" s="321">
        <f t="shared" si="2"/>
        <v>36795453149.964691</v>
      </c>
      <c r="M60" s="321">
        <f t="shared" si="5"/>
        <v>184421.23907104041</v>
      </c>
      <c r="N60" s="321">
        <f t="shared" si="6"/>
        <v>34011193420.497845</v>
      </c>
      <c r="O60" s="11"/>
      <c r="P60"/>
    </row>
    <row r="61" spans="1:16" x14ac:dyDescent="0.2">
      <c r="A61" s="44">
        <v>43434</v>
      </c>
      <c r="B61" s="45">
        <f>Inputs!D82+Inputs!E82</f>
        <v>2722435.666666667</v>
      </c>
      <c r="C61" s="45">
        <f>Inputs!S82</f>
        <v>750.8</v>
      </c>
      <c r="D61" s="45">
        <f>Inputs!T82</f>
        <v>0</v>
      </c>
      <c r="E61" s="275">
        <v>30</v>
      </c>
      <c r="F61" s="288">
        <f>Inputs!L82/(Inputs!H82+Inputs!J82+Inputs!L82+Inputs!O82)</f>
        <v>0.4921389047513311</v>
      </c>
      <c r="G61" s="279">
        <f>Inputs!I82+Inputs!K82+Inputs!N82</f>
        <v>1637</v>
      </c>
      <c r="H61" s="45">
        <f t="shared" si="3"/>
        <v>2842796.8607530938</v>
      </c>
      <c r="I61" s="30">
        <f t="shared" si="7"/>
        <v>120361.19408642687</v>
      </c>
      <c r="J61" s="38">
        <f t="shared" si="8"/>
        <v>4.4210849703492296E-2</v>
      </c>
      <c r="K61" s="11">
        <f t="shared" si="4"/>
        <v>4.4210849703492296E-2</v>
      </c>
      <c r="L61" s="321">
        <f t="shared" si="2"/>
        <v>14486817041.910519</v>
      </c>
      <c r="M61" s="321">
        <f t="shared" si="5"/>
        <v>-71460.215432856698</v>
      </c>
      <c r="N61" s="321">
        <f t="shared" si="6"/>
        <v>5106562389.7102909</v>
      </c>
      <c r="O61" s="11"/>
      <c r="P61"/>
    </row>
    <row r="62" spans="1:16" x14ac:dyDescent="0.2">
      <c r="A62" s="44">
        <v>43465</v>
      </c>
      <c r="B62" s="45">
        <f>Inputs!D83+Inputs!E83</f>
        <v>3018364.666666667</v>
      </c>
      <c r="C62" s="45">
        <f>Inputs!S83</f>
        <v>859.69999999999982</v>
      </c>
      <c r="D62" s="45">
        <f>Inputs!T83</f>
        <v>0</v>
      </c>
      <c r="E62" s="275">
        <v>31</v>
      </c>
      <c r="F62" s="288">
        <f>Inputs!L83/(Inputs!H83+Inputs!J83+Inputs!L83+Inputs!O83)</f>
        <v>0.49925052444720086</v>
      </c>
      <c r="G62" s="279">
        <f>Inputs!I83+Inputs!K83+Inputs!N83</f>
        <v>1635</v>
      </c>
      <c r="H62" s="45">
        <f t="shared" si="3"/>
        <v>3101202.2897086497</v>
      </c>
      <c r="I62" s="30">
        <f t="shared" si="7"/>
        <v>82837.623041982763</v>
      </c>
      <c r="J62" s="38">
        <f t="shared" si="8"/>
        <v>2.7444537751452194E-2</v>
      </c>
      <c r="K62" s="11">
        <f t="shared" si="4"/>
        <v>2.7444537751452194E-2</v>
      </c>
      <c r="L62" s="321">
        <f t="shared" si="2"/>
        <v>6862071791.2456331</v>
      </c>
      <c r="M62" s="321">
        <f t="shared" si="5"/>
        <v>-37523.571044444107</v>
      </c>
      <c r="N62" s="321">
        <f t="shared" si="6"/>
        <v>1408018383.9274442</v>
      </c>
      <c r="O62" s="11"/>
      <c r="P62"/>
    </row>
    <row r="63" spans="1:16" x14ac:dyDescent="0.2">
      <c r="A63" s="44">
        <v>43496</v>
      </c>
      <c r="B63" s="45">
        <f>Inputs!D84+Inputs!E84</f>
        <v>3433302</v>
      </c>
      <c r="C63" s="45">
        <f>Inputs!S84</f>
        <v>1127.1999999999998</v>
      </c>
      <c r="D63" s="45">
        <f>Inputs!T84</f>
        <v>0</v>
      </c>
      <c r="E63" s="275">
        <v>31</v>
      </c>
      <c r="F63" s="288">
        <f>Inputs!L84/(Inputs!H84+Inputs!J84+Inputs!L84+Inputs!O84)</f>
        <v>0.50349662662884931</v>
      </c>
      <c r="G63" s="279">
        <f>Inputs!I84+Inputs!K84+Inputs!N84</f>
        <v>1634</v>
      </c>
      <c r="H63" s="45">
        <f t="shared" si="3"/>
        <v>3459316.8000781015</v>
      </c>
      <c r="I63" s="30">
        <f t="shared" si="7"/>
        <v>26014.800078101456</v>
      </c>
      <c r="J63" s="38">
        <f t="shared" si="8"/>
        <v>7.5771953874437655E-3</v>
      </c>
      <c r="K63" s="11">
        <f t="shared" si="4"/>
        <v>7.5771953874437655E-3</v>
      </c>
      <c r="L63" s="321">
        <f t="shared" si="2"/>
        <v>676769823.10358751</v>
      </c>
      <c r="M63" s="321">
        <f t="shared" si="5"/>
        <v>-56822.822963881306</v>
      </c>
      <c r="N63" s="321">
        <f t="shared" si="6"/>
        <v>3228833209.5845966</v>
      </c>
      <c r="O63" s="11"/>
      <c r="P63"/>
    </row>
    <row r="64" spans="1:16" x14ac:dyDescent="0.2">
      <c r="A64" s="44">
        <v>43524</v>
      </c>
      <c r="B64" s="45">
        <f>Inputs!D85+Inputs!E85</f>
        <v>2889691</v>
      </c>
      <c r="C64" s="45">
        <f>Inputs!S85</f>
        <v>963.1</v>
      </c>
      <c r="D64" s="45">
        <f>Inputs!T85</f>
        <v>0</v>
      </c>
      <c r="E64" s="275">
        <v>28</v>
      </c>
      <c r="F64" s="288">
        <f>Inputs!L85/(Inputs!H85+Inputs!J85+Inputs!L85+Inputs!O85)</f>
        <v>0.49315271818855677</v>
      </c>
      <c r="G64" s="279">
        <f>Inputs!I85+Inputs!K85+Inputs!N85</f>
        <v>1630</v>
      </c>
      <c r="H64" s="45">
        <f t="shared" si="3"/>
        <v>2882665.4769060016</v>
      </c>
      <c r="I64" s="30">
        <f t="shared" si="7"/>
        <v>-7025.5230939984322</v>
      </c>
      <c r="J64" s="38">
        <f t="shared" si="8"/>
        <v>-2.4312367979823558E-3</v>
      </c>
      <c r="K64" s="11">
        <f t="shared" si="4"/>
        <v>2.4312367979823558E-3</v>
      </c>
      <c r="L64" s="321">
        <f t="shared" si="2"/>
        <v>49357974.744305305</v>
      </c>
      <c r="M64" s="321">
        <f t="shared" si="5"/>
        <v>-33040.323172099888</v>
      </c>
      <c r="N64" s="321">
        <f t="shared" si="6"/>
        <v>1091662955.3168008</v>
      </c>
      <c r="O64" s="11"/>
      <c r="P64"/>
    </row>
    <row r="65" spans="1:16" x14ac:dyDescent="0.2">
      <c r="A65" s="44">
        <v>43555</v>
      </c>
      <c r="B65" s="45">
        <f>Inputs!D86+Inputs!E86</f>
        <v>2895065</v>
      </c>
      <c r="C65" s="45">
        <f>Inputs!S86</f>
        <v>772.60000000000036</v>
      </c>
      <c r="D65" s="45">
        <f>Inputs!T86</f>
        <v>0</v>
      </c>
      <c r="E65" s="275">
        <v>31</v>
      </c>
      <c r="F65" s="288">
        <f>Inputs!L86/(Inputs!H86+Inputs!J86+Inputs!L86+Inputs!O86)</f>
        <v>0.50577831687090413</v>
      </c>
      <c r="G65" s="279">
        <f>Inputs!I86+Inputs!K86+Inputs!N86</f>
        <v>1632</v>
      </c>
      <c r="H65" s="45">
        <f t="shared" si="3"/>
        <v>2997722.0046462668</v>
      </c>
      <c r="I65" s="30">
        <f t="shared" si="7"/>
        <v>102657.00464626681</v>
      </c>
      <c r="J65" s="38">
        <f t="shared" si="8"/>
        <v>3.5459309081580834E-2</v>
      </c>
      <c r="K65" s="11">
        <f t="shared" si="4"/>
        <v>3.5459309081580834E-2</v>
      </c>
      <c r="L65" s="321">
        <f t="shared" si="2"/>
        <v>10538460602.943645</v>
      </c>
      <c r="M65" s="321">
        <f t="shared" si="5"/>
        <v>109682.52774026524</v>
      </c>
      <c r="N65" s="321">
        <f t="shared" si="6"/>
        <v>12030256891.494055</v>
      </c>
      <c r="O65" s="11"/>
    </row>
    <row r="66" spans="1:16" x14ac:dyDescent="0.2">
      <c r="A66" s="44">
        <v>43585</v>
      </c>
      <c r="B66" s="45">
        <f>Inputs!D87+Inputs!E87</f>
        <v>2605908</v>
      </c>
      <c r="C66" s="45">
        <f>Inputs!S87</f>
        <v>469.70000000000005</v>
      </c>
      <c r="D66" s="45">
        <f>Inputs!T87</f>
        <v>0</v>
      </c>
      <c r="E66" s="275">
        <v>30</v>
      </c>
      <c r="F66" s="288">
        <f>Inputs!L87/(Inputs!H87+Inputs!J87+Inputs!L87+Inputs!O87)</f>
        <v>0.5705523986900477</v>
      </c>
      <c r="G66" s="279">
        <f>Inputs!I87+Inputs!K87+Inputs!N87</f>
        <v>1632</v>
      </c>
      <c r="H66" s="45">
        <f t="shared" si="3"/>
        <v>2766545.4810798801</v>
      </c>
      <c r="I66" s="30">
        <f t="shared" si="7"/>
        <v>160637.48107988015</v>
      </c>
      <c r="J66" s="38">
        <f t="shared" si="8"/>
        <v>6.1643573403159339E-2</v>
      </c>
      <c r="K66" s="11">
        <f t="shared" si="4"/>
        <v>6.1643573403159339E-2</v>
      </c>
      <c r="L66" s="321">
        <f t="shared" si="2"/>
        <v>25804400327.688854</v>
      </c>
      <c r="M66" s="321">
        <f t="shared" si="5"/>
        <v>57980.476433613338</v>
      </c>
      <c r="N66" s="321">
        <f t="shared" si="6"/>
        <v>3361735647.4687915</v>
      </c>
      <c r="O66" s="11"/>
    </row>
    <row r="67" spans="1:16" x14ac:dyDescent="0.2">
      <c r="A67" s="44">
        <v>43616</v>
      </c>
      <c r="B67" s="45">
        <f>Inputs!D88+Inputs!E88</f>
        <v>2494751</v>
      </c>
      <c r="C67" s="45">
        <f>Inputs!S88</f>
        <v>307.60000000000008</v>
      </c>
      <c r="D67" s="45">
        <f>Inputs!T88</f>
        <v>0</v>
      </c>
      <c r="E67" s="275">
        <v>31</v>
      </c>
      <c r="F67" s="288">
        <f>Inputs!L88/(Inputs!H88+Inputs!J88+Inputs!L88+Inputs!O88)</f>
        <v>0.5609953104350287</v>
      </c>
      <c r="G67" s="279">
        <f>Inputs!I88+Inputs!K88+Inputs!N88</f>
        <v>1632</v>
      </c>
      <c r="H67" s="45">
        <f t="shared" si="3"/>
        <v>2617847.1908708075</v>
      </c>
      <c r="I67" s="30">
        <f t="shared" ref="I67:I98" si="9">H67-B67</f>
        <v>123096.19087080751</v>
      </c>
      <c r="J67" s="38">
        <f t="shared" ref="J67:J98" si="10">I67/B67</f>
        <v>4.9342074968927764E-2</v>
      </c>
      <c r="K67" s="11">
        <f t="shared" ref="K67:K122" si="11">ABS(J67)</f>
        <v>4.9342074968927764E-2</v>
      </c>
      <c r="L67" s="321">
        <f t="shared" ref="L67:L122" si="12">I67*I67</f>
        <v>15152672206.902273</v>
      </c>
      <c r="M67" s="321">
        <f t="shared" si="5"/>
        <v>-37541.290209072642</v>
      </c>
      <c r="N67" s="321">
        <f t="shared" si="6"/>
        <v>1409348470.5618134</v>
      </c>
      <c r="O67" s="11"/>
    </row>
    <row r="68" spans="1:16" x14ac:dyDescent="0.2">
      <c r="A68" s="44">
        <v>43646</v>
      </c>
      <c r="B68" s="45">
        <f>Inputs!D89+Inputs!E89</f>
        <v>2134527</v>
      </c>
      <c r="C68" s="45">
        <f>Inputs!S89</f>
        <v>113.6</v>
      </c>
      <c r="D68" s="45">
        <f>Inputs!T89</f>
        <v>16.7</v>
      </c>
      <c r="E68" s="275">
        <v>30</v>
      </c>
      <c r="F68" s="288">
        <f>Inputs!L89/(Inputs!H89+Inputs!J89+Inputs!L89+Inputs!O89)</f>
        <v>0.50313391134833607</v>
      </c>
      <c r="G68" s="279">
        <f>Inputs!I89+Inputs!K89+Inputs!N89</f>
        <v>1633</v>
      </c>
      <c r="H68" s="45">
        <f t="shared" ref="H68:H122" si="13">$Q$18+$Q$19*C68+$Q$20*D68+$Q$21*E68+$Q$22*F68+$Q$23*G68</f>
        <v>2212680.7553645764</v>
      </c>
      <c r="I68" s="30">
        <f t="shared" si="9"/>
        <v>78153.755364576355</v>
      </c>
      <c r="J68" s="38">
        <f t="shared" si="10"/>
        <v>3.6614086101781032E-2</v>
      </c>
      <c r="K68" s="11">
        <f t="shared" si="11"/>
        <v>3.6614086101781032E-2</v>
      </c>
      <c r="L68" s="321">
        <f t="shared" si="12"/>
        <v>6108009477.5860472</v>
      </c>
      <c r="M68" s="321">
        <f t="shared" ref="M68:M122" si="14">I68-I67</f>
        <v>-44942.435506231152</v>
      </c>
      <c r="N68" s="321">
        <f t="shared" ref="N68:N122" si="15">M68*M68</f>
        <v>2019822509.2317464</v>
      </c>
      <c r="O68" s="11"/>
    </row>
    <row r="69" spans="1:16" x14ac:dyDescent="0.2">
      <c r="A69" s="44">
        <v>43677</v>
      </c>
      <c r="B69" s="45">
        <f>Inputs!D90+Inputs!E90</f>
        <v>2456161</v>
      </c>
      <c r="C69" s="45">
        <f>Inputs!S90</f>
        <v>16.600000000000001</v>
      </c>
      <c r="D69" s="45">
        <f>Inputs!T90</f>
        <v>38.699999999999996</v>
      </c>
      <c r="E69" s="275">
        <v>31</v>
      </c>
      <c r="F69" s="288">
        <f>Inputs!L90/(Inputs!H90+Inputs!J90+Inputs!L90+Inputs!O90)</f>
        <v>0.49577830566227593</v>
      </c>
      <c r="G69" s="279">
        <f>Inputs!I90+Inputs!K90+Inputs!N90</f>
        <v>1630</v>
      </c>
      <c r="H69" s="45">
        <f t="shared" si="13"/>
        <v>2369284.2179784887</v>
      </c>
      <c r="I69" s="30">
        <f t="shared" si="9"/>
        <v>-86876.782021511346</v>
      </c>
      <c r="J69" s="38">
        <f t="shared" si="10"/>
        <v>-3.5370963882868978E-2</v>
      </c>
      <c r="K69" s="11">
        <f t="shared" si="11"/>
        <v>3.5370963882868978E-2</v>
      </c>
      <c r="L69" s="321">
        <f t="shared" si="12"/>
        <v>7547575254.4131975</v>
      </c>
      <c r="M69" s="321">
        <f t="shared" si="14"/>
        <v>-165030.5373860877</v>
      </c>
      <c r="N69" s="321">
        <f t="shared" si="15"/>
        <v>27235078269.940891</v>
      </c>
      <c r="O69" s="11"/>
    </row>
    <row r="70" spans="1:16" x14ac:dyDescent="0.2">
      <c r="A70" s="44">
        <v>43708</v>
      </c>
      <c r="B70" s="45">
        <f>Inputs!D91+Inputs!E91</f>
        <v>2333313.9999999995</v>
      </c>
      <c r="C70" s="45">
        <f>Inputs!S91</f>
        <v>66.699999999999989</v>
      </c>
      <c r="D70" s="45">
        <f>Inputs!T91</f>
        <v>18.899999999999999</v>
      </c>
      <c r="E70" s="275">
        <v>31</v>
      </c>
      <c r="F70" s="288">
        <f>Inputs!L91/(Inputs!H91+Inputs!J91+Inputs!L91+Inputs!O91)</f>
        <v>0.51260206038959233</v>
      </c>
      <c r="G70" s="279">
        <f>Inputs!I91+Inputs!K91+Inputs!N91</f>
        <v>1632</v>
      </c>
      <c r="H70" s="45">
        <f t="shared" si="13"/>
        <v>2307245.4002359882</v>
      </c>
      <c r="I70" s="30">
        <f t="shared" si="9"/>
        <v>-26068.599764011335</v>
      </c>
      <c r="J70" s="38">
        <f t="shared" si="10"/>
        <v>-1.1172349612615935E-2</v>
      </c>
      <c r="K70" s="11">
        <f t="shared" si="11"/>
        <v>1.1172349612615935E-2</v>
      </c>
      <c r="L70" s="321">
        <f t="shared" si="12"/>
        <v>679571893.65621185</v>
      </c>
      <c r="M70" s="321">
        <f t="shared" si="14"/>
        <v>60808.182257500011</v>
      </c>
      <c r="N70" s="321">
        <f t="shared" si="15"/>
        <v>3697635029.461339</v>
      </c>
      <c r="O70" s="11"/>
    </row>
    <row r="71" spans="1:16" x14ac:dyDescent="0.2">
      <c r="A71" s="44">
        <v>43738</v>
      </c>
      <c r="B71" s="45">
        <f>Inputs!D92+Inputs!E92</f>
        <v>1917514</v>
      </c>
      <c r="C71" s="45">
        <f>Inputs!S92</f>
        <v>173.2</v>
      </c>
      <c r="D71" s="45">
        <f>Inputs!T92</f>
        <v>5.7</v>
      </c>
      <c r="E71" s="275">
        <v>30</v>
      </c>
      <c r="F71" s="288">
        <f>Inputs!L92/(Inputs!H92+Inputs!J92+Inputs!L92+Inputs!O92)</f>
        <v>0.46217152481418844</v>
      </c>
      <c r="G71" s="279">
        <f>Inputs!I92+Inputs!K92+Inputs!N92</f>
        <v>1633</v>
      </c>
      <c r="H71" s="45">
        <f t="shared" si="13"/>
        <v>2010210.0168083552</v>
      </c>
      <c r="I71" s="30">
        <f t="shared" si="9"/>
        <v>92696.016808355227</v>
      </c>
      <c r="J71" s="38">
        <f t="shared" si="10"/>
        <v>4.8341767939298085E-2</v>
      </c>
      <c r="K71" s="11">
        <f t="shared" si="11"/>
        <v>4.8341767939298085E-2</v>
      </c>
      <c r="L71" s="321">
        <f t="shared" si="12"/>
        <v>8592551532.1348743</v>
      </c>
      <c r="M71" s="321">
        <f t="shared" si="14"/>
        <v>118764.61657236656</v>
      </c>
      <c r="N71" s="321">
        <f t="shared" si="15"/>
        <v>14105034149.581245</v>
      </c>
      <c r="O71" s="11"/>
    </row>
    <row r="72" spans="1:16" x14ac:dyDescent="0.2">
      <c r="A72" s="44">
        <v>43769</v>
      </c>
      <c r="B72" s="45">
        <f>Inputs!D93+Inputs!E93</f>
        <v>2221172</v>
      </c>
      <c r="C72" s="45">
        <f>Inputs!S93</f>
        <v>412</v>
      </c>
      <c r="D72" s="45">
        <f>Inputs!T93</f>
        <v>0</v>
      </c>
      <c r="E72" s="275">
        <v>31</v>
      </c>
      <c r="F72" s="288">
        <f>Inputs!L93/(Inputs!H93+Inputs!J93+Inputs!L93+Inputs!O93)</f>
        <v>0.47739405331625701</v>
      </c>
      <c r="G72" s="279">
        <f>Inputs!I93+Inputs!K93+Inputs!N93</f>
        <v>1628</v>
      </c>
      <c r="H72" s="45">
        <f t="shared" si="13"/>
        <v>2393383.8101536557</v>
      </c>
      <c r="I72" s="30">
        <f t="shared" si="9"/>
        <v>172211.81015365571</v>
      </c>
      <c r="J72" s="38">
        <f t="shared" si="10"/>
        <v>7.7531956171631777E-2</v>
      </c>
      <c r="K72" s="11">
        <f t="shared" si="11"/>
        <v>7.7531956171631777E-2</v>
      </c>
      <c r="L72" s="321">
        <f t="shared" si="12"/>
        <v>29656907556.398754</v>
      </c>
      <c r="M72" s="321">
        <f t="shared" si="14"/>
        <v>79515.793345300481</v>
      </c>
      <c r="N72" s="321">
        <f t="shared" si="15"/>
        <v>6322761391.3325319</v>
      </c>
      <c r="O72" s="11"/>
    </row>
    <row r="73" spans="1:16" x14ac:dyDescent="0.2">
      <c r="A73" s="44">
        <v>43799</v>
      </c>
      <c r="B73" s="45">
        <f>Inputs!D94+Inputs!E94</f>
        <v>3012737</v>
      </c>
      <c r="C73" s="45">
        <f>Inputs!S94</f>
        <v>714.60000000000014</v>
      </c>
      <c r="D73" s="45">
        <f>Inputs!T94</f>
        <v>0</v>
      </c>
      <c r="E73" s="275">
        <v>30</v>
      </c>
      <c r="F73" s="288">
        <f>Inputs!L94/(Inputs!H94+Inputs!J94+Inputs!L94+Inputs!O94)</f>
        <v>0.55156893101984372</v>
      </c>
      <c r="G73" s="279">
        <f>Inputs!I94+Inputs!K94+Inputs!N94</f>
        <v>1629</v>
      </c>
      <c r="H73" s="45">
        <f t="shared" si="13"/>
        <v>2990396.5491803754</v>
      </c>
      <c r="I73" s="30">
        <f t="shared" si="9"/>
        <v>-22340.450819624588</v>
      </c>
      <c r="J73" s="38">
        <f t="shared" si="10"/>
        <v>-7.4153339038968841E-3</v>
      </c>
      <c r="K73" s="11">
        <f t="shared" si="11"/>
        <v>7.4153339038968841E-3</v>
      </c>
      <c r="L73" s="321">
        <f t="shared" si="12"/>
        <v>499095742.82406491</v>
      </c>
      <c r="M73" s="321">
        <f t="shared" si="14"/>
        <v>-194552.2609732803</v>
      </c>
      <c r="N73" s="321">
        <f t="shared" si="15"/>
        <v>37850582249.815361</v>
      </c>
      <c r="O73" s="11"/>
    </row>
    <row r="74" spans="1:16" x14ac:dyDescent="0.2">
      <c r="A74" s="44">
        <v>43830</v>
      </c>
      <c r="B74" s="45">
        <f>Inputs!D95+Inputs!E95</f>
        <v>3572063</v>
      </c>
      <c r="C74" s="45">
        <f>Inputs!S95</f>
        <v>930.19999999999982</v>
      </c>
      <c r="D74" s="45">
        <f>Inputs!T95</f>
        <v>0</v>
      </c>
      <c r="E74" s="275">
        <v>31</v>
      </c>
      <c r="F74" s="288">
        <f>Inputs!L95/(Inputs!H95+Inputs!J95+Inputs!L95+Inputs!O95)</f>
        <v>0.57774290261719197</v>
      </c>
      <c r="G74" s="279">
        <f>Inputs!I95+Inputs!K95+Inputs!N95</f>
        <v>1629</v>
      </c>
      <c r="H74" s="45">
        <f t="shared" si="13"/>
        <v>3475238.9939172249</v>
      </c>
      <c r="I74" s="30">
        <f t="shared" si="9"/>
        <v>-96824.006082775071</v>
      </c>
      <c r="J74" s="38">
        <f t="shared" si="10"/>
        <v>-2.7105906609926834E-2</v>
      </c>
      <c r="K74" s="11">
        <f t="shared" si="11"/>
        <v>2.7105906609926834E-2</v>
      </c>
      <c r="L74" s="321">
        <f t="shared" si="12"/>
        <v>9374888153.9172649</v>
      </c>
      <c r="M74" s="321">
        <f t="shared" si="14"/>
        <v>-74483.555263150483</v>
      </c>
      <c r="N74" s="321">
        <f t="shared" si="15"/>
        <v>5547800004.638792</v>
      </c>
      <c r="O74" s="11"/>
    </row>
    <row r="75" spans="1:16" x14ac:dyDescent="0.2">
      <c r="A75" s="44">
        <v>43861</v>
      </c>
      <c r="B75" s="45">
        <f>Inputs!D96+Inputs!E96</f>
        <v>3441071</v>
      </c>
      <c r="C75" s="45">
        <f>Inputs!S96</f>
        <v>913.69999999999993</v>
      </c>
      <c r="D75" s="45">
        <f>Inputs!T96</f>
        <v>0</v>
      </c>
      <c r="E75" s="275">
        <v>31</v>
      </c>
      <c r="F75" s="288">
        <f>Inputs!L96/(Inputs!H96+Inputs!J96+Inputs!L96+Inputs!O96)</f>
        <v>0.55150542502884747</v>
      </c>
      <c r="G75" s="279">
        <f>Inputs!I96+Inputs!K96+Inputs!N96</f>
        <v>1624</v>
      </c>
      <c r="H75" s="45">
        <f t="shared" si="13"/>
        <v>3319809.9288176186</v>
      </c>
      <c r="I75" s="30">
        <f t="shared" si="9"/>
        <v>-121261.07118238136</v>
      </c>
      <c r="J75" s="38">
        <f t="shared" si="10"/>
        <v>-3.5239340072431333E-2</v>
      </c>
      <c r="K75" s="11">
        <f t="shared" si="11"/>
        <v>3.5239340072431333E-2</v>
      </c>
      <c r="L75" s="321">
        <f t="shared" si="12"/>
        <v>14704247384.298559</v>
      </c>
      <c r="M75" s="321">
        <f t="shared" si="14"/>
        <v>-24437.06509960629</v>
      </c>
      <c r="N75" s="321">
        <f t="shared" si="15"/>
        <v>597170150.68239582</v>
      </c>
      <c r="O75" s="11"/>
      <c r="P75" s="39"/>
    </row>
    <row r="76" spans="1:16" x14ac:dyDescent="0.2">
      <c r="A76" s="44">
        <v>43890</v>
      </c>
      <c r="B76" s="45">
        <f>Inputs!D97+Inputs!E97</f>
        <v>2983572</v>
      </c>
      <c r="C76" s="45">
        <f>Inputs!S97</f>
        <v>931.60000000000014</v>
      </c>
      <c r="D76" s="45">
        <f>Inputs!T97</f>
        <v>0</v>
      </c>
      <c r="E76" s="275">
        <v>29</v>
      </c>
      <c r="F76" s="288">
        <f>Inputs!L97/(Inputs!H97+Inputs!J97+Inputs!L97+Inputs!O97)</f>
        <v>0.52871369796021284</v>
      </c>
      <c r="G76" s="279">
        <f>Inputs!I97+Inputs!K97+Inputs!N97</f>
        <v>1626</v>
      </c>
      <c r="H76" s="45">
        <f t="shared" si="13"/>
        <v>3062578.3947247583</v>
      </c>
      <c r="I76" s="30">
        <f t="shared" si="9"/>
        <v>79006.394724758342</v>
      </c>
      <c r="J76" s="38">
        <f t="shared" si="10"/>
        <v>2.6480471972775699E-2</v>
      </c>
      <c r="K76" s="11">
        <f t="shared" si="11"/>
        <v>2.6480471972775699E-2</v>
      </c>
      <c r="L76" s="321">
        <f t="shared" si="12"/>
        <v>6242010407.4043226</v>
      </c>
      <c r="M76" s="321">
        <f t="shared" si="14"/>
        <v>200267.4659071397</v>
      </c>
      <c r="N76" s="321">
        <f t="shared" si="15"/>
        <v>40107057900.867363</v>
      </c>
      <c r="O76" s="11"/>
    </row>
    <row r="77" spans="1:16" x14ac:dyDescent="0.2">
      <c r="A77" s="44">
        <v>43921</v>
      </c>
      <c r="B77" s="45">
        <f>Inputs!D98+Inputs!E98</f>
        <v>2833283.9999999995</v>
      </c>
      <c r="C77" s="45">
        <f>Inputs!S98</f>
        <v>698.49999999999989</v>
      </c>
      <c r="D77" s="45">
        <f>Inputs!T98</f>
        <v>0</v>
      </c>
      <c r="E77" s="275">
        <v>31</v>
      </c>
      <c r="F77" s="288">
        <f>Inputs!L98/(Inputs!H98+Inputs!J98+Inputs!L98+Inputs!O98)</f>
        <v>0.52838226761660445</v>
      </c>
      <c r="G77" s="279">
        <f>Inputs!I98+Inputs!K98+Inputs!N98</f>
        <v>1625</v>
      </c>
      <c r="H77" s="45">
        <f t="shared" si="13"/>
        <v>2953336.7499845261</v>
      </c>
      <c r="I77" s="30">
        <f t="shared" si="9"/>
        <v>120052.74998452654</v>
      </c>
      <c r="J77" s="38">
        <f t="shared" si="10"/>
        <v>4.237229659452655E-2</v>
      </c>
      <c r="K77" s="11">
        <f t="shared" si="11"/>
        <v>4.237229659452655E-2</v>
      </c>
      <c r="L77" s="321">
        <f t="shared" si="12"/>
        <v>14412662778.847237</v>
      </c>
      <c r="M77" s="321">
        <f t="shared" si="14"/>
        <v>41046.355259768199</v>
      </c>
      <c r="N77" s="321">
        <f t="shared" si="15"/>
        <v>1684803280.1111004</v>
      </c>
      <c r="O77" s="11"/>
    </row>
    <row r="78" spans="1:16" x14ac:dyDescent="0.2">
      <c r="A78" s="44">
        <v>43951</v>
      </c>
      <c r="B78" s="45">
        <f>Inputs!D99+Inputs!E99</f>
        <v>2572836</v>
      </c>
      <c r="C78" s="45">
        <f>Inputs!S99</f>
        <v>510.70000000000005</v>
      </c>
      <c r="D78" s="45">
        <f>Inputs!T99</f>
        <v>0</v>
      </c>
      <c r="E78" s="275">
        <v>30</v>
      </c>
      <c r="F78" s="288">
        <f>Inputs!L99/(Inputs!H99+Inputs!J99+Inputs!L99+Inputs!O99)</f>
        <v>0.54497532626662837</v>
      </c>
      <c r="G78" s="279">
        <f>Inputs!I99+Inputs!K99+Inputs!N99</f>
        <v>1631</v>
      </c>
      <c r="H78" s="45">
        <f t="shared" si="13"/>
        <v>2710876.2967777112</v>
      </c>
      <c r="I78" s="30">
        <f t="shared" si="9"/>
        <v>138040.29677771125</v>
      </c>
      <c r="J78" s="38">
        <f t="shared" si="10"/>
        <v>5.3652971576000665E-2</v>
      </c>
      <c r="K78" s="11">
        <f t="shared" si="11"/>
        <v>5.3652971576000665E-2</v>
      </c>
      <c r="L78" s="321">
        <f t="shared" si="12"/>
        <v>19055123534.4786</v>
      </c>
      <c r="M78" s="321">
        <f t="shared" si="14"/>
        <v>17987.546793184709</v>
      </c>
      <c r="N78" s="321">
        <f t="shared" si="15"/>
        <v>323551839.6370095</v>
      </c>
      <c r="O78" s="11"/>
    </row>
    <row r="79" spans="1:16" x14ac:dyDescent="0.2">
      <c r="A79" s="44">
        <v>43982</v>
      </c>
      <c r="B79" s="45">
        <f>Inputs!D100+Inputs!E100</f>
        <v>2339315</v>
      </c>
      <c r="C79" s="45">
        <f>Inputs!S100</f>
        <v>251.2</v>
      </c>
      <c r="D79" s="45">
        <f>Inputs!T100</f>
        <v>5.6000000000000005</v>
      </c>
      <c r="E79" s="275">
        <v>31</v>
      </c>
      <c r="F79" s="288">
        <f>Inputs!L100/(Inputs!H100+Inputs!J100+Inputs!L100+Inputs!O100)</f>
        <v>0.53459545861604529</v>
      </c>
      <c r="G79" s="279">
        <f>Inputs!I100+Inputs!K100+Inputs!N100</f>
        <v>1629</v>
      </c>
      <c r="H79" s="45">
        <f t="shared" si="13"/>
        <v>2479644.0921659935</v>
      </c>
      <c r="I79" s="30">
        <f t="shared" si="9"/>
        <v>140329.09216599353</v>
      </c>
      <c r="J79" s="38">
        <f t="shared" si="10"/>
        <v>5.9987257879333705E-2</v>
      </c>
      <c r="K79" s="11">
        <f t="shared" si="11"/>
        <v>5.9987257879333705E-2</v>
      </c>
      <c r="L79" s="321">
        <f t="shared" si="12"/>
        <v>19692254108.131905</v>
      </c>
      <c r="M79" s="321">
        <f t="shared" si="14"/>
        <v>2288.7953882822767</v>
      </c>
      <c r="N79" s="321">
        <f t="shared" si="15"/>
        <v>5238584.3294222178</v>
      </c>
      <c r="O79" s="11"/>
    </row>
    <row r="80" spans="1:16" x14ac:dyDescent="0.2">
      <c r="A80" s="44">
        <v>44012</v>
      </c>
      <c r="B80" s="45">
        <f>Inputs!D101+Inputs!E101</f>
        <v>2248351</v>
      </c>
      <c r="C80" s="45">
        <f>Inputs!S101</f>
        <v>75.3</v>
      </c>
      <c r="D80" s="45">
        <f>Inputs!T101</f>
        <v>38.700000000000003</v>
      </c>
      <c r="E80" s="275">
        <v>30</v>
      </c>
      <c r="F80" s="288">
        <f>Inputs!L101/(Inputs!H101+Inputs!J101+Inputs!L101+Inputs!O101)</f>
        <v>0.51878087552963015</v>
      </c>
      <c r="G80" s="279">
        <f>Inputs!I101+Inputs!K101+Inputs!N101</f>
        <v>1633</v>
      </c>
      <c r="H80" s="45">
        <f t="shared" si="13"/>
        <v>2455157.7827502219</v>
      </c>
      <c r="I80" s="30">
        <f t="shared" si="9"/>
        <v>206806.7827502219</v>
      </c>
      <c r="J80" s="38">
        <f t="shared" si="10"/>
        <v>9.1981537913885289E-2</v>
      </c>
      <c r="K80" s="11">
        <f t="shared" si="11"/>
        <v>9.1981537913885289E-2</v>
      </c>
      <c r="L80" s="321">
        <f t="shared" si="12"/>
        <v>42769045391.497482</v>
      </c>
      <c r="M80" s="321">
        <f t="shared" si="14"/>
        <v>66477.690584228374</v>
      </c>
      <c r="N80" s="321">
        <f t="shared" si="15"/>
        <v>4419283345.412406</v>
      </c>
      <c r="O80" s="11"/>
    </row>
    <row r="81" spans="1:16" x14ac:dyDescent="0.2">
      <c r="A81" s="44">
        <v>44043</v>
      </c>
      <c r="B81" s="45">
        <f>Inputs!D102+Inputs!E102</f>
        <v>2759392</v>
      </c>
      <c r="C81" s="45">
        <f>Inputs!S102</f>
        <v>14.100000000000001</v>
      </c>
      <c r="D81" s="45">
        <f>Inputs!T102</f>
        <v>74.000000000000014</v>
      </c>
      <c r="E81" s="275">
        <v>31</v>
      </c>
      <c r="F81" s="288">
        <f>Inputs!L102/(Inputs!H102+Inputs!J102+Inputs!L102+Inputs!O102)</f>
        <v>0.52547497729875514</v>
      </c>
      <c r="G81" s="279">
        <f>Inputs!I102+Inputs!K102+Inputs!N102</f>
        <v>1633</v>
      </c>
      <c r="H81" s="45">
        <f t="shared" si="13"/>
        <v>2870196.9717162885</v>
      </c>
      <c r="I81" s="30">
        <f t="shared" si="9"/>
        <v>110804.97171628848</v>
      </c>
      <c r="J81" s="38">
        <f t="shared" si="10"/>
        <v>4.0155574748454902E-2</v>
      </c>
      <c r="K81" s="11">
        <f t="shared" si="11"/>
        <v>4.0155574748454902E-2</v>
      </c>
      <c r="L81" s="321">
        <f t="shared" si="12"/>
        <v>12277741757.047489</v>
      </c>
      <c r="M81" s="321">
        <f t="shared" si="14"/>
        <v>-96001.811033933423</v>
      </c>
      <c r="N81" s="321">
        <f t="shared" si="15"/>
        <v>9216347721.7950611</v>
      </c>
      <c r="O81" s="11"/>
      <c r="P81"/>
    </row>
    <row r="82" spans="1:16" x14ac:dyDescent="0.2">
      <c r="A82" s="44">
        <v>44074</v>
      </c>
      <c r="B82" s="45">
        <f>Inputs!D103+Inputs!E103</f>
        <v>2286313</v>
      </c>
      <c r="C82" s="45">
        <f>Inputs!S103</f>
        <v>41.4</v>
      </c>
      <c r="D82" s="45">
        <f>Inputs!T103</f>
        <v>28.5</v>
      </c>
      <c r="E82" s="275">
        <v>31</v>
      </c>
      <c r="F82" s="288">
        <f>Inputs!L103/(Inputs!H103+Inputs!J103+Inputs!L103+Inputs!O103)</f>
        <v>0.49189001629989182</v>
      </c>
      <c r="G82" s="279">
        <f>Inputs!I103+Inputs!K103+Inputs!N103</f>
        <v>1631</v>
      </c>
      <c r="H82" s="45">
        <f t="shared" si="13"/>
        <v>2285211.6341408063</v>
      </c>
      <c r="I82" s="30">
        <f t="shared" si="9"/>
        <v>-1101.3658591937274</v>
      </c>
      <c r="J82" s="38">
        <f t="shared" si="10"/>
        <v>-4.8172138250262642E-4</v>
      </c>
      <c r="K82" s="11">
        <f t="shared" si="11"/>
        <v>4.8172138250262642E-4</v>
      </c>
      <c r="L82" s="321">
        <f t="shared" si="12"/>
        <v>1213006.7557975373</v>
      </c>
      <c r="M82" s="321">
        <f t="shared" si="14"/>
        <v>-111906.3375754822</v>
      </c>
      <c r="N82" s="321">
        <f t="shared" si="15"/>
        <v>12523028389.557781</v>
      </c>
      <c r="O82" s="11"/>
      <c r="P82"/>
    </row>
    <row r="83" spans="1:16" x14ac:dyDescent="0.2">
      <c r="A83" s="44">
        <v>44104</v>
      </c>
      <c r="B83" s="45">
        <f>Inputs!D104+Inputs!E104</f>
        <v>2421573</v>
      </c>
      <c r="C83" s="45">
        <f>Inputs!S104</f>
        <v>218.20000000000002</v>
      </c>
      <c r="D83" s="45">
        <f>Inputs!T104</f>
        <v>0.8</v>
      </c>
      <c r="E83" s="275">
        <v>30</v>
      </c>
      <c r="F83" s="288">
        <f>Inputs!L104/(Inputs!H104+Inputs!J104+Inputs!L104+Inputs!O104)</f>
        <v>0.60164959491038805</v>
      </c>
      <c r="G83" s="279">
        <f>Inputs!I104+Inputs!K104+Inputs!N104</f>
        <v>1635</v>
      </c>
      <c r="H83" s="45">
        <f t="shared" si="13"/>
        <v>2591323.8254886046</v>
      </c>
      <c r="I83" s="30">
        <f t="shared" si="9"/>
        <v>169750.82548860461</v>
      </c>
      <c r="J83" s="38">
        <f t="shared" si="10"/>
        <v>7.0099404597179032E-2</v>
      </c>
      <c r="K83" s="11">
        <f t="shared" si="11"/>
        <v>7.0099404597179032E-2</v>
      </c>
      <c r="L83" s="321">
        <f t="shared" si="12"/>
        <v>28815342754.062695</v>
      </c>
      <c r="M83" s="321">
        <f t="shared" si="14"/>
        <v>170852.19134779833</v>
      </c>
      <c r="N83" s="321">
        <f t="shared" si="15"/>
        <v>29190471288.344696</v>
      </c>
      <c r="O83" s="11"/>
      <c r="P83"/>
    </row>
    <row r="84" spans="1:16" x14ac:dyDescent="0.2">
      <c r="A84" s="44">
        <v>44135</v>
      </c>
      <c r="B84" s="45">
        <f>Inputs!D105+Inputs!E105</f>
        <v>2767069.87</v>
      </c>
      <c r="C84" s="45">
        <f>Inputs!S105</f>
        <v>529</v>
      </c>
      <c r="D84" s="45">
        <f>Inputs!T105</f>
        <v>0</v>
      </c>
      <c r="E84" s="275">
        <v>31</v>
      </c>
      <c r="F84" s="288">
        <f>Inputs!L105/(Inputs!H105+Inputs!J105+Inputs!L105+Inputs!O105)</f>
        <v>0.56818935866900211</v>
      </c>
      <c r="G84" s="279">
        <f>Inputs!I105+Inputs!K105+Inputs!N105</f>
        <v>1632</v>
      </c>
      <c r="H84" s="45">
        <f t="shared" si="13"/>
        <v>2933759.0924550649</v>
      </c>
      <c r="I84" s="30">
        <f t="shared" si="9"/>
        <v>166689.22245506477</v>
      </c>
      <c r="J84" s="38">
        <f t="shared" si="10"/>
        <v>6.024033735550912E-2</v>
      </c>
      <c r="K84" s="11">
        <f t="shared" si="11"/>
        <v>6.024033735550912E-2</v>
      </c>
      <c r="L84" s="321">
        <f t="shared" si="12"/>
        <v>27785296882.674068</v>
      </c>
      <c r="M84" s="321">
        <f t="shared" si="14"/>
        <v>-3061.6030335398391</v>
      </c>
      <c r="N84" s="321">
        <f t="shared" si="15"/>
        <v>9373413.1349803451</v>
      </c>
      <c r="O84" s="11"/>
      <c r="P84"/>
    </row>
    <row r="85" spans="1:16" x14ac:dyDescent="0.2">
      <c r="A85" s="44">
        <v>44165</v>
      </c>
      <c r="B85" s="45">
        <f>Inputs!D106+Inputs!E106</f>
        <v>2883439.98</v>
      </c>
      <c r="C85" s="45">
        <f>Inputs!S106</f>
        <v>595</v>
      </c>
      <c r="D85" s="45">
        <f>Inputs!T106</f>
        <v>0</v>
      </c>
      <c r="E85" s="275">
        <v>30</v>
      </c>
      <c r="F85" s="288">
        <f>Inputs!L106/(Inputs!H106+Inputs!J106+Inputs!L106+Inputs!O106)</f>
        <v>0.56326249645195581</v>
      </c>
      <c r="G85" s="279">
        <f>Inputs!I106+Inputs!K106+Inputs!N106</f>
        <v>1629</v>
      </c>
      <c r="H85" s="45">
        <f t="shared" si="13"/>
        <v>2882574.4290910624</v>
      </c>
      <c r="I85" s="30">
        <f t="shared" si="9"/>
        <v>-865.55090893758461</v>
      </c>
      <c r="J85" s="38">
        <f t="shared" si="10"/>
        <v>-3.0017996384221066E-4</v>
      </c>
      <c r="K85" s="11">
        <f t="shared" si="11"/>
        <v>3.0017996384221066E-4</v>
      </c>
      <c r="L85" s="321">
        <f t="shared" si="12"/>
        <v>749178.37596267893</v>
      </c>
      <c r="M85" s="321">
        <f t="shared" si="14"/>
        <v>-167554.77336400235</v>
      </c>
      <c r="N85" s="321">
        <f t="shared" si="15"/>
        <v>28074602077.062191</v>
      </c>
      <c r="O85" s="11"/>
      <c r="P85"/>
    </row>
    <row r="86" spans="1:16" x14ac:dyDescent="0.2">
      <c r="A86" s="44">
        <v>44196</v>
      </c>
      <c r="B86" s="45">
        <f>Inputs!D107+Inputs!E107</f>
        <v>3244269</v>
      </c>
      <c r="C86" s="45">
        <f>Inputs!S107</f>
        <v>829.00000000000034</v>
      </c>
      <c r="D86" s="45">
        <f>Inputs!T107</f>
        <v>0</v>
      </c>
      <c r="E86" s="275">
        <v>31</v>
      </c>
      <c r="F86" s="288">
        <f>Inputs!L107/(Inputs!H107+Inputs!J107+Inputs!L107+Inputs!O107)</f>
        <v>0.55404769876261184</v>
      </c>
      <c r="G86" s="279">
        <f>Inputs!I107+Inputs!K107+Inputs!N107</f>
        <v>1627</v>
      </c>
      <c r="H86" s="45">
        <f t="shared" si="13"/>
        <v>3237244.8414008878</v>
      </c>
      <c r="I86" s="30">
        <f t="shared" si="9"/>
        <v>-7024.1585991121829</v>
      </c>
      <c r="J86" s="38">
        <f t="shared" si="10"/>
        <v>-2.1650974685243989E-3</v>
      </c>
      <c r="K86" s="11">
        <f t="shared" si="11"/>
        <v>2.1650974685243989E-3</v>
      </c>
      <c r="L86" s="321">
        <f t="shared" si="12"/>
        <v>49338804.025481626</v>
      </c>
      <c r="M86" s="321">
        <f t="shared" si="14"/>
        <v>-6158.6076901745982</v>
      </c>
      <c r="N86" s="321">
        <f t="shared" si="15"/>
        <v>37928448.681477703</v>
      </c>
      <c r="O86" s="11"/>
      <c r="P86"/>
    </row>
    <row r="87" spans="1:16" x14ac:dyDescent="0.2">
      <c r="A87" s="44">
        <v>44227</v>
      </c>
      <c r="B87" s="45">
        <f>Inputs!D108+Inputs!E108</f>
        <v>3358707</v>
      </c>
      <c r="C87" s="45">
        <f>Inputs!S108</f>
        <v>882.80000000000007</v>
      </c>
      <c r="D87" s="45">
        <f>Inputs!T108</f>
        <v>0</v>
      </c>
      <c r="E87" s="275">
        <v>31</v>
      </c>
      <c r="F87" s="288">
        <f>Inputs!L108/(Inputs!H108+Inputs!J108+Inputs!L108+Inputs!O108)</f>
        <v>0.54475982088454722</v>
      </c>
      <c r="G87" s="279">
        <f>Inputs!I108+Inputs!K108+Inputs!N108</f>
        <v>1627</v>
      </c>
      <c r="H87" s="45">
        <f t="shared" si="13"/>
        <v>3269502.9778269362</v>
      </c>
      <c r="I87" s="30">
        <f t="shared" si="9"/>
        <v>-89204.02217306383</v>
      </c>
      <c r="J87" s="38">
        <f t="shared" si="10"/>
        <v>-2.6559036609345152E-2</v>
      </c>
      <c r="K87" s="11">
        <f t="shared" si="11"/>
        <v>2.6559036609345152E-2</v>
      </c>
      <c r="L87" s="321">
        <f t="shared" si="12"/>
        <v>7957357571.8524637</v>
      </c>
      <c r="M87" s="321">
        <f t="shared" si="14"/>
        <v>-82179.863573951647</v>
      </c>
      <c r="N87" s="321">
        <f t="shared" si="15"/>
        <v>6753529977.0333052</v>
      </c>
      <c r="O87" s="11"/>
      <c r="P87"/>
    </row>
    <row r="88" spans="1:16" x14ac:dyDescent="0.2">
      <c r="A88" s="44">
        <v>44255</v>
      </c>
      <c r="B88" s="45">
        <f>Inputs!D109+Inputs!E109</f>
        <v>3209565</v>
      </c>
      <c r="C88" s="45">
        <f>Inputs!S109</f>
        <v>963.10000000000014</v>
      </c>
      <c r="D88" s="45">
        <f>Inputs!T109</f>
        <v>0</v>
      </c>
      <c r="E88" s="275">
        <v>28</v>
      </c>
      <c r="F88" s="288">
        <f>Inputs!L109/(Inputs!H109+Inputs!J109+Inputs!L109+Inputs!O109)</f>
        <v>0.52204431087842373</v>
      </c>
      <c r="G88" s="279">
        <f>Inputs!I109+Inputs!K109+Inputs!N109</f>
        <v>1627</v>
      </c>
      <c r="H88" s="45">
        <f t="shared" si="13"/>
        <v>2982245.5878296895</v>
      </c>
      <c r="I88" s="30">
        <f t="shared" si="9"/>
        <v>-227319.4121703105</v>
      </c>
      <c r="J88" s="38">
        <f t="shared" si="10"/>
        <v>-7.0825614116028349E-2</v>
      </c>
      <c r="K88" s="11">
        <f t="shared" si="11"/>
        <v>7.0825614116028349E-2</v>
      </c>
      <c r="L88" s="321">
        <f t="shared" si="12"/>
        <v>51674115149.455513</v>
      </c>
      <c r="M88" s="321">
        <f t="shared" si="14"/>
        <v>-138115.38999724668</v>
      </c>
      <c r="N88" s="321">
        <f t="shared" si="15"/>
        <v>19075860954.091545</v>
      </c>
      <c r="O88" s="11"/>
      <c r="P88"/>
    </row>
    <row r="89" spans="1:16" x14ac:dyDescent="0.2">
      <c r="A89" s="44">
        <v>44286</v>
      </c>
      <c r="B89" s="45">
        <f>Inputs!D110+Inputs!E110</f>
        <v>3056137</v>
      </c>
      <c r="C89" s="45">
        <f>Inputs!S110</f>
        <v>596.69999999999993</v>
      </c>
      <c r="D89" s="45">
        <f>Inputs!T110</f>
        <v>0</v>
      </c>
      <c r="E89" s="275">
        <v>31</v>
      </c>
      <c r="F89" s="288">
        <f>Inputs!L110/(Inputs!H110+Inputs!J110+Inputs!L110+Inputs!O110)</f>
        <v>0.57315434245813301</v>
      </c>
      <c r="G89" s="279">
        <f>Inputs!I110+Inputs!K110+Inputs!N110</f>
        <v>1626</v>
      </c>
      <c r="H89" s="45">
        <f t="shared" si="13"/>
        <v>3007632.2631127853</v>
      </c>
      <c r="I89" s="30">
        <f t="shared" si="9"/>
        <v>-48504.736887214705</v>
      </c>
      <c r="J89" s="38">
        <f t="shared" si="10"/>
        <v>-1.587125737073132E-2</v>
      </c>
      <c r="K89" s="11">
        <f t="shared" si="11"/>
        <v>1.587125737073132E-2</v>
      </c>
      <c r="L89" s="321">
        <f t="shared" si="12"/>
        <v>2352709500.4979267</v>
      </c>
      <c r="M89" s="321">
        <f t="shared" si="14"/>
        <v>178814.6752830958</v>
      </c>
      <c r="N89" s="321">
        <f t="shared" si="15"/>
        <v>31974688096.598991</v>
      </c>
      <c r="O89" s="11"/>
      <c r="P89"/>
    </row>
    <row r="90" spans="1:16" x14ac:dyDescent="0.2">
      <c r="A90" s="44">
        <v>44316</v>
      </c>
      <c r="B90" s="45">
        <f>Inputs!D111+Inputs!E111</f>
        <v>2479718</v>
      </c>
      <c r="C90" s="45">
        <f>Inputs!S111</f>
        <v>418.59999999999997</v>
      </c>
      <c r="D90" s="45">
        <f>Inputs!T111</f>
        <v>0</v>
      </c>
      <c r="E90" s="275">
        <v>30</v>
      </c>
      <c r="F90" s="288">
        <f>Inputs!L111/(Inputs!H111+Inputs!J111+Inputs!L111+Inputs!O111)</f>
        <v>0.54461222634915962</v>
      </c>
      <c r="G90" s="279">
        <f>Inputs!I111+Inputs!K111+Inputs!N111</f>
        <v>1629</v>
      </c>
      <c r="H90" s="45">
        <f t="shared" si="13"/>
        <v>2578772.38757479</v>
      </c>
      <c r="I90" s="30">
        <f t="shared" si="9"/>
        <v>99054.387574790046</v>
      </c>
      <c r="J90" s="38">
        <f t="shared" si="10"/>
        <v>3.9945827539579114E-2</v>
      </c>
      <c r="K90" s="11">
        <f t="shared" si="11"/>
        <v>3.9945827539579114E-2</v>
      </c>
      <c r="L90" s="321">
        <f t="shared" si="12"/>
        <v>9811771697.816721</v>
      </c>
      <c r="M90" s="321">
        <f t="shared" si="14"/>
        <v>147559.12446200475</v>
      </c>
      <c r="N90" s="321">
        <f t="shared" si="15"/>
        <v>21773695211.993408</v>
      </c>
      <c r="O90" s="11"/>
      <c r="P90"/>
    </row>
    <row r="91" spans="1:16" x14ac:dyDescent="0.2">
      <c r="A91" s="44">
        <v>44347</v>
      </c>
      <c r="B91" s="45">
        <f>Inputs!D112+Inputs!E112</f>
        <v>2351202</v>
      </c>
      <c r="C91" s="45">
        <f>Inputs!S112</f>
        <v>243.3000000000001</v>
      </c>
      <c r="D91" s="45">
        <f>Inputs!T112</f>
        <v>9.1999999999999993</v>
      </c>
      <c r="E91" s="275">
        <v>31</v>
      </c>
      <c r="F91" s="288">
        <f>Inputs!L112/(Inputs!H112+Inputs!J112+Inputs!L112+Inputs!O112)</f>
        <v>0.53008547211290669</v>
      </c>
      <c r="G91" s="279">
        <f>Inputs!I112+Inputs!K112+Inputs!N112</f>
        <v>1627</v>
      </c>
      <c r="H91" s="45">
        <f t="shared" si="13"/>
        <v>2477398.6460093381</v>
      </c>
      <c r="I91" s="30">
        <f t="shared" si="9"/>
        <v>126196.64600933809</v>
      </c>
      <c r="J91" s="38">
        <f t="shared" si="10"/>
        <v>5.3673247134588216E-2</v>
      </c>
      <c r="K91" s="11">
        <f t="shared" si="11"/>
        <v>5.3673247134588216E-2</v>
      </c>
      <c r="L91" s="321">
        <f t="shared" si="12"/>
        <v>15925593464.006187</v>
      </c>
      <c r="M91" s="321">
        <f t="shared" si="14"/>
        <v>27142.258434548043</v>
      </c>
      <c r="N91" s="321">
        <f t="shared" si="15"/>
        <v>736702192.92779434</v>
      </c>
      <c r="O91" s="11"/>
      <c r="P91"/>
    </row>
    <row r="92" spans="1:16" x14ac:dyDescent="0.2">
      <c r="A92" s="44">
        <v>44377</v>
      </c>
      <c r="B92" s="45">
        <f>Inputs!D113+Inputs!E113</f>
        <v>2504808</v>
      </c>
      <c r="C92" s="45">
        <f>Inputs!S113</f>
        <v>45</v>
      </c>
      <c r="D92" s="45">
        <f>Inputs!T113</f>
        <v>38.000000000000007</v>
      </c>
      <c r="E92" s="275">
        <v>30</v>
      </c>
      <c r="F92" s="288">
        <f>Inputs!L113/(Inputs!H113+Inputs!J113+Inputs!L113+Inputs!O113)</f>
        <v>0.53152031405190792</v>
      </c>
      <c r="G92" s="279">
        <f>Inputs!I113+Inputs!K113+Inputs!N113</f>
        <v>1628</v>
      </c>
      <c r="H92" s="45">
        <f t="shared" si="13"/>
        <v>2431753.1683446905</v>
      </c>
      <c r="I92" s="30">
        <f t="shared" si="9"/>
        <v>-73054.831655309536</v>
      </c>
      <c r="J92" s="38">
        <f t="shared" si="10"/>
        <v>-2.9165840916872486E-2</v>
      </c>
      <c r="K92" s="11">
        <f t="shared" si="11"/>
        <v>2.9165840916872486E-2</v>
      </c>
      <c r="L92" s="321">
        <f t="shared" si="12"/>
        <v>5337008428.1856165</v>
      </c>
      <c r="M92" s="321">
        <f t="shared" si="14"/>
        <v>-199251.47766464762</v>
      </c>
      <c r="N92" s="321">
        <f t="shared" si="15"/>
        <v>39701151351.54557</v>
      </c>
      <c r="O92" s="11"/>
      <c r="P92"/>
    </row>
    <row r="93" spans="1:16" x14ac:dyDescent="0.2">
      <c r="A93" s="44">
        <v>44408</v>
      </c>
      <c r="B93" s="45">
        <f>Inputs!D114+Inputs!E114</f>
        <v>2673112</v>
      </c>
      <c r="C93" s="45">
        <f>Inputs!S114</f>
        <v>19.2</v>
      </c>
      <c r="D93" s="45">
        <f>Inputs!T114</f>
        <v>62.800000000000004</v>
      </c>
      <c r="E93" s="275">
        <v>31</v>
      </c>
      <c r="F93" s="288">
        <f>Inputs!L114/(Inputs!H114+Inputs!J114+Inputs!L114+Inputs!O114)</f>
        <v>0.51024704914929686</v>
      </c>
      <c r="G93" s="279">
        <f>Inputs!I114+Inputs!K114+Inputs!N114</f>
        <v>1620</v>
      </c>
      <c r="H93" s="45">
        <f t="shared" si="13"/>
        <v>2625404.1009993888</v>
      </c>
      <c r="I93" s="30">
        <f t="shared" si="9"/>
        <v>-47707.899000611156</v>
      </c>
      <c r="J93" s="38">
        <f t="shared" si="10"/>
        <v>-1.7847325140364922E-2</v>
      </c>
      <c r="K93" s="11">
        <f t="shared" si="11"/>
        <v>1.7847325140364922E-2</v>
      </c>
      <c r="L93" s="321">
        <f t="shared" si="12"/>
        <v>2276043627.052515</v>
      </c>
      <c r="M93" s="321">
        <f t="shared" si="14"/>
        <v>25346.932654698379</v>
      </c>
      <c r="N93" s="321">
        <f t="shared" si="15"/>
        <v>642466995.00181508</v>
      </c>
      <c r="O93" s="11"/>
      <c r="P93"/>
    </row>
    <row r="94" spans="1:16" x14ac:dyDescent="0.2">
      <c r="A94" s="44">
        <v>44439</v>
      </c>
      <c r="B94" s="45">
        <f>Inputs!D115+Inputs!E115</f>
        <v>2675474</v>
      </c>
      <c r="C94" s="45">
        <f>Inputs!S115</f>
        <v>40.1</v>
      </c>
      <c r="D94" s="45">
        <f>Inputs!T115</f>
        <v>59.100000000000009</v>
      </c>
      <c r="E94" s="275">
        <v>31</v>
      </c>
      <c r="F94" s="288">
        <f>Inputs!L115/(Inputs!H115+Inputs!J115+Inputs!L115+Inputs!O115)</f>
        <v>0.53632146062905095</v>
      </c>
      <c r="G94" s="279">
        <f>Inputs!I115+Inputs!K115+Inputs!N115</f>
        <v>1621</v>
      </c>
      <c r="H94" s="45">
        <f t="shared" si="13"/>
        <v>2724777.1435537934</v>
      </c>
      <c r="I94" s="30">
        <f t="shared" si="9"/>
        <v>49303.14355379343</v>
      </c>
      <c r="J94" s="38">
        <f t="shared" si="10"/>
        <v>1.8427816362182339E-2</v>
      </c>
      <c r="K94" s="11">
        <f t="shared" si="11"/>
        <v>1.8427816362182339E-2</v>
      </c>
      <c r="L94" s="321">
        <f t="shared" si="12"/>
        <v>2430799964.2859626</v>
      </c>
      <c r="M94" s="321">
        <f t="shared" si="14"/>
        <v>97011.042554404587</v>
      </c>
      <c r="N94" s="321">
        <f t="shared" si="15"/>
        <v>9411142377.4924984</v>
      </c>
      <c r="O94" s="11"/>
      <c r="P94"/>
    </row>
    <row r="95" spans="1:16" x14ac:dyDescent="0.2">
      <c r="A95" s="44">
        <v>44469</v>
      </c>
      <c r="B95" s="45">
        <f>Inputs!D116+Inputs!E116</f>
        <v>2197996</v>
      </c>
      <c r="C95" s="45">
        <f>Inputs!S116</f>
        <v>127.3</v>
      </c>
      <c r="D95" s="45">
        <f>Inputs!T116</f>
        <v>3.9000000000000004</v>
      </c>
      <c r="E95" s="275">
        <v>30</v>
      </c>
      <c r="F95" s="288">
        <f>Inputs!L116/(Inputs!H116+Inputs!J116+Inputs!L116+Inputs!O116)</f>
        <v>0.53824158779521714</v>
      </c>
      <c r="G95" s="279">
        <f>Inputs!I116+Inputs!K116+Inputs!N116</f>
        <v>1627</v>
      </c>
      <c r="H95" s="45">
        <f t="shared" si="13"/>
        <v>2204905.4311342053</v>
      </c>
      <c r="I95" s="30">
        <f t="shared" si="9"/>
        <v>6909.4311342053115</v>
      </c>
      <c r="J95" s="38">
        <f t="shared" si="10"/>
        <v>3.1435139710014538E-3</v>
      </c>
      <c r="K95" s="11">
        <f t="shared" si="11"/>
        <v>3.1435139710014538E-3</v>
      </c>
      <c r="L95" s="321">
        <f t="shared" si="12"/>
        <v>47740238.5983257</v>
      </c>
      <c r="M95" s="321">
        <f t="shared" si="14"/>
        <v>-42393.712419588119</v>
      </c>
      <c r="N95" s="321">
        <f t="shared" si="15"/>
        <v>1797226852.7147398</v>
      </c>
      <c r="O95" s="11"/>
      <c r="P95"/>
    </row>
    <row r="96" spans="1:16" x14ac:dyDescent="0.2">
      <c r="A96" s="44">
        <v>44500</v>
      </c>
      <c r="B96" s="45">
        <f>Inputs!D117+Inputs!E117</f>
        <v>2427627</v>
      </c>
      <c r="C96" s="45">
        <f>Inputs!S117</f>
        <v>278.60000000000002</v>
      </c>
      <c r="D96" s="45">
        <f>Inputs!T117</f>
        <v>0</v>
      </c>
      <c r="E96" s="275">
        <v>31</v>
      </c>
      <c r="F96" s="288">
        <f>Inputs!L117/(Inputs!H117+Inputs!J117+Inputs!L117+Inputs!O117)</f>
        <v>0.56960043170934205</v>
      </c>
      <c r="G96" s="279">
        <f>Inputs!I117+Inputs!K117+Inputs!N117</f>
        <v>1620</v>
      </c>
      <c r="H96" s="45">
        <f t="shared" si="13"/>
        <v>2547214.7859534193</v>
      </c>
      <c r="I96" s="30">
        <f t="shared" si="9"/>
        <v>119587.78595341928</v>
      </c>
      <c r="J96" s="38">
        <f t="shared" si="10"/>
        <v>4.9261186316274817E-2</v>
      </c>
      <c r="K96" s="11">
        <f t="shared" si="11"/>
        <v>4.9261186316274817E-2</v>
      </c>
      <c r="L96" s="321">
        <f t="shared" si="12"/>
        <v>14301238549.240826</v>
      </c>
      <c r="M96" s="321">
        <f t="shared" si="14"/>
        <v>112678.35481921397</v>
      </c>
      <c r="N96" s="321">
        <f t="shared" si="15"/>
        <v>12696411644.764681</v>
      </c>
      <c r="O96" s="11"/>
      <c r="P96"/>
    </row>
    <row r="97" spans="1:16" x14ac:dyDescent="0.2">
      <c r="A97" s="44">
        <v>44530</v>
      </c>
      <c r="B97" s="45">
        <f>Inputs!D118+Inputs!E118</f>
        <v>3173171</v>
      </c>
      <c r="C97" s="45">
        <f>Inputs!S118</f>
        <v>615.69999999999993</v>
      </c>
      <c r="D97" s="45">
        <f>Inputs!T118</f>
        <v>0</v>
      </c>
      <c r="E97" s="275">
        <v>30</v>
      </c>
      <c r="F97" s="288">
        <f>Inputs!L118/(Inputs!H118+Inputs!J118+Inputs!L118+Inputs!O118)</f>
        <v>0.60373420825236845</v>
      </c>
      <c r="G97" s="279">
        <f>Inputs!I118+Inputs!K118+Inputs!N118</f>
        <v>1617</v>
      </c>
      <c r="H97" s="45">
        <f t="shared" si="13"/>
        <v>3004862.7550974786</v>
      </c>
      <c r="I97" s="30">
        <f t="shared" si="9"/>
        <v>-168308.24490252137</v>
      </c>
      <c r="J97" s="38">
        <f t="shared" si="10"/>
        <v>-5.3041025807471887E-2</v>
      </c>
      <c r="K97" s="11">
        <f t="shared" si="11"/>
        <v>5.3041025807471887E-2</v>
      </c>
      <c r="L97" s="321">
        <f t="shared" si="12"/>
        <v>28327665302.16711</v>
      </c>
      <c r="M97" s="321">
        <f t="shared" si="14"/>
        <v>-287896.03085594065</v>
      </c>
      <c r="N97" s="321">
        <f t="shared" si="15"/>
        <v>82884124582.604736</v>
      </c>
      <c r="O97" s="11"/>
      <c r="P97"/>
    </row>
    <row r="98" spans="1:16" x14ac:dyDescent="0.2">
      <c r="A98" s="44">
        <v>44561</v>
      </c>
      <c r="B98" s="45">
        <f>Inputs!D119+Inputs!E119</f>
        <v>3634242</v>
      </c>
      <c r="C98" s="45">
        <f>Inputs!S119</f>
        <v>887.69999999999993</v>
      </c>
      <c r="D98" s="45">
        <f>Inputs!T119</f>
        <v>0</v>
      </c>
      <c r="E98" s="275">
        <v>31</v>
      </c>
      <c r="F98" s="288">
        <f>Inputs!L119/(Inputs!H119+Inputs!J119+Inputs!L119+Inputs!O119)</f>
        <v>0.59047124103894044</v>
      </c>
      <c r="G98" s="279">
        <f>Inputs!I119+Inputs!K119+Inputs!N119</f>
        <v>1619</v>
      </c>
      <c r="H98" s="45">
        <f t="shared" si="13"/>
        <v>3415034.5894979667</v>
      </c>
      <c r="I98" s="30">
        <f t="shared" si="9"/>
        <v>-219207.41050203331</v>
      </c>
      <c r="J98" s="38">
        <f t="shared" si="10"/>
        <v>-6.0317229975888592E-2</v>
      </c>
      <c r="K98" s="11">
        <f t="shared" si="11"/>
        <v>6.0317229975888592E-2</v>
      </c>
      <c r="L98" s="321">
        <f t="shared" si="12"/>
        <v>48051888819.006943</v>
      </c>
      <c r="M98" s="321">
        <f t="shared" si="14"/>
        <v>-50899.165599511936</v>
      </c>
      <c r="N98" s="321">
        <f t="shared" si="15"/>
        <v>2590725058.7265391</v>
      </c>
      <c r="O98" s="11"/>
      <c r="P98"/>
    </row>
    <row r="99" spans="1:16" x14ac:dyDescent="0.2">
      <c r="A99" s="44">
        <v>44592</v>
      </c>
      <c r="B99" s="45">
        <f>Inputs!D120+Inputs!E120</f>
        <v>3730633</v>
      </c>
      <c r="C99" s="45">
        <f>Inputs!S120</f>
        <v>1195.9999999999998</v>
      </c>
      <c r="D99" s="45">
        <f>Inputs!T120</f>
        <v>0</v>
      </c>
      <c r="E99" s="275">
        <v>31</v>
      </c>
      <c r="F99" s="288">
        <f>Inputs!L120/(Inputs!H120+Inputs!J120+Inputs!L120+Inputs!O120)</f>
        <v>0.52406534455889398</v>
      </c>
      <c r="G99" s="279">
        <f>Inputs!I120+Inputs!K120+Inputs!N120</f>
        <v>1619</v>
      </c>
      <c r="H99" s="45">
        <f t="shared" si="13"/>
        <v>3546726.9704020098</v>
      </c>
      <c r="I99" s="30">
        <f t="shared" ref="I99:I122" si="16">H99-B99</f>
        <v>-183906.02959799021</v>
      </c>
      <c r="J99" s="38">
        <f t="shared" ref="J99:J122" si="17">I99/B99</f>
        <v>-4.9296199759662825E-2</v>
      </c>
      <c r="K99" s="11">
        <f t="shared" si="11"/>
        <v>4.9296199759662825E-2</v>
      </c>
      <c r="L99" s="321">
        <f t="shared" si="12"/>
        <v>33821427722.496853</v>
      </c>
      <c r="M99" s="321">
        <f t="shared" si="14"/>
        <v>35301.380904043093</v>
      </c>
      <c r="N99" s="321">
        <f t="shared" si="15"/>
        <v>1246187493.7323384</v>
      </c>
      <c r="O99" s="11"/>
      <c r="P99"/>
    </row>
    <row r="100" spans="1:16" x14ac:dyDescent="0.2">
      <c r="A100" s="44">
        <v>44620</v>
      </c>
      <c r="B100" s="45">
        <f>Inputs!D121+Inputs!E121</f>
        <v>3500194</v>
      </c>
      <c r="C100" s="45">
        <f>Inputs!S121</f>
        <v>1039.5000000000002</v>
      </c>
      <c r="D100" s="45">
        <f>Inputs!T121</f>
        <v>0</v>
      </c>
      <c r="E100" s="275">
        <v>28</v>
      </c>
      <c r="F100" s="288">
        <f>Inputs!L121/(Inputs!H121+Inputs!J121+Inputs!L121+Inputs!O121)</f>
        <v>0.56473271716341966</v>
      </c>
      <c r="G100" s="279">
        <f>Inputs!I121+Inputs!K121+Inputs!N121</f>
        <v>1622</v>
      </c>
      <c r="H100" s="45">
        <f t="shared" si="13"/>
        <v>3225177.1565096825</v>
      </c>
      <c r="I100" s="30">
        <f t="shared" si="16"/>
        <v>-275016.84349031746</v>
      </c>
      <c r="J100" s="38">
        <f t="shared" si="17"/>
        <v>-7.8571885869845343E-2</v>
      </c>
      <c r="K100" s="11">
        <f t="shared" si="11"/>
        <v>7.8571885869845343E-2</v>
      </c>
      <c r="L100" s="321">
        <f t="shared" si="12"/>
        <v>75634264203.377777</v>
      </c>
      <c r="M100" s="321">
        <f t="shared" si="14"/>
        <v>-91110.813892327249</v>
      </c>
      <c r="N100" s="321">
        <f t="shared" si="15"/>
        <v>8301180408.1222925</v>
      </c>
      <c r="O100" s="11"/>
      <c r="P100"/>
    </row>
    <row r="101" spans="1:16" x14ac:dyDescent="0.2">
      <c r="A101" s="44">
        <v>44651</v>
      </c>
      <c r="B101" s="45">
        <f>Inputs!D122+Inputs!E122</f>
        <v>3236575</v>
      </c>
      <c r="C101" s="45">
        <f>Inputs!S122</f>
        <v>789.1</v>
      </c>
      <c r="D101" s="45">
        <f>Inputs!T122</f>
        <v>0</v>
      </c>
      <c r="E101" s="275">
        <v>31</v>
      </c>
      <c r="F101" s="288">
        <f>Inputs!L122/(Inputs!H122+Inputs!J122+Inputs!L122+Inputs!O122)</f>
        <v>0.56982329282249633</v>
      </c>
      <c r="G101" s="279">
        <f>Inputs!I122+Inputs!K122+Inputs!N122</f>
        <v>1623</v>
      </c>
      <c r="H101" s="45">
        <f t="shared" si="13"/>
        <v>3226577.905156713</v>
      </c>
      <c r="I101" s="30">
        <f t="shared" si="16"/>
        <v>-9997.0948432870209</v>
      </c>
      <c r="J101" s="38">
        <f t="shared" si="17"/>
        <v>-3.088788254029961E-3</v>
      </c>
      <c r="K101" s="11">
        <f t="shared" si="11"/>
        <v>3.088788254029961E-3</v>
      </c>
      <c r="L101" s="321">
        <f t="shared" si="12"/>
        <v>99941905.305675939</v>
      </c>
      <c r="M101" s="321">
        <f t="shared" si="14"/>
        <v>265019.74864703044</v>
      </c>
      <c r="N101" s="321">
        <f t="shared" si="15"/>
        <v>70235467172.935196</v>
      </c>
      <c r="O101" s="11"/>
      <c r="P101"/>
    </row>
    <row r="102" spans="1:16" x14ac:dyDescent="0.2">
      <c r="A102" s="44">
        <v>44681</v>
      </c>
      <c r="B102" s="45">
        <f>Inputs!D123+Inputs!E123</f>
        <v>2633308</v>
      </c>
      <c r="C102" s="45">
        <f>Inputs!S123</f>
        <v>557.90000000000009</v>
      </c>
      <c r="D102" s="45">
        <f>Inputs!T123</f>
        <v>0</v>
      </c>
      <c r="E102" s="275">
        <v>30</v>
      </c>
      <c r="F102" s="288">
        <f>Inputs!L123/(Inputs!H123+Inputs!J123+Inputs!L123+Inputs!O123)</f>
        <v>0.53664060445747153</v>
      </c>
      <c r="G102" s="279">
        <f>Inputs!I123+Inputs!K123+Inputs!N123</f>
        <v>1626</v>
      </c>
      <c r="H102" s="45">
        <f t="shared" si="13"/>
        <v>2710193.6900472511</v>
      </c>
      <c r="I102" s="30">
        <f t="shared" si="16"/>
        <v>76885.690047251061</v>
      </c>
      <c r="J102" s="38">
        <f t="shared" si="17"/>
        <v>2.9197378372469555E-2</v>
      </c>
      <c r="K102" s="11">
        <f t="shared" si="11"/>
        <v>2.9197378372469555E-2</v>
      </c>
      <c r="L102" s="321">
        <f t="shared" si="12"/>
        <v>5911409334.0419607</v>
      </c>
      <c r="M102" s="321">
        <f t="shared" si="14"/>
        <v>86882.784890538082</v>
      </c>
      <c r="N102" s="321">
        <f t="shared" si="15"/>
        <v>7548618310.3355122</v>
      </c>
      <c r="O102" s="11"/>
      <c r="P102"/>
    </row>
    <row r="103" spans="1:16" x14ac:dyDescent="0.2">
      <c r="A103" s="44">
        <v>44712</v>
      </c>
      <c r="B103" s="45">
        <f>Inputs!D124+Inputs!E124</f>
        <v>2270314.9999999995</v>
      </c>
      <c r="C103" s="45">
        <f>Inputs!S124</f>
        <v>251.1</v>
      </c>
      <c r="D103" s="45">
        <f>Inputs!T124</f>
        <v>0.9</v>
      </c>
      <c r="E103" s="275">
        <v>31</v>
      </c>
      <c r="F103" s="288">
        <f>Inputs!L124/(Inputs!H124+Inputs!J124+Inputs!L124+Inputs!O124)</f>
        <v>0.5031748554467077</v>
      </c>
      <c r="G103" s="279">
        <f>Inputs!I124+Inputs!K124+Inputs!N124</f>
        <v>1623</v>
      </c>
      <c r="H103" s="45">
        <f t="shared" si="13"/>
        <v>2269993.3249376444</v>
      </c>
      <c r="I103" s="30">
        <f t="shared" si="16"/>
        <v>-321.67506235511974</v>
      </c>
      <c r="J103" s="38">
        <f t="shared" si="17"/>
        <v>-1.4168741445795839E-4</v>
      </c>
      <c r="K103" s="11">
        <f t="shared" si="11"/>
        <v>1.4168741445795839E-4</v>
      </c>
      <c r="L103" s="321">
        <f t="shared" si="12"/>
        <v>103474.84574117017</v>
      </c>
      <c r="M103" s="321">
        <f t="shared" si="14"/>
        <v>-77207.36510960618</v>
      </c>
      <c r="N103" s="321">
        <f t="shared" si="15"/>
        <v>5960977227.1680336</v>
      </c>
      <c r="O103" s="11"/>
      <c r="P103"/>
    </row>
    <row r="104" spans="1:16" x14ac:dyDescent="0.2">
      <c r="A104" s="44">
        <v>44742</v>
      </c>
      <c r="B104" s="45">
        <f>Inputs!D125+Inputs!E125</f>
        <v>2176799</v>
      </c>
      <c r="C104" s="45">
        <f>Inputs!S125</f>
        <v>104.69999999999999</v>
      </c>
      <c r="D104" s="45">
        <f>Inputs!T125</f>
        <v>22.2</v>
      </c>
      <c r="E104" s="275">
        <v>30</v>
      </c>
      <c r="F104" s="288">
        <f>Inputs!L125/(Inputs!H125+Inputs!J125+Inputs!L125+Inputs!O125)</f>
        <v>0.50984685965715348</v>
      </c>
      <c r="G104" s="279">
        <f>Inputs!I125+Inputs!K125+Inputs!N125</f>
        <v>1622</v>
      </c>
      <c r="H104" s="45">
        <f t="shared" si="13"/>
        <v>2223360.9141064761</v>
      </c>
      <c r="I104" s="30">
        <f t="shared" si="16"/>
        <v>46561.914106476121</v>
      </c>
      <c r="J104" s="38">
        <f t="shared" si="17"/>
        <v>2.1390084296472076E-2</v>
      </c>
      <c r="K104" s="11">
        <f t="shared" si="11"/>
        <v>2.1390084296472076E-2</v>
      </c>
      <c r="L104" s="321">
        <f t="shared" si="12"/>
        <v>2168011845.2588601</v>
      </c>
      <c r="M104" s="321">
        <f t="shared" si="14"/>
        <v>46883.58916883124</v>
      </c>
      <c r="N104" s="321">
        <f t="shared" si="15"/>
        <v>2198070933.3517499</v>
      </c>
      <c r="O104" s="11"/>
      <c r="P104"/>
    </row>
    <row r="105" spans="1:16" x14ac:dyDescent="0.2">
      <c r="A105" s="44">
        <v>44773</v>
      </c>
      <c r="B105" s="45">
        <f>Inputs!D126+Inputs!E126</f>
        <v>2808240</v>
      </c>
      <c r="C105" s="45">
        <f>Inputs!S126</f>
        <v>32.9</v>
      </c>
      <c r="D105" s="45">
        <f>Inputs!T126</f>
        <v>30.4</v>
      </c>
      <c r="E105" s="275">
        <v>31</v>
      </c>
      <c r="F105" s="288">
        <f>Inputs!L126/(Inputs!H126+Inputs!J126+Inputs!L126+Inputs!O126)</f>
        <v>0.57348155770035592</v>
      </c>
      <c r="G105" s="279">
        <f>Inputs!I126+Inputs!K126+Inputs!N126</f>
        <v>1624</v>
      </c>
      <c r="H105" s="45">
        <f t="shared" si="13"/>
        <v>2583507.205075277</v>
      </c>
      <c r="I105" s="30">
        <f t="shared" si="16"/>
        <v>-224732.79492472298</v>
      </c>
      <c r="J105" s="38">
        <f t="shared" si="17"/>
        <v>-8.0026206778880365E-2</v>
      </c>
      <c r="K105" s="11">
        <f t="shared" si="11"/>
        <v>8.0026206778880365E-2</v>
      </c>
      <c r="L105" s="321">
        <f t="shared" si="12"/>
        <v>50504829114.677597</v>
      </c>
      <c r="M105" s="321">
        <f t="shared" si="14"/>
        <v>-271294.70903119911</v>
      </c>
      <c r="N105" s="321">
        <f t="shared" si="15"/>
        <v>73600819148.322983</v>
      </c>
      <c r="O105" s="11"/>
      <c r="P105"/>
    </row>
    <row r="106" spans="1:16" x14ac:dyDescent="0.2">
      <c r="A106" s="44">
        <v>44804</v>
      </c>
      <c r="B106" s="45">
        <f>Inputs!D127+Inputs!E127</f>
        <v>2548063</v>
      </c>
      <c r="C106" s="45">
        <f>Inputs!S127</f>
        <v>18.5</v>
      </c>
      <c r="D106" s="45">
        <f>Inputs!T127</f>
        <v>28.599999999999998</v>
      </c>
      <c r="E106" s="275">
        <v>31</v>
      </c>
      <c r="F106" s="288">
        <f>Inputs!L127/(Inputs!H127+Inputs!J127+Inputs!L127+Inputs!O127)</f>
        <v>0.53699465235664945</v>
      </c>
      <c r="G106" s="279">
        <f>Inputs!I127+Inputs!K127+Inputs!N127</f>
        <v>1625</v>
      </c>
      <c r="H106" s="45">
        <f t="shared" si="13"/>
        <v>2404605.653863702</v>
      </c>
      <c r="I106" s="30">
        <f t="shared" si="16"/>
        <v>-143457.34613629803</v>
      </c>
      <c r="J106" s="38">
        <f t="shared" si="17"/>
        <v>-5.6300549137245831E-2</v>
      </c>
      <c r="K106" s="11">
        <f t="shared" si="11"/>
        <v>5.6300549137245831E-2</v>
      </c>
      <c r="L106" s="321">
        <f t="shared" si="12"/>
        <v>20580010160.469624</v>
      </c>
      <c r="M106" s="321">
        <f t="shared" si="14"/>
        <v>81275.448788424954</v>
      </c>
      <c r="N106" s="321">
        <f t="shared" si="15"/>
        <v>6605698575.7598877</v>
      </c>
      <c r="O106" s="11"/>
      <c r="P106"/>
    </row>
    <row r="107" spans="1:16" x14ac:dyDescent="0.2">
      <c r="A107" s="44">
        <v>44834</v>
      </c>
      <c r="B107" s="45">
        <f>Inputs!D128+Inputs!E128</f>
        <v>2147586</v>
      </c>
      <c r="C107" s="45">
        <f>Inputs!S128</f>
        <v>164.3</v>
      </c>
      <c r="D107" s="45">
        <f>Inputs!T128</f>
        <v>2.6999999999999997</v>
      </c>
      <c r="E107" s="275">
        <v>30</v>
      </c>
      <c r="F107" s="288">
        <f>Inputs!L128/(Inputs!H128+Inputs!J128+Inputs!L128+Inputs!O128)</f>
        <v>0.5245432141827705</v>
      </c>
      <c r="G107" s="279">
        <f>Inputs!I128+Inputs!K128+Inputs!N128</f>
        <v>1626</v>
      </c>
      <c r="H107" s="45">
        <f t="shared" si="13"/>
        <v>2179468.4586192779</v>
      </c>
      <c r="I107" s="30">
        <f t="shared" si="16"/>
        <v>31882.458619277924</v>
      </c>
      <c r="J107" s="38">
        <f t="shared" si="17"/>
        <v>1.4845719155962986E-2</v>
      </c>
      <c r="K107" s="11">
        <f t="shared" si="11"/>
        <v>1.4845719155962986E-2</v>
      </c>
      <c r="L107" s="321">
        <f t="shared" si="12"/>
        <v>1016491167.6099693</v>
      </c>
      <c r="M107" s="321">
        <f t="shared" si="14"/>
        <v>175339.80475557595</v>
      </c>
      <c r="N107" s="321">
        <f t="shared" si="15"/>
        <v>30744047131.723495</v>
      </c>
      <c r="O107" s="11"/>
      <c r="P107"/>
    </row>
    <row r="108" spans="1:16" x14ac:dyDescent="0.2">
      <c r="A108" s="44">
        <v>44865</v>
      </c>
      <c r="B108" s="45">
        <f>Inputs!D129+Inputs!E129</f>
        <v>2029060</v>
      </c>
      <c r="C108" s="45">
        <f>Inputs!S129</f>
        <v>362.59999999999997</v>
      </c>
      <c r="D108" s="45">
        <f>Inputs!T129</f>
        <v>0</v>
      </c>
      <c r="E108" s="275">
        <v>31</v>
      </c>
      <c r="F108" s="288">
        <f>Inputs!L129/(Inputs!H129+Inputs!J129+Inputs!L129+Inputs!O129)</f>
        <v>0.44855129449209608</v>
      </c>
      <c r="G108" s="279">
        <f>Inputs!I129+Inputs!K129+Inputs!N129</f>
        <v>1622</v>
      </c>
      <c r="H108" s="45">
        <f t="shared" si="13"/>
        <v>2179168.1690900549</v>
      </c>
      <c r="I108" s="30">
        <f t="shared" si="16"/>
        <v>150108.16909005493</v>
      </c>
      <c r="J108" s="38">
        <f t="shared" si="17"/>
        <v>7.3979167244958219E-2</v>
      </c>
      <c r="K108" s="11">
        <f t="shared" si="11"/>
        <v>7.3979167244958219E-2</v>
      </c>
      <c r="L108" s="321">
        <f t="shared" si="12"/>
        <v>22532462427.568523</v>
      </c>
      <c r="M108" s="321">
        <f t="shared" si="14"/>
        <v>118225.710470777</v>
      </c>
      <c r="N108" s="321">
        <f t="shared" si="15"/>
        <v>13977318616.319992</v>
      </c>
      <c r="O108" s="11"/>
      <c r="P108"/>
    </row>
    <row r="109" spans="1:16" x14ac:dyDescent="0.2">
      <c r="A109" s="44">
        <v>44895</v>
      </c>
      <c r="B109" s="45">
        <f>Inputs!D130+Inputs!E130</f>
        <v>2057061</v>
      </c>
      <c r="C109" s="45">
        <f>Inputs!S130</f>
        <v>620.5</v>
      </c>
      <c r="D109" s="45">
        <f>Inputs!T130</f>
        <v>0</v>
      </c>
      <c r="E109" s="275">
        <v>30</v>
      </c>
      <c r="F109" s="288">
        <f>Inputs!L130/(Inputs!H130+Inputs!J130+Inputs!L130+Inputs!O130)</f>
        <v>0.37963022753366843</v>
      </c>
      <c r="G109" s="279">
        <f>Inputs!I130+Inputs!K130+Inputs!N130</f>
        <v>1619</v>
      </c>
      <c r="H109" s="45">
        <f t="shared" si="13"/>
        <v>2118566.7493989076</v>
      </c>
      <c r="I109" s="30">
        <f t="shared" si="16"/>
        <v>61505.749398907647</v>
      </c>
      <c r="J109" s="38">
        <f t="shared" si="17"/>
        <v>2.9899817943613557E-2</v>
      </c>
      <c r="K109" s="11">
        <f t="shared" si="11"/>
        <v>2.9899817943613557E-2</v>
      </c>
      <c r="L109" s="321">
        <f t="shared" si="12"/>
        <v>3782957209.1212282</v>
      </c>
      <c r="M109" s="321">
        <f t="shared" si="14"/>
        <v>-88602.419691147283</v>
      </c>
      <c r="N109" s="321">
        <f t="shared" si="15"/>
        <v>7850388775.1262035</v>
      </c>
      <c r="O109" s="11"/>
      <c r="P109"/>
    </row>
    <row r="110" spans="1:16" x14ac:dyDescent="0.2">
      <c r="A110" s="44">
        <v>44926</v>
      </c>
      <c r="B110" s="45">
        <f>Inputs!D131+Inputs!E131</f>
        <v>2943555</v>
      </c>
      <c r="C110" s="45">
        <f>Inputs!S131</f>
        <v>893.50000000000034</v>
      </c>
      <c r="D110" s="45">
        <f>Inputs!T131</f>
        <v>0</v>
      </c>
      <c r="E110" s="275">
        <v>31</v>
      </c>
      <c r="F110" s="288">
        <f>Inputs!L131/(Inputs!H131+Inputs!J131+Inputs!L131+Inputs!O131)</f>
        <v>0.48171755349084783</v>
      </c>
      <c r="G110" s="279">
        <f>Inputs!I131+Inputs!K131+Inputs!N131</f>
        <v>1622</v>
      </c>
      <c r="H110" s="45">
        <f t="shared" si="13"/>
        <v>3000887.3672238979</v>
      </c>
      <c r="I110" s="30">
        <f t="shared" si="16"/>
        <v>57332.367223897949</v>
      </c>
      <c r="J110" s="38">
        <f t="shared" si="17"/>
        <v>1.9477253601138063E-2</v>
      </c>
      <c r="K110" s="11">
        <f t="shared" si="11"/>
        <v>1.9477253601138063E-2</v>
      </c>
      <c r="L110" s="321">
        <f t="shared" si="12"/>
        <v>3287000331.4958878</v>
      </c>
      <c r="M110" s="321">
        <f t="shared" si="14"/>
        <v>-4173.3821750096977</v>
      </c>
      <c r="N110" s="321">
        <f t="shared" si="15"/>
        <v>17417118.778688677</v>
      </c>
      <c r="O110" s="11"/>
      <c r="P110"/>
    </row>
    <row r="111" spans="1:16" x14ac:dyDescent="0.2">
      <c r="A111" s="44">
        <v>44957</v>
      </c>
      <c r="B111" s="45">
        <f>Inputs!D132+Inputs!E132</f>
        <v>3213905</v>
      </c>
      <c r="C111" s="45">
        <f>Inputs!S132</f>
        <v>906.5</v>
      </c>
      <c r="D111" s="45">
        <f>Inputs!T132</f>
        <v>0</v>
      </c>
      <c r="E111" s="275">
        <v>31</v>
      </c>
      <c r="F111" s="288">
        <f>Inputs!L132/(Inputs!H132+Inputs!J132+Inputs!L132+Inputs!O132)</f>
        <v>0.52665194663576653</v>
      </c>
      <c r="G111" s="279">
        <f>Inputs!I132+Inputs!K132+Inputs!N132</f>
        <v>1621</v>
      </c>
      <c r="H111" s="45">
        <f t="shared" si="13"/>
        <v>3193306.7186289765</v>
      </c>
      <c r="I111" s="30">
        <f t="shared" si="16"/>
        <v>-20598.281371023506</v>
      </c>
      <c r="J111" s="38">
        <f t="shared" si="17"/>
        <v>-6.4091133281859629E-3</v>
      </c>
      <c r="K111" s="11">
        <f t="shared" si="11"/>
        <v>6.4091133281859629E-3</v>
      </c>
      <c r="L111" s="321">
        <f t="shared" si="12"/>
        <v>424289195.43985403</v>
      </c>
      <c r="M111" s="321">
        <f t="shared" si="14"/>
        <v>-77930.648594921455</v>
      </c>
      <c r="N111" s="321">
        <f t="shared" si="15"/>
        <v>6073185990.4251337</v>
      </c>
      <c r="O111" s="11"/>
      <c r="P111"/>
    </row>
    <row r="112" spans="1:16" x14ac:dyDescent="0.2">
      <c r="A112" s="44">
        <v>44985</v>
      </c>
      <c r="B112" s="45">
        <f>Inputs!D133+Inputs!E133</f>
        <v>2857040</v>
      </c>
      <c r="C112" s="45">
        <f>Inputs!S133</f>
        <v>863.09999999999991</v>
      </c>
      <c r="D112" s="45">
        <f>Inputs!T133</f>
        <v>0</v>
      </c>
      <c r="E112" s="275">
        <v>28</v>
      </c>
      <c r="F112" s="288">
        <f>Inputs!L133/(Inputs!H133+Inputs!J133+Inputs!L133+Inputs!O133)</f>
        <v>0.52310042199681828</v>
      </c>
      <c r="G112" s="279">
        <f>Inputs!I133+Inputs!K133+Inputs!N133</f>
        <v>1621</v>
      </c>
      <c r="H112" s="45">
        <f t="shared" si="13"/>
        <v>2823042.3986129034</v>
      </c>
      <c r="I112" s="30">
        <f t="shared" si="16"/>
        <v>-33997.601387096569</v>
      </c>
      <c r="J112" s="38">
        <f t="shared" si="17"/>
        <v>-1.1899588870683145E-2</v>
      </c>
      <c r="K112" s="11">
        <f t="shared" si="11"/>
        <v>1.1899588870683145E-2</v>
      </c>
      <c r="L112" s="321">
        <f t="shared" si="12"/>
        <v>1155836900.0759106</v>
      </c>
      <c r="M112" s="321">
        <f t="shared" si="14"/>
        <v>-13399.320016073063</v>
      </c>
      <c r="N112" s="321">
        <f t="shared" si="15"/>
        <v>179541776.89313623</v>
      </c>
      <c r="O112" s="11"/>
      <c r="P112"/>
    </row>
    <row r="113" spans="1:16" x14ac:dyDescent="0.2">
      <c r="A113" s="44">
        <v>45016</v>
      </c>
      <c r="B113" s="45">
        <f>Inputs!D134+Inputs!E134</f>
        <v>2844422</v>
      </c>
      <c r="C113" s="45">
        <f>Inputs!S134</f>
        <v>782</v>
      </c>
      <c r="D113" s="45">
        <f>Inputs!T134</f>
        <v>0</v>
      </c>
      <c r="E113" s="275">
        <v>31</v>
      </c>
      <c r="F113" s="288">
        <f>Inputs!L134/(Inputs!H134+Inputs!J134+Inputs!L134+Inputs!O134)</f>
        <v>0.52685778825657625</v>
      </c>
      <c r="G113" s="279">
        <f>Inputs!I134+Inputs!K134+Inputs!N134</f>
        <v>1622</v>
      </c>
      <c r="H113" s="45">
        <f t="shared" si="13"/>
        <v>3038451.5863569798</v>
      </c>
      <c r="I113" s="30">
        <f t="shared" si="16"/>
        <v>194029.58635697979</v>
      </c>
      <c r="J113" s="38">
        <f t="shared" si="17"/>
        <v>6.8214064705230018E-2</v>
      </c>
      <c r="K113" s="11">
        <f t="shared" si="11"/>
        <v>6.8214064705230018E-2</v>
      </c>
      <c r="L113" s="321">
        <f t="shared" si="12"/>
        <v>37647480381.86068</v>
      </c>
      <c r="M113" s="321">
        <f t="shared" si="14"/>
        <v>228027.18774407636</v>
      </c>
      <c r="N113" s="321">
        <f t="shared" si="15"/>
        <v>51996398350.472252</v>
      </c>
      <c r="O113" s="11"/>
      <c r="P113"/>
    </row>
    <row r="114" spans="1:16" x14ac:dyDescent="0.2">
      <c r="A114" s="44">
        <v>45046</v>
      </c>
      <c r="B114" s="45">
        <f>Inputs!D135+Inputs!E135</f>
        <v>2467435</v>
      </c>
      <c r="C114" s="45">
        <f>Inputs!S135</f>
        <v>526.9</v>
      </c>
      <c r="D114" s="45">
        <f>Inputs!T135</f>
        <v>0</v>
      </c>
      <c r="E114" s="275">
        <v>30</v>
      </c>
      <c r="F114" s="288">
        <f>Inputs!L135/(Inputs!H135+Inputs!J135+Inputs!L135+Inputs!O135)</f>
        <v>0.51967627702740349</v>
      </c>
      <c r="G114" s="279">
        <f>Inputs!I135+Inputs!K135+Inputs!N135</f>
        <v>1621</v>
      </c>
      <c r="H114" s="45">
        <f t="shared" si="13"/>
        <v>2573373.4984529316</v>
      </c>
      <c r="I114" s="30">
        <f t="shared" si="16"/>
        <v>105938.49845293164</v>
      </c>
      <c r="J114" s="38">
        <f t="shared" si="17"/>
        <v>4.29346663449824E-2</v>
      </c>
      <c r="K114" s="11">
        <f t="shared" si="11"/>
        <v>4.29346663449824E-2</v>
      </c>
      <c r="L114" s="321">
        <f t="shared" si="12"/>
        <v>11222965454.4618</v>
      </c>
      <c r="M114" s="321">
        <f t="shared" si="14"/>
        <v>-88091.087904048152</v>
      </c>
      <c r="N114" s="321">
        <f t="shared" si="15"/>
        <v>7760039768.1187391</v>
      </c>
      <c r="O114" s="11"/>
      <c r="P114"/>
    </row>
    <row r="115" spans="1:16" x14ac:dyDescent="0.2">
      <c r="A115" s="44">
        <v>45077</v>
      </c>
      <c r="B115" s="45">
        <f>Inputs!D136+Inputs!E136</f>
        <v>2229843</v>
      </c>
      <c r="C115" s="45">
        <f>Inputs!S136</f>
        <v>177.7</v>
      </c>
      <c r="D115" s="45">
        <f>Inputs!T136</f>
        <v>3.6999999999999997</v>
      </c>
      <c r="E115" s="275">
        <v>31</v>
      </c>
      <c r="F115" s="288">
        <f>Inputs!L136/(Inputs!H136+Inputs!J136+Inputs!L136+Inputs!O136)</f>
        <v>0.50872712624838423</v>
      </c>
      <c r="G115" s="279">
        <f>Inputs!I136+Inputs!K136+Inputs!N136</f>
        <v>1625</v>
      </c>
      <c r="H115" s="45">
        <f t="shared" si="13"/>
        <v>2237709.9354552338</v>
      </c>
      <c r="I115" s="30">
        <f t="shared" si="16"/>
        <v>7866.93545523379</v>
      </c>
      <c r="J115" s="38">
        <f t="shared" si="17"/>
        <v>3.5280221321562955E-3</v>
      </c>
      <c r="K115" s="11">
        <f t="shared" si="11"/>
        <v>3.5280221321562955E-3</v>
      </c>
      <c r="L115" s="321">
        <f t="shared" si="12"/>
        <v>61888673.456814475</v>
      </c>
      <c r="M115" s="321">
        <f t="shared" si="14"/>
        <v>-98071.562997697853</v>
      </c>
      <c r="N115" s="321">
        <f t="shared" si="15"/>
        <v>9618031468.8114185</v>
      </c>
      <c r="O115" s="11"/>
      <c r="P115"/>
    </row>
    <row r="116" spans="1:16" x14ac:dyDescent="0.2">
      <c r="A116" s="44">
        <v>45107</v>
      </c>
      <c r="B116" s="45">
        <f>Inputs!D137+Inputs!E137</f>
        <v>2401668</v>
      </c>
      <c r="C116" s="45">
        <f>Inputs!S137</f>
        <v>41.399999999999984</v>
      </c>
      <c r="D116" s="45">
        <f>Inputs!T137</f>
        <v>45.800000000000011</v>
      </c>
      <c r="E116" s="275">
        <v>30</v>
      </c>
      <c r="F116" s="288">
        <f>Inputs!L137/(Inputs!H137+Inputs!J137+Inputs!L137+Inputs!O137)</f>
        <v>0.52216946458771973</v>
      </c>
      <c r="G116" s="279">
        <f>Inputs!I137+Inputs!K137+Inputs!N137</f>
        <v>1625</v>
      </c>
      <c r="H116" s="45">
        <f t="shared" si="13"/>
        <v>2453629.0787481889</v>
      </c>
      <c r="I116" s="30">
        <f t="shared" si="16"/>
        <v>51961.078748188913</v>
      </c>
      <c r="J116" s="38">
        <f t="shared" si="17"/>
        <v>2.163541286646985E-2</v>
      </c>
      <c r="K116" s="11">
        <f t="shared" si="11"/>
        <v>2.163541286646985E-2</v>
      </c>
      <c r="L116" s="321">
        <f t="shared" si="12"/>
        <v>2699953704.6754894</v>
      </c>
      <c r="M116" s="321">
        <f t="shared" si="14"/>
        <v>44094.143292955123</v>
      </c>
      <c r="N116" s="321">
        <f t="shared" si="15"/>
        <v>1944293472.7396593</v>
      </c>
      <c r="O116" s="11"/>
      <c r="P116"/>
    </row>
    <row r="117" spans="1:16" x14ac:dyDescent="0.2">
      <c r="A117" s="44">
        <v>45138</v>
      </c>
      <c r="B117" s="45">
        <f>Inputs!D138+Inputs!E138</f>
        <v>2453467</v>
      </c>
      <c r="C117" s="45">
        <f>Inputs!S138</f>
        <v>49.499999999999986</v>
      </c>
      <c r="D117" s="45">
        <f>Inputs!T138</f>
        <v>17.7</v>
      </c>
      <c r="E117" s="275">
        <v>31</v>
      </c>
      <c r="F117" s="288">
        <f>Inputs!L138/(Inputs!H138+Inputs!J138+Inputs!L138+Inputs!O138)</f>
        <v>0.53429532993645279</v>
      </c>
      <c r="G117" s="279">
        <f>Inputs!I138+Inputs!K138+Inputs!N138</f>
        <v>1624</v>
      </c>
      <c r="H117" s="45">
        <f t="shared" si="13"/>
        <v>2314782.9614001103</v>
      </c>
      <c r="I117" s="30">
        <f t="shared" si="16"/>
        <v>-138684.03859988973</v>
      </c>
      <c r="J117" s="38">
        <f t="shared" si="17"/>
        <v>-5.6525740350243034E-2</v>
      </c>
      <c r="K117" s="11">
        <f t="shared" si="11"/>
        <v>5.6525740350243034E-2</v>
      </c>
      <c r="L117" s="321">
        <f t="shared" si="12"/>
        <v>19233262562.375702</v>
      </c>
      <c r="M117" s="321">
        <f t="shared" si="14"/>
        <v>-190645.11734807864</v>
      </c>
      <c r="N117" s="321">
        <f t="shared" si="15"/>
        <v>36345560768.662674</v>
      </c>
      <c r="O117" s="11"/>
      <c r="P117"/>
    </row>
    <row r="118" spans="1:16" x14ac:dyDescent="0.2">
      <c r="A118" s="44">
        <v>45169</v>
      </c>
      <c r="B118" s="45">
        <f>Inputs!D139+Inputs!E139</f>
        <v>2545941</v>
      </c>
      <c r="C118" s="45">
        <f>Inputs!S139</f>
        <v>43.6</v>
      </c>
      <c r="D118" s="45">
        <f>Inputs!T139</f>
        <v>21.7</v>
      </c>
      <c r="E118" s="275">
        <v>31</v>
      </c>
      <c r="F118" s="288">
        <f>Inputs!L139/(Inputs!H139+Inputs!J139+Inputs!L139+Inputs!O139)</f>
        <v>0.55368399395804002</v>
      </c>
      <c r="G118" s="279">
        <f>Inputs!I139+Inputs!K139+Inputs!N139</f>
        <v>1624</v>
      </c>
      <c r="H118" s="45">
        <f t="shared" si="13"/>
        <v>2426968.8049373906</v>
      </c>
      <c r="I118" s="30">
        <f t="shared" si="16"/>
        <v>-118972.19506260939</v>
      </c>
      <c r="J118" s="38">
        <f t="shared" si="17"/>
        <v>-4.6730146167020127E-2</v>
      </c>
      <c r="K118" s="11">
        <f t="shared" si="11"/>
        <v>4.6730146167020127E-2</v>
      </c>
      <c r="L118" s="321">
        <f t="shared" si="12"/>
        <v>14154383198.015577</v>
      </c>
      <c r="M118" s="321">
        <f t="shared" si="14"/>
        <v>19711.843537280336</v>
      </c>
      <c r="N118" s="321">
        <f t="shared" si="15"/>
        <v>388556775.63822055</v>
      </c>
      <c r="O118" s="11"/>
      <c r="P118"/>
    </row>
    <row r="119" spans="1:16" x14ac:dyDescent="0.2">
      <c r="A119" s="44">
        <v>45199</v>
      </c>
      <c r="B119" s="45">
        <f>Inputs!D140+Inputs!E140</f>
        <v>2484874</v>
      </c>
      <c r="C119" s="45">
        <f>Inputs!S140</f>
        <v>111.40000000000002</v>
      </c>
      <c r="D119" s="45">
        <f>Inputs!T140</f>
        <v>24.6</v>
      </c>
      <c r="E119" s="275">
        <v>30</v>
      </c>
      <c r="F119" s="288">
        <f>Inputs!L140/(Inputs!H140+Inputs!J140+Inputs!L140+Inputs!O140)</f>
        <v>0.58044716242979522</v>
      </c>
      <c r="G119" s="279">
        <f>Inputs!I140+Inputs!K140+Inputs!N140</f>
        <v>1623</v>
      </c>
      <c r="H119" s="45">
        <f t="shared" si="13"/>
        <v>2547401.9477147311</v>
      </c>
      <c r="I119" s="30">
        <f t="shared" si="16"/>
        <v>62527.947714731097</v>
      </c>
      <c r="J119" s="38">
        <f t="shared" si="17"/>
        <v>2.5163427889998084E-2</v>
      </c>
      <c r="K119" s="11">
        <f t="shared" si="11"/>
        <v>2.5163427889998084E-2</v>
      </c>
      <c r="L119" s="321">
        <f t="shared" si="12"/>
        <v>3909744245.4161458</v>
      </c>
      <c r="M119" s="321">
        <f t="shared" si="14"/>
        <v>181500.14277734049</v>
      </c>
      <c r="N119" s="321">
        <f t="shared" si="15"/>
        <v>32942301828.194981</v>
      </c>
      <c r="O119" s="11"/>
      <c r="P119"/>
    </row>
    <row r="120" spans="1:16" x14ac:dyDescent="0.2">
      <c r="A120" s="44">
        <v>45230</v>
      </c>
      <c r="B120" s="45">
        <f>Inputs!D141+Inputs!E141</f>
        <v>2606166</v>
      </c>
      <c r="C120" s="45">
        <f>Inputs!S141</f>
        <v>387.99999999999994</v>
      </c>
      <c r="D120" s="45">
        <f>Inputs!T141</f>
        <v>11</v>
      </c>
      <c r="E120" s="275">
        <v>31</v>
      </c>
      <c r="F120" s="288">
        <f>Inputs!L141/(Inputs!H141+Inputs!J141+Inputs!L141+Inputs!O141)</f>
        <v>0.57639461449939855</v>
      </c>
      <c r="G120" s="279">
        <f>Inputs!I141+Inputs!K141+Inputs!N141</f>
        <v>1620</v>
      </c>
      <c r="H120" s="45">
        <f t="shared" si="13"/>
        <v>2830882.0341157457</v>
      </c>
      <c r="I120" s="30">
        <f t="shared" si="16"/>
        <v>224716.03411574569</v>
      </c>
      <c r="J120" s="38">
        <f t="shared" si="17"/>
        <v>8.6224758559410905E-2</v>
      </c>
      <c r="K120" s="11">
        <f t="shared" si="11"/>
        <v>8.6224758559410905E-2</v>
      </c>
      <c r="L120" s="321">
        <f t="shared" si="12"/>
        <v>50497295988.708977</v>
      </c>
      <c r="M120" s="321">
        <f t="shared" si="14"/>
        <v>162188.08640101459</v>
      </c>
      <c r="N120" s="321">
        <f t="shared" si="15"/>
        <v>26304975370.422974</v>
      </c>
      <c r="O120" s="11"/>
      <c r="P120"/>
    </row>
    <row r="121" spans="1:16" x14ac:dyDescent="0.2">
      <c r="A121" s="44">
        <v>45260</v>
      </c>
      <c r="B121" s="45">
        <f>Inputs!D142+Inputs!E142</f>
        <v>2817960</v>
      </c>
      <c r="C121" s="45">
        <f>Inputs!S142</f>
        <v>585.4</v>
      </c>
      <c r="D121" s="45">
        <f>Inputs!T142</f>
        <v>0</v>
      </c>
      <c r="E121" s="275">
        <v>30</v>
      </c>
      <c r="F121" s="288">
        <f>Inputs!L142/(Inputs!H142+Inputs!J142+Inputs!L142+Inputs!O142)</f>
        <v>0.54770532154484741</v>
      </c>
      <c r="G121" s="279">
        <f>Inputs!I142+Inputs!K142+Inputs!N142</f>
        <v>1619</v>
      </c>
      <c r="H121" s="45">
        <f t="shared" si="13"/>
        <v>2750927.9020994604</v>
      </c>
      <c r="I121" s="30">
        <f t="shared" si="16"/>
        <v>-67032.097900539637</v>
      </c>
      <c r="J121" s="38">
        <f t="shared" si="17"/>
        <v>-2.3787455428941374E-2</v>
      </c>
      <c r="K121" s="11">
        <f t="shared" si="11"/>
        <v>2.3787455428941374E-2</v>
      </c>
      <c r="L121" s="321">
        <f t="shared" si="12"/>
        <v>4493302148.9475307</v>
      </c>
      <c r="M121" s="321">
        <f t="shared" si="14"/>
        <v>-291748.13201628532</v>
      </c>
      <c r="N121" s="321">
        <f t="shared" si="15"/>
        <v>85116972534.991852</v>
      </c>
      <c r="O121" s="11"/>
      <c r="P121"/>
    </row>
    <row r="122" spans="1:16" x14ac:dyDescent="0.2">
      <c r="A122" s="44">
        <v>45291</v>
      </c>
      <c r="B122" s="45">
        <f>Inputs!D143+Inputs!E143</f>
        <v>3006920</v>
      </c>
      <c r="C122" s="45">
        <f>Inputs!S143</f>
        <v>662.59999999999968</v>
      </c>
      <c r="D122" s="45">
        <f>Inputs!T143</f>
        <v>0</v>
      </c>
      <c r="E122" s="275">
        <v>31</v>
      </c>
      <c r="F122" s="288">
        <f>Inputs!L143/(Inputs!H143+Inputs!J143+Inputs!L143+Inputs!O143)</f>
        <v>0.55129396414062581</v>
      </c>
      <c r="G122" s="279">
        <f>Inputs!I143+Inputs!K143+Inputs!N143</f>
        <v>1618</v>
      </c>
      <c r="H122" s="45">
        <f t="shared" si="13"/>
        <v>2959693.6163446242</v>
      </c>
      <c r="I122" s="30">
        <f t="shared" si="16"/>
        <v>-47226.383655375801</v>
      </c>
      <c r="J122" s="38">
        <f t="shared" si="17"/>
        <v>-1.5705899610024811E-2</v>
      </c>
      <c r="K122" s="11">
        <f t="shared" si="11"/>
        <v>1.5705899610024811E-2</v>
      </c>
      <c r="L122" s="321">
        <f t="shared" si="12"/>
        <v>2230331313.1647468</v>
      </c>
      <c r="M122" s="321">
        <f t="shared" si="14"/>
        <v>19805.714245163836</v>
      </c>
      <c r="N122" s="321">
        <f t="shared" si="15"/>
        <v>392266316.76108569</v>
      </c>
      <c r="O122" s="11"/>
      <c r="P122"/>
    </row>
    <row r="123" spans="1:16" x14ac:dyDescent="0.2">
      <c r="A123" s="44">
        <v>45322</v>
      </c>
      <c r="B123" s="45">
        <f>Inputs!D144+Inputs!E144</f>
        <v>3261869</v>
      </c>
      <c r="C123" s="339">
        <v>802.20000000000016</v>
      </c>
      <c r="D123" s="339">
        <v>0</v>
      </c>
      <c r="E123" s="275">
        <v>31</v>
      </c>
      <c r="F123" s="288">
        <f>Inputs!L144/(Inputs!H144+Inputs!J144+Inputs!L144+Inputs!O144)</f>
        <v>0.53005289557695079</v>
      </c>
      <c r="G123" s="279">
        <f>Inputs!I144+Inputs!K144+Inputs!N144</f>
        <v>1619</v>
      </c>
      <c r="H123" s="45">
        <f t="shared" ref="H123:H146" si="18">$Q$18+$Q$19*C123+$Q$20*D123+$Q$21*E123+$Q$22*F123+$Q$23*G123</f>
        <v>3060573.9626028165</v>
      </c>
      <c r="I123" s="30"/>
      <c r="K123" s="5">
        <f>AVERAGE(K3:K122)</f>
        <v>3.8105213061296064E-2</v>
      </c>
      <c r="L123" s="322">
        <f>SUM(L3:L122)</f>
        <v>2098907733787.4197</v>
      </c>
      <c r="M123" s="321"/>
      <c r="N123" s="321">
        <f>SUM(N3:N122)</f>
        <v>3095627673333.9243</v>
      </c>
      <c r="O123" s="5"/>
      <c r="P123"/>
    </row>
    <row r="124" spans="1:16" x14ac:dyDescent="0.2">
      <c r="A124" s="44">
        <v>45351</v>
      </c>
      <c r="B124" s="45">
        <f>Inputs!D145+Inputs!E145</f>
        <v>2841745</v>
      </c>
      <c r="C124" s="339">
        <v>901.09999999999991</v>
      </c>
      <c r="D124" s="339">
        <v>0</v>
      </c>
      <c r="E124" s="275">
        <v>29</v>
      </c>
      <c r="F124" s="288">
        <f>Inputs!L145/(Inputs!H145+Inputs!J145+Inputs!L145+Inputs!O145)</f>
        <v>0.54008516895074365</v>
      </c>
      <c r="G124" s="279">
        <f>Inputs!I145+Inputs!K145+Inputs!N145</f>
        <v>1619</v>
      </c>
      <c r="H124" s="45">
        <f t="shared" si="18"/>
        <v>3029391.1774161952</v>
      </c>
      <c r="I124" s="30"/>
      <c r="P124"/>
    </row>
    <row r="125" spans="1:16" x14ac:dyDescent="0.2">
      <c r="A125" s="44">
        <v>45382</v>
      </c>
      <c r="B125" s="45">
        <f>Inputs!D146+Inputs!E146</f>
        <v>2922239</v>
      </c>
      <c r="C125" s="339">
        <v>712.60000000000014</v>
      </c>
      <c r="D125" s="339">
        <v>0</v>
      </c>
      <c r="E125" s="275">
        <v>31</v>
      </c>
      <c r="F125" s="288">
        <f>Inputs!L146/(Inputs!H146+Inputs!J146+Inputs!L146+Inputs!O146)</f>
        <v>0.53664008590289247</v>
      </c>
      <c r="G125" s="279">
        <f>Inputs!I146+Inputs!K146+Inputs!N146</f>
        <v>1619</v>
      </c>
      <c r="H125" s="45">
        <f t="shared" si="18"/>
        <v>2971033.0063398741</v>
      </c>
      <c r="I125" s="30"/>
      <c r="P125"/>
    </row>
    <row r="126" spans="1:16" x14ac:dyDescent="0.2">
      <c r="A126" s="44">
        <v>45412</v>
      </c>
      <c r="B126" s="45">
        <f>Inputs!D147+Inputs!E147</f>
        <v>2452765</v>
      </c>
      <c r="C126" s="339">
        <v>694.5</v>
      </c>
      <c r="D126" s="339">
        <v>0</v>
      </c>
      <c r="E126" s="275">
        <v>30</v>
      </c>
      <c r="F126" s="288">
        <f>Inputs!L147/(Inputs!H147+Inputs!J147+Inputs!L147+Inputs!O147)</f>
        <v>0.53515770628467441</v>
      </c>
      <c r="G126" s="279">
        <f>Inputs!I147+Inputs!K147+Inputs!N147</f>
        <v>1623</v>
      </c>
      <c r="H126" s="45">
        <f t="shared" si="18"/>
        <v>2864285.1845788108</v>
      </c>
      <c r="I126" s="30"/>
      <c r="P126"/>
    </row>
    <row r="127" spans="1:16" x14ac:dyDescent="0.2">
      <c r="A127" s="44">
        <v>45443</v>
      </c>
      <c r="B127" s="45">
        <f>Inputs!D148+Inputs!E148</f>
        <v>2364541</v>
      </c>
      <c r="C127" s="339">
        <v>425.40000000000009</v>
      </c>
      <c r="D127" s="339">
        <v>0</v>
      </c>
      <c r="E127" s="275">
        <v>31</v>
      </c>
      <c r="F127" s="288">
        <f>Inputs!L148/(Inputs!H148+Inputs!J148+Inputs!L148+Inputs!O148)</f>
        <v>0.55446087374184494</v>
      </c>
      <c r="G127" s="279">
        <f>Inputs!I148+Inputs!K148+Inputs!N148</f>
        <v>1624</v>
      </c>
      <c r="H127" s="45">
        <f t="shared" si="18"/>
        <v>2698971.858385128</v>
      </c>
      <c r="I127" s="30"/>
      <c r="P127"/>
    </row>
    <row r="128" spans="1:16" x14ac:dyDescent="0.2">
      <c r="A128" s="44">
        <v>45473</v>
      </c>
      <c r="B128" s="45">
        <f>Inputs!D149+Inputs!E149</f>
        <v>1993950</v>
      </c>
      <c r="C128" s="339">
        <v>231.29999999999998</v>
      </c>
      <c r="D128" s="339">
        <v>0</v>
      </c>
      <c r="E128" s="275">
        <v>30</v>
      </c>
      <c r="F128" s="288">
        <f>Inputs!L149/(Inputs!H149+Inputs!J149+Inputs!L149+Inputs!O149)</f>
        <v>0.47756929377389679</v>
      </c>
      <c r="G128" s="279">
        <f>Inputs!I149+Inputs!K149+Inputs!N149</f>
        <v>1624</v>
      </c>
      <c r="H128" s="45">
        <f t="shared" si="18"/>
        <v>2037446.3481017482</v>
      </c>
      <c r="I128" s="30"/>
      <c r="P128"/>
    </row>
    <row r="129" spans="1:16" x14ac:dyDescent="0.2">
      <c r="A129" s="44">
        <v>45504</v>
      </c>
      <c r="B129" s="45">
        <f>Inputs!D150+Inputs!E150</f>
        <v>1996849</v>
      </c>
      <c r="C129" s="339">
        <v>81.8</v>
      </c>
      <c r="D129" s="339">
        <v>4.6999999999999993</v>
      </c>
      <c r="E129" s="275">
        <v>31</v>
      </c>
      <c r="F129" s="288">
        <f>Inputs!L150/(Inputs!H150+Inputs!J150+Inputs!L150+Inputs!O150)</f>
        <v>0.34764834482948065</v>
      </c>
      <c r="G129" s="279">
        <f>Inputs!I150+Inputs!K150+Inputs!N150</f>
        <v>1623</v>
      </c>
      <c r="H129" s="45">
        <f t="shared" si="18"/>
        <v>1462926.4858190194</v>
      </c>
      <c r="I129" s="30"/>
      <c r="J129"/>
      <c r="K129"/>
      <c r="L129"/>
      <c r="M129"/>
      <c r="N129"/>
      <c r="O129"/>
      <c r="P129"/>
    </row>
    <row r="130" spans="1:16" x14ac:dyDescent="0.2">
      <c r="A130" s="44">
        <v>45535</v>
      </c>
      <c r="B130" s="45">
        <f>Inputs!D151+Inputs!E151</f>
        <v>2407779</v>
      </c>
      <c r="C130" s="339">
        <v>19.700000000000003</v>
      </c>
      <c r="D130" s="339">
        <v>54.2</v>
      </c>
      <c r="E130" s="275">
        <v>31</v>
      </c>
      <c r="F130" s="288">
        <f>Inputs!L151/(Inputs!H151+Inputs!J151+Inputs!L151+Inputs!O151)</f>
        <v>0.50350884788714034</v>
      </c>
      <c r="G130" s="279">
        <f>Inputs!I151+Inputs!K151+Inputs!N151</f>
        <v>1620</v>
      </c>
      <c r="H130" s="45">
        <f t="shared" si="18"/>
        <v>2509357.3535953145</v>
      </c>
      <c r="I130" s="30"/>
      <c r="J130"/>
      <c r="K130"/>
      <c r="L130"/>
      <c r="M130"/>
      <c r="N130"/>
      <c r="O130"/>
      <c r="P130"/>
    </row>
    <row r="131" spans="1:16" x14ac:dyDescent="0.2">
      <c r="A131" s="44">
        <v>45565</v>
      </c>
      <c r="B131" s="45">
        <f>Inputs!D152+Inputs!E152</f>
        <v>2403330</v>
      </c>
      <c r="C131" s="339">
        <v>35.300000000000011</v>
      </c>
      <c r="D131" s="339">
        <v>27.8</v>
      </c>
      <c r="E131" s="275">
        <v>30</v>
      </c>
      <c r="F131" s="288">
        <f>Inputs!L152/(Inputs!H152+Inputs!J152+Inputs!L152+Inputs!O152)</f>
        <v>0.55166190536589488</v>
      </c>
      <c r="G131" s="279">
        <f>Inputs!I152+Inputs!K152+Inputs!N152</f>
        <v>1621</v>
      </c>
      <c r="H131" s="45">
        <f t="shared" si="18"/>
        <v>2354714.7907495704</v>
      </c>
      <c r="I131" s="30"/>
      <c r="J131" s="349"/>
      <c r="K131"/>
      <c r="L131"/>
      <c r="M131"/>
      <c r="N131"/>
      <c r="O131"/>
      <c r="P131"/>
    </row>
    <row r="132" spans="1:16" x14ac:dyDescent="0.2">
      <c r="A132" s="44">
        <v>45596</v>
      </c>
      <c r="B132" s="45">
        <f>Inputs!D153+Inputs!E153</f>
        <v>2429951</v>
      </c>
      <c r="C132" s="339">
        <v>72.100000000000009</v>
      </c>
      <c r="D132" s="339">
        <v>32.6</v>
      </c>
      <c r="E132" s="275">
        <v>31</v>
      </c>
      <c r="F132" s="288">
        <f>Inputs!L153/(Inputs!H153+Inputs!J153+Inputs!L153+Inputs!O153)</f>
        <v>0.56286037334364636</v>
      </c>
      <c r="G132" s="279">
        <f>Inputs!I153+Inputs!K153+Inputs!N153</f>
        <v>1618</v>
      </c>
      <c r="H132" s="45">
        <f t="shared" si="18"/>
        <v>2580490.519859639</v>
      </c>
      <c r="I132" s="30"/>
      <c r="J132"/>
      <c r="K132"/>
      <c r="L132"/>
      <c r="M132"/>
      <c r="N132"/>
      <c r="O132"/>
      <c r="P132"/>
    </row>
    <row r="133" spans="1:16" x14ac:dyDescent="0.2">
      <c r="A133" s="44">
        <v>45626</v>
      </c>
      <c r="B133" s="45">
        <f>Inputs!D154+Inputs!E154</f>
        <v>2687461</v>
      </c>
      <c r="C133" s="339">
        <v>337.2</v>
      </c>
      <c r="D133" s="339">
        <v>0</v>
      </c>
      <c r="E133" s="275">
        <v>30</v>
      </c>
      <c r="F133" s="288">
        <f>Inputs!L154/(Inputs!H154+Inputs!J154+Inputs!L154+Inputs!O154)</f>
        <v>0.55515722042715354</v>
      </c>
      <c r="G133" s="279">
        <f>Inputs!I154+Inputs!K154+Inputs!N154</f>
        <v>1618</v>
      </c>
      <c r="H133" s="45">
        <f t="shared" si="18"/>
        <v>2453708.0502110124</v>
      </c>
      <c r="I133" s="30"/>
      <c r="J133"/>
      <c r="K133"/>
      <c r="L133"/>
      <c r="M133"/>
      <c r="N133"/>
      <c r="O133"/>
      <c r="P133"/>
    </row>
    <row r="134" spans="1:16" x14ac:dyDescent="0.2">
      <c r="A134" s="44">
        <v>45657</v>
      </c>
      <c r="B134" s="45">
        <f>Inputs!D155+Inputs!E155</f>
        <v>3139170</v>
      </c>
      <c r="C134" s="339">
        <v>533.10000000000014</v>
      </c>
      <c r="D134" s="339">
        <v>0</v>
      </c>
      <c r="E134" s="275">
        <v>31</v>
      </c>
      <c r="F134" s="288">
        <f>Inputs!L155/(Inputs!H155+Inputs!J155+Inputs!L155+Inputs!O155)</f>
        <v>0.51826649951925297</v>
      </c>
      <c r="G134" s="279">
        <f>Inputs!I155+Inputs!K155+Inputs!N155</f>
        <v>1620</v>
      </c>
      <c r="H134" s="45">
        <f t="shared" si="18"/>
        <v>2669976.1885893624</v>
      </c>
      <c r="I134" s="30"/>
      <c r="J134"/>
      <c r="K134"/>
      <c r="L134"/>
      <c r="M134"/>
      <c r="N134"/>
      <c r="O134"/>
      <c r="P134"/>
    </row>
    <row r="135" spans="1:16" x14ac:dyDescent="0.2">
      <c r="A135" s="44">
        <v>45688</v>
      </c>
      <c r="B135" s="45"/>
      <c r="C135" s="274">
        <f>(C3+C15+C27+C39+C51+C63+C75+C87+C99+C111+C123)/11</f>
        <v>999.73636363636365</v>
      </c>
      <c r="D135" s="274">
        <f>(D3+D15+D27+D39+D51+D63+D75+D87+D99+D111+D123)/11</f>
        <v>0</v>
      </c>
      <c r="E135" s="275">
        <v>31</v>
      </c>
      <c r="F135" s="289">
        <v>0.51706048090679224</v>
      </c>
      <c r="G135" s="280">
        <f>'Rate Class Customer Model'!M11</f>
        <v>1619.5380145019603</v>
      </c>
      <c r="H135" s="45">
        <f t="shared" si="18"/>
        <v>3267188.5620309925</v>
      </c>
      <c r="I135" s="30"/>
      <c r="J135"/>
      <c r="K135"/>
      <c r="L135"/>
      <c r="M135"/>
      <c r="N135"/>
      <c r="O135"/>
      <c r="P135"/>
    </row>
    <row r="136" spans="1:16" x14ac:dyDescent="0.2">
      <c r="A136" s="44">
        <v>45716</v>
      </c>
      <c r="B136" s="45"/>
      <c r="C136" s="274">
        <f t="shared" ref="C136:D136" si="19">(C4+C16+C28+C40+C52+C64+C76+C88+C100+C112+C124)/11</f>
        <v>946.53636363636372</v>
      </c>
      <c r="D136" s="274">
        <f t="shared" si="19"/>
        <v>0</v>
      </c>
      <c r="E136" s="275">
        <v>28</v>
      </c>
      <c r="F136" s="288">
        <f>F135</f>
        <v>0.51706048090679224</v>
      </c>
      <c r="G136" s="280">
        <f>'Rate Class Customer Model'!M12</f>
        <v>1619.0761607512047</v>
      </c>
      <c r="H136" s="45">
        <f t="shared" si="18"/>
        <v>2895940.4595278027</v>
      </c>
      <c r="I136" s="30"/>
      <c r="J136"/>
      <c r="K136"/>
      <c r="L136"/>
      <c r="M136"/>
      <c r="N136"/>
      <c r="O136"/>
      <c r="P136"/>
    </row>
    <row r="137" spans="1:16" x14ac:dyDescent="0.2">
      <c r="A137" s="44">
        <v>45747</v>
      </c>
      <c r="B137" s="45"/>
      <c r="C137" s="274">
        <f t="shared" ref="C137:D137" si="20">(C5+C17+C29+C41+C53+C65+C77+C89+C101+C113+C125)/11</f>
        <v>733.42727272727291</v>
      </c>
      <c r="D137" s="274">
        <f t="shared" si="20"/>
        <v>0</v>
      </c>
      <c r="E137" s="275">
        <v>31</v>
      </c>
      <c r="F137" s="288">
        <f t="shared" ref="F137:F146" si="21">F136</f>
        <v>0.51706048090679224</v>
      </c>
      <c r="G137" s="280">
        <f>'Rate Class Customer Model'!M13</f>
        <v>1618.6144387101622</v>
      </c>
      <c r="H137" s="45">
        <f t="shared" si="18"/>
        <v>2916880.3724456495</v>
      </c>
      <c r="I137" s="30"/>
      <c r="J137"/>
      <c r="K137"/>
      <c r="L137"/>
      <c r="M137"/>
      <c r="N137"/>
      <c r="O137"/>
      <c r="P137"/>
    </row>
    <row r="138" spans="1:16" x14ac:dyDescent="0.2">
      <c r="A138" s="44">
        <v>45777</v>
      </c>
      <c r="B138" s="45"/>
      <c r="C138" s="274">
        <f t="shared" ref="C138:D138" si="22">(C6+C18+C30+C42+C54+C66+C78+C90+C102+C114+C126)/11</f>
        <v>519.5454545454545</v>
      </c>
      <c r="D138" s="274">
        <f t="shared" si="22"/>
        <v>0</v>
      </c>
      <c r="E138" s="275">
        <v>30</v>
      </c>
      <c r="F138" s="288">
        <f t="shared" si="21"/>
        <v>0.51706048090679224</v>
      </c>
      <c r="G138" s="280">
        <f>'Rate Class Customer Model'!M14</f>
        <v>1618.1528483412721</v>
      </c>
      <c r="H138" s="45">
        <f t="shared" si="18"/>
        <v>2537217.4070090242</v>
      </c>
      <c r="I138" s="30"/>
      <c r="J138"/>
      <c r="K138"/>
      <c r="L138"/>
      <c r="M138"/>
      <c r="N138"/>
      <c r="O138"/>
      <c r="P138"/>
    </row>
    <row r="139" spans="1:16" x14ac:dyDescent="0.2">
      <c r="A139" s="44">
        <v>45808</v>
      </c>
      <c r="B139" s="45"/>
      <c r="C139" s="274">
        <f t="shared" ref="C139:D139" si="23">(C7+C19+C31+C43+C55+C67+C79+C91+C103+C115+C127)/11</f>
        <v>253.77272727272731</v>
      </c>
      <c r="D139" s="274">
        <f t="shared" si="23"/>
        <v>3.9181818181818184</v>
      </c>
      <c r="E139" s="275">
        <v>31</v>
      </c>
      <c r="F139" s="288">
        <f t="shared" si="21"/>
        <v>0.51706048090679224</v>
      </c>
      <c r="G139" s="280">
        <f>'Rate Class Customer Model'!M15</f>
        <v>1617.691389606985</v>
      </c>
      <c r="H139" s="45">
        <f t="shared" si="18"/>
        <v>2330899.4993531834</v>
      </c>
      <c r="I139" s="30"/>
      <c r="J139"/>
      <c r="K139"/>
      <c r="L139"/>
      <c r="M139"/>
      <c r="N139"/>
      <c r="O139"/>
      <c r="P139"/>
    </row>
    <row r="140" spans="1:16" x14ac:dyDescent="0.2">
      <c r="A140" s="44">
        <v>45838</v>
      </c>
      <c r="B140" s="45"/>
      <c r="C140" s="274">
        <f t="shared" ref="C140:D140" si="24">(C8+C20+C32+C44+C56+C68+C80+C92+C104+C116+C128)/11</f>
        <v>92.218181818181819</v>
      </c>
      <c r="D140" s="274">
        <f t="shared" si="24"/>
        <v>19.445454545454545</v>
      </c>
      <c r="E140" s="275">
        <v>30</v>
      </c>
      <c r="F140" s="288">
        <f t="shared" si="21"/>
        <v>0.51706048090679224</v>
      </c>
      <c r="G140" s="280">
        <f>'Rate Class Customer Model'!M16</f>
        <v>1617.2300624697614</v>
      </c>
      <c r="H140" s="45">
        <f t="shared" si="18"/>
        <v>2180672.9582439158</v>
      </c>
      <c r="I140" s="30"/>
      <c r="J140"/>
      <c r="K140"/>
      <c r="L140"/>
      <c r="M140"/>
      <c r="N140"/>
      <c r="O140"/>
      <c r="P140"/>
    </row>
    <row r="141" spans="1:16" x14ac:dyDescent="0.2">
      <c r="A141" s="44">
        <v>45869</v>
      </c>
      <c r="B141" s="45"/>
      <c r="C141" s="274">
        <f t="shared" ref="C141:D141" si="25">(C9+C21+C33+C45+C57+C69+C81+C93+C105+C117+C129)/11</f>
        <v>33.063636363636363</v>
      </c>
      <c r="D141" s="274">
        <f t="shared" si="25"/>
        <v>38.281818181818181</v>
      </c>
      <c r="E141" s="275">
        <v>31</v>
      </c>
      <c r="F141" s="288">
        <f t="shared" si="21"/>
        <v>0.51706048090679224</v>
      </c>
      <c r="G141" s="280">
        <f>'Rate Class Customer Model'!M17</f>
        <v>1616.7688668920732</v>
      </c>
      <c r="H141" s="45">
        <f t="shared" si="18"/>
        <v>2397387.2114167102</v>
      </c>
      <c r="I141" s="30"/>
      <c r="J141"/>
      <c r="K141"/>
      <c r="L141"/>
      <c r="M141"/>
      <c r="N141"/>
      <c r="O141"/>
      <c r="P141"/>
    </row>
    <row r="142" spans="1:16" x14ac:dyDescent="0.2">
      <c r="A142" s="44">
        <v>45900</v>
      </c>
      <c r="B142" s="45"/>
      <c r="C142" s="274">
        <f t="shared" ref="C142:D142" si="26">(C10+C22+C34+C46+C58+C70+C82+C94+C106+C118+C130)/11</f>
        <v>44.609090909090909</v>
      </c>
      <c r="D142" s="274">
        <f t="shared" si="26"/>
        <v>29.781818181818178</v>
      </c>
      <c r="E142" s="275">
        <v>31</v>
      </c>
      <c r="F142" s="288">
        <f t="shared" si="21"/>
        <v>0.51706048090679224</v>
      </c>
      <c r="G142" s="280">
        <f>'Rate Class Customer Model'!M18</f>
        <v>1616.3078028364027</v>
      </c>
      <c r="H142" s="45">
        <f t="shared" si="18"/>
        <v>2321266.216194829</v>
      </c>
      <c r="I142" s="30"/>
      <c r="J142"/>
      <c r="K142"/>
      <c r="L142"/>
      <c r="M142"/>
      <c r="N142"/>
      <c r="O142"/>
      <c r="P142"/>
    </row>
    <row r="143" spans="1:16" x14ac:dyDescent="0.2">
      <c r="A143" s="44">
        <v>45930</v>
      </c>
      <c r="B143" s="45"/>
      <c r="C143" s="274">
        <f t="shared" ref="C143:D143" si="27">(C11+C23+C35+C47+C59+C71+C83+C95+C107+C119+C131)/11</f>
        <v>138.26363636363635</v>
      </c>
      <c r="D143" s="274">
        <f t="shared" si="27"/>
        <v>10</v>
      </c>
      <c r="E143" s="275">
        <v>30</v>
      </c>
      <c r="F143" s="288">
        <f t="shared" si="21"/>
        <v>0.51706048090679224</v>
      </c>
      <c r="G143" s="280">
        <f>'Rate Class Customer Model'!M19</f>
        <v>1615.8468702652431</v>
      </c>
      <c r="H143" s="45">
        <f t="shared" si="18"/>
        <v>2134210.1183573157</v>
      </c>
      <c r="I143" s="30"/>
      <c r="J143"/>
      <c r="K143"/>
      <c r="L143"/>
      <c r="M143"/>
      <c r="N143"/>
      <c r="O143"/>
      <c r="P143"/>
    </row>
    <row r="144" spans="1:16" x14ac:dyDescent="0.2">
      <c r="A144" s="44">
        <v>45961</v>
      </c>
      <c r="B144" s="45"/>
      <c r="C144" s="274">
        <f t="shared" ref="C144:D144" si="28">(C12+C24+C36+C48+C60+C72+C84+C96+C108+C120+C132)/11</f>
        <v>354.19090909090909</v>
      </c>
      <c r="D144" s="274">
        <f t="shared" si="28"/>
        <v>3.9636363636363638</v>
      </c>
      <c r="E144" s="275">
        <v>31</v>
      </c>
      <c r="F144" s="288">
        <f t="shared" si="21"/>
        <v>0.51706048090679224</v>
      </c>
      <c r="G144" s="280">
        <f>'Rate Class Customer Model'!M20</f>
        <v>1615.3860691410978</v>
      </c>
      <c r="H144" s="45">
        <f t="shared" si="18"/>
        <v>2448481.3819029778</v>
      </c>
      <c r="I144" s="30"/>
      <c r="J144"/>
      <c r="K144"/>
      <c r="L144"/>
      <c r="M144"/>
      <c r="N144"/>
      <c r="O144"/>
      <c r="P144"/>
    </row>
    <row r="145" spans="1:16" x14ac:dyDescent="0.2">
      <c r="A145" s="44">
        <v>45991</v>
      </c>
      <c r="B145" s="45"/>
      <c r="C145" s="274">
        <f t="shared" ref="C145:D145" si="29">(C13+C25+C37+C49+C61+C73+C85+C97+C109+C121+C133)/11</f>
        <v>593.9909090909091</v>
      </c>
      <c r="D145" s="274">
        <f t="shared" si="29"/>
        <v>0</v>
      </c>
      <c r="E145" s="275">
        <v>30</v>
      </c>
      <c r="F145" s="288">
        <f t="shared" si="21"/>
        <v>0.51706048090679224</v>
      </c>
      <c r="G145" s="280">
        <f>'Rate Class Customer Model'!M21</f>
        <v>1614.9253994264814</v>
      </c>
      <c r="H145" s="45">
        <f t="shared" si="18"/>
        <v>2615462.9537790865</v>
      </c>
      <c r="I145" s="30"/>
      <c r="P145"/>
    </row>
    <row r="146" spans="1:16" x14ac:dyDescent="0.2">
      <c r="A146" s="44">
        <v>46022</v>
      </c>
      <c r="B146" s="45"/>
      <c r="C146" s="274">
        <f>(C14+C26+C38+C50+C62+C74+C86+C98+C110+C122+C134)/11</f>
        <v>823</v>
      </c>
      <c r="D146" s="274">
        <f t="shared" ref="D146" si="30">(D14+D26+D38+D50+D62+D74+D86+D98+D110+D122+D134)/11</f>
        <v>0</v>
      </c>
      <c r="E146" s="275">
        <v>31</v>
      </c>
      <c r="F146" s="288">
        <f t="shared" si="21"/>
        <v>0.51706048090679224</v>
      </c>
      <c r="G146" s="280">
        <f>'Rate Class Customer Model'!M22</f>
        <v>1614.464861083919</v>
      </c>
      <c r="H146" s="45">
        <f t="shared" si="18"/>
        <v>3009521.6436444083</v>
      </c>
      <c r="I146" s="30"/>
      <c r="P146"/>
    </row>
    <row r="147" spans="1:16" x14ac:dyDescent="0.2">
      <c r="A147" s="31"/>
      <c r="E147" s="9"/>
      <c r="P147"/>
    </row>
    <row r="148" spans="1:16" x14ac:dyDescent="0.2">
      <c r="A148" s="31"/>
      <c r="E148" s="9"/>
      <c r="P148"/>
    </row>
    <row r="149" spans="1:16" x14ac:dyDescent="0.2">
      <c r="A149" s="31"/>
      <c r="C149" s="71" t="s">
        <v>90</v>
      </c>
      <c r="D149" s="69"/>
      <c r="E149" s="9"/>
      <c r="P149"/>
    </row>
    <row r="150" spans="1:16" x14ac:dyDescent="0.2">
      <c r="A150" s="31"/>
      <c r="C150" s="72" t="s">
        <v>91</v>
      </c>
      <c r="D150" s="70"/>
      <c r="E150" s="9"/>
      <c r="H150" s="30">
        <f>SUM(H2:H146)</f>
        <v>387846013.55562782</v>
      </c>
      <c r="P150"/>
    </row>
    <row r="151" spans="1:16" x14ac:dyDescent="0.2">
      <c r="A151" s="31"/>
      <c r="C151" s="39"/>
      <c r="D151" s="282"/>
      <c r="E151" s="9"/>
      <c r="I151" s="49"/>
      <c r="P151"/>
    </row>
    <row r="152" spans="1:16" x14ac:dyDescent="0.2">
      <c r="A152" s="25">
        <v>2014</v>
      </c>
      <c r="B152" s="6">
        <f>SUM(B3:B14)</f>
        <v>25737257.069999997</v>
      </c>
      <c r="H152" s="6">
        <f>SUM(H3:H14)</f>
        <v>25885503.155275811</v>
      </c>
      <c r="I152" s="77"/>
      <c r="J152"/>
      <c r="K152" s="5"/>
      <c r="L152" s="5"/>
      <c r="M152" s="5"/>
      <c r="N152" s="5"/>
      <c r="O152" s="5"/>
      <c r="P152"/>
    </row>
    <row r="153" spans="1:16" x14ac:dyDescent="0.2">
      <c r="A153" s="25">
        <v>2015</v>
      </c>
      <c r="B153" s="6">
        <f>SUM(B15:B26)</f>
        <v>34929593.239999995</v>
      </c>
      <c r="H153" s="6">
        <f>SUM(H15:H26)</f>
        <v>34895860.022439003</v>
      </c>
      <c r="I153" s="77"/>
      <c r="J153"/>
      <c r="K153" s="5"/>
      <c r="L153" s="5"/>
      <c r="M153" s="5"/>
      <c r="N153" s="5"/>
      <c r="O153" s="5"/>
      <c r="P153"/>
    </row>
    <row r="154" spans="1:16" x14ac:dyDescent="0.2">
      <c r="A154" s="25">
        <v>2016</v>
      </c>
      <c r="B154" s="6">
        <f>SUM(B27:B38)</f>
        <v>38074821.230769224</v>
      </c>
      <c r="H154" s="6">
        <f>SUM(H27:H38)</f>
        <v>36268063.807231545</v>
      </c>
      <c r="I154" s="77"/>
      <c r="J154"/>
      <c r="K154" s="5"/>
      <c r="L154" s="5"/>
      <c r="M154" s="5"/>
      <c r="N154" s="5"/>
      <c r="O154" s="5"/>
      <c r="P154"/>
    </row>
    <row r="155" spans="1:16" x14ac:dyDescent="0.2">
      <c r="A155" s="25">
        <v>2017</v>
      </c>
      <c r="B155" s="6">
        <f>SUM(B39:B50)</f>
        <v>32032893.047619052</v>
      </c>
      <c r="H155" s="6">
        <f>SUM(H39:H50)</f>
        <v>32327823.883200567</v>
      </c>
      <c r="I155" s="77"/>
      <c r="J155"/>
      <c r="K155" s="5"/>
      <c r="L155" s="5"/>
      <c r="M155" s="5"/>
      <c r="N155" s="5"/>
      <c r="O155" s="5"/>
      <c r="P155"/>
    </row>
    <row r="156" spans="1:16" x14ac:dyDescent="0.2">
      <c r="A156" s="25">
        <v>2018</v>
      </c>
      <c r="B156" s="6">
        <f>SUM(B51:B62)</f>
        <v>32615191.333333336</v>
      </c>
      <c r="H156" s="6">
        <f>SUM(H51:H62)</f>
        <v>33368600.356360652</v>
      </c>
      <c r="I156" s="77"/>
      <c r="J156"/>
      <c r="K156" s="5"/>
      <c r="L156" s="5"/>
      <c r="M156" s="5"/>
      <c r="N156" s="5"/>
      <c r="O156" s="5"/>
      <c r="P156"/>
    </row>
    <row r="157" spans="1:16" x14ac:dyDescent="0.2">
      <c r="A157" s="25">
        <v>2019</v>
      </c>
      <c r="B157" s="6">
        <f>SUM(B63:B74)</f>
        <v>31966205</v>
      </c>
      <c r="H157" s="6">
        <f>SUM(H63:H74)</f>
        <v>32482536.697219722</v>
      </c>
      <c r="I157" s="77"/>
      <c r="J157"/>
      <c r="K157" s="5"/>
      <c r="L157" s="5"/>
      <c r="M157" s="5"/>
      <c r="N157" s="5"/>
      <c r="O157" s="5"/>
      <c r="P157"/>
    </row>
    <row r="158" spans="1:16" x14ac:dyDescent="0.2">
      <c r="A158" s="25">
        <v>2020</v>
      </c>
      <c r="B158" s="6">
        <f>SUM(B75:B86)</f>
        <v>32780485.850000001</v>
      </c>
      <c r="H158" s="6">
        <f>SUM(H75:H86)</f>
        <v>33781714.039513543</v>
      </c>
      <c r="I158" s="77"/>
      <c r="J158"/>
      <c r="K158" s="5"/>
      <c r="L158" s="5"/>
      <c r="M158" s="5"/>
      <c r="N158" s="5"/>
      <c r="O158" s="5"/>
      <c r="P158"/>
    </row>
    <row r="159" spans="1:16" x14ac:dyDescent="0.2">
      <c r="A159" s="25">
        <v>2021</v>
      </c>
      <c r="B159" s="6">
        <f>SUM(B87:B98)</f>
        <v>33741759</v>
      </c>
      <c r="H159" s="6">
        <f>SUM(H87:H98)</f>
        <v>33269503.836934485</v>
      </c>
      <c r="I159" s="77"/>
      <c r="J159"/>
      <c r="K159" s="5"/>
      <c r="L159" s="5"/>
      <c r="M159" s="5"/>
      <c r="N159" s="5"/>
      <c r="O159" s="5"/>
      <c r="P159"/>
    </row>
    <row r="160" spans="1:16" x14ac:dyDescent="0.2">
      <c r="A160" s="25">
        <v>2022</v>
      </c>
      <c r="B160" s="6">
        <f>SUM(B99:B110)</f>
        <v>32081389</v>
      </c>
      <c r="H160" s="6">
        <f>SUM(H99:H110)</f>
        <v>31668233.564430892</v>
      </c>
      <c r="I160" s="77"/>
      <c r="J160"/>
      <c r="K160" s="5"/>
      <c r="L160" s="5"/>
      <c r="M160" s="5"/>
      <c r="N160" s="5"/>
      <c r="O160" s="5"/>
      <c r="P160"/>
    </row>
    <row r="161" spans="1:18" x14ac:dyDescent="0.2">
      <c r="A161" s="25">
        <v>2023</v>
      </c>
      <c r="B161" s="6">
        <f>SUM(B111:B122)</f>
        <v>31929641</v>
      </c>
      <c r="H161" s="6">
        <f>SUM(H111:H122)</f>
        <v>32150170.482867278</v>
      </c>
      <c r="I161" s="77"/>
      <c r="J161"/>
      <c r="K161" s="5"/>
      <c r="L161" s="5"/>
      <c r="M161" s="5"/>
      <c r="N161" s="5"/>
      <c r="O161" s="5"/>
      <c r="P161"/>
    </row>
    <row r="162" spans="1:18" x14ac:dyDescent="0.2">
      <c r="A162" s="25">
        <v>2024</v>
      </c>
      <c r="B162" s="6">
        <f>SUM(B123:B134)</f>
        <v>30901649</v>
      </c>
      <c r="H162" s="6">
        <f>SUM(H123:H134)</f>
        <v>30692874.926248491</v>
      </c>
      <c r="I162"/>
      <c r="J162"/>
      <c r="K162" s="5"/>
      <c r="L162" s="5"/>
      <c r="M162" s="5"/>
      <c r="N162" s="5"/>
      <c r="O162" s="5"/>
      <c r="P162"/>
    </row>
    <row r="163" spans="1:18" x14ac:dyDescent="0.2">
      <c r="A163" s="25">
        <v>2025</v>
      </c>
      <c r="H163" s="14">
        <f>SUM(H135:H146)</f>
        <v>31055128.783905894</v>
      </c>
      <c r="I163" s="22"/>
      <c r="J163" s="5"/>
      <c r="K163" s="5"/>
      <c r="L163" s="5"/>
      <c r="M163" s="5"/>
      <c r="N163" s="5"/>
      <c r="O163" s="5"/>
      <c r="P163"/>
      <c r="Q163" s="6"/>
      <c r="R163" s="33"/>
    </row>
    <row r="164" spans="1:18" x14ac:dyDescent="0.2">
      <c r="H164" s="6"/>
      <c r="P164"/>
      <c r="Q164" s="6"/>
      <c r="R164" s="33"/>
    </row>
    <row r="165" spans="1:18" x14ac:dyDescent="0.2">
      <c r="A165" s="39" t="s">
        <v>8</v>
      </c>
      <c r="B165" s="6">
        <f>SUM(B152:B162)</f>
        <v>356790884.7717216</v>
      </c>
      <c r="H165" s="6">
        <f>SUM(H152:H162)</f>
        <v>356790884.77172196</v>
      </c>
      <c r="I165" s="30">
        <f>H165-B165</f>
        <v>0</v>
      </c>
      <c r="J165" s="1" t="s">
        <v>66</v>
      </c>
      <c r="P165" s="5"/>
      <c r="Q165" s="6"/>
      <c r="R165" s="33"/>
    </row>
    <row r="166" spans="1:18" x14ac:dyDescent="0.2">
      <c r="P166" s="5"/>
      <c r="Q166" s="6"/>
      <c r="R166" s="33"/>
    </row>
    <row r="167" spans="1:18" x14ac:dyDescent="0.2">
      <c r="H167" s="6">
        <f>SUM(H152:H163)</f>
        <v>387846013.55562782</v>
      </c>
      <c r="I167" s="30">
        <f>H150-H167</f>
        <v>0</v>
      </c>
      <c r="P167" s="5"/>
      <c r="Q167" s="6"/>
      <c r="R167" s="33"/>
    </row>
    <row r="168" spans="1:18" x14ac:dyDescent="0.2">
      <c r="H168" s="392"/>
      <c r="I168" s="392"/>
      <c r="J168"/>
      <c r="K168"/>
      <c r="L168"/>
      <c r="M168"/>
      <c r="N168"/>
      <c r="O168"/>
      <c r="P168" s="5"/>
      <c r="Q168" s="6"/>
      <c r="R168" s="33"/>
    </row>
    <row r="169" spans="1:18" x14ac:dyDescent="0.2">
      <c r="P169" s="6"/>
      <c r="Q169" s="6"/>
      <c r="R169" s="33"/>
    </row>
    <row r="170" spans="1:18" x14ac:dyDescent="0.2">
      <c r="B170" s="284"/>
      <c r="P170" s="6"/>
      <c r="Q170" s="6"/>
      <c r="R170" s="33"/>
    </row>
    <row r="171" spans="1:18" x14ac:dyDescent="0.2">
      <c r="A171"/>
      <c r="B171"/>
      <c r="C171"/>
      <c r="D171"/>
      <c r="E171"/>
      <c r="F171"/>
      <c r="G171"/>
      <c r="H171"/>
      <c r="I171"/>
    </row>
    <row r="172" spans="1:18" x14ac:dyDescent="0.2">
      <c r="A172"/>
      <c r="B172"/>
      <c r="C172"/>
      <c r="D172"/>
      <c r="E172"/>
      <c r="F172"/>
      <c r="G172"/>
      <c r="H172"/>
      <c r="I172"/>
    </row>
    <row r="173" spans="1:18" x14ac:dyDescent="0.2">
      <c r="A173"/>
      <c r="B173"/>
      <c r="C173"/>
      <c r="D173"/>
      <c r="E173"/>
      <c r="F173"/>
      <c r="G173"/>
      <c r="H173"/>
      <c r="I173"/>
    </row>
    <row r="174" spans="1:18" x14ac:dyDescent="0.2">
      <c r="A174"/>
      <c r="B174"/>
      <c r="C174"/>
      <c r="D174"/>
      <c r="E174"/>
      <c r="F174"/>
      <c r="G174"/>
      <c r="H174"/>
      <c r="I174"/>
    </row>
    <row r="175" spans="1:18" x14ac:dyDescent="0.2">
      <c r="A175"/>
      <c r="B175"/>
      <c r="C175"/>
      <c r="D175"/>
      <c r="E175"/>
      <c r="F175"/>
      <c r="G175"/>
      <c r="H175"/>
      <c r="I175"/>
    </row>
    <row r="176" spans="1:18" x14ac:dyDescent="0.2">
      <c r="A176"/>
      <c r="B176"/>
      <c r="C176"/>
      <c r="D176"/>
      <c r="E176"/>
      <c r="F176"/>
      <c r="G176"/>
      <c r="H176"/>
      <c r="I176"/>
    </row>
    <row r="177" spans="1:16" x14ac:dyDescent="0.2">
      <c r="A177"/>
      <c r="B177"/>
      <c r="C177"/>
      <c r="D177"/>
      <c r="E177"/>
      <c r="F177"/>
      <c r="G177"/>
      <c r="H177"/>
      <c r="I177"/>
    </row>
    <row r="178" spans="1:16" x14ac:dyDescent="0.2">
      <c r="A178"/>
      <c r="B178"/>
      <c r="C178"/>
      <c r="D178"/>
      <c r="E178"/>
      <c r="F178"/>
      <c r="G178"/>
      <c r="H178"/>
      <c r="I178"/>
    </row>
    <row r="179" spans="1:16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</row>
    <row r="180" spans="1:16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</row>
    <row r="181" spans="1:16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</row>
    <row r="182" spans="1:16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</row>
    <row r="183" spans="1:16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</row>
    <row r="184" spans="1:16" x14ac:dyDescent="0.2">
      <c r="A184"/>
      <c r="J184"/>
      <c r="K184"/>
      <c r="L184"/>
      <c r="M184"/>
      <c r="N184"/>
      <c r="O184"/>
      <c r="P184"/>
    </row>
    <row r="185" spans="1:16" x14ac:dyDescent="0.2">
      <c r="A185"/>
      <c r="J185"/>
      <c r="K185"/>
      <c r="L185"/>
      <c r="M185"/>
      <c r="N185"/>
      <c r="O185"/>
      <c r="P185"/>
    </row>
    <row r="186" spans="1:16" x14ac:dyDescent="0.2">
      <c r="A186"/>
      <c r="J186"/>
      <c r="K186"/>
      <c r="L186"/>
      <c r="M186"/>
      <c r="N186"/>
      <c r="O186"/>
      <c r="P186"/>
    </row>
    <row r="187" spans="1:16" x14ac:dyDescent="0.2">
      <c r="A187"/>
      <c r="J187"/>
      <c r="K187"/>
      <c r="L187"/>
      <c r="M187"/>
      <c r="N187"/>
      <c r="O187"/>
      <c r="P187"/>
    </row>
    <row r="188" spans="1:16" x14ac:dyDescent="0.2">
      <c r="A188"/>
      <c r="J188"/>
      <c r="K188"/>
      <c r="L188"/>
      <c r="M188"/>
      <c r="N188"/>
      <c r="O188"/>
      <c r="P188"/>
    </row>
    <row r="189" spans="1:16" x14ac:dyDescent="0.2">
      <c r="A189"/>
      <c r="J189"/>
      <c r="K189"/>
      <c r="L189"/>
      <c r="M189"/>
      <c r="N189"/>
      <c r="O189"/>
      <c r="P189"/>
    </row>
    <row r="190" spans="1:16" x14ac:dyDescent="0.2">
      <c r="A190"/>
      <c r="J190"/>
      <c r="K190"/>
      <c r="L190"/>
      <c r="M190"/>
      <c r="N190"/>
      <c r="O190"/>
      <c r="P190"/>
    </row>
    <row r="191" spans="1:16" x14ac:dyDescent="0.2">
      <c r="A191"/>
      <c r="J191"/>
      <c r="K191"/>
      <c r="L191"/>
      <c r="M191"/>
      <c r="N191"/>
      <c r="O191"/>
      <c r="P191"/>
    </row>
    <row r="192" spans="1:16" x14ac:dyDescent="0.2">
      <c r="A192"/>
      <c r="J192"/>
      <c r="K192"/>
      <c r="L192"/>
      <c r="M192"/>
      <c r="N192"/>
      <c r="O192"/>
      <c r="P192"/>
    </row>
    <row r="193" spans="1:16" x14ac:dyDescent="0.2">
      <c r="A193"/>
      <c r="J193"/>
      <c r="K193"/>
      <c r="L193"/>
      <c r="M193"/>
      <c r="N193"/>
      <c r="O193"/>
      <c r="P193"/>
    </row>
    <row r="194" spans="1:16" x14ac:dyDescent="0.2">
      <c r="A194"/>
      <c r="J194"/>
      <c r="K194"/>
      <c r="L194"/>
      <c r="M194"/>
      <c r="N194"/>
      <c r="O194"/>
      <c r="P194"/>
    </row>
    <row r="195" spans="1:16" customFormat="1" x14ac:dyDescent="0.2"/>
    <row r="196" spans="1:16" customFormat="1" x14ac:dyDescent="0.2"/>
  </sheetData>
  <mergeCells count="1">
    <mergeCell ref="H168:I168"/>
  </mergeCells>
  <printOptions gridLines="1"/>
  <pageMargins left="0.38" right="0.75" top="0.73" bottom="0.74" header="0.5" footer="0.5"/>
  <pageSetup scale="15" orientation="landscape" r:id="rId1"/>
  <headerFooter alignWithMargins="0">
    <oddFooter>&amp;L&amp;Z&amp;F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0E3FA3-44CC-415E-AAFD-7A5E60061574}">
  <sheetPr>
    <tabColor rgb="FF00B0F0"/>
    <pageSetUpPr fitToPage="1"/>
  </sheetPr>
  <dimension ref="A1:AD196"/>
  <sheetViews>
    <sheetView zoomScale="85" zoomScaleNormal="85" workbookViewId="0">
      <pane xSplit="1" ySplit="2" topLeftCell="B50" activePane="bottomRight" state="frozen"/>
      <selection pane="topRight" activeCell="C1" sqref="C1"/>
      <selection pane="bottomLeft" activeCell="A3" sqref="A3"/>
      <selection pane="bottomRight" activeCell="E161" sqref="E161"/>
    </sheetView>
  </sheetViews>
  <sheetFormatPr defaultColWidth="8.85546875" defaultRowHeight="12.75" x14ac:dyDescent="0.2"/>
  <cols>
    <col min="1" max="1" width="11.85546875" style="25" customWidth="1"/>
    <col min="2" max="2" width="16.85546875" style="6" customWidth="1"/>
    <col min="3" max="3" width="11.5703125" style="1" customWidth="1"/>
    <col min="4" max="4" width="13.42578125" style="1" customWidth="1"/>
    <col min="5" max="5" width="10.140625" style="1" customWidth="1"/>
    <col min="6" max="7" width="13" style="1" customWidth="1"/>
    <col min="8" max="8" width="15.5703125" style="1" bestFit="1" customWidth="1"/>
    <col min="9" max="9" width="16" style="1" customWidth="1"/>
    <col min="10" max="10" width="13.28515625" style="1" customWidth="1"/>
    <col min="11" max="11" width="8.42578125" style="1" customWidth="1"/>
    <col min="12" max="14" width="19.42578125" style="1" customWidth="1"/>
    <col min="15" max="15" width="8.42578125" style="1" customWidth="1"/>
    <col min="16" max="16" width="34.42578125" style="1" bestFit="1" customWidth="1"/>
    <col min="17" max="17" width="16.42578125" bestFit="1" customWidth="1"/>
    <col min="18" max="18" width="13.42578125" bestFit="1" customWidth="1"/>
    <col min="19" max="19" width="12.7109375" bestFit="1" customWidth="1"/>
    <col min="20" max="20" width="12.5703125" customWidth="1"/>
    <col min="21" max="21" width="13" bestFit="1" customWidth="1"/>
    <col min="22" max="22" width="12.7109375" bestFit="1" customWidth="1"/>
    <col min="23" max="25" width="12.5703125" customWidth="1"/>
    <col min="26" max="26" width="42.42578125" bestFit="1" customWidth="1"/>
    <col min="27" max="27" width="15.5703125" bestFit="1" customWidth="1"/>
    <col min="28" max="28" width="26.140625" bestFit="1" customWidth="1"/>
    <col min="29" max="29" width="23" bestFit="1" customWidth="1"/>
    <col min="32" max="32" width="40.5703125" bestFit="1" customWidth="1"/>
    <col min="33" max="33" width="42.85546875" bestFit="1" customWidth="1"/>
  </cols>
  <sheetData>
    <row r="1" spans="1:30" x14ac:dyDescent="0.2">
      <c r="Z1" s="76" t="s">
        <v>61</v>
      </c>
      <c r="AA1" s="76"/>
      <c r="AB1" s="76"/>
      <c r="AC1" s="76"/>
      <c r="AD1" s="76"/>
    </row>
    <row r="2" spans="1:30" ht="38.25" x14ac:dyDescent="0.2">
      <c r="A2" s="73"/>
      <c r="B2" s="74" t="s">
        <v>53</v>
      </c>
      <c r="C2" s="75" t="s">
        <v>3</v>
      </c>
      <c r="D2" s="75" t="s">
        <v>4</v>
      </c>
      <c r="E2" s="75" t="s">
        <v>92</v>
      </c>
      <c r="F2" s="287" t="s">
        <v>225</v>
      </c>
      <c r="G2" s="75" t="s">
        <v>106</v>
      </c>
      <c r="H2" s="75" t="s">
        <v>9</v>
      </c>
      <c r="I2" s="318" t="s">
        <v>235</v>
      </c>
      <c r="J2" s="319" t="s">
        <v>236</v>
      </c>
      <c r="K2" s="320" t="s">
        <v>237</v>
      </c>
      <c r="L2" s="281" t="s">
        <v>238</v>
      </c>
      <c r="M2" s="281" t="s">
        <v>239</v>
      </c>
      <c r="N2" s="281" t="s">
        <v>240</v>
      </c>
      <c r="O2" s="281"/>
      <c r="P2" t="s">
        <v>14</v>
      </c>
      <c r="Z2" s="76" t="s">
        <v>62</v>
      </c>
      <c r="AA2" s="76"/>
      <c r="AB2" s="76"/>
      <c r="AC2" s="76"/>
      <c r="AD2" s="76"/>
    </row>
    <row r="3" spans="1:30" ht="13.5" thickBot="1" x14ac:dyDescent="0.25">
      <c r="A3" s="44">
        <v>41670</v>
      </c>
      <c r="B3" s="45">
        <f>Inputs!D24+Inputs!E24</f>
        <v>2761299.33</v>
      </c>
      <c r="C3" s="290">
        <v>999.73636363636365</v>
      </c>
      <c r="D3" s="290">
        <v>0</v>
      </c>
      <c r="E3" s="275">
        <v>31</v>
      </c>
      <c r="F3" s="288">
        <f>Inputs!L24/(Inputs!H24+Inputs!J24+Inputs!L24+Inputs!O24)</f>
        <v>0.28527329317981381</v>
      </c>
      <c r="G3" s="279">
        <f>Inputs!I24+Inputs!K24+Inputs!N24</f>
        <v>1663</v>
      </c>
      <c r="H3" s="45">
        <f>$Q$18+$Q$19*C3+$Q$20*D3+$Q$21*E3+$Q$22*F3+$Q$23*G3</f>
        <v>2577799.5643829126</v>
      </c>
      <c r="I3" s="30">
        <f t="shared" ref="I3:I66" si="0">H3-B3</f>
        <v>-183499.76561708748</v>
      </c>
      <c r="J3" s="38">
        <f t="shared" ref="J3:J66" si="1">I3/B3</f>
        <v>-6.6454137595103629E-2</v>
      </c>
      <c r="K3" s="11">
        <f>ABS(J3)</f>
        <v>6.6454137595103629E-2</v>
      </c>
      <c r="L3" s="321">
        <f t="shared" ref="L3:L66" si="2">I3*I3</f>
        <v>33672163981.526043</v>
      </c>
      <c r="M3" s="321"/>
      <c r="N3" s="321"/>
      <c r="O3" s="11"/>
      <c r="P3"/>
      <c r="Z3" s="76" t="s">
        <v>63</v>
      </c>
      <c r="AA3" s="76"/>
      <c r="AB3" s="76"/>
      <c r="AC3" s="76"/>
      <c r="AD3" s="76"/>
    </row>
    <row r="4" spans="1:30" x14ac:dyDescent="0.2">
      <c r="A4" s="44">
        <v>41698</v>
      </c>
      <c r="B4" s="45">
        <f>Inputs!D25+Inputs!E25</f>
        <v>2342483</v>
      </c>
      <c r="C4" s="290">
        <v>946.53636363636372</v>
      </c>
      <c r="D4" s="290">
        <v>0</v>
      </c>
      <c r="E4" s="275">
        <v>28</v>
      </c>
      <c r="F4" s="288">
        <f>Inputs!L25/(Inputs!H25+Inputs!J25+Inputs!L25+Inputs!O25)</f>
        <v>0.281215679004228</v>
      </c>
      <c r="G4" s="279">
        <f>Inputs!I25+Inputs!K25+Inputs!N25</f>
        <v>1661</v>
      </c>
      <c r="H4" s="45">
        <f t="shared" ref="H4:H67" si="3">$Q$18+$Q$19*C4+$Q$20*D4+$Q$21*E4+$Q$22*F4+$Q$23*G4</f>
        <v>2181502.0709870718</v>
      </c>
      <c r="I4" s="30">
        <f t="shared" si="0"/>
        <v>-160980.92901292816</v>
      </c>
      <c r="J4" s="38">
        <f t="shared" si="1"/>
        <v>-6.8722346763211581E-2</v>
      </c>
      <c r="K4" s="11">
        <f t="shared" ref="K4:K67" si="4">ABS(J4)</f>
        <v>6.8722346763211581E-2</v>
      </c>
      <c r="L4" s="321">
        <f t="shared" si="2"/>
        <v>25914859505.865414</v>
      </c>
      <c r="M4" s="321">
        <f t="shared" ref="M4:M67" si="5">I4-I3</f>
        <v>22518.836604159325</v>
      </c>
      <c r="N4" s="321">
        <f t="shared" ref="N4:N67" si="6">M4*M4</f>
        <v>507098002.00482589</v>
      </c>
      <c r="O4" s="11"/>
      <c r="P4" s="346" t="s">
        <v>15</v>
      </c>
      <c r="Q4" s="346"/>
      <c r="Z4" s="76"/>
      <c r="AA4" s="76"/>
      <c r="AB4" s="76"/>
      <c r="AC4" s="76"/>
      <c r="AD4" s="76"/>
    </row>
    <row r="5" spans="1:30" x14ac:dyDescent="0.2">
      <c r="A5" s="44">
        <v>41729</v>
      </c>
      <c r="B5" s="45">
        <f>Inputs!D26+Inputs!E26</f>
        <v>2371697.33</v>
      </c>
      <c r="C5" s="290">
        <v>733.42727272727291</v>
      </c>
      <c r="D5" s="290">
        <v>0</v>
      </c>
      <c r="E5" s="275">
        <v>31</v>
      </c>
      <c r="F5" s="288">
        <f>Inputs!L26/(Inputs!H26+Inputs!J26+Inputs!L26+Inputs!O26)</f>
        <v>0.30933916384352289</v>
      </c>
      <c r="G5" s="279">
        <f>Inputs!I26+Inputs!K26+Inputs!N26</f>
        <v>1660</v>
      </c>
      <c r="H5" s="45">
        <f t="shared" si="3"/>
        <v>2312824.3317960855</v>
      </c>
      <c r="I5" s="30">
        <f t="shared" si="0"/>
        <v>-58872.998203914613</v>
      </c>
      <c r="J5" s="38">
        <f t="shared" si="1"/>
        <v>-2.4823149842612763E-2</v>
      </c>
      <c r="K5" s="11">
        <f t="shared" si="4"/>
        <v>2.4823149842612763E-2</v>
      </c>
      <c r="L5" s="321">
        <f t="shared" si="2"/>
        <v>3466029917.5181332</v>
      </c>
      <c r="M5" s="321">
        <f t="shared" si="5"/>
        <v>102107.93080901355</v>
      </c>
      <c r="N5" s="321">
        <f t="shared" si="6"/>
        <v>10426029534.098297</v>
      </c>
      <c r="O5" s="11"/>
      <c r="P5" t="s">
        <v>16</v>
      </c>
      <c r="Q5" s="347">
        <v>0.93808200671518738</v>
      </c>
      <c r="Z5" s="76" t="s">
        <v>60</v>
      </c>
      <c r="AA5" s="76"/>
      <c r="AB5" s="76"/>
      <c r="AC5" s="76"/>
      <c r="AD5" s="76"/>
    </row>
    <row r="6" spans="1:30" x14ac:dyDescent="0.2">
      <c r="A6" s="44">
        <v>41759</v>
      </c>
      <c r="B6" s="45">
        <f>Inputs!D27+Inputs!E27</f>
        <v>2027541.33</v>
      </c>
      <c r="C6" s="290">
        <v>519.5454545454545</v>
      </c>
      <c r="D6" s="290">
        <v>0</v>
      </c>
      <c r="E6" s="275">
        <v>30</v>
      </c>
      <c r="F6" s="288">
        <f>Inputs!L27/(Inputs!H27+Inputs!J27+Inputs!L27+Inputs!O27)</f>
        <v>0.31185528194098855</v>
      </c>
      <c r="G6" s="279">
        <f>Inputs!I27+Inputs!K27+Inputs!N27</f>
        <v>1664</v>
      </c>
      <c r="H6" s="45">
        <f t="shared" si="3"/>
        <v>1968501.0216961894</v>
      </c>
      <c r="I6" s="30">
        <f t="shared" si="0"/>
        <v>-59040.308303810656</v>
      </c>
      <c r="J6" s="38">
        <f t="shared" si="1"/>
        <v>-2.9119163900748032E-2</v>
      </c>
      <c r="K6" s="11">
        <f t="shared" si="4"/>
        <v>2.9119163900748032E-2</v>
      </c>
      <c r="L6" s="321">
        <f t="shared" si="2"/>
        <v>3485758004.6090136</v>
      </c>
      <c r="M6" s="321">
        <f t="shared" si="5"/>
        <v>-167.31009989604354</v>
      </c>
      <c r="N6" s="321">
        <f t="shared" si="6"/>
        <v>27992.669527224069</v>
      </c>
      <c r="O6" s="11"/>
      <c r="P6" t="s">
        <v>17</v>
      </c>
      <c r="Q6" s="347">
        <v>0.87999785132279296</v>
      </c>
      <c r="Z6" s="76" t="s">
        <v>64</v>
      </c>
      <c r="AA6" s="76"/>
      <c r="AB6" s="76"/>
      <c r="AC6" s="76"/>
      <c r="AD6" s="76"/>
    </row>
    <row r="7" spans="1:30" x14ac:dyDescent="0.2">
      <c r="A7" s="44">
        <v>41790</v>
      </c>
      <c r="B7" s="45">
        <f>Inputs!D28+Inputs!E28</f>
        <v>2114433.62</v>
      </c>
      <c r="C7" s="290">
        <v>253.77272727272731</v>
      </c>
      <c r="D7" s="290">
        <v>3.9181818181818184</v>
      </c>
      <c r="E7" s="275">
        <v>31</v>
      </c>
      <c r="F7" s="288">
        <f>Inputs!L28/(Inputs!H28+Inputs!J28+Inputs!L28+Inputs!O28)</f>
        <v>0.40925392367771735</v>
      </c>
      <c r="G7" s="279">
        <f>Inputs!I28+Inputs!K28+Inputs!N28</f>
        <v>1662</v>
      </c>
      <c r="H7" s="45">
        <f t="shared" si="3"/>
        <v>2146303.4792972077</v>
      </c>
      <c r="I7" s="30">
        <f t="shared" si="0"/>
        <v>31869.859297207557</v>
      </c>
      <c r="J7" s="38">
        <f t="shared" si="1"/>
        <v>1.5072527695245195E-2</v>
      </c>
      <c r="K7" s="11">
        <f t="shared" si="4"/>
        <v>1.5072527695245195E-2</v>
      </c>
      <c r="L7" s="321">
        <f t="shared" si="2"/>
        <v>1015687931.623807</v>
      </c>
      <c r="M7" s="321">
        <f t="shared" si="5"/>
        <v>90910.167601018213</v>
      </c>
      <c r="N7" s="321">
        <f t="shared" si="6"/>
        <v>8264658573.2452211</v>
      </c>
      <c r="O7" s="11"/>
      <c r="P7" t="s">
        <v>18</v>
      </c>
      <c r="Q7" s="347">
        <v>0.87523586129591968</v>
      </c>
      <c r="Z7" s="76"/>
      <c r="AA7" s="76"/>
      <c r="AB7" s="76"/>
      <c r="AC7" s="76"/>
      <c r="AD7" s="76"/>
    </row>
    <row r="8" spans="1:30" x14ac:dyDescent="0.2">
      <c r="A8" s="44">
        <v>41820</v>
      </c>
      <c r="B8" s="45">
        <f>Inputs!D29+Inputs!E29</f>
        <v>2006389.69</v>
      </c>
      <c r="C8" s="290">
        <v>92.218181818181819</v>
      </c>
      <c r="D8" s="290">
        <v>19.445454545454545</v>
      </c>
      <c r="E8" s="275">
        <v>30</v>
      </c>
      <c r="F8" s="288">
        <f>Inputs!L29/(Inputs!H29+Inputs!J29+Inputs!L29+Inputs!O29)</f>
        <v>0.43206955016118664</v>
      </c>
      <c r="G8" s="279">
        <f>Inputs!I29+Inputs!K29+Inputs!N29</f>
        <v>1661</v>
      </c>
      <c r="H8" s="45">
        <f t="shared" si="3"/>
        <v>2085050.520731031</v>
      </c>
      <c r="I8" s="30">
        <f t="shared" si="0"/>
        <v>78660.830731031019</v>
      </c>
      <c r="J8" s="38">
        <f t="shared" si="1"/>
        <v>3.9205160953070396E-2</v>
      </c>
      <c r="K8" s="11">
        <f t="shared" si="4"/>
        <v>3.9205160953070396E-2</v>
      </c>
      <c r="L8" s="321">
        <f t="shared" si="2"/>
        <v>6187526291.2959137</v>
      </c>
      <c r="M8" s="321">
        <f t="shared" si="5"/>
        <v>46790.971433823463</v>
      </c>
      <c r="N8" s="321">
        <f t="shared" si="6"/>
        <v>2189395007.7208834</v>
      </c>
      <c r="O8" s="11"/>
      <c r="P8" t="s">
        <v>19</v>
      </c>
      <c r="Q8">
        <v>155719.13145033634</v>
      </c>
      <c r="Z8" s="76"/>
      <c r="AA8" s="76"/>
      <c r="AB8" s="76"/>
      <c r="AC8" s="76"/>
      <c r="AD8" s="76"/>
    </row>
    <row r="9" spans="1:30" ht="13.5" thickBot="1" x14ac:dyDescent="0.25">
      <c r="A9" s="44">
        <v>41851</v>
      </c>
      <c r="B9" s="45">
        <f>Inputs!D30+Inputs!E30</f>
        <v>1923391.77</v>
      </c>
      <c r="C9" s="290">
        <v>33.063636363636363</v>
      </c>
      <c r="D9" s="290">
        <v>38.281818181818181</v>
      </c>
      <c r="E9" s="275">
        <v>31</v>
      </c>
      <c r="F9" s="288">
        <f>Inputs!L30/(Inputs!H30+Inputs!J30+Inputs!L30+Inputs!O30)</f>
        <v>0.34720455351484919</v>
      </c>
      <c r="G9" s="279">
        <f>Inputs!I30+Inputs!K30+Inputs!N30</f>
        <v>1660</v>
      </c>
      <c r="H9" s="45">
        <f t="shared" si="3"/>
        <v>1956462.8211070839</v>
      </c>
      <c r="I9" s="30">
        <f t="shared" si="0"/>
        <v>33071.051107083913</v>
      </c>
      <c r="J9" s="38">
        <f t="shared" si="1"/>
        <v>1.7194131545589339E-2</v>
      </c>
      <c r="K9" s="11">
        <f t="shared" si="4"/>
        <v>1.7194131545589339E-2</v>
      </c>
      <c r="L9" s="321">
        <f t="shared" si="2"/>
        <v>1093694421.3273561</v>
      </c>
      <c r="M9" s="321">
        <f t="shared" si="5"/>
        <v>-45589.779623947106</v>
      </c>
      <c r="N9" s="321">
        <f t="shared" si="6"/>
        <v>2078428006.1600628</v>
      </c>
      <c r="O9" s="11"/>
      <c r="P9" s="338" t="s">
        <v>20</v>
      </c>
      <c r="Q9" s="338">
        <v>132</v>
      </c>
      <c r="Z9" s="76"/>
      <c r="AA9" s="76"/>
      <c r="AB9" s="76"/>
      <c r="AC9" s="76"/>
      <c r="AD9" s="76"/>
    </row>
    <row r="10" spans="1:30" x14ac:dyDescent="0.2">
      <c r="A10" s="44">
        <v>41882</v>
      </c>
      <c r="B10" s="45">
        <f>Inputs!D31+Inputs!E31</f>
        <v>1772038.23</v>
      </c>
      <c r="C10" s="290">
        <v>44.609090909090909</v>
      </c>
      <c r="D10" s="290">
        <v>29.781818181818178</v>
      </c>
      <c r="E10" s="275">
        <v>31</v>
      </c>
      <c r="F10" s="288">
        <f>Inputs!L31/(Inputs!H31+Inputs!J31+Inputs!L31+Inputs!O31)</f>
        <v>0.32355262638199433</v>
      </c>
      <c r="G10" s="279">
        <f>Inputs!I31+Inputs!K31+Inputs!N31</f>
        <v>1660</v>
      </c>
      <c r="H10" s="45">
        <f t="shared" si="3"/>
        <v>1787557.2370447107</v>
      </c>
      <c r="I10" s="30">
        <f t="shared" si="0"/>
        <v>15519.007044710685</v>
      </c>
      <c r="J10" s="38">
        <f t="shared" si="1"/>
        <v>8.7577157095028845E-3</v>
      </c>
      <c r="K10" s="11">
        <f t="shared" si="4"/>
        <v>8.7577157095028845E-3</v>
      </c>
      <c r="L10" s="321">
        <f t="shared" si="2"/>
        <v>240839579.65377986</v>
      </c>
      <c r="M10" s="321">
        <f t="shared" si="5"/>
        <v>-17552.044062373228</v>
      </c>
      <c r="N10" s="321">
        <f t="shared" si="6"/>
        <v>308074250.76749128</v>
      </c>
      <c r="O10" s="11"/>
      <c r="P10"/>
      <c r="Z10" s="76"/>
      <c r="AA10" s="76"/>
      <c r="AB10" s="76"/>
      <c r="AC10" s="76"/>
      <c r="AD10" s="76"/>
    </row>
    <row r="11" spans="1:30" ht="13.5" thickBot="1" x14ac:dyDescent="0.25">
      <c r="A11" s="44">
        <v>41912</v>
      </c>
      <c r="B11" s="45">
        <f>Inputs!D32+Inputs!E32</f>
        <v>1627030.77</v>
      </c>
      <c r="C11" s="290">
        <v>138.26363636363635</v>
      </c>
      <c r="D11" s="290">
        <v>10</v>
      </c>
      <c r="E11" s="275">
        <v>30</v>
      </c>
      <c r="F11" s="288">
        <f>Inputs!L32/(Inputs!H32+Inputs!J32+Inputs!L32+Inputs!O32)</f>
        <v>0.31691570594166285</v>
      </c>
      <c r="G11" s="279">
        <f>Inputs!I32+Inputs!K32+Inputs!N32</f>
        <v>1663</v>
      </c>
      <c r="H11" s="45">
        <f t="shared" si="3"/>
        <v>1593276.5175465969</v>
      </c>
      <c r="I11" s="30">
        <f t="shared" si="0"/>
        <v>-33754.252453403082</v>
      </c>
      <c r="J11" s="38">
        <f t="shared" si="1"/>
        <v>-2.0745921389921273E-2</v>
      </c>
      <c r="K11" s="11">
        <f t="shared" si="4"/>
        <v>2.0745921389921273E-2</v>
      </c>
      <c r="L11" s="321">
        <f t="shared" si="2"/>
        <v>1139349558.6880679</v>
      </c>
      <c r="M11" s="321">
        <f t="shared" si="5"/>
        <v>-49273.259498113766</v>
      </c>
      <c r="N11" s="321">
        <f t="shared" si="6"/>
        <v>2427854101.5684586</v>
      </c>
      <c r="O11" s="11"/>
      <c r="P11" t="s">
        <v>21</v>
      </c>
    </row>
    <row r="12" spans="1:30" x14ac:dyDescent="0.2">
      <c r="A12" s="44">
        <v>41943</v>
      </c>
      <c r="B12" s="45">
        <f>Inputs!D33+Inputs!E33</f>
        <v>1867083.23</v>
      </c>
      <c r="C12" s="290">
        <v>354.19090909090909</v>
      </c>
      <c r="D12" s="290">
        <v>3.9636363636363638</v>
      </c>
      <c r="E12" s="275">
        <v>31</v>
      </c>
      <c r="F12" s="288">
        <f>Inputs!L33/(Inputs!H33+Inputs!J33+Inputs!L33+Inputs!O33)</f>
        <v>0.32293641412484825</v>
      </c>
      <c r="G12" s="279">
        <f>Inputs!I33+Inputs!K33+Inputs!N33</f>
        <v>1660</v>
      </c>
      <c r="H12" s="45">
        <f t="shared" si="3"/>
        <v>1917491.7550371364</v>
      </c>
      <c r="I12" s="30">
        <f t="shared" si="0"/>
        <v>50408.525037136395</v>
      </c>
      <c r="J12" s="38">
        <f t="shared" si="1"/>
        <v>2.6998542018470378E-2</v>
      </c>
      <c r="K12" s="11">
        <f t="shared" si="4"/>
        <v>2.6998542018470378E-2</v>
      </c>
      <c r="L12" s="321">
        <f t="shared" si="2"/>
        <v>2541019396.4196067</v>
      </c>
      <c r="M12" s="321">
        <f t="shared" si="5"/>
        <v>84162.777490539476</v>
      </c>
      <c r="N12" s="321">
        <f t="shared" si="6"/>
        <v>7083373114.9220581</v>
      </c>
      <c r="O12" s="11"/>
      <c r="P12" s="345"/>
      <c r="Q12" s="345" t="s">
        <v>25</v>
      </c>
      <c r="R12" s="345" t="s">
        <v>26</v>
      </c>
      <c r="S12" s="345" t="s">
        <v>27</v>
      </c>
      <c r="T12" s="345" t="s">
        <v>28</v>
      </c>
      <c r="U12" s="345" t="s">
        <v>29</v>
      </c>
    </row>
    <row r="13" spans="1:30" x14ac:dyDescent="0.2">
      <c r="A13" s="44">
        <v>41973</v>
      </c>
      <c r="B13" s="45">
        <f>Inputs!D34+Inputs!E34</f>
        <v>2418280.77</v>
      </c>
      <c r="C13" s="290">
        <v>593.9909090909091</v>
      </c>
      <c r="D13" s="290">
        <v>0</v>
      </c>
      <c r="E13" s="275">
        <v>30</v>
      </c>
      <c r="F13" s="288">
        <f>Inputs!L34/(Inputs!H34+Inputs!J34+Inputs!L34+Inputs!O34)</f>
        <v>0.36627949953746919</v>
      </c>
      <c r="G13" s="279">
        <f>Inputs!I34+Inputs!K34+Inputs!N34</f>
        <v>1663</v>
      </c>
      <c r="H13" s="45">
        <f t="shared" si="3"/>
        <v>2278816.0459620608</v>
      </c>
      <c r="I13" s="30">
        <f t="shared" si="0"/>
        <v>-139464.72403793922</v>
      </c>
      <c r="J13" s="38">
        <f t="shared" si="1"/>
        <v>-5.7671022227058943E-2</v>
      </c>
      <c r="K13" s="11">
        <f t="shared" si="4"/>
        <v>5.7671022227058943E-2</v>
      </c>
      <c r="L13" s="321">
        <f t="shared" si="2"/>
        <v>19450409250.978542</v>
      </c>
      <c r="M13" s="321">
        <f t="shared" si="5"/>
        <v>-189873.24907507561</v>
      </c>
      <c r="N13" s="321">
        <f t="shared" si="6"/>
        <v>36051850714.325699</v>
      </c>
      <c r="O13" s="11"/>
      <c r="P13" t="s">
        <v>22</v>
      </c>
      <c r="Q13">
        <v>5</v>
      </c>
      <c r="R13">
        <v>22405109974172.918</v>
      </c>
      <c r="S13">
        <v>4481021994834.584</v>
      </c>
      <c r="T13">
        <v>184.79623988221502</v>
      </c>
      <c r="U13">
        <v>3.1273996364756588E-56</v>
      </c>
    </row>
    <row r="14" spans="1:30" x14ac:dyDescent="0.2">
      <c r="A14" s="44">
        <v>42004</v>
      </c>
      <c r="B14" s="45">
        <f>Inputs!D35+Inputs!E35</f>
        <v>2505588</v>
      </c>
      <c r="C14" s="290">
        <v>823</v>
      </c>
      <c r="D14" s="290">
        <v>0</v>
      </c>
      <c r="E14" s="275">
        <v>31</v>
      </c>
      <c r="F14" s="288">
        <f>Inputs!L35/(Inputs!H35+Inputs!J35+Inputs!L35+Inputs!O35)</f>
        <v>0.33753325763682501</v>
      </c>
      <c r="G14" s="279">
        <f>Inputs!I35+Inputs!K35+Inputs!N35</f>
        <v>1663</v>
      </c>
      <c r="H14" s="45">
        <f t="shared" si="3"/>
        <v>2559541.8620187538</v>
      </c>
      <c r="I14" s="30">
        <f t="shared" si="0"/>
        <v>53953.862018753774</v>
      </c>
      <c r="J14" s="38">
        <f t="shared" si="1"/>
        <v>2.1533413322044077E-2</v>
      </c>
      <c r="K14" s="11">
        <f t="shared" si="4"/>
        <v>2.1533413322044077E-2</v>
      </c>
      <c r="L14" s="321">
        <f t="shared" si="2"/>
        <v>2911019226.7387209</v>
      </c>
      <c r="M14" s="321">
        <f t="shared" si="5"/>
        <v>193418.58605669299</v>
      </c>
      <c r="N14" s="321">
        <f t="shared" si="6"/>
        <v>37410749432.170349</v>
      </c>
      <c r="O14" s="11"/>
      <c r="P14" t="s">
        <v>23</v>
      </c>
      <c r="Q14">
        <v>126</v>
      </c>
      <c r="R14">
        <v>3055304435355.5381</v>
      </c>
      <c r="S14">
        <v>24248447899.647129</v>
      </c>
    </row>
    <row r="15" spans="1:30" ht="13.5" thickBot="1" x14ac:dyDescent="0.25">
      <c r="A15" s="44">
        <v>42035</v>
      </c>
      <c r="B15" s="45">
        <f>Inputs!D36+Inputs!E36</f>
        <v>2800319.38</v>
      </c>
      <c r="C15" s="290">
        <f>C3</f>
        <v>999.73636363636365</v>
      </c>
      <c r="D15" s="290">
        <f>D3</f>
        <v>0</v>
      </c>
      <c r="E15" s="275">
        <v>31</v>
      </c>
      <c r="F15" s="288">
        <f>Inputs!L36/(Inputs!H36+Inputs!J36+Inputs!L36+Inputs!O36)</f>
        <v>0.3191890071726402</v>
      </c>
      <c r="G15" s="279">
        <f>Inputs!I36+Inputs!K36+Inputs!N36</f>
        <v>1661</v>
      </c>
      <c r="H15" s="45">
        <f t="shared" si="3"/>
        <v>2703288.3593709338</v>
      </c>
      <c r="I15" s="30">
        <f t="shared" si="0"/>
        <v>-97031.020629066043</v>
      </c>
      <c r="J15" s="38">
        <f t="shared" si="1"/>
        <v>-3.4649983613321292E-2</v>
      </c>
      <c r="K15" s="11">
        <f t="shared" si="4"/>
        <v>3.4649983613321292E-2</v>
      </c>
      <c r="L15" s="321">
        <f t="shared" si="2"/>
        <v>9415018964.3182392</v>
      </c>
      <c r="M15" s="321">
        <f t="shared" si="5"/>
        <v>-150984.88264781982</v>
      </c>
      <c r="N15" s="321">
        <f t="shared" si="6"/>
        <v>22796434788.175922</v>
      </c>
      <c r="O15" s="11"/>
      <c r="P15" s="338" t="s">
        <v>8</v>
      </c>
      <c r="Q15" s="338">
        <v>131</v>
      </c>
      <c r="R15" s="338">
        <v>25460414409528.457</v>
      </c>
      <c r="S15" s="338"/>
      <c r="T15" s="338"/>
      <c r="U15" s="338"/>
    </row>
    <row r="16" spans="1:30" ht="13.5" thickBot="1" x14ac:dyDescent="0.25">
      <c r="A16" s="44">
        <v>42063</v>
      </c>
      <c r="B16" s="45">
        <f>Inputs!D37+Inputs!E37</f>
        <v>3188321.08</v>
      </c>
      <c r="C16" s="290">
        <f t="shared" ref="C16:D16" si="7">C4</f>
        <v>946.53636363636372</v>
      </c>
      <c r="D16" s="290">
        <f t="shared" si="7"/>
        <v>0</v>
      </c>
      <c r="E16" s="275">
        <v>28</v>
      </c>
      <c r="F16" s="288">
        <f>Inputs!L37/(Inputs!H37+Inputs!J37+Inputs!L37+Inputs!O37)</f>
        <v>0.47672619143690798</v>
      </c>
      <c r="G16" s="279">
        <f>Inputs!I37+Inputs!K37+Inputs!N37</f>
        <v>1661</v>
      </c>
      <c r="H16" s="45">
        <f t="shared" si="3"/>
        <v>2969993.8604045426</v>
      </c>
      <c r="I16" s="30">
        <f t="shared" si="0"/>
        <v>-218327.21959545743</v>
      </c>
      <c r="J16" s="38">
        <f t="shared" si="1"/>
        <v>-6.8477174700189672E-2</v>
      </c>
      <c r="K16" s="11">
        <f t="shared" si="4"/>
        <v>6.8477174700189672E-2</v>
      </c>
      <c r="L16" s="321">
        <f t="shared" si="2"/>
        <v>47666774816.283089</v>
      </c>
      <c r="M16" s="321">
        <f t="shared" si="5"/>
        <v>-121296.19896639138</v>
      </c>
      <c r="N16" s="321">
        <f t="shared" si="6"/>
        <v>14712767883.694407</v>
      </c>
      <c r="O16" s="11"/>
      <c r="P16"/>
    </row>
    <row r="17" spans="1:24" x14ac:dyDescent="0.2">
      <c r="A17" s="44">
        <v>42094</v>
      </c>
      <c r="B17" s="45">
        <f>Inputs!D38+Inputs!E38</f>
        <v>3098063.62</v>
      </c>
      <c r="C17" s="290">
        <f t="shared" ref="C17:D17" si="8">C5</f>
        <v>733.42727272727291</v>
      </c>
      <c r="D17" s="290">
        <f t="shared" si="8"/>
        <v>0</v>
      </c>
      <c r="E17" s="275">
        <v>31</v>
      </c>
      <c r="F17" s="288">
        <f>Inputs!L38/(Inputs!H38+Inputs!J38+Inputs!L38+Inputs!O38)</f>
        <v>0.52455902116354425</v>
      </c>
      <c r="G17" s="279">
        <f>Inputs!I38+Inputs!K38+Inputs!N38</f>
        <v>1665</v>
      </c>
      <c r="H17" s="45">
        <f t="shared" si="3"/>
        <v>3209035.9817145914</v>
      </c>
      <c r="I17" s="30">
        <f t="shared" si="0"/>
        <v>110972.36171459127</v>
      </c>
      <c r="J17" s="38">
        <f t="shared" si="1"/>
        <v>3.5819910539665184E-2</v>
      </c>
      <c r="K17" s="11">
        <f t="shared" si="4"/>
        <v>3.5819910539665184E-2</v>
      </c>
      <c r="L17" s="321">
        <f t="shared" si="2"/>
        <v>12314865064.514082</v>
      </c>
      <c r="M17" s="321">
        <f t="shared" si="5"/>
        <v>329299.5813100487</v>
      </c>
      <c r="N17" s="321">
        <f t="shared" si="6"/>
        <v>108438214250.97337</v>
      </c>
      <c r="O17" s="11"/>
      <c r="P17" s="345"/>
      <c r="Q17" s="345" t="s">
        <v>215</v>
      </c>
      <c r="R17" s="345" t="s">
        <v>19</v>
      </c>
      <c r="S17" s="345" t="s">
        <v>216</v>
      </c>
      <c r="T17" s="345" t="s">
        <v>217</v>
      </c>
      <c r="U17" s="345" t="s">
        <v>218</v>
      </c>
      <c r="V17" s="345" t="s">
        <v>219</v>
      </c>
      <c r="W17" s="345" t="s">
        <v>220</v>
      </c>
      <c r="X17" s="345" t="s">
        <v>221</v>
      </c>
    </row>
    <row r="18" spans="1:24" x14ac:dyDescent="0.2">
      <c r="A18" s="44">
        <v>42124</v>
      </c>
      <c r="B18" s="45">
        <f>Inputs!D39+Inputs!E39</f>
        <v>2804097.46</v>
      </c>
      <c r="C18" s="290">
        <f t="shared" ref="C18:D18" si="9">C6</f>
        <v>519.5454545454545</v>
      </c>
      <c r="D18" s="290">
        <f t="shared" si="9"/>
        <v>0</v>
      </c>
      <c r="E18" s="275">
        <v>30</v>
      </c>
      <c r="F18" s="288">
        <f>Inputs!L39/(Inputs!H39+Inputs!J39+Inputs!L39+Inputs!O39)</f>
        <v>0.56055490126364182</v>
      </c>
      <c r="G18" s="279">
        <f>Inputs!I39+Inputs!K39+Inputs!N39</f>
        <v>1662</v>
      </c>
      <c r="H18" s="45">
        <f t="shared" si="3"/>
        <v>2960210.9919261383</v>
      </c>
      <c r="I18" s="30">
        <f t="shared" si="0"/>
        <v>156113.53192613833</v>
      </c>
      <c r="J18" s="38">
        <f t="shared" si="1"/>
        <v>5.5673361626360281E-2</v>
      </c>
      <c r="K18" s="11">
        <f t="shared" si="4"/>
        <v>5.5673361626360281E-2</v>
      </c>
      <c r="L18" s="321">
        <f t="shared" si="2"/>
        <v>24371434850.453411</v>
      </c>
      <c r="M18" s="321">
        <f t="shared" si="5"/>
        <v>45141.170211547054</v>
      </c>
      <c r="N18" s="321">
        <f t="shared" si="6"/>
        <v>2037725248.0678632</v>
      </c>
      <c r="O18" s="11"/>
      <c r="P18" t="s">
        <v>24</v>
      </c>
      <c r="Q18">
        <v>-12355176.003584154</v>
      </c>
      <c r="R18">
        <v>1873801.3043426978</v>
      </c>
      <c r="S18">
        <v>-6.5936425462774286</v>
      </c>
      <c r="T18">
        <v>1.062897744004207E-9</v>
      </c>
      <c r="U18">
        <v>-16063373.698850043</v>
      </c>
      <c r="V18">
        <v>-8646978.3083182648</v>
      </c>
      <c r="W18">
        <v>-16063373.698850043</v>
      </c>
      <c r="X18">
        <v>-8646978.3083182648</v>
      </c>
    </row>
    <row r="19" spans="1:24" x14ac:dyDescent="0.2">
      <c r="A19" s="44">
        <v>42155</v>
      </c>
      <c r="B19" s="45">
        <f>Inputs!D40+Inputs!E40</f>
        <v>2854966.62</v>
      </c>
      <c r="C19" s="290">
        <f t="shared" ref="C19:D19" si="10">C7</f>
        <v>253.77272727272731</v>
      </c>
      <c r="D19" s="290">
        <f t="shared" si="10"/>
        <v>3.9181818181818184</v>
      </c>
      <c r="E19" s="275">
        <v>31</v>
      </c>
      <c r="F19" s="288">
        <f>Inputs!L40/(Inputs!H40+Inputs!J40+Inputs!L40+Inputs!O40)</f>
        <v>0.61204902883811318</v>
      </c>
      <c r="G19" s="279">
        <f>Inputs!I40+Inputs!K40+Inputs!N40</f>
        <v>1660</v>
      </c>
      <c r="H19" s="45">
        <f t="shared" si="3"/>
        <v>2952881.0386722609</v>
      </c>
      <c r="I19" s="30">
        <f t="shared" si="0"/>
        <v>97914.418672260828</v>
      </c>
      <c r="J19" s="38">
        <f t="shared" si="1"/>
        <v>3.4296169344446077E-2</v>
      </c>
      <c r="K19" s="11">
        <f t="shared" si="4"/>
        <v>3.4296169344446077E-2</v>
      </c>
      <c r="L19" s="321">
        <f t="shared" si="2"/>
        <v>9587233383.9267807</v>
      </c>
      <c r="M19" s="321">
        <f t="shared" si="5"/>
        <v>-58199.113253877498</v>
      </c>
      <c r="N19" s="321">
        <f t="shared" si="6"/>
        <v>3387136783.5376596</v>
      </c>
      <c r="O19" s="11"/>
      <c r="P19" t="s">
        <v>3</v>
      </c>
      <c r="Q19">
        <v>1295.8373197583758</v>
      </c>
      <c r="R19">
        <v>52.132622659382342</v>
      </c>
      <c r="S19">
        <v>24.856553414259565</v>
      </c>
      <c r="T19">
        <v>2.0433171216910009E-50</v>
      </c>
      <c r="U19">
        <v>1192.6683921107876</v>
      </c>
      <c r="V19">
        <v>1399.0062474059639</v>
      </c>
      <c r="W19">
        <v>1192.6683921107876</v>
      </c>
      <c r="X19">
        <v>1399.0062474059639</v>
      </c>
    </row>
    <row r="20" spans="1:24" x14ac:dyDescent="0.2">
      <c r="A20" s="44">
        <v>42185</v>
      </c>
      <c r="B20" s="45">
        <f>Inputs!D41+Inputs!E41</f>
        <v>2606320.38</v>
      </c>
      <c r="C20" s="290">
        <f t="shared" ref="C20:D20" si="11">C8</f>
        <v>92.218181818181819</v>
      </c>
      <c r="D20" s="290">
        <f t="shared" si="11"/>
        <v>19.445454545454545</v>
      </c>
      <c r="E20" s="275">
        <v>30</v>
      </c>
      <c r="F20" s="288">
        <f>Inputs!L41/(Inputs!H41+Inputs!J41+Inputs!L41+Inputs!O41)</f>
        <v>0.58597247537431219</v>
      </c>
      <c r="G20" s="279">
        <f>Inputs!I41+Inputs!K41+Inputs!N41</f>
        <v>1657</v>
      </c>
      <c r="H20" s="45">
        <f t="shared" si="3"/>
        <v>2683153.5313419318</v>
      </c>
      <c r="I20" s="30">
        <f t="shared" si="0"/>
        <v>76833.151341931894</v>
      </c>
      <c r="J20" s="38">
        <f t="shared" si="1"/>
        <v>2.9479549763537474E-2</v>
      </c>
      <c r="K20" s="11">
        <f t="shared" si="4"/>
        <v>2.9479549763537474E-2</v>
      </c>
      <c r="L20" s="321">
        <f t="shared" si="2"/>
        <v>5903333145.1322107</v>
      </c>
      <c r="M20" s="321">
        <f t="shared" si="5"/>
        <v>-21081.267330328934</v>
      </c>
      <c r="N20" s="321">
        <f t="shared" si="6"/>
        <v>444419832.25279403</v>
      </c>
      <c r="O20" s="11"/>
      <c r="P20" t="s">
        <v>4</v>
      </c>
      <c r="Q20">
        <v>10409.252674232357</v>
      </c>
      <c r="R20">
        <v>1130.2502410171351</v>
      </c>
      <c r="S20">
        <v>9.2096885242553537</v>
      </c>
      <c r="T20">
        <v>9.1371578691377868E-16</v>
      </c>
      <c r="U20">
        <v>8172.5206743666267</v>
      </c>
      <c r="V20">
        <v>12645.984674098087</v>
      </c>
      <c r="W20">
        <v>8172.5206743666267</v>
      </c>
      <c r="X20">
        <v>12645.984674098087</v>
      </c>
    </row>
    <row r="21" spans="1:24" x14ac:dyDescent="0.2">
      <c r="A21" s="44">
        <v>42216</v>
      </c>
      <c r="B21" s="45">
        <f>Inputs!D42+Inputs!E42</f>
        <v>2794534.54</v>
      </c>
      <c r="C21" s="290">
        <f t="shared" ref="C21:D21" si="12">C9</f>
        <v>33.063636363636363</v>
      </c>
      <c r="D21" s="290">
        <f t="shared" si="12"/>
        <v>38.281818181818181</v>
      </c>
      <c r="E21" s="275">
        <v>31</v>
      </c>
      <c r="F21" s="288">
        <f>Inputs!L42/(Inputs!H42+Inputs!J42+Inputs!L42+Inputs!O42)</f>
        <v>0.55993398099728253</v>
      </c>
      <c r="G21" s="279">
        <f>Inputs!I42+Inputs!K42+Inputs!N42</f>
        <v>1659</v>
      </c>
      <c r="H21" s="45">
        <f t="shared" si="3"/>
        <v>2808751.8523339871</v>
      </c>
      <c r="I21" s="30">
        <f t="shared" si="0"/>
        <v>14217.312333987094</v>
      </c>
      <c r="J21" s="38">
        <f t="shared" si="1"/>
        <v>5.0875421758025917E-3</v>
      </c>
      <c r="K21" s="11">
        <f t="shared" si="4"/>
        <v>5.0875421758025917E-3</v>
      </c>
      <c r="L21" s="321">
        <f t="shared" si="2"/>
        <v>202131970.00214157</v>
      </c>
      <c r="M21" s="321">
        <f t="shared" si="5"/>
        <v>-62615.8390079448</v>
      </c>
      <c r="N21" s="321">
        <f t="shared" si="6"/>
        <v>3920743294.6688619</v>
      </c>
      <c r="O21" s="11"/>
      <c r="P21" t="s">
        <v>92</v>
      </c>
      <c r="Q21">
        <v>99900.573249406414</v>
      </c>
      <c r="R21">
        <v>17316.984515732889</v>
      </c>
      <c r="S21">
        <v>5.7689358767194365</v>
      </c>
      <c r="T21">
        <v>5.8335707484381981E-8</v>
      </c>
      <c r="U21">
        <v>65630.769977644144</v>
      </c>
      <c r="V21">
        <v>134170.37652116868</v>
      </c>
      <c r="W21">
        <v>65630.769977644144</v>
      </c>
      <c r="X21">
        <v>134170.37652116868</v>
      </c>
    </row>
    <row r="22" spans="1:24" x14ac:dyDescent="0.2">
      <c r="A22" s="44">
        <v>42247</v>
      </c>
      <c r="B22" s="45">
        <f>Inputs!D43+Inputs!E43</f>
        <v>2464993.31</v>
      </c>
      <c r="C22" s="290">
        <f t="shared" ref="C22:D22" si="13">C10</f>
        <v>44.609090909090909</v>
      </c>
      <c r="D22" s="290">
        <f t="shared" si="13"/>
        <v>29.781818181818178</v>
      </c>
      <c r="E22" s="275">
        <v>31</v>
      </c>
      <c r="F22" s="288">
        <f>Inputs!L43/(Inputs!H43+Inputs!J43+Inputs!L43+Inputs!O43)</f>
        <v>0.51514867979457735</v>
      </c>
      <c r="G22" s="279">
        <f>Inputs!I43+Inputs!K43+Inputs!N43</f>
        <v>1658</v>
      </c>
      <c r="H22" s="45">
        <f t="shared" si="3"/>
        <v>2548969.141424858</v>
      </c>
      <c r="I22" s="30">
        <f t="shared" si="0"/>
        <v>83975.831424857955</v>
      </c>
      <c r="J22" s="38">
        <f t="shared" si="1"/>
        <v>3.4067366870402564E-2</v>
      </c>
      <c r="K22" s="11">
        <f t="shared" si="4"/>
        <v>3.4067366870402564E-2</v>
      </c>
      <c r="L22" s="321">
        <f t="shared" si="2"/>
        <v>7051940263.4961605</v>
      </c>
      <c r="M22" s="321">
        <f t="shared" si="5"/>
        <v>69758.519090870861</v>
      </c>
      <c r="N22" s="321">
        <f t="shared" si="6"/>
        <v>4866250985.7513943</v>
      </c>
      <c r="O22" s="11"/>
      <c r="P22" t="s">
        <v>225</v>
      </c>
      <c r="Q22">
        <v>4032989.221942585</v>
      </c>
      <c r="R22">
        <v>193367.78901119606</v>
      </c>
      <c r="S22">
        <v>20.856572041112152</v>
      </c>
      <c r="T22">
        <v>1.106631265476776E-42</v>
      </c>
      <c r="U22">
        <v>3650320.0521175019</v>
      </c>
      <c r="V22">
        <v>4415658.3917676676</v>
      </c>
      <c r="W22">
        <v>3650320.0521175019</v>
      </c>
      <c r="X22">
        <v>4415658.3917676676</v>
      </c>
    </row>
    <row r="23" spans="1:24" ht="13.5" thickBot="1" x14ac:dyDescent="0.25">
      <c r="A23" s="44">
        <v>42277</v>
      </c>
      <c r="B23" s="45">
        <f>Inputs!D44+Inputs!E44</f>
        <v>2735638</v>
      </c>
      <c r="C23" s="290">
        <f t="shared" ref="C23:D23" si="14">C11</f>
        <v>138.26363636363635</v>
      </c>
      <c r="D23" s="290">
        <f t="shared" si="14"/>
        <v>10</v>
      </c>
      <c r="E23" s="275">
        <v>30</v>
      </c>
      <c r="F23" s="288">
        <f>Inputs!L44/(Inputs!H44+Inputs!J44+Inputs!L44+Inputs!O44)</f>
        <v>0.57766230777983751</v>
      </c>
      <c r="G23" s="279">
        <f>Inputs!I44+Inputs!K44+Inputs!N44</f>
        <v>1657</v>
      </c>
      <c r="H23" s="45">
        <f t="shared" si="3"/>
        <v>2610986.0104195047</v>
      </c>
      <c r="I23" s="30">
        <f t="shared" si="0"/>
        <v>-124651.98958049528</v>
      </c>
      <c r="J23" s="38">
        <f t="shared" si="1"/>
        <v>-4.5565966542537896E-2</v>
      </c>
      <c r="K23" s="11">
        <f t="shared" si="4"/>
        <v>4.5565966542537896E-2</v>
      </c>
      <c r="L23" s="321">
        <f t="shared" si="2"/>
        <v>15538118506.375904</v>
      </c>
      <c r="M23" s="321">
        <f t="shared" si="5"/>
        <v>-208627.82100535324</v>
      </c>
      <c r="N23" s="321">
        <f t="shared" si="6"/>
        <v>43525567697.441711</v>
      </c>
      <c r="O23" s="11"/>
      <c r="P23" s="338" t="s">
        <v>106</v>
      </c>
      <c r="Q23" s="338">
        <v>5646.4569997676972</v>
      </c>
      <c r="R23" s="338">
        <v>1057.0974420576979</v>
      </c>
      <c r="S23" s="338">
        <v>5.3414725787024517</v>
      </c>
      <c r="T23" s="338">
        <v>4.160608354248029E-7</v>
      </c>
      <c r="U23" s="338">
        <v>3554.4922384960232</v>
      </c>
      <c r="V23" s="338">
        <v>7738.4217610393716</v>
      </c>
      <c r="W23" s="338">
        <v>3554.4922384960232</v>
      </c>
      <c r="X23" s="338">
        <v>7738.4217610393716</v>
      </c>
    </row>
    <row r="24" spans="1:24" x14ac:dyDescent="0.2">
      <c r="A24" s="44">
        <v>42308</v>
      </c>
      <c r="B24" s="45">
        <f>Inputs!D45+Inputs!E45</f>
        <v>3277791.31</v>
      </c>
      <c r="C24" s="290">
        <f t="shared" ref="C24:D24" si="15">C12</f>
        <v>354.19090909090909</v>
      </c>
      <c r="D24" s="290">
        <f t="shared" si="15"/>
        <v>3.9636363636363638</v>
      </c>
      <c r="E24" s="275">
        <v>31</v>
      </c>
      <c r="F24" s="288">
        <f>Inputs!L45/(Inputs!H45+Inputs!J45+Inputs!L45+Inputs!O45)</f>
        <v>0.66125396830594685</v>
      </c>
      <c r="G24" s="279">
        <f>Inputs!I45+Inputs!K45+Inputs!N45</f>
        <v>1653</v>
      </c>
      <c r="H24" s="45">
        <f t="shared" si="3"/>
        <v>3242397.605645109</v>
      </c>
      <c r="I24" s="30">
        <f t="shared" si="0"/>
        <v>-35393.704354891088</v>
      </c>
      <c r="J24" s="38">
        <f t="shared" si="1"/>
        <v>-1.0798034715300739E-2</v>
      </c>
      <c r="K24" s="11">
        <f t="shared" si="4"/>
        <v>1.0798034715300739E-2</v>
      </c>
      <c r="L24" s="321">
        <f t="shared" si="2"/>
        <v>1252714307.9614363</v>
      </c>
      <c r="M24" s="321">
        <f t="shared" si="5"/>
        <v>89258.285225604195</v>
      </c>
      <c r="N24" s="321">
        <f t="shared" si="6"/>
        <v>7967041481.4153118</v>
      </c>
      <c r="O24" s="11"/>
      <c r="P24"/>
    </row>
    <row r="25" spans="1:24" x14ac:dyDescent="0.2">
      <c r="A25" s="44">
        <v>42338</v>
      </c>
      <c r="B25" s="45">
        <f>Inputs!D46+Inputs!E46</f>
        <v>2993117.77</v>
      </c>
      <c r="C25" s="290">
        <f t="shared" ref="C25:D25" si="16">C13</f>
        <v>593.9909090909091</v>
      </c>
      <c r="D25" s="290">
        <f t="shared" si="16"/>
        <v>0</v>
      </c>
      <c r="E25" s="275">
        <v>30</v>
      </c>
      <c r="F25" s="288">
        <f>Inputs!L46/(Inputs!H46+Inputs!J46+Inputs!L46+Inputs!O46)</f>
        <v>0.55875325495500072</v>
      </c>
      <c r="G25" s="279">
        <f>Inputs!I46+Inputs!K46+Inputs!N46</f>
        <v>1655</v>
      </c>
      <c r="H25" s="45">
        <f t="shared" si="3"/>
        <v>3009888.9710696377</v>
      </c>
      <c r="I25" s="30">
        <f t="shared" si="0"/>
        <v>16771.201069637667</v>
      </c>
      <c r="J25" s="38">
        <f t="shared" si="1"/>
        <v>5.6032546523011248E-3</v>
      </c>
      <c r="K25" s="11">
        <f t="shared" si="4"/>
        <v>5.6032546523011248E-3</v>
      </c>
      <c r="L25" s="321">
        <f t="shared" si="2"/>
        <v>281273185.31821567</v>
      </c>
      <c r="M25" s="321">
        <f t="shared" si="5"/>
        <v>52164.905424528755</v>
      </c>
      <c r="N25" s="321">
        <f t="shared" si="6"/>
        <v>2721177357.9500294</v>
      </c>
      <c r="O25" s="11"/>
      <c r="P25"/>
    </row>
    <row r="26" spans="1:24" x14ac:dyDescent="0.2">
      <c r="A26" s="44">
        <v>42369</v>
      </c>
      <c r="B26" s="45">
        <f>Inputs!D47+Inputs!E47</f>
        <v>3311429.77</v>
      </c>
      <c r="C26" s="290">
        <f t="shared" ref="C26:D26" si="17">C14</f>
        <v>823</v>
      </c>
      <c r="D26" s="290">
        <f t="shared" si="17"/>
        <v>0</v>
      </c>
      <c r="E26" s="275">
        <v>31</v>
      </c>
      <c r="F26" s="288">
        <f>Inputs!L47/(Inputs!H47+Inputs!J47+Inputs!L47+Inputs!O47)</f>
        <v>0.54011634298159461</v>
      </c>
      <c r="G26" s="279">
        <f>Inputs!I47+Inputs!K47+Inputs!N47</f>
        <v>1653</v>
      </c>
      <c r="H26" s="45">
        <f t="shared" si="3"/>
        <v>3320092.6917644069</v>
      </c>
      <c r="I26" s="30">
        <f t="shared" si="0"/>
        <v>8662.9217644068412</v>
      </c>
      <c r="J26" s="38">
        <f t="shared" si="1"/>
        <v>2.6160668853341985E-3</v>
      </c>
      <c r="K26" s="11">
        <f t="shared" si="4"/>
        <v>2.6160668853341985E-3</v>
      </c>
      <c r="L26" s="321">
        <f t="shared" si="2"/>
        <v>75046213.496233746</v>
      </c>
      <c r="M26" s="321">
        <f t="shared" si="5"/>
        <v>-8108.2793052308261</v>
      </c>
      <c r="N26" s="321">
        <f t="shared" si="6"/>
        <v>65744193.291634485</v>
      </c>
      <c r="O26" s="11"/>
      <c r="P26"/>
    </row>
    <row r="27" spans="1:24" x14ac:dyDescent="0.2">
      <c r="A27" s="44">
        <v>42400</v>
      </c>
      <c r="B27" s="45">
        <f>Inputs!D48+Inputs!E48</f>
        <v>3290090.846153846</v>
      </c>
      <c r="C27" s="290">
        <f t="shared" ref="C27:D27" si="18">C15</f>
        <v>999.73636363636365</v>
      </c>
      <c r="D27" s="290">
        <f t="shared" si="18"/>
        <v>0</v>
      </c>
      <c r="E27" s="275">
        <v>31</v>
      </c>
      <c r="F27" s="288">
        <f>Inputs!L48/(Inputs!H48+Inputs!J48+Inputs!L48+Inputs!O48)</f>
        <v>0.47933625834191201</v>
      </c>
      <c r="G27" s="279">
        <f>Inputs!I48+Inputs!K48+Inputs!N48</f>
        <v>1645</v>
      </c>
      <c r="H27" s="45">
        <f t="shared" si="3"/>
        <v>3258817.1852640565</v>
      </c>
      <c r="I27" s="30">
        <f t="shared" si="0"/>
        <v>-31273.660889789462</v>
      </c>
      <c r="J27" s="38">
        <f t="shared" si="1"/>
        <v>-9.505409531882298E-3</v>
      </c>
      <c r="K27" s="11">
        <f t="shared" si="4"/>
        <v>9.505409531882298E-3</v>
      </c>
      <c r="L27" s="321">
        <f t="shared" si="2"/>
        <v>978041865.44954705</v>
      </c>
      <c r="M27" s="321">
        <f t="shared" si="5"/>
        <v>-39936.582654196303</v>
      </c>
      <c r="N27" s="321">
        <f t="shared" si="6"/>
        <v>1594930634.095453</v>
      </c>
      <c r="O27" s="11"/>
      <c r="P27" t="s">
        <v>241</v>
      </c>
      <c r="Q27" s="322">
        <f>N123</f>
        <v>3779363008818.2109</v>
      </c>
    </row>
    <row r="28" spans="1:24" x14ac:dyDescent="0.2">
      <c r="A28" s="44">
        <v>42429</v>
      </c>
      <c r="B28" s="45">
        <f>Inputs!D49+Inputs!E49</f>
        <v>3348370.5384615385</v>
      </c>
      <c r="C28" s="290">
        <f t="shared" ref="C28:D28" si="19">C16</f>
        <v>946.53636363636372</v>
      </c>
      <c r="D28" s="290">
        <f t="shared" si="19"/>
        <v>0</v>
      </c>
      <c r="E28" s="275">
        <v>29</v>
      </c>
      <c r="F28" s="288">
        <f>Inputs!L49/(Inputs!H49+Inputs!J49+Inputs!L49+Inputs!O49)</f>
        <v>0.55213120562836149</v>
      </c>
      <c r="G28" s="279">
        <f>Inputs!I49+Inputs!K49+Inputs!N49</f>
        <v>1648</v>
      </c>
      <c r="H28" s="45">
        <f t="shared" si="3"/>
        <v>3300598.1021715272</v>
      </c>
      <c r="I28" s="30">
        <f t="shared" si="0"/>
        <v>-47772.436290011276</v>
      </c>
      <c r="J28" s="38">
        <f t="shared" si="1"/>
        <v>-1.4267368483047599E-2</v>
      </c>
      <c r="K28" s="11">
        <f t="shared" si="4"/>
        <v>1.4267368483047599E-2</v>
      </c>
      <c r="L28" s="321">
        <f t="shared" si="2"/>
        <v>2282205669.0831861</v>
      </c>
      <c r="M28" s="321">
        <f t="shared" si="5"/>
        <v>-16498.775400221813</v>
      </c>
      <c r="N28" s="321">
        <f t="shared" si="6"/>
        <v>272209589.70696443</v>
      </c>
      <c r="O28" s="11"/>
      <c r="P28" t="s">
        <v>242</v>
      </c>
      <c r="Q28" s="322">
        <f>L123</f>
        <v>2756830334613.6631</v>
      </c>
    </row>
    <row r="29" spans="1:24" x14ac:dyDescent="0.2">
      <c r="A29" s="44">
        <v>42460</v>
      </c>
      <c r="B29" s="45">
        <f>Inputs!D50+Inputs!E50</f>
        <v>3438127.3076923075</v>
      </c>
      <c r="C29" s="290">
        <f t="shared" ref="C29:D29" si="20">C17</f>
        <v>733.42727272727291</v>
      </c>
      <c r="D29" s="290">
        <f t="shared" si="20"/>
        <v>0</v>
      </c>
      <c r="E29" s="275">
        <v>31</v>
      </c>
      <c r="F29" s="288">
        <f>Inputs!L50/(Inputs!H50+Inputs!J50+Inputs!L50+Inputs!O50)</f>
        <v>0.65032508658509947</v>
      </c>
      <c r="G29" s="279">
        <f>Inputs!I50+Inputs!K50+Inputs!N50</f>
        <v>1646</v>
      </c>
      <c r="H29" s="45">
        <f t="shared" si="3"/>
        <v>3608966.4850502629</v>
      </c>
      <c r="I29" s="30">
        <f t="shared" si="0"/>
        <v>170839.17735795537</v>
      </c>
      <c r="J29" s="38">
        <f t="shared" si="1"/>
        <v>4.9689601945724256E-2</v>
      </c>
      <c r="K29" s="11">
        <f t="shared" si="4"/>
        <v>4.9689601945724256E-2</v>
      </c>
      <c r="L29" s="321">
        <f t="shared" si="2"/>
        <v>29186024520.34293</v>
      </c>
      <c r="M29" s="321">
        <f t="shared" si="5"/>
        <v>218611.61364796665</v>
      </c>
      <c r="N29" s="321">
        <f t="shared" si="6"/>
        <v>47791037621.767838</v>
      </c>
      <c r="O29" s="11"/>
      <c r="P29"/>
    </row>
    <row r="30" spans="1:24" x14ac:dyDescent="0.2">
      <c r="A30" s="44">
        <v>42490</v>
      </c>
      <c r="B30" s="45">
        <f>Inputs!D51+Inputs!E51</f>
        <v>3371239.076923077</v>
      </c>
      <c r="C30" s="290">
        <f t="shared" ref="C30:D30" si="21">C18</f>
        <v>519.5454545454545</v>
      </c>
      <c r="D30" s="290">
        <f t="shared" si="21"/>
        <v>0</v>
      </c>
      <c r="E30" s="275">
        <v>30</v>
      </c>
      <c r="F30" s="288">
        <f>Inputs!L51/(Inputs!H51+Inputs!J51+Inputs!L51+Inputs!O51)</f>
        <v>0.59728594049596129</v>
      </c>
      <c r="G30" s="279">
        <f>Inputs!I51+Inputs!K51+Inputs!N51</f>
        <v>1647</v>
      </c>
      <c r="H30" s="45">
        <f t="shared" si="3"/>
        <v>3023650.0222643176</v>
      </c>
      <c r="I30" s="30">
        <f t="shared" si="0"/>
        <v>-347589.05465875939</v>
      </c>
      <c r="J30" s="38">
        <f t="shared" si="1"/>
        <v>-0.1031042434925746</v>
      </c>
      <c r="K30" s="11">
        <f t="shared" si="4"/>
        <v>0.1031042434925746</v>
      </c>
      <c r="L30" s="321">
        <f t="shared" si="2"/>
        <v>120818150918.57002</v>
      </c>
      <c r="M30" s="321">
        <f t="shared" si="5"/>
        <v>-518428.23201671476</v>
      </c>
      <c r="N30" s="321">
        <f t="shared" si="6"/>
        <v>268767831751.97662</v>
      </c>
      <c r="O30" s="11"/>
      <c r="P30" t="s">
        <v>243</v>
      </c>
      <c r="Q30" s="323">
        <f>Q27/Q28</f>
        <v>1.3709088155937763</v>
      </c>
    </row>
    <row r="31" spans="1:24" x14ac:dyDescent="0.2">
      <c r="A31" s="44">
        <v>42521</v>
      </c>
      <c r="B31" s="45">
        <f>Inputs!D52+Inputs!E52</f>
        <v>2942360.5384615385</v>
      </c>
      <c r="C31" s="290">
        <f t="shared" ref="C31:D31" si="22">C19</f>
        <v>253.77272727272731</v>
      </c>
      <c r="D31" s="290">
        <f t="shared" si="22"/>
        <v>3.9181818181818184</v>
      </c>
      <c r="E31" s="275">
        <v>31</v>
      </c>
      <c r="F31" s="288">
        <f>Inputs!L52/(Inputs!H52+Inputs!J52+Inputs!L52+Inputs!O52)</f>
        <v>0.61758744204409854</v>
      </c>
      <c r="G31" s="279">
        <f>Inputs!I52+Inputs!K52+Inputs!N52</f>
        <v>1646</v>
      </c>
      <c r="H31" s="45">
        <f t="shared" si="3"/>
        <v>2896167.0014419165</v>
      </c>
      <c r="I31" s="30">
        <f t="shared" si="0"/>
        <v>-46193.537019622047</v>
      </c>
      <c r="J31" s="38">
        <f t="shared" si="1"/>
        <v>-1.5699482240804894E-2</v>
      </c>
      <c r="K31" s="11">
        <f t="shared" si="4"/>
        <v>1.5699482240804894E-2</v>
      </c>
      <c r="L31" s="321">
        <f t="shared" si="2"/>
        <v>2133842862.3831925</v>
      </c>
      <c r="M31" s="321">
        <f t="shared" si="5"/>
        <v>301395.51763913734</v>
      </c>
      <c r="N31" s="321">
        <f t="shared" si="6"/>
        <v>90839258052.963547</v>
      </c>
      <c r="O31" s="11"/>
      <c r="P31"/>
    </row>
    <row r="32" spans="1:24" x14ac:dyDescent="0.2">
      <c r="A32" s="44">
        <v>42551</v>
      </c>
      <c r="B32" s="45">
        <f>Inputs!D53+Inputs!E53</f>
        <v>2792447.230769231</v>
      </c>
      <c r="C32" s="290">
        <f t="shared" ref="C32:D32" si="23">C20</f>
        <v>92.218181818181819</v>
      </c>
      <c r="D32" s="290">
        <f t="shared" si="23"/>
        <v>19.445454545454545</v>
      </c>
      <c r="E32" s="275">
        <v>30</v>
      </c>
      <c r="F32" s="288">
        <f>Inputs!L53/(Inputs!H53+Inputs!J53+Inputs!L53+Inputs!O53)</f>
        <v>0.63223206119692643</v>
      </c>
      <c r="G32" s="279">
        <f>Inputs!I53+Inputs!K53+Inputs!N53</f>
        <v>1646</v>
      </c>
      <c r="H32" s="45">
        <f t="shared" si="3"/>
        <v>2807606.9153786181</v>
      </c>
      <c r="I32" s="30">
        <f t="shared" si="0"/>
        <v>15159.68460938707</v>
      </c>
      <c r="J32" s="38">
        <f t="shared" si="1"/>
        <v>5.4288168608332323E-3</v>
      </c>
      <c r="K32" s="11">
        <f t="shared" si="4"/>
        <v>5.4288168608332323E-3</v>
      </c>
      <c r="L32" s="321">
        <f t="shared" si="2"/>
        <v>229816037.4560872</v>
      </c>
      <c r="M32" s="321">
        <f t="shared" si="5"/>
        <v>61353.221629009116</v>
      </c>
      <c r="N32" s="321">
        <f t="shared" si="6"/>
        <v>3764217804.2583122</v>
      </c>
      <c r="O32" s="11"/>
      <c r="P32"/>
    </row>
    <row r="33" spans="1:16" x14ac:dyDescent="0.2">
      <c r="A33" s="44">
        <v>42582</v>
      </c>
      <c r="B33" s="45">
        <f>Inputs!D54+Inputs!E54</f>
        <v>2939011.307692308</v>
      </c>
      <c r="C33" s="290">
        <f t="shared" ref="C33:D33" si="24">C21</f>
        <v>33.063636363636363</v>
      </c>
      <c r="D33" s="290">
        <f t="shared" si="24"/>
        <v>38.281818181818181</v>
      </c>
      <c r="E33" s="275">
        <v>31</v>
      </c>
      <c r="F33" s="288">
        <f>Inputs!L54/(Inputs!H54+Inputs!J54+Inputs!L54+Inputs!O54)</f>
        <v>0.57677112475978287</v>
      </c>
      <c r="G33" s="279">
        <f>Inputs!I54+Inputs!K54+Inputs!N54</f>
        <v>1643</v>
      </c>
      <c r="H33" s="45">
        <f t="shared" si="3"/>
        <v>2786312.5596601646</v>
      </c>
      <c r="I33" s="30">
        <f t="shared" si="0"/>
        <v>-152698.74803214334</v>
      </c>
      <c r="J33" s="38">
        <f t="shared" si="1"/>
        <v>-5.1955821888974414E-2</v>
      </c>
      <c r="K33" s="11">
        <f t="shared" si="4"/>
        <v>5.1955821888974414E-2</v>
      </c>
      <c r="L33" s="321">
        <f t="shared" si="2"/>
        <v>23316907650.584</v>
      </c>
      <c r="M33" s="321">
        <f t="shared" si="5"/>
        <v>-167858.43264153041</v>
      </c>
      <c r="N33" s="321">
        <f t="shared" si="6"/>
        <v>28176453408.871201</v>
      </c>
      <c r="O33" s="11"/>
      <c r="P33"/>
    </row>
    <row r="34" spans="1:16" x14ac:dyDescent="0.2">
      <c r="A34" s="44">
        <v>42613</v>
      </c>
      <c r="B34" s="45">
        <f>Inputs!D55+Inputs!E55</f>
        <v>3308180.076923077</v>
      </c>
      <c r="C34" s="290">
        <f t="shared" ref="C34:D34" si="25">C22</f>
        <v>44.609090909090909</v>
      </c>
      <c r="D34" s="290">
        <f t="shared" si="25"/>
        <v>29.781818181818178</v>
      </c>
      <c r="E34" s="275">
        <v>31</v>
      </c>
      <c r="F34" s="288">
        <f>Inputs!L55/(Inputs!H55+Inputs!J55+Inputs!L55+Inputs!O55)</f>
        <v>0.63258468301459125</v>
      </c>
      <c r="G34" s="279">
        <f>Inputs!I55+Inputs!K55+Inputs!N55</f>
        <v>1642</v>
      </c>
      <c r="H34" s="45">
        <f t="shared" si="3"/>
        <v>2932243.9646829059</v>
      </c>
      <c r="I34" s="30">
        <f t="shared" si="0"/>
        <v>-375936.11224017106</v>
      </c>
      <c r="J34" s="38">
        <f t="shared" si="1"/>
        <v>-0.11363834600860891</v>
      </c>
      <c r="K34" s="11">
        <f t="shared" si="4"/>
        <v>0.11363834600860891</v>
      </c>
      <c r="L34" s="321">
        <f t="shared" si="2"/>
        <v>141327960486.25449</v>
      </c>
      <c r="M34" s="321">
        <f t="shared" si="5"/>
        <v>-223237.36420802772</v>
      </c>
      <c r="N34" s="321">
        <f t="shared" si="6"/>
        <v>49834920778.547615</v>
      </c>
      <c r="O34" s="11"/>
      <c r="P34"/>
    </row>
    <row r="35" spans="1:16" x14ac:dyDescent="0.2">
      <c r="A35" s="44">
        <v>42643</v>
      </c>
      <c r="B35" s="45">
        <f>Inputs!D56+Inputs!E56</f>
        <v>2648035.076923077</v>
      </c>
      <c r="C35" s="290">
        <f t="shared" ref="C35:D35" si="26">C23</f>
        <v>138.26363636363635</v>
      </c>
      <c r="D35" s="290">
        <f t="shared" si="26"/>
        <v>10</v>
      </c>
      <c r="E35" s="275">
        <v>30</v>
      </c>
      <c r="F35" s="288">
        <f>Inputs!L56/(Inputs!H56+Inputs!J56+Inputs!L56+Inputs!O56)</f>
        <v>0.61094962238052908</v>
      </c>
      <c r="G35" s="279">
        <f>Inputs!I56+Inputs!K56+Inputs!N56</f>
        <v>1646</v>
      </c>
      <c r="H35" s="45">
        <f t="shared" si="3"/>
        <v>2683122.3644340606</v>
      </c>
      <c r="I35" s="30">
        <f t="shared" si="0"/>
        <v>35087.287510983646</v>
      </c>
      <c r="J35" s="38">
        <f t="shared" si="1"/>
        <v>1.3250310698963184E-2</v>
      </c>
      <c r="K35" s="11">
        <f t="shared" si="4"/>
        <v>1.3250310698963184E-2</v>
      </c>
      <c r="L35" s="321">
        <f t="shared" si="2"/>
        <v>1231117744.8784289</v>
      </c>
      <c r="M35" s="321">
        <f t="shared" si="5"/>
        <v>411023.39975115471</v>
      </c>
      <c r="N35" s="321">
        <f t="shared" si="6"/>
        <v>168940235142.99753</v>
      </c>
      <c r="O35" s="11"/>
      <c r="P35"/>
    </row>
    <row r="36" spans="1:16" x14ac:dyDescent="0.2">
      <c r="A36" s="44">
        <v>42674</v>
      </c>
      <c r="B36" s="45">
        <f>Inputs!D57+Inputs!E57</f>
        <v>3174146.5384615385</v>
      </c>
      <c r="C36" s="290">
        <f t="shared" ref="C36:D36" si="27">C24</f>
        <v>354.19090909090909</v>
      </c>
      <c r="D36" s="290">
        <f t="shared" si="27"/>
        <v>3.9636363636363638</v>
      </c>
      <c r="E36" s="275">
        <v>31</v>
      </c>
      <c r="F36" s="288">
        <f>Inputs!L57/(Inputs!H57+Inputs!J57+Inputs!L57+Inputs!O57)</f>
        <v>0.65239476368933091</v>
      </c>
      <c r="G36" s="279">
        <f>Inputs!I57+Inputs!K57+Inputs!N57</f>
        <v>1649</v>
      </c>
      <c r="H36" s="45">
        <f t="shared" si="3"/>
        <v>3184082.7009122428</v>
      </c>
      <c r="I36" s="30">
        <f t="shared" si="0"/>
        <v>9936.1624507042579</v>
      </c>
      <c r="J36" s="38">
        <f t="shared" si="1"/>
        <v>3.1303414414887622E-3</v>
      </c>
      <c r="K36" s="11">
        <f t="shared" si="4"/>
        <v>3.1303414414887622E-3</v>
      </c>
      <c r="L36" s="321">
        <f t="shared" si="2"/>
        <v>98727324.246785238</v>
      </c>
      <c r="M36" s="321">
        <f t="shared" si="5"/>
        <v>-25151.125060279388</v>
      </c>
      <c r="N36" s="321">
        <f t="shared" si="6"/>
        <v>632579091.79781389</v>
      </c>
      <c r="O36" s="11"/>
      <c r="P36"/>
    </row>
    <row r="37" spans="1:16" x14ac:dyDescent="0.2">
      <c r="A37" s="44">
        <v>42704</v>
      </c>
      <c r="B37" s="45">
        <f>Inputs!D58+Inputs!E58</f>
        <v>3233148.923076923</v>
      </c>
      <c r="C37" s="290">
        <f t="shared" ref="C37:D37" si="28">C25</f>
        <v>593.9909090909091</v>
      </c>
      <c r="D37" s="290">
        <f t="shared" si="28"/>
        <v>0</v>
      </c>
      <c r="E37" s="275">
        <v>30</v>
      </c>
      <c r="F37" s="288">
        <f>Inputs!L58/(Inputs!H58+Inputs!J58+Inputs!L58+Inputs!O58)</f>
        <v>0.61975270241751823</v>
      </c>
      <c r="G37" s="279">
        <f>Inputs!I58+Inputs!K58+Inputs!N58</f>
        <v>1642</v>
      </c>
      <c r="H37" s="45">
        <f t="shared" si="3"/>
        <v>3182495.1442334447</v>
      </c>
      <c r="I37" s="30">
        <f t="shared" si="0"/>
        <v>-50653.7788434783</v>
      </c>
      <c r="J37" s="38">
        <f t="shared" si="1"/>
        <v>-1.5667010721941047E-2</v>
      </c>
      <c r="K37" s="11">
        <f t="shared" si="4"/>
        <v>1.5667010721941047E-2</v>
      </c>
      <c r="L37" s="321">
        <f t="shared" si="2"/>
        <v>2565805311.1240096</v>
      </c>
      <c r="M37" s="321">
        <f t="shared" si="5"/>
        <v>-60589.941294182558</v>
      </c>
      <c r="N37" s="321">
        <f t="shared" si="6"/>
        <v>3671140986.0324888</v>
      </c>
      <c r="O37" s="11"/>
      <c r="P37"/>
    </row>
    <row r="38" spans="1:16" x14ac:dyDescent="0.2">
      <c r="A38" s="44">
        <v>42735</v>
      </c>
      <c r="B38" s="45">
        <f>Inputs!D59+Inputs!E59</f>
        <v>3589663.769230769</v>
      </c>
      <c r="C38" s="290">
        <f t="shared" ref="C38:D38" si="29">C26</f>
        <v>823</v>
      </c>
      <c r="D38" s="290">
        <f t="shared" si="29"/>
        <v>0</v>
      </c>
      <c r="E38" s="275">
        <v>31</v>
      </c>
      <c r="F38" s="288">
        <f>Inputs!L59/(Inputs!H59+Inputs!J59+Inputs!L59+Inputs!O59)</f>
        <v>0.554877900081583</v>
      </c>
      <c r="G38" s="279">
        <f>Inputs!I59+Inputs!K59+Inputs!N59</f>
        <v>1639</v>
      </c>
      <c r="H38" s="45">
        <f t="shared" si="3"/>
        <v>3300575.4944510013</v>
      </c>
      <c r="I38" s="30">
        <f t="shared" si="0"/>
        <v>-289088.27477976773</v>
      </c>
      <c r="J38" s="38">
        <f t="shared" si="1"/>
        <v>-8.0533524409088772E-2</v>
      </c>
      <c r="K38" s="11">
        <f t="shared" si="4"/>
        <v>8.0533524409088772E-2</v>
      </c>
      <c r="L38" s="321">
        <f t="shared" si="2"/>
        <v>83572030615.142487</v>
      </c>
      <c r="M38" s="321">
        <f t="shared" si="5"/>
        <v>-238434.49593628943</v>
      </c>
      <c r="N38" s="321">
        <f t="shared" si="6"/>
        <v>56851008852.392418</v>
      </c>
      <c r="O38" s="11"/>
      <c r="P38"/>
    </row>
    <row r="39" spans="1:16" x14ac:dyDescent="0.2">
      <c r="A39" s="44">
        <v>42766</v>
      </c>
      <c r="B39" s="45">
        <f>Inputs!D60+Inputs!E60</f>
        <v>3196951.1904761908</v>
      </c>
      <c r="C39" s="290">
        <f t="shared" ref="C39:D39" si="30">C27</f>
        <v>999.73636363636365</v>
      </c>
      <c r="D39" s="290">
        <f t="shared" si="30"/>
        <v>0</v>
      </c>
      <c r="E39" s="275">
        <v>31</v>
      </c>
      <c r="F39" s="288">
        <f>Inputs!L60/(Inputs!H60+Inputs!J60+Inputs!L60+Inputs!O60)</f>
        <v>0.4916572161669347</v>
      </c>
      <c r="G39" s="279">
        <f>Inputs!I60+Inputs!K60+Inputs!N60</f>
        <v>1639</v>
      </c>
      <c r="H39" s="45">
        <f t="shared" si="3"/>
        <v>3274628.7333777752</v>
      </c>
      <c r="I39" s="30">
        <f t="shared" si="0"/>
        <v>77677.542901584413</v>
      </c>
      <c r="J39" s="38">
        <f t="shared" si="1"/>
        <v>2.4297381559339422E-2</v>
      </c>
      <c r="K39" s="11">
        <f t="shared" si="4"/>
        <v>2.4297381559339422E-2</v>
      </c>
      <c r="L39" s="321">
        <f t="shared" si="2"/>
        <v>6033800671.2274866</v>
      </c>
      <c r="M39" s="321">
        <f t="shared" si="5"/>
        <v>366765.81768135214</v>
      </c>
      <c r="N39" s="321">
        <f t="shared" si="6"/>
        <v>134517165019.47084</v>
      </c>
      <c r="O39" s="11"/>
      <c r="P39"/>
    </row>
    <row r="40" spans="1:16" x14ac:dyDescent="0.2">
      <c r="A40" s="44">
        <v>42794</v>
      </c>
      <c r="B40" s="45">
        <f>Inputs!D61+Inputs!E61</f>
        <v>3016939.0000000005</v>
      </c>
      <c r="C40" s="290">
        <f t="shared" ref="C40:D40" si="31">C28</f>
        <v>946.53636363636372</v>
      </c>
      <c r="D40" s="290">
        <f t="shared" si="31"/>
        <v>0</v>
      </c>
      <c r="E40" s="275">
        <v>28</v>
      </c>
      <c r="F40" s="288">
        <f>Inputs!L61/(Inputs!H61+Inputs!J61+Inputs!L61+Inputs!O61)</f>
        <v>0.55452475358532372</v>
      </c>
      <c r="G40" s="279">
        <f>Inputs!I61+Inputs!K61+Inputs!N61</f>
        <v>1638</v>
      </c>
      <c r="H40" s="45">
        <f t="shared" si="3"/>
        <v>3153886.1120370757</v>
      </c>
      <c r="I40" s="30">
        <f t="shared" si="0"/>
        <v>136947.11203707522</v>
      </c>
      <c r="J40" s="38">
        <f t="shared" si="1"/>
        <v>4.5392734833907877E-2</v>
      </c>
      <c r="K40" s="11">
        <f t="shared" si="4"/>
        <v>4.5392734833907877E-2</v>
      </c>
      <c r="L40" s="321">
        <f t="shared" si="2"/>
        <v>18754511495.295231</v>
      </c>
      <c r="M40" s="321">
        <f t="shared" si="5"/>
        <v>59269.569135490805</v>
      </c>
      <c r="N40" s="321">
        <f t="shared" si="6"/>
        <v>3512881825.5067244</v>
      </c>
      <c r="O40" s="11"/>
      <c r="P40"/>
    </row>
    <row r="41" spans="1:16" x14ac:dyDescent="0.2">
      <c r="A41" s="44">
        <v>42825</v>
      </c>
      <c r="B41" s="45">
        <f>Inputs!D62+Inputs!E62</f>
        <v>2778958.7619047621</v>
      </c>
      <c r="C41" s="290">
        <f t="shared" ref="C41:D41" si="32">C29</f>
        <v>733.42727272727291</v>
      </c>
      <c r="D41" s="290">
        <f t="shared" si="32"/>
        <v>0</v>
      </c>
      <c r="E41" s="275">
        <v>31</v>
      </c>
      <c r="F41" s="288">
        <f>Inputs!L62/(Inputs!H62+Inputs!J62+Inputs!L62+Inputs!O62)</f>
        <v>0.49435922419403389</v>
      </c>
      <c r="G41" s="279">
        <f>Inputs!I62+Inputs!K62+Inputs!N62</f>
        <v>1639</v>
      </c>
      <c r="H41" s="45">
        <f t="shared" si="3"/>
        <v>2940432.6440377403</v>
      </c>
      <c r="I41" s="30">
        <f t="shared" si="0"/>
        <v>161473.88213297818</v>
      </c>
      <c r="J41" s="38">
        <f t="shared" si="1"/>
        <v>5.8105893598183612E-2</v>
      </c>
      <c r="K41" s="11">
        <f t="shared" si="4"/>
        <v>5.8105893598183612E-2</v>
      </c>
      <c r="L41" s="321">
        <f t="shared" si="2"/>
        <v>26073814611.094929</v>
      </c>
      <c r="M41" s="321">
        <f t="shared" si="5"/>
        <v>24526.770095902961</v>
      </c>
      <c r="N41" s="321">
        <f t="shared" si="6"/>
        <v>601562451.33727968</v>
      </c>
      <c r="O41" s="11"/>
      <c r="P41"/>
    </row>
    <row r="42" spans="1:16" x14ac:dyDescent="0.2">
      <c r="A42" s="44">
        <v>42855</v>
      </c>
      <c r="B42" s="45">
        <f>Inputs!D63+Inputs!E63</f>
        <v>2590214.1428571427</v>
      </c>
      <c r="C42" s="290">
        <f t="shared" ref="C42:D42" si="33">C30</f>
        <v>519.5454545454545</v>
      </c>
      <c r="D42" s="290">
        <f t="shared" si="33"/>
        <v>0</v>
      </c>
      <c r="E42" s="275">
        <v>30</v>
      </c>
      <c r="F42" s="288">
        <f>Inputs!L63/(Inputs!H63+Inputs!J63+Inputs!L63+Inputs!O63)</f>
        <v>0.55155369928245424</v>
      </c>
      <c r="G42" s="279">
        <f>Inputs!I63+Inputs!K63+Inputs!N63</f>
        <v>1641</v>
      </c>
      <c r="H42" s="45">
        <f t="shared" si="3"/>
        <v>2805333.6443563597</v>
      </c>
      <c r="I42" s="30">
        <f t="shared" si="0"/>
        <v>215119.501499217</v>
      </c>
      <c r="J42" s="38">
        <f t="shared" si="1"/>
        <v>8.3050855888667507E-2</v>
      </c>
      <c r="K42" s="11">
        <f t="shared" si="4"/>
        <v>8.3050855888667507E-2</v>
      </c>
      <c r="L42" s="321">
        <f t="shared" si="2"/>
        <v>46276399925.271629</v>
      </c>
      <c r="M42" s="321">
        <f t="shared" si="5"/>
        <v>53645.619366238825</v>
      </c>
      <c r="N42" s="321">
        <f t="shared" si="6"/>
        <v>2877852477.1873779</v>
      </c>
      <c r="O42" s="11"/>
      <c r="P42"/>
    </row>
    <row r="43" spans="1:16" x14ac:dyDescent="0.2">
      <c r="A43" s="44">
        <v>42886</v>
      </c>
      <c r="B43" s="45">
        <f>Inputs!D64+Inputs!E64</f>
        <v>2453029.047619048</v>
      </c>
      <c r="C43" s="290">
        <f t="shared" ref="C43:D43" si="34">C31</f>
        <v>253.77272727272731</v>
      </c>
      <c r="D43" s="290">
        <f t="shared" si="34"/>
        <v>3.9181818181818184</v>
      </c>
      <c r="E43" s="275">
        <v>31</v>
      </c>
      <c r="F43" s="288">
        <f>Inputs!L64/(Inputs!H64+Inputs!J64+Inputs!L64+Inputs!O64)</f>
        <v>0.56799899843466484</v>
      </c>
      <c r="G43" s="279">
        <f>Inputs!I64+Inputs!K64+Inputs!N64</f>
        <v>1643</v>
      </c>
      <c r="H43" s="45">
        <f t="shared" si="3"/>
        <v>2679237.9718328603</v>
      </c>
      <c r="I43" s="30">
        <f t="shared" si="0"/>
        <v>226208.92421381222</v>
      </c>
      <c r="J43" s="38">
        <f t="shared" si="1"/>
        <v>9.2216162068433097E-2</v>
      </c>
      <c r="K43" s="11">
        <f t="shared" si="4"/>
        <v>9.2216162068433097E-2</v>
      </c>
      <c r="L43" s="321">
        <f t="shared" si="2"/>
        <v>51170477393.970238</v>
      </c>
      <c r="M43" s="321">
        <f t="shared" si="5"/>
        <v>11089.422714595217</v>
      </c>
      <c r="N43" s="321">
        <f t="shared" si="6"/>
        <v>122975296.14298035</v>
      </c>
      <c r="O43" s="11"/>
      <c r="P43"/>
    </row>
    <row r="44" spans="1:16" x14ac:dyDescent="0.2">
      <c r="A44" s="44">
        <v>42916</v>
      </c>
      <c r="B44" s="45">
        <f>Inputs!D65+Inputs!E65</f>
        <v>2143236.9047619049</v>
      </c>
      <c r="C44" s="290">
        <f t="shared" ref="C44:D44" si="35">C32</f>
        <v>92.218181818181819</v>
      </c>
      <c r="D44" s="290">
        <f t="shared" si="35"/>
        <v>19.445454545454545</v>
      </c>
      <c r="E44" s="275">
        <v>30</v>
      </c>
      <c r="F44" s="288">
        <f>Inputs!L65/(Inputs!H65+Inputs!J65+Inputs!L65+Inputs!O65)</f>
        <v>0.51500007844152529</v>
      </c>
      <c r="G44" s="279">
        <f>Inputs!I65+Inputs!K65+Inputs!N65</f>
        <v>1641</v>
      </c>
      <c r="H44" s="45">
        <f t="shared" si="3"/>
        <v>2306579.3074602885</v>
      </c>
      <c r="I44" s="30">
        <f t="shared" si="0"/>
        <v>163342.40269838367</v>
      </c>
      <c r="J44" s="38">
        <f t="shared" si="1"/>
        <v>7.6212947964578656E-2</v>
      </c>
      <c r="K44" s="11">
        <f t="shared" si="4"/>
        <v>7.6212947964578656E-2</v>
      </c>
      <c r="L44" s="321">
        <f t="shared" si="2"/>
        <v>26680740519.280937</v>
      </c>
      <c r="M44" s="321">
        <f t="shared" si="5"/>
        <v>-62866.521515428554</v>
      </c>
      <c r="N44" s="321">
        <f t="shared" si="6"/>
        <v>3952199527.4498415</v>
      </c>
      <c r="O44" s="11"/>
      <c r="P44"/>
    </row>
    <row r="45" spans="1:16" x14ac:dyDescent="0.2">
      <c r="A45" s="44">
        <v>42947</v>
      </c>
      <c r="B45" s="45">
        <f>Inputs!D66+Inputs!E66</f>
        <v>2611439.3333333335</v>
      </c>
      <c r="C45" s="290">
        <f t="shared" ref="C45:D45" si="36">C33</f>
        <v>33.063636363636363</v>
      </c>
      <c r="D45" s="290">
        <f t="shared" si="36"/>
        <v>38.281818181818181</v>
      </c>
      <c r="E45" s="275">
        <v>31</v>
      </c>
      <c r="F45" s="288">
        <f>Inputs!L66/(Inputs!H66+Inputs!J66+Inputs!L66+Inputs!O66)</f>
        <v>0.54419495118200589</v>
      </c>
      <c r="G45" s="279">
        <f>Inputs!I66+Inputs!K66+Inputs!N66</f>
        <v>1641</v>
      </c>
      <c r="H45" s="45">
        <f t="shared" si="3"/>
        <v>2643640.2887293249</v>
      </c>
      <c r="I45" s="30">
        <f t="shared" si="0"/>
        <v>32200.955395991448</v>
      </c>
      <c r="J45" s="38">
        <f t="shared" si="1"/>
        <v>1.2330730790858163E-2</v>
      </c>
      <c r="K45" s="11">
        <f t="shared" si="4"/>
        <v>1.2330730790858163E-2</v>
      </c>
      <c r="L45" s="321">
        <f t="shared" si="2"/>
        <v>1036901528.4146308</v>
      </c>
      <c r="M45" s="321">
        <f t="shared" si="5"/>
        <v>-131141.44730239222</v>
      </c>
      <c r="N45" s="321">
        <f t="shared" si="6"/>
        <v>17198079200.566116</v>
      </c>
      <c r="O45" s="11"/>
      <c r="P45"/>
    </row>
    <row r="46" spans="1:16" x14ac:dyDescent="0.2">
      <c r="A46" s="44">
        <v>42978</v>
      </c>
      <c r="B46" s="45">
        <f>Inputs!D67+Inputs!E67</f>
        <v>2381306.3333333335</v>
      </c>
      <c r="C46" s="290">
        <f t="shared" ref="C46:D46" si="37">C34</f>
        <v>44.609090909090909</v>
      </c>
      <c r="D46" s="290">
        <f t="shared" si="37"/>
        <v>29.781818181818178</v>
      </c>
      <c r="E46" s="275">
        <v>31</v>
      </c>
      <c r="F46" s="288">
        <f>Inputs!L67/(Inputs!H67+Inputs!J67+Inputs!L67+Inputs!O67)</f>
        <v>0.53732134108706575</v>
      </c>
      <c r="G46" s="279">
        <f>Inputs!I67+Inputs!K67+Inputs!N67</f>
        <v>1637</v>
      </c>
      <c r="H46" s="45">
        <f t="shared" si="3"/>
        <v>2519815.6484441254</v>
      </c>
      <c r="I46" s="30">
        <f t="shared" si="0"/>
        <v>138509.31511079194</v>
      </c>
      <c r="J46" s="38">
        <f t="shared" si="1"/>
        <v>5.8165265498163657E-2</v>
      </c>
      <c r="K46" s="11">
        <f t="shared" si="4"/>
        <v>5.8165265498163657E-2</v>
      </c>
      <c r="L46" s="321">
        <f>I46*I46</f>
        <v>19184830372.460655</v>
      </c>
      <c r="M46" s="321">
        <f t="shared" si="5"/>
        <v>106308.35971480049</v>
      </c>
      <c r="N46" s="321">
        <f t="shared" si="6"/>
        <v>11301467345.251415</v>
      </c>
      <c r="O46" s="11"/>
      <c r="P46"/>
    </row>
    <row r="47" spans="1:16" x14ac:dyDescent="0.2">
      <c r="A47" s="44">
        <v>43008</v>
      </c>
      <c r="B47" s="45">
        <f>Inputs!D68+Inputs!E68</f>
        <v>2270915.666666667</v>
      </c>
      <c r="C47" s="290">
        <f t="shared" ref="C47:D47" si="38">C35</f>
        <v>138.26363636363635</v>
      </c>
      <c r="D47" s="290">
        <f t="shared" si="38"/>
        <v>10</v>
      </c>
      <c r="E47" s="275">
        <v>30</v>
      </c>
      <c r="F47" s="288">
        <f>Inputs!L68/(Inputs!H68+Inputs!J68+Inputs!L68+Inputs!O68)</f>
        <v>0.56005962100380524</v>
      </c>
      <c r="G47" s="279">
        <f>Inputs!I68+Inputs!K68+Inputs!N68</f>
        <v>1640</v>
      </c>
      <c r="H47" s="45">
        <f t="shared" si="3"/>
        <v>2444004.7953784848</v>
      </c>
      <c r="I47" s="30">
        <f t="shared" si="0"/>
        <v>173089.12871181779</v>
      </c>
      <c r="J47" s="38">
        <f t="shared" si="1"/>
        <v>7.6219972081078793E-2</v>
      </c>
      <c r="K47" s="11">
        <f t="shared" si="4"/>
        <v>7.6219972081078793E-2</v>
      </c>
      <c r="L47" s="321">
        <f t="shared" si="2"/>
        <v>29959846478.216225</v>
      </c>
      <c r="M47" s="321">
        <f t="shared" si="5"/>
        <v>34579.813601025846</v>
      </c>
      <c r="N47" s="321">
        <f t="shared" si="6"/>
        <v>1195763508.6816921</v>
      </c>
      <c r="O47" s="11"/>
      <c r="P47"/>
    </row>
    <row r="48" spans="1:16" x14ac:dyDescent="0.2">
      <c r="A48" s="44">
        <v>43039</v>
      </c>
      <c r="B48" s="45">
        <f>Inputs!D69+Inputs!E69</f>
        <v>2720524.3333333335</v>
      </c>
      <c r="C48" s="290">
        <f t="shared" ref="C48:D48" si="39">C36</f>
        <v>354.19090909090909</v>
      </c>
      <c r="D48" s="290">
        <f t="shared" si="39"/>
        <v>3.9636363636363638</v>
      </c>
      <c r="E48" s="275">
        <v>31</v>
      </c>
      <c r="F48" s="288">
        <f>Inputs!L69/(Inputs!H69+Inputs!J69+Inputs!L69+Inputs!O69)</f>
        <v>0.5903233446719357</v>
      </c>
      <c r="G48" s="279">
        <f>Inputs!I69+Inputs!K69+Inputs!N69</f>
        <v>1638</v>
      </c>
      <c r="H48" s="45">
        <f t="shared" si="3"/>
        <v>2871638.3100269604</v>
      </c>
      <c r="I48" s="30">
        <f t="shared" si="0"/>
        <v>151113.97669362696</v>
      </c>
      <c r="J48" s="38">
        <f t="shared" si="1"/>
        <v>5.5545901516886619E-2</v>
      </c>
      <c r="K48" s="11">
        <f t="shared" si="4"/>
        <v>5.5545901516886619E-2</v>
      </c>
      <c r="L48" s="321">
        <f t="shared" si="2"/>
        <v>22835433952.162033</v>
      </c>
      <c r="M48" s="321">
        <f t="shared" si="5"/>
        <v>-21975.152018190827</v>
      </c>
      <c r="N48" s="321">
        <f t="shared" si="6"/>
        <v>482907306.22259641</v>
      </c>
      <c r="O48" s="11"/>
      <c r="P48"/>
    </row>
    <row r="49" spans="1:16" x14ac:dyDescent="0.2">
      <c r="A49" s="44">
        <v>43069</v>
      </c>
      <c r="B49" s="45">
        <f>Inputs!D70+Inputs!E70</f>
        <v>2769599.666666667</v>
      </c>
      <c r="C49" s="290">
        <f t="shared" ref="C49:D49" si="40">C37</f>
        <v>593.9909090909091</v>
      </c>
      <c r="D49" s="290">
        <f t="shared" si="40"/>
        <v>0</v>
      </c>
      <c r="E49" s="275">
        <v>30</v>
      </c>
      <c r="F49" s="288">
        <f>Inputs!L70/(Inputs!H70+Inputs!J70+Inputs!L70+Inputs!O70)</f>
        <v>0.50113905618612764</v>
      </c>
      <c r="G49" s="279">
        <f>Inputs!I70+Inputs!K70+Inputs!N70</f>
        <v>1637</v>
      </c>
      <c r="H49" s="45">
        <f t="shared" si="3"/>
        <v>2675895.3024080954</v>
      </c>
      <c r="I49" s="30">
        <f t="shared" si="0"/>
        <v>-93704.364258571528</v>
      </c>
      <c r="J49" s="38">
        <f t="shared" si="1"/>
        <v>-3.3833180075208767E-2</v>
      </c>
      <c r="K49" s="11">
        <f t="shared" si="4"/>
        <v>3.3833180075208767E-2</v>
      </c>
      <c r="L49" s="321">
        <f t="shared" si="2"/>
        <v>8780507881.1030579</v>
      </c>
      <c r="M49" s="321">
        <f t="shared" si="5"/>
        <v>-244818.34095219849</v>
      </c>
      <c r="N49" s="321">
        <f t="shared" si="6"/>
        <v>59936020066.586906</v>
      </c>
      <c r="O49" s="11"/>
      <c r="P49"/>
    </row>
    <row r="50" spans="1:16" x14ac:dyDescent="0.2">
      <c r="A50" s="44">
        <v>43100</v>
      </c>
      <c r="B50" s="45">
        <f>Inputs!D71+Inputs!E71</f>
        <v>3099778.666666667</v>
      </c>
      <c r="C50" s="290">
        <f t="shared" ref="C50:D50" si="41">C38</f>
        <v>823</v>
      </c>
      <c r="D50" s="290">
        <f t="shared" si="41"/>
        <v>0</v>
      </c>
      <c r="E50" s="275">
        <v>31</v>
      </c>
      <c r="F50" s="288">
        <f>Inputs!L71/(Inputs!H71+Inputs!J71+Inputs!L71+Inputs!O71)</f>
        <v>0.46345766931392596</v>
      </c>
      <c r="G50" s="279">
        <f>Inputs!I71+Inputs!K71+Inputs!N71</f>
        <v>1637</v>
      </c>
      <c r="H50" s="45">
        <f t="shared" si="3"/>
        <v>2920585.7750980016</v>
      </c>
      <c r="I50" s="30">
        <f t="shared" si="0"/>
        <v>-179192.89156866539</v>
      </c>
      <c r="J50" s="38">
        <f t="shared" si="1"/>
        <v>-5.7808285957835714E-2</v>
      </c>
      <c r="K50" s="11">
        <f t="shared" si="4"/>
        <v>5.7808285957835714E-2</v>
      </c>
      <c r="L50" s="321">
        <f t="shared" si="2"/>
        <v>32110092388.739471</v>
      </c>
      <c r="M50" s="321">
        <f t="shared" si="5"/>
        <v>-85488.527310093865</v>
      </c>
      <c r="N50" s="321">
        <f t="shared" si="6"/>
        <v>7308288301.6486645</v>
      </c>
      <c r="O50" s="11"/>
      <c r="P50"/>
    </row>
    <row r="51" spans="1:16" x14ac:dyDescent="0.2">
      <c r="A51" s="44">
        <v>43131</v>
      </c>
      <c r="B51" s="45">
        <f>Inputs!D72+Inputs!E72</f>
        <v>3295931.666666667</v>
      </c>
      <c r="C51" s="290">
        <f t="shared" ref="C51:D51" si="42">C39</f>
        <v>999.73636363636365</v>
      </c>
      <c r="D51" s="290">
        <f t="shared" si="42"/>
        <v>0</v>
      </c>
      <c r="E51" s="275">
        <v>31</v>
      </c>
      <c r="F51" s="288">
        <f>Inputs!L72/(Inputs!H72+Inputs!J72+Inputs!L72+Inputs!O72)</f>
        <v>0.38525933048328409</v>
      </c>
      <c r="G51" s="279">
        <f>Inputs!I72+Inputs!K72+Inputs!N72</f>
        <v>1636</v>
      </c>
      <c r="H51" s="45">
        <f t="shared" si="3"/>
        <v>2828587.8361788299</v>
      </c>
      <c r="I51" s="30">
        <f t="shared" si="0"/>
        <v>-467343.83048783708</v>
      </c>
      <c r="J51" s="38">
        <f t="shared" si="1"/>
        <v>-0.14179415041103816</v>
      </c>
      <c r="K51" s="11">
        <f t="shared" si="4"/>
        <v>0.14179415041103816</v>
      </c>
      <c r="L51" s="321">
        <f t="shared" si="2"/>
        <v>218410255895.04419</v>
      </c>
      <c r="M51" s="321">
        <f t="shared" si="5"/>
        <v>-288150.93891917169</v>
      </c>
      <c r="N51" s="321">
        <f t="shared" si="6"/>
        <v>83030963600.000214</v>
      </c>
      <c r="O51" s="11"/>
      <c r="P51"/>
    </row>
    <row r="52" spans="1:16" x14ac:dyDescent="0.2">
      <c r="A52" s="44">
        <v>43159</v>
      </c>
      <c r="B52" s="45">
        <f>Inputs!D73+Inputs!E73</f>
        <v>2884547.3333333335</v>
      </c>
      <c r="C52" s="290">
        <f t="shared" ref="C52:D52" si="43">C40</f>
        <v>946.53636363636372</v>
      </c>
      <c r="D52" s="290">
        <f t="shared" si="43"/>
        <v>0</v>
      </c>
      <c r="E52" s="275">
        <v>28</v>
      </c>
      <c r="F52" s="288">
        <f>Inputs!L73/(Inputs!H73+Inputs!J73+Inputs!L73+Inputs!O73)</f>
        <v>0.57071906687878882</v>
      </c>
      <c r="G52" s="279">
        <f>Inputs!I73+Inputs!K73+Inputs!N73</f>
        <v>1635</v>
      </c>
      <c r="H52" s="45">
        <f t="shared" si="3"/>
        <v>3202258.2320070788</v>
      </c>
      <c r="I52" s="30">
        <f t="shared" si="0"/>
        <v>317710.89867374534</v>
      </c>
      <c r="J52" s="38">
        <f t="shared" si="1"/>
        <v>0.1101423765879425</v>
      </c>
      <c r="K52" s="11">
        <f t="shared" si="4"/>
        <v>0.1101423765879425</v>
      </c>
      <c r="L52" s="321">
        <f t="shared" si="2"/>
        <v>100940215136.07887</v>
      </c>
      <c r="M52" s="321">
        <f t="shared" si="5"/>
        <v>785054.72916158242</v>
      </c>
      <c r="N52" s="321">
        <f t="shared" si="6"/>
        <v>616310927778.96558</v>
      </c>
      <c r="O52" s="11"/>
      <c r="P52"/>
    </row>
    <row r="53" spans="1:16" x14ac:dyDescent="0.2">
      <c r="A53" s="44">
        <v>43190</v>
      </c>
      <c r="B53" s="45">
        <f>Inputs!D74+Inputs!E74</f>
        <v>2851029.666666667</v>
      </c>
      <c r="C53" s="290">
        <f t="shared" ref="C53:D53" si="44">C41</f>
        <v>733.42727272727291</v>
      </c>
      <c r="D53" s="290">
        <f t="shared" si="44"/>
        <v>0</v>
      </c>
      <c r="E53" s="275">
        <v>31</v>
      </c>
      <c r="F53" s="288">
        <f>Inputs!L74/(Inputs!H74+Inputs!J74+Inputs!L74+Inputs!O74)</f>
        <v>0.51646317640263528</v>
      </c>
      <c r="G53" s="279">
        <f>Inputs!I74+Inputs!K74+Inputs!N74</f>
        <v>1634</v>
      </c>
      <c r="H53" s="45">
        <f t="shared" si="3"/>
        <v>3001345.3600585265</v>
      </c>
      <c r="I53" s="30">
        <f t="shared" si="0"/>
        <v>150315.69339185953</v>
      </c>
      <c r="J53" s="38">
        <f t="shared" si="1"/>
        <v>5.2723300339278426E-2</v>
      </c>
      <c r="K53" s="11">
        <f t="shared" si="4"/>
        <v>5.2723300339278426E-2</v>
      </c>
      <c r="L53" s="321">
        <f t="shared" si="2"/>
        <v>22594807679.875523</v>
      </c>
      <c r="M53" s="321">
        <f t="shared" si="5"/>
        <v>-167395.20528188581</v>
      </c>
      <c r="N53" s="321">
        <f t="shared" si="6"/>
        <v>28021154751.364689</v>
      </c>
      <c r="O53" s="11"/>
      <c r="P53"/>
    </row>
    <row r="54" spans="1:16" x14ac:dyDescent="0.2">
      <c r="A54" s="44">
        <v>43220</v>
      </c>
      <c r="B54" s="45">
        <f>Inputs!D75+Inputs!E75</f>
        <v>2883477.3333333335</v>
      </c>
      <c r="C54" s="290">
        <f t="shared" ref="C54:D54" si="45">C42</f>
        <v>519.5454545454545</v>
      </c>
      <c r="D54" s="290">
        <f t="shared" si="45"/>
        <v>0</v>
      </c>
      <c r="E54" s="275">
        <v>30</v>
      </c>
      <c r="F54" s="288">
        <f>Inputs!L75/(Inputs!H75+Inputs!J75+Inputs!L75+Inputs!O75)</f>
        <v>0.59808027893829463</v>
      </c>
      <c r="G54" s="279">
        <f>Inputs!I75+Inputs!K75+Inputs!N75</f>
        <v>1635</v>
      </c>
      <c r="H54" s="45">
        <f t="shared" si="3"/>
        <v>2959096.0966436099</v>
      </c>
      <c r="I54" s="30">
        <f t="shared" si="0"/>
        <v>75618.763310276438</v>
      </c>
      <c r="J54" s="38">
        <f t="shared" si="1"/>
        <v>2.6224850958984396E-2</v>
      </c>
      <c r="K54" s="11">
        <f t="shared" si="4"/>
        <v>2.6224850958984396E-2</v>
      </c>
      <c r="L54" s="321">
        <f t="shared" si="2"/>
        <v>5718197364.5756102</v>
      </c>
      <c r="M54" s="321">
        <f t="shared" si="5"/>
        <v>-74696.930081583094</v>
      </c>
      <c r="N54" s="321">
        <f t="shared" si="6"/>
        <v>5579631363.6129131</v>
      </c>
      <c r="O54" s="11"/>
      <c r="P54"/>
    </row>
    <row r="55" spans="1:16" x14ac:dyDescent="0.2">
      <c r="A55" s="44">
        <v>43251</v>
      </c>
      <c r="B55" s="45">
        <f>Inputs!D76+Inputs!E76</f>
        <v>2581972.3333333335</v>
      </c>
      <c r="C55" s="290">
        <f t="shared" ref="C55:D55" si="46">C43</f>
        <v>253.77272727272731</v>
      </c>
      <c r="D55" s="290">
        <f t="shared" si="46"/>
        <v>3.9181818181818184</v>
      </c>
      <c r="E55" s="275">
        <v>31</v>
      </c>
      <c r="F55" s="288">
        <f>Inputs!L76/(Inputs!H76+Inputs!J76+Inputs!L76+Inputs!O76)</f>
        <v>0.56197488509867854</v>
      </c>
      <c r="G55" s="279">
        <f>Inputs!I76+Inputs!K76+Inputs!N76</f>
        <v>1634</v>
      </c>
      <c r="H55" s="45">
        <f t="shared" si="3"/>
        <v>2604124.6746791573</v>
      </c>
      <c r="I55" s="30">
        <f t="shared" si="0"/>
        <v>22152.341345823836</v>
      </c>
      <c r="J55" s="38">
        <f t="shared" si="1"/>
        <v>8.5796199517076555E-3</v>
      </c>
      <c r="K55" s="11">
        <f t="shared" si="4"/>
        <v>8.5796199517076555E-3</v>
      </c>
      <c r="L55" s="321">
        <f t="shared" si="2"/>
        <v>490726227.10189617</v>
      </c>
      <c r="M55" s="321">
        <f t="shared" si="5"/>
        <v>-53466.421964452602</v>
      </c>
      <c r="N55" s="321">
        <f t="shared" si="6"/>
        <v>2858658277.6808996</v>
      </c>
      <c r="O55" s="11"/>
      <c r="P55"/>
    </row>
    <row r="56" spans="1:16" x14ac:dyDescent="0.2">
      <c r="A56" s="44">
        <v>43281</v>
      </c>
      <c r="B56" s="45">
        <f>Inputs!D77+Inputs!E77</f>
        <v>2354656</v>
      </c>
      <c r="C56" s="290">
        <f t="shared" ref="C56:D56" si="47">C44</f>
        <v>92.218181818181819</v>
      </c>
      <c r="D56" s="290">
        <f t="shared" si="47"/>
        <v>19.445454545454545</v>
      </c>
      <c r="E56" s="275">
        <v>30</v>
      </c>
      <c r="F56" s="288">
        <f>Inputs!L77/(Inputs!H77+Inputs!J77+Inputs!L77+Inputs!O77)</f>
        <v>0.54735604761813794</v>
      </c>
      <c r="G56" s="279">
        <f>Inputs!I77+Inputs!K77+Inputs!N77</f>
        <v>1632</v>
      </c>
      <c r="H56" s="45">
        <f t="shared" si="3"/>
        <v>2386252.4694171641</v>
      </c>
      <c r="I56" s="30">
        <f t="shared" si="0"/>
        <v>31596.469417164102</v>
      </c>
      <c r="J56" s="38">
        <f t="shared" si="1"/>
        <v>1.3418719939203053E-2</v>
      </c>
      <c r="K56" s="11">
        <f t="shared" si="4"/>
        <v>1.3418719939203053E-2</v>
      </c>
      <c r="L56" s="321">
        <f t="shared" si="2"/>
        <v>998336879.62978637</v>
      </c>
      <c r="M56" s="321">
        <f t="shared" si="5"/>
        <v>9444.1280713402666</v>
      </c>
      <c r="N56" s="321">
        <f t="shared" si="6"/>
        <v>89191555.027877226</v>
      </c>
      <c r="O56" s="11"/>
      <c r="P56"/>
    </row>
    <row r="57" spans="1:16" x14ac:dyDescent="0.2">
      <c r="A57" s="44">
        <v>43312</v>
      </c>
      <c r="B57" s="45">
        <f>Inputs!D78+Inputs!E78</f>
        <v>2480784</v>
      </c>
      <c r="C57" s="290">
        <f t="shared" ref="C57:D57" si="48">C45</f>
        <v>33.063636363636363</v>
      </c>
      <c r="D57" s="290">
        <f t="shared" si="48"/>
        <v>38.281818181818181</v>
      </c>
      <c r="E57" s="275">
        <v>31</v>
      </c>
      <c r="F57" s="288">
        <f>Inputs!L78/(Inputs!H78+Inputs!J78+Inputs!L78+Inputs!O78)</f>
        <v>0.49544842330806999</v>
      </c>
      <c r="G57" s="279">
        <f>Inputs!I78+Inputs!K78+Inputs!N78</f>
        <v>1633</v>
      </c>
      <c r="H57" s="45">
        <f t="shared" si="3"/>
        <v>2401874.411208475</v>
      </c>
      <c r="I57" s="30">
        <f t="shared" si="0"/>
        <v>-78909.588791524991</v>
      </c>
      <c r="J57" s="38">
        <f t="shared" si="1"/>
        <v>-3.1808327041582415E-2</v>
      </c>
      <c r="K57" s="11">
        <f t="shared" si="4"/>
        <v>3.1808327041582415E-2</v>
      </c>
      <c r="L57" s="321">
        <f t="shared" si="2"/>
        <v>6226723203.2475662</v>
      </c>
      <c r="M57" s="321">
        <f t="shared" si="5"/>
        <v>-110506.05820868909</v>
      </c>
      <c r="N57" s="321">
        <f t="shared" si="6"/>
        <v>12211588900.822182</v>
      </c>
      <c r="O57" s="11"/>
      <c r="P57"/>
    </row>
    <row r="58" spans="1:16" x14ac:dyDescent="0.2">
      <c r="A58" s="44">
        <v>43343</v>
      </c>
      <c r="B58" s="45">
        <f>Inputs!D79+Inputs!E79</f>
        <v>2500079</v>
      </c>
      <c r="C58" s="290">
        <f t="shared" ref="C58:D58" si="49">C46</f>
        <v>44.609090909090909</v>
      </c>
      <c r="D58" s="290">
        <f t="shared" si="49"/>
        <v>29.781818181818178</v>
      </c>
      <c r="E58" s="275">
        <v>31</v>
      </c>
      <c r="F58" s="288">
        <f>Inputs!L79/(Inputs!H79+Inputs!J79+Inputs!L79+Inputs!O79)</f>
        <v>0.52794453319332646</v>
      </c>
      <c r="G58" s="279">
        <f>Inputs!I79+Inputs!K79+Inputs!N79</f>
        <v>1634</v>
      </c>
      <c r="H58" s="45">
        <f t="shared" si="3"/>
        <v>2465059.7122731451</v>
      </c>
      <c r="I58" s="30">
        <f t="shared" si="0"/>
        <v>-35019.287726854905</v>
      </c>
      <c r="J58" s="38">
        <f t="shared" si="1"/>
        <v>-1.4007272460932196E-2</v>
      </c>
      <c r="K58" s="11">
        <f t="shared" si="4"/>
        <v>1.4007272460932196E-2</v>
      </c>
      <c r="L58" s="321">
        <f t="shared" si="2"/>
        <v>1226350512.8962507</v>
      </c>
      <c r="M58" s="321">
        <f t="shared" si="5"/>
        <v>43890.301064670086</v>
      </c>
      <c r="N58" s="321">
        <f t="shared" si="6"/>
        <v>1926358527.54738</v>
      </c>
      <c r="O58" s="11"/>
      <c r="P58"/>
    </row>
    <row r="59" spans="1:16" x14ac:dyDescent="0.2">
      <c r="A59" s="44">
        <v>43373</v>
      </c>
      <c r="B59" s="45">
        <f>Inputs!D80+Inputs!E80</f>
        <v>2323098.3333333335</v>
      </c>
      <c r="C59" s="290">
        <f t="shared" ref="C59:D59" si="50">C47</f>
        <v>138.26363636363635</v>
      </c>
      <c r="D59" s="290">
        <f t="shared" si="50"/>
        <v>10</v>
      </c>
      <c r="E59" s="275">
        <v>30</v>
      </c>
      <c r="F59" s="288">
        <f>Inputs!L80/(Inputs!H80+Inputs!J80+Inputs!L80+Inputs!O80)</f>
        <v>0.54567877166287582</v>
      </c>
      <c r="G59" s="279">
        <f>Inputs!I80+Inputs!K80+Inputs!N80</f>
        <v>1634</v>
      </c>
      <c r="H59" s="45">
        <f t="shared" si="3"/>
        <v>2352128.2429855289</v>
      </c>
      <c r="I59" s="30">
        <f t="shared" si="0"/>
        <v>29029.909652195405</v>
      </c>
      <c r="J59" s="38">
        <f t="shared" si="1"/>
        <v>1.2496203555250024E-2</v>
      </c>
      <c r="K59" s="11">
        <f t="shared" si="4"/>
        <v>1.2496203555250024E-2</v>
      </c>
      <c r="L59" s="321">
        <f t="shared" si="2"/>
        <v>842735654.41462791</v>
      </c>
      <c r="M59" s="321">
        <f t="shared" si="5"/>
        <v>64049.197379050311</v>
      </c>
      <c r="N59" s="321">
        <f t="shared" si="6"/>
        <v>4102299684.9005451</v>
      </c>
      <c r="O59" s="11"/>
      <c r="P59"/>
    </row>
    <row r="60" spans="1:16" x14ac:dyDescent="0.2">
      <c r="A60" s="44">
        <v>43404</v>
      </c>
      <c r="B60" s="45">
        <f>Inputs!D81+Inputs!E81</f>
        <v>2718815.3333333335</v>
      </c>
      <c r="C60" s="290">
        <f t="shared" ref="C60:D60" si="51">C48</f>
        <v>354.19090909090909</v>
      </c>
      <c r="D60" s="290">
        <f t="shared" si="51"/>
        <v>3.9636363636363638</v>
      </c>
      <c r="E60" s="275">
        <v>31</v>
      </c>
      <c r="F60" s="288">
        <f>Inputs!L81/(Inputs!H81+Inputs!J81+Inputs!L81+Inputs!O81)</f>
        <v>0.56903341171005761</v>
      </c>
      <c r="G60" s="279">
        <f>Inputs!I81+Inputs!K81+Inputs!N81</f>
        <v>1636</v>
      </c>
      <c r="H60" s="45">
        <f t="shared" si="3"/>
        <v>2774483.3258562908</v>
      </c>
      <c r="I60" s="30">
        <f t="shared" si="0"/>
        <v>55667.992522957269</v>
      </c>
      <c r="J60" s="38">
        <f t="shared" si="1"/>
        <v>2.0475091426936657E-2</v>
      </c>
      <c r="K60" s="11">
        <f t="shared" si="4"/>
        <v>2.0475091426936657E-2</v>
      </c>
      <c r="L60" s="321">
        <f t="shared" si="2"/>
        <v>3098925391.5360265</v>
      </c>
      <c r="M60" s="321">
        <f t="shared" si="5"/>
        <v>26638.082870761864</v>
      </c>
      <c r="N60" s="321">
        <f t="shared" si="6"/>
        <v>709587459.02957666</v>
      </c>
      <c r="O60" s="11"/>
      <c r="P60"/>
    </row>
    <row r="61" spans="1:16" x14ac:dyDescent="0.2">
      <c r="A61" s="44">
        <v>43434</v>
      </c>
      <c r="B61" s="45">
        <f>Inputs!D82+Inputs!E82</f>
        <v>2722435.666666667</v>
      </c>
      <c r="C61" s="290">
        <f t="shared" ref="C61:D61" si="52">C49</f>
        <v>593.9909090909091</v>
      </c>
      <c r="D61" s="290">
        <f t="shared" si="52"/>
        <v>0</v>
      </c>
      <c r="E61" s="275">
        <v>30</v>
      </c>
      <c r="F61" s="288">
        <f>Inputs!L82/(Inputs!H82+Inputs!J82+Inputs!L82+Inputs!O82)</f>
        <v>0.4921389047513311</v>
      </c>
      <c r="G61" s="279">
        <f>Inputs!I82+Inputs!K82+Inputs!N82</f>
        <v>1637</v>
      </c>
      <c r="H61" s="45">
        <f t="shared" si="3"/>
        <v>2639597.7886757096</v>
      </c>
      <c r="I61" s="30">
        <f t="shared" si="0"/>
        <v>-82837.87799095735</v>
      </c>
      <c r="J61" s="38">
        <f t="shared" si="1"/>
        <v>-3.0427855102406708E-2</v>
      </c>
      <c r="K61" s="11">
        <f t="shared" si="4"/>
        <v>3.0427855102406708E-2</v>
      </c>
      <c r="L61" s="321">
        <f t="shared" si="2"/>
        <v>6862114030.0447359</v>
      </c>
      <c r="M61" s="321">
        <f t="shared" si="5"/>
        <v>-138505.87051391462</v>
      </c>
      <c r="N61" s="321">
        <f t="shared" si="6"/>
        <v>19183876166.817284</v>
      </c>
      <c r="O61" s="11"/>
      <c r="P61"/>
    </row>
    <row r="62" spans="1:16" x14ac:dyDescent="0.2">
      <c r="A62" s="44">
        <v>43465</v>
      </c>
      <c r="B62" s="45">
        <f>Inputs!D83+Inputs!E83</f>
        <v>3018364.666666667</v>
      </c>
      <c r="C62" s="290">
        <f t="shared" ref="C62:D62" si="53">C50</f>
        <v>823</v>
      </c>
      <c r="D62" s="290">
        <f t="shared" si="53"/>
        <v>0</v>
      </c>
      <c r="E62" s="275">
        <v>31</v>
      </c>
      <c r="F62" s="288">
        <f>Inputs!L83/(Inputs!H83+Inputs!J83+Inputs!L83+Inputs!O83)</f>
        <v>0.49925052444720086</v>
      </c>
      <c r="G62" s="279">
        <f>Inputs!I83+Inputs!K83+Inputs!N83</f>
        <v>1635</v>
      </c>
      <c r="H62" s="45">
        <f t="shared" si="3"/>
        <v>3053645.0600735173</v>
      </c>
      <c r="I62" s="30">
        <f t="shared" si="0"/>
        <v>35280.393406850286</v>
      </c>
      <c r="J62" s="38">
        <f t="shared" si="1"/>
        <v>1.1688578850815999E-2</v>
      </c>
      <c r="K62" s="11">
        <f t="shared" si="4"/>
        <v>1.1688578850815999E-2</v>
      </c>
      <c r="L62" s="321">
        <f t="shared" si="2"/>
        <v>1244706158.9421251</v>
      </c>
      <c r="M62" s="321">
        <f t="shared" si="5"/>
        <v>118118.27139780764</v>
      </c>
      <c r="N62" s="321">
        <f t="shared" si="6"/>
        <v>13951926038.006142</v>
      </c>
      <c r="O62" s="11"/>
      <c r="P62"/>
    </row>
    <row r="63" spans="1:16" x14ac:dyDescent="0.2">
      <c r="A63" s="44">
        <v>43496</v>
      </c>
      <c r="B63" s="45">
        <f>Inputs!D84+Inputs!E84</f>
        <v>3433302</v>
      </c>
      <c r="C63" s="290">
        <f t="shared" ref="C63:D63" si="54">C51</f>
        <v>999.73636363636365</v>
      </c>
      <c r="D63" s="290">
        <f t="shared" si="54"/>
        <v>0</v>
      </c>
      <c r="E63" s="275">
        <v>31</v>
      </c>
      <c r="F63" s="288">
        <f>Inputs!L84/(Inputs!H84+Inputs!J84+Inputs!L84+Inputs!O84)</f>
        <v>0.50349662662884931</v>
      </c>
      <c r="G63" s="279">
        <f>Inputs!I84+Inputs!K84+Inputs!N84</f>
        <v>1634</v>
      </c>
      <c r="H63" s="45">
        <f t="shared" si="3"/>
        <v>3294144.6631659921</v>
      </c>
      <c r="I63" s="30">
        <f t="shared" si="0"/>
        <v>-139157.33683400787</v>
      </c>
      <c r="J63" s="38">
        <f t="shared" si="1"/>
        <v>-4.0531633055876787E-2</v>
      </c>
      <c r="K63" s="11">
        <f t="shared" si="4"/>
        <v>4.0531633055876787E-2</v>
      </c>
      <c r="L63" s="321">
        <f t="shared" si="2"/>
        <v>19364764394.733524</v>
      </c>
      <c r="M63" s="321">
        <f t="shared" si="5"/>
        <v>-174437.73024085816</v>
      </c>
      <c r="N63" s="321">
        <f t="shared" si="6"/>
        <v>30428521731.582401</v>
      </c>
      <c r="O63" s="11"/>
      <c r="P63"/>
    </row>
    <row r="64" spans="1:16" x14ac:dyDescent="0.2">
      <c r="A64" s="44">
        <v>43524</v>
      </c>
      <c r="B64" s="45">
        <f>Inputs!D85+Inputs!E85</f>
        <v>2889691</v>
      </c>
      <c r="C64" s="290">
        <f t="shared" ref="C64:D64" si="55">C52</f>
        <v>946.53636363636372</v>
      </c>
      <c r="D64" s="290">
        <f t="shared" si="55"/>
        <v>0</v>
      </c>
      <c r="E64" s="275">
        <v>28</v>
      </c>
      <c r="F64" s="288">
        <f>Inputs!L85/(Inputs!H85+Inputs!J85+Inputs!L85+Inputs!O85)</f>
        <v>0.49315271818855677</v>
      </c>
      <c r="G64" s="279">
        <f>Inputs!I85+Inputs!K85+Inputs!N85</f>
        <v>1630</v>
      </c>
      <c r="H64" s="45">
        <f t="shared" si="3"/>
        <v>2861201.6987550948</v>
      </c>
      <c r="I64" s="30">
        <f t="shared" si="0"/>
        <v>-28489.301244905218</v>
      </c>
      <c r="J64" s="38">
        <f t="shared" si="1"/>
        <v>-9.8589438264870596E-3</v>
      </c>
      <c r="K64" s="11">
        <f t="shared" si="4"/>
        <v>9.8589438264870596E-3</v>
      </c>
      <c r="L64" s="321">
        <f t="shared" si="2"/>
        <v>811640285.42295802</v>
      </c>
      <c r="M64" s="321">
        <f t="shared" si="5"/>
        <v>110668.03558910266</v>
      </c>
      <c r="N64" s="321">
        <f t="shared" si="6"/>
        <v>12247414101.150892</v>
      </c>
      <c r="O64" s="11"/>
      <c r="P64"/>
    </row>
    <row r="65" spans="1:16" x14ac:dyDescent="0.2">
      <c r="A65" s="44">
        <v>43555</v>
      </c>
      <c r="B65" s="45">
        <f>Inputs!D86+Inputs!E86</f>
        <v>2895065</v>
      </c>
      <c r="C65" s="290">
        <f t="shared" ref="C65:D65" si="56">C53</f>
        <v>733.42727272727291</v>
      </c>
      <c r="D65" s="290">
        <f t="shared" si="56"/>
        <v>0</v>
      </c>
      <c r="E65" s="275">
        <v>31</v>
      </c>
      <c r="F65" s="288">
        <f>Inputs!L86/(Inputs!H86+Inputs!J86+Inputs!L86+Inputs!O86)</f>
        <v>0.50577831687090413</v>
      </c>
      <c r="G65" s="279">
        <f>Inputs!I86+Inputs!K86+Inputs!N86</f>
        <v>1632</v>
      </c>
      <c r="H65" s="45">
        <f t="shared" si="3"/>
        <v>2946960.5227295486</v>
      </c>
      <c r="I65" s="30">
        <f t="shared" si="0"/>
        <v>51895.522729548626</v>
      </c>
      <c r="J65" s="38">
        <f t="shared" si="1"/>
        <v>1.7925512114425279E-2</v>
      </c>
      <c r="K65" s="11">
        <f t="shared" si="4"/>
        <v>1.7925512114425279E-2</v>
      </c>
      <c r="L65" s="321">
        <f t="shared" si="2"/>
        <v>2693145279.3730979</v>
      </c>
      <c r="M65" s="321">
        <f t="shared" si="5"/>
        <v>80384.823974453844</v>
      </c>
      <c r="N65" s="321">
        <f t="shared" si="6"/>
        <v>6461719925.4039297</v>
      </c>
      <c r="O65" s="11"/>
    </row>
    <row r="66" spans="1:16" x14ac:dyDescent="0.2">
      <c r="A66" s="44">
        <v>43585</v>
      </c>
      <c r="B66" s="45">
        <f>Inputs!D87+Inputs!E87</f>
        <v>2605908</v>
      </c>
      <c r="C66" s="290">
        <f t="shared" ref="C66:D66" si="57">C54</f>
        <v>519.5454545454545</v>
      </c>
      <c r="D66" s="290">
        <f t="shared" si="57"/>
        <v>0</v>
      </c>
      <c r="E66" s="275">
        <v>30</v>
      </c>
      <c r="F66" s="288">
        <f>Inputs!L87/(Inputs!H87+Inputs!J87+Inputs!L87+Inputs!O87)</f>
        <v>0.5705523986900477</v>
      </c>
      <c r="G66" s="279">
        <f>Inputs!I87+Inputs!K87+Inputs!N87</f>
        <v>1632</v>
      </c>
      <c r="H66" s="45">
        <f t="shared" si="3"/>
        <v>2831137.0813002009</v>
      </c>
      <c r="I66" s="30">
        <f t="shared" si="0"/>
        <v>225229.08130020089</v>
      </c>
      <c r="J66" s="38">
        <f t="shared" si="1"/>
        <v>8.6430173782113914E-2</v>
      </c>
      <c r="K66" s="11">
        <f t="shared" si="4"/>
        <v>8.6430173782113914E-2</v>
      </c>
      <c r="L66" s="321">
        <f t="shared" si="2"/>
        <v>50728139063.332504</v>
      </c>
      <c r="M66" s="321">
        <f t="shared" si="5"/>
        <v>173333.55857065227</v>
      </c>
      <c r="N66" s="321">
        <f t="shared" si="6"/>
        <v>30044522526.765739</v>
      </c>
      <c r="O66" s="11"/>
    </row>
    <row r="67" spans="1:16" x14ac:dyDescent="0.2">
      <c r="A67" s="44">
        <v>43616</v>
      </c>
      <c r="B67" s="45">
        <f>Inputs!D88+Inputs!E88</f>
        <v>2494751</v>
      </c>
      <c r="C67" s="290">
        <f t="shared" ref="C67:D67" si="58">C55</f>
        <v>253.77272727272731</v>
      </c>
      <c r="D67" s="290">
        <f t="shared" si="58"/>
        <v>3.9181818181818184</v>
      </c>
      <c r="E67" s="275">
        <v>31</v>
      </c>
      <c r="F67" s="288">
        <f>Inputs!L88/(Inputs!H88+Inputs!J88+Inputs!L88+Inputs!O88)</f>
        <v>0.5609953104350287</v>
      </c>
      <c r="G67" s="279">
        <f>Inputs!I88+Inputs!K88+Inputs!N88</f>
        <v>1632</v>
      </c>
      <c r="H67" s="45">
        <f t="shared" si="3"/>
        <v>2588881.146619034</v>
      </c>
      <c r="I67" s="30">
        <f t="shared" ref="I67:I122" si="59">H67-B67</f>
        <v>94130.146619034</v>
      </c>
      <c r="J67" s="38">
        <f t="shared" ref="J67:J122" si="60">I67/B67</f>
        <v>3.7731279241509069E-2</v>
      </c>
      <c r="K67" s="11">
        <f t="shared" si="4"/>
        <v>3.7731279241509069E-2</v>
      </c>
      <c r="L67" s="321">
        <f t="shared" ref="L67:L122" si="61">I67*I67</f>
        <v>8860484502.5208378</v>
      </c>
      <c r="M67" s="321">
        <f t="shared" si="5"/>
        <v>-131098.93468116689</v>
      </c>
      <c r="N67" s="321">
        <f t="shared" si="6"/>
        <v>17186930674.536865</v>
      </c>
      <c r="O67" s="11"/>
    </row>
    <row r="68" spans="1:16" x14ac:dyDescent="0.2">
      <c r="A68" s="44">
        <v>43646</v>
      </c>
      <c r="B68" s="45">
        <f>Inputs!D89+Inputs!E89</f>
        <v>2134527</v>
      </c>
      <c r="C68" s="290">
        <f t="shared" ref="C68:D68" si="62">C56</f>
        <v>92.218181818181819</v>
      </c>
      <c r="D68" s="290">
        <f t="shared" si="62"/>
        <v>19.445454545454545</v>
      </c>
      <c r="E68" s="275">
        <v>30</v>
      </c>
      <c r="F68" s="288">
        <f>Inputs!L89/(Inputs!H89+Inputs!J89+Inputs!L89+Inputs!O89)</f>
        <v>0.50313391134833607</v>
      </c>
      <c r="G68" s="279">
        <f>Inputs!I89+Inputs!K89+Inputs!N89</f>
        <v>1633</v>
      </c>
      <c r="H68" s="45">
        <f t="shared" ref="H68:H131" si="63">$Q$18+$Q$19*C68+$Q$20*D68+$Q$21*E68+$Q$22*F68+$Q$23*G68</f>
        <v>2213551.5274695437</v>
      </c>
      <c r="I68" s="30">
        <f t="shared" si="59"/>
        <v>79024.52746954374</v>
      </c>
      <c r="J68" s="38">
        <f t="shared" si="60"/>
        <v>3.7022032267356536E-2</v>
      </c>
      <c r="K68" s="11">
        <f t="shared" ref="K68:K122" si="64">ABS(J68)</f>
        <v>3.7022032267356536E-2</v>
      </c>
      <c r="L68" s="321">
        <f t="shared" si="61"/>
        <v>6244875941.7846727</v>
      </c>
      <c r="M68" s="321">
        <f t="shared" ref="M68:M122" si="65">I68-I67</f>
        <v>-15105.61914949026</v>
      </c>
      <c r="N68" s="321">
        <f t="shared" ref="N68:N122" si="66">M68*M68</f>
        <v>228179729.88944682</v>
      </c>
      <c r="O68" s="11"/>
    </row>
    <row r="69" spans="1:16" x14ac:dyDescent="0.2">
      <c r="A69" s="44">
        <v>43677</v>
      </c>
      <c r="B69" s="45">
        <f>Inputs!D90+Inputs!E90</f>
        <v>2456161</v>
      </c>
      <c r="C69" s="290">
        <f t="shared" ref="C69:D69" si="67">C57</f>
        <v>33.063636363636363</v>
      </c>
      <c r="D69" s="290">
        <f t="shared" si="67"/>
        <v>38.281818181818181</v>
      </c>
      <c r="E69" s="275">
        <v>31</v>
      </c>
      <c r="F69" s="288">
        <f>Inputs!L90/(Inputs!H90+Inputs!J90+Inputs!L90+Inputs!O90)</f>
        <v>0.49577830566227593</v>
      </c>
      <c r="G69" s="279">
        <f>Inputs!I90+Inputs!K90+Inputs!N90</f>
        <v>1630</v>
      </c>
      <c r="H69" s="45">
        <f t="shared" si="63"/>
        <v>2386265.4521881938</v>
      </c>
      <c r="I69" s="30">
        <f t="shared" si="59"/>
        <v>-69895.547811806202</v>
      </c>
      <c r="J69" s="38">
        <f t="shared" si="60"/>
        <v>-2.8457233793634133E-2</v>
      </c>
      <c r="K69" s="11">
        <f t="shared" si="64"/>
        <v>2.8457233793634133E-2</v>
      </c>
      <c r="L69" s="321">
        <f t="shared" si="61"/>
        <v>4885387603.912487</v>
      </c>
      <c r="M69" s="321">
        <f t="shared" si="65"/>
        <v>-148920.07528134994</v>
      </c>
      <c r="N69" s="321">
        <f t="shared" si="66"/>
        <v>22177188821.802933</v>
      </c>
      <c r="O69" s="11"/>
    </row>
    <row r="70" spans="1:16" x14ac:dyDescent="0.2">
      <c r="A70" s="44">
        <v>43708</v>
      </c>
      <c r="B70" s="45">
        <f>Inputs!D91+Inputs!E91</f>
        <v>2333313.9999999995</v>
      </c>
      <c r="C70" s="290">
        <f t="shared" ref="C70:D70" si="68">C58</f>
        <v>44.609090909090909</v>
      </c>
      <c r="D70" s="290">
        <f t="shared" si="68"/>
        <v>29.781818181818178</v>
      </c>
      <c r="E70" s="275">
        <v>31</v>
      </c>
      <c r="F70" s="288">
        <f>Inputs!L91/(Inputs!H91+Inputs!J91+Inputs!L91+Inputs!O91)</f>
        <v>0.51260206038959233</v>
      </c>
      <c r="G70" s="279">
        <f>Inputs!I91+Inputs!K91+Inputs!N91</f>
        <v>1632</v>
      </c>
      <c r="H70" s="45">
        <f t="shared" si="63"/>
        <v>2391890.7708182037</v>
      </c>
      <c r="I70" s="30">
        <f t="shared" si="59"/>
        <v>58576.770818204153</v>
      </c>
      <c r="J70" s="38">
        <f t="shared" si="60"/>
        <v>2.510453835969105E-2</v>
      </c>
      <c r="K70" s="11">
        <f t="shared" si="64"/>
        <v>2.510453835969105E-2</v>
      </c>
      <c r="L70" s="321">
        <f t="shared" si="61"/>
        <v>3431238079.4884138</v>
      </c>
      <c r="M70" s="321">
        <f t="shared" si="65"/>
        <v>128472.31863001036</v>
      </c>
      <c r="N70" s="321">
        <f t="shared" si="66"/>
        <v>16505136654.170906</v>
      </c>
      <c r="O70" s="11"/>
    </row>
    <row r="71" spans="1:16" x14ac:dyDescent="0.2">
      <c r="A71" s="44">
        <v>43738</v>
      </c>
      <c r="B71" s="45">
        <f>Inputs!D92+Inputs!E92</f>
        <v>1917514</v>
      </c>
      <c r="C71" s="290">
        <f t="shared" ref="C71:D71" si="69">C59</f>
        <v>138.26363636363635</v>
      </c>
      <c r="D71" s="290">
        <f t="shared" si="69"/>
        <v>10</v>
      </c>
      <c r="E71" s="275">
        <v>30</v>
      </c>
      <c r="F71" s="288">
        <f>Inputs!L92/(Inputs!H92+Inputs!J92+Inputs!L92+Inputs!O92)</f>
        <v>0.46217152481418844</v>
      </c>
      <c r="G71" s="279">
        <f>Inputs!I92+Inputs!K92+Inputs!N92</f>
        <v>1633</v>
      </c>
      <c r="H71" s="45">
        <f t="shared" si="63"/>
        <v>2009697.9594909064</v>
      </c>
      <c r="I71" s="30">
        <f t="shared" si="59"/>
        <v>92183.959490906447</v>
      </c>
      <c r="J71" s="38">
        <f t="shared" si="60"/>
        <v>4.8074725655670024E-2</v>
      </c>
      <c r="K71" s="11">
        <f t="shared" si="64"/>
        <v>4.8074725655670024E-2</v>
      </c>
      <c r="L71" s="321">
        <f t="shared" si="61"/>
        <v>8497882387.4210806</v>
      </c>
      <c r="M71" s="321">
        <f t="shared" si="65"/>
        <v>33607.188672702294</v>
      </c>
      <c r="N71" s="321">
        <f t="shared" si="66"/>
        <v>1129443130.4826093</v>
      </c>
      <c r="O71" s="11"/>
    </row>
    <row r="72" spans="1:16" x14ac:dyDescent="0.2">
      <c r="A72" s="44">
        <v>43769</v>
      </c>
      <c r="B72" s="45">
        <f>Inputs!D93+Inputs!E93</f>
        <v>2221172</v>
      </c>
      <c r="C72" s="290">
        <f t="shared" ref="C72:D72" si="70">C60</f>
        <v>354.19090909090909</v>
      </c>
      <c r="D72" s="290">
        <f t="shared" si="70"/>
        <v>3.9636363636363638</v>
      </c>
      <c r="E72" s="275">
        <v>31</v>
      </c>
      <c r="F72" s="288">
        <f>Inputs!L93/(Inputs!H93+Inputs!J93+Inputs!L93+Inputs!O93)</f>
        <v>0.47739405331625701</v>
      </c>
      <c r="G72" s="279">
        <f>Inputs!I93+Inputs!K93+Inputs!N93</f>
        <v>1628</v>
      </c>
      <c r="H72" s="45">
        <f t="shared" si="63"/>
        <v>2359731.1251502186</v>
      </c>
      <c r="I72" s="30">
        <f t="shared" si="59"/>
        <v>138559.12515021861</v>
      </c>
      <c r="J72" s="38">
        <f t="shared" si="60"/>
        <v>6.2381087619607402E-2</v>
      </c>
      <c r="K72" s="11">
        <f t="shared" si="64"/>
        <v>6.2381087619607402E-2</v>
      </c>
      <c r="L72" s="321">
        <f t="shared" si="61"/>
        <v>19198631162.393944</v>
      </c>
      <c r="M72" s="321">
        <f t="shared" si="65"/>
        <v>46375.165659312159</v>
      </c>
      <c r="N72" s="321">
        <f t="shared" si="66"/>
        <v>2150655989.9286456</v>
      </c>
      <c r="O72" s="11"/>
    </row>
    <row r="73" spans="1:16" x14ac:dyDescent="0.2">
      <c r="A73" s="44">
        <v>43799</v>
      </c>
      <c r="B73" s="45">
        <f>Inputs!D94+Inputs!E94</f>
        <v>3012737</v>
      </c>
      <c r="C73" s="290">
        <f t="shared" ref="C73:D73" si="71">C61</f>
        <v>593.9909090909091</v>
      </c>
      <c r="D73" s="290">
        <f t="shared" si="71"/>
        <v>0</v>
      </c>
      <c r="E73" s="275">
        <v>30</v>
      </c>
      <c r="F73" s="288">
        <f>Inputs!L94/(Inputs!H94+Inputs!J94+Inputs!L94+Inputs!O94)</f>
        <v>0.55156893101984372</v>
      </c>
      <c r="G73" s="279">
        <f>Inputs!I94+Inputs!K94+Inputs!N94</f>
        <v>1629</v>
      </c>
      <c r="H73" s="45">
        <f t="shared" si="63"/>
        <v>2834106.7880782448</v>
      </c>
      <c r="I73" s="30">
        <f t="shared" si="59"/>
        <v>-178630.21192175522</v>
      </c>
      <c r="J73" s="38">
        <f t="shared" si="60"/>
        <v>-5.9291671301462831E-2</v>
      </c>
      <c r="K73" s="11">
        <f t="shared" si="64"/>
        <v>5.9291671301462831E-2</v>
      </c>
      <c r="L73" s="321">
        <f t="shared" si="61"/>
        <v>31908752611.211182</v>
      </c>
      <c r="M73" s="321">
        <f t="shared" si="65"/>
        <v>-317189.33707197383</v>
      </c>
      <c r="N73" s="321">
        <f t="shared" si="66"/>
        <v>100609075552.15823</v>
      </c>
      <c r="O73" s="11"/>
    </row>
    <row r="74" spans="1:16" x14ac:dyDescent="0.2">
      <c r="A74" s="44">
        <v>43830</v>
      </c>
      <c r="B74" s="45">
        <f>Inputs!D95+Inputs!E95</f>
        <v>3572063</v>
      </c>
      <c r="C74" s="290">
        <f t="shared" ref="C74:D74" si="72">C62</f>
        <v>823</v>
      </c>
      <c r="D74" s="290">
        <f t="shared" si="72"/>
        <v>0</v>
      </c>
      <c r="E74" s="275">
        <v>31</v>
      </c>
      <c r="F74" s="288">
        <f>Inputs!L95/(Inputs!H95+Inputs!J95+Inputs!L95+Inputs!O95)</f>
        <v>0.57774290261719197</v>
      </c>
      <c r="G74" s="279">
        <f>Inputs!I95+Inputs!K95+Inputs!N95</f>
        <v>1629</v>
      </c>
      <c r="H74" s="45">
        <f t="shared" si="63"/>
        <v>3336325.2332391273</v>
      </c>
      <c r="I74" s="30">
        <f t="shared" si="59"/>
        <v>-235737.76676087268</v>
      </c>
      <c r="J74" s="38">
        <f t="shared" si="60"/>
        <v>-6.5994851367647406E-2</v>
      </c>
      <c r="K74" s="11">
        <f t="shared" si="64"/>
        <v>6.5994851367647406E-2</v>
      </c>
      <c r="L74" s="321">
        <f t="shared" si="61"/>
        <v>55572294677.40361</v>
      </c>
      <c r="M74" s="321">
        <f t="shared" si="65"/>
        <v>-57107.554839117453</v>
      </c>
      <c r="N74" s="321">
        <f t="shared" si="66"/>
        <v>3261272819.7028069</v>
      </c>
      <c r="O74" s="11"/>
    </row>
    <row r="75" spans="1:16" x14ac:dyDescent="0.2">
      <c r="A75" s="44">
        <v>43861</v>
      </c>
      <c r="B75" s="45">
        <f>Inputs!D96+Inputs!E96</f>
        <v>3441071</v>
      </c>
      <c r="C75" s="290">
        <f t="shared" ref="C75:D75" si="73">C63</f>
        <v>999.73636363636365</v>
      </c>
      <c r="D75" s="290">
        <f t="shared" si="73"/>
        <v>0</v>
      </c>
      <c r="E75" s="275">
        <v>31</v>
      </c>
      <c r="F75" s="288">
        <f>Inputs!L96/(Inputs!H96+Inputs!J96+Inputs!L96+Inputs!O96)</f>
        <v>0.55150542502884747</v>
      </c>
      <c r="G75" s="279">
        <f>Inputs!I96+Inputs!K96+Inputs!N96</f>
        <v>1624</v>
      </c>
      <c r="H75" s="45">
        <f t="shared" si="63"/>
        <v>3431299.0596739221</v>
      </c>
      <c r="I75" s="30">
        <f t="shared" si="59"/>
        <v>-9771.9403260778636</v>
      </c>
      <c r="J75" s="38">
        <f t="shared" si="60"/>
        <v>-2.8397961931264609E-3</v>
      </c>
      <c r="K75" s="11">
        <f t="shared" si="64"/>
        <v>2.8397961931264609E-3</v>
      </c>
      <c r="L75" s="321">
        <f t="shared" si="61"/>
        <v>95490817.736426741</v>
      </c>
      <c r="M75" s="321">
        <f t="shared" si="65"/>
        <v>225965.82643479481</v>
      </c>
      <c r="N75" s="321">
        <f t="shared" si="66"/>
        <v>51060554716.359818</v>
      </c>
      <c r="O75" s="11"/>
      <c r="P75" s="39"/>
    </row>
    <row r="76" spans="1:16" x14ac:dyDescent="0.2">
      <c r="A76" s="44">
        <v>43890</v>
      </c>
      <c r="B76" s="45">
        <f>Inputs!D97+Inputs!E97</f>
        <v>2983572</v>
      </c>
      <c r="C76" s="290">
        <f t="shared" ref="C76:D76" si="74">C64</f>
        <v>946.53636363636372</v>
      </c>
      <c r="D76" s="290">
        <f t="shared" si="74"/>
        <v>0</v>
      </c>
      <c r="E76" s="275">
        <v>29</v>
      </c>
      <c r="F76" s="288">
        <f>Inputs!L97/(Inputs!H97+Inputs!J97+Inputs!L97+Inputs!O97)</f>
        <v>0.52871369796021284</v>
      </c>
      <c r="G76" s="279">
        <f>Inputs!I97+Inputs!K97+Inputs!N97</f>
        <v>1626</v>
      </c>
      <c r="H76" s="45">
        <f t="shared" si="63"/>
        <v>3081933.4921462387</v>
      </c>
      <c r="I76" s="30">
        <f t="shared" si="59"/>
        <v>98361.492146238685</v>
      </c>
      <c r="J76" s="38">
        <f t="shared" si="60"/>
        <v>3.2967695147373244E-2</v>
      </c>
      <c r="K76" s="11">
        <f t="shared" si="64"/>
        <v>3.2967695147373244E-2</v>
      </c>
      <c r="L76" s="321">
        <f t="shared" si="61"/>
        <v>9674983137.2345753</v>
      </c>
      <c r="M76" s="321">
        <f t="shared" si="65"/>
        <v>108133.43247231655</v>
      </c>
      <c r="N76" s="321">
        <f t="shared" si="66"/>
        <v>11692839218.245043</v>
      </c>
      <c r="O76" s="11"/>
    </row>
    <row r="77" spans="1:16" x14ac:dyDescent="0.2">
      <c r="A77" s="44">
        <v>43921</v>
      </c>
      <c r="B77" s="45">
        <f>Inputs!D98+Inputs!E98</f>
        <v>2833283.9999999995</v>
      </c>
      <c r="C77" s="290">
        <f t="shared" ref="C77:D77" si="75">C65</f>
        <v>733.42727272727291</v>
      </c>
      <c r="D77" s="290">
        <f t="shared" si="75"/>
        <v>0</v>
      </c>
      <c r="E77" s="275">
        <v>31</v>
      </c>
      <c r="F77" s="288">
        <f>Inputs!L98/(Inputs!H98+Inputs!J98+Inputs!L98+Inputs!O98)</f>
        <v>0.52838226761660445</v>
      </c>
      <c r="G77" s="279">
        <f>Inputs!I98+Inputs!K98+Inputs!N98</f>
        <v>1625</v>
      </c>
      <c r="H77" s="45">
        <f t="shared" si="63"/>
        <v>2998596.8134619044</v>
      </c>
      <c r="I77" s="30">
        <f t="shared" si="59"/>
        <v>165312.81346190488</v>
      </c>
      <c r="J77" s="38">
        <f t="shared" si="60"/>
        <v>5.8346714788176865E-2</v>
      </c>
      <c r="K77" s="11">
        <f t="shared" si="64"/>
        <v>5.8346714788176865E-2</v>
      </c>
      <c r="L77" s="321">
        <f t="shared" si="61"/>
        <v>27328326294.690559</v>
      </c>
      <c r="M77" s="321">
        <f t="shared" si="65"/>
        <v>66951.321315666195</v>
      </c>
      <c r="N77" s="321">
        <f t="shared" si="66"/>
        <v>4482479425.913579</v>
      </c>
      <c r="O77" s="11"/>
    </row>
    <row r="78" spans="1:16" x14ac:dyDescent="0.2">
      <c r="A78" s="44">
        <v>43951</v>
      </c>
      <c r="B78" s="45">
        <f>Inputs!D99+Inputs!E99</f>
        <v>2572836</v>
      </c>
      <c r="C78" s="290">
        <f t="shared" ref="C78:D78" si="76">C66</f>
        <v>519.5454545454545</v>
      </c>
      <c r="D78" s="290">
        <f t="shared" si="76"/>
        <v>0</v>
      </c>
      <c r="E78" s="275">
        <v>30</v>
      </c>
      <c r="F78" s="288">
        <f>Inputs!L99/(Inputs!H99+Inputs!J99+Inputs!L99+Inputs!O99)</f>
        <v>0.54497532626662837</v>
      </c>
      <c r="G78" s="279">
        <f>Inputs!I99+Inputs!K99+Inputs!N99</f>
        <v>1631</v>
      </c>
      <c r="H78" s="45">
        <f t="shared" si="63"/>
        <v>2722338.5668879384</v>
      </c>
      <c r="I78" s="30">
        <f t="shared" si="59"/>
        <v>149502.56688793842</v>
      </c>
      <c r="J78" s="38">
        <f t="shared" si="60"/>
        <v>5.8108082632526294E-2</v>
      </c>
      <c r="K78" s="11">
        <f t="shared" si="64"/>
        <v>5.8108082632526294E-2</v>
      </c>
      <c r="L78" s="321">
        <f t="shared" si="61"/>
        <v>22351017506.0825</v>
      </c>
      <c r="M78" s="321">
        <f t="shared" si="65"/>
        <v>-15810.246573966462</v>
      </c>
      <c r="N78" s="321">
        <f t="shared" si="66"/>
        <v>249963896.72961825</v>
      </c>
      <c r="O78" s="11"/>
    </row>
    <row r="79" spans="1:16" x14ac:dyDescent="0.2">
      <c r="A79" s="44">
        <v>43982</v>
      </c>
      <c r="B79" s="45">
        <f>Inputs!D100+Inputs!E100</f>
        <v>2339315</v>
      </c>
      <c r="C79" s="290">
        <f t="shared" ref="C79:D79" si="77">C67</f>
        <v>253.77272727272731</v>
      </c>
      <c r="D79" s="290">
        <f t="shared" si="77"/>
        <v>3.9181818181818184</v>
      </c>
      <c r="E79" s="275">
        <v>31</v>
      </c>
      <c r="F79" s="288">
        <f>Inputs!L100/(Inputs!H100+Inputs!J100+Inputs!L100+Inputs!O100)</f>
        <v>0.53459545861604529</v>
      </c>
      <c r="G79" s="279">
        <f>Inputs!I100+Inputs!K100+Inputs!N100</f>
        <v>1629</v>
      </c>
      <c r="H79" s="45">
        <f t="shared" si="63"/>
        <v>2465471.4577728901</v>
      </c>
      <c r="I79" s="30">
        <f t="shared" si="59"/>
        <v>126156.45777289011</v>
      </c>
      <c r="J79" s="38">
        <f t="shared" si="60"/>
        <v>5.3928802992709447E-2</v>
      </c>
      <c r="K79" s="11">
        <f t="shared" si="64"/>
        <v>5.3928802992709447E-2</v>
      </c>
      <c r="L79" s="321">
        <f t="shared" si="61"/>
        <v>15915451837.803005</v>
      </c>
      <c r="M79" s="321">
        <f t="shared" si="65"/>
        <v>-23346.109115048312</v>
      </c>
      <c r="N79" s="321">
        <f t="shared" si="66"/>
        <v>545040810.81174183</v>
      </c>
      <c r="O79" s="11"/>
    </row>
    <row r="80" spans="1:16" x14ac:dyDescent="0.2">
      <c r="A80" s="44">
        <v>44012</v>
      </c>
      <c r="B80" s="45">
        <f>Inputs!D101+Inputs!E101</f>
        <v>2248351</v>
      </c>
      <c r="C80" s="290">
        <f t="shared" ref="C80:D80" si="78">C68</f>
        <v>92.218181818181819</v>
      </c>
      <c r="D80" s="290">
        <f t="shared" si="78"/>
        <v>19.445454545454545</v>
      </c>
      <c r="E80" s="275">
        <v>30</v>
      </c>
      <c r="F80" s="288">
        <f>Inputs!L101/(Inputs!H101+Inputs!J101+Inputs!L101+Inputs!O101)</f>
        <v>0.51878087552963015</v>
      </c>
      <c r="G80" s="279">
        <f>Inputs!I101+Inputs!K101+Inputs!N101</f>
        <v>1633</v>
      </c>
      <c r="H80" s="45">
        <f t="shared" si="63"/>
        <v>2276655.5653688246</v>
      </c>
      <c r="I80" s="30">
        <f t="shared" si="59"/>
        <v>28304.565368824638</v>
      </c>
      <c r="J80" s="38">
        <f t="shared" si="60"/>
        <v>1.2589033193137832E-2</v>
      </c>
      <c r="K80" s="11">
        <f t="shared" si="64"/>
        <v>1.2589033193137832E-2</v>
      </c>
      <c r="L80" s="321">
        <f t="shared" si="61"/>
        <v>801148420.71806705</v>
      </c>
      <c r="M80" s="321">
        <f t="shared" si="65"/>
        <v>-97851.892404065467</v>
      </c>
      <c r="N80" s="321">
        <f t="shared" si="66"/>
        <v>9574992847.0568047</v>
      </c>
      <c r="O80" s="11"/>
    </row>
    <row r="81" spans="1:16" x14ac:dyDescent="0.2">
      <c r="A81" s="44">
        <v>44043</v>
      </c>
      <c r="B81" s="45">
        <f>Inputs!D102+Inputs!E102</f>
        <v>2759392</v>
      </c>
      <c r="C81" s="290">
        <f t="shared" ref="C81:D81" si="79">C69</f>
        <v>33.063636363636363</v>
      </c>
      <c r="D81" s="290">
        <f t="shared" si="79"/>
        <v>38.281818181818181</v>
      </c>
      <c r="E81" s="275">
        <v>31</v>
      </c>
      <c r="F81" s="288">
        <f>Inputs!L102/(Inputs!H102+Inputs!J102+Inputs!L102+Inputs!O102)</f>
        <v>0.52547497729875514</v>
      </c>
      <c r="G81" s="279">
        <f>Inputs!I102+Inputs!K102+Inputs!N102</f>
        <v>1633</v>
      </c>
      <c r="H81" s="45">
        <f t="shared" si="63"/>
        <v>2522971.1798249856</v>
      </c>
      <c r="I81" s="30">
        <f t="shared" si="59"/>
        <v>-236420.82017501444</v>
      </c>
      <c r="J81" s="38">
        <f t="shared" si="60"/>
        <v>-8.5678591579237184E-2</v>
      </c>
      <c r="K81" s="11">
        <f t="shared" si="64"/>
        <v>8.5678591579237184E-2</v>
      </c>
      <c r="L81" s="321">
        <f t="shared" si="61"/>
        <v>55894804212.226517</v>
      </c>
      <c r="M81" s="321">
        <f t="shared" si="65"/>
        <v>-264725.38554383907</v>
      </c>
      <c r="N81" s="321">
        <f t="shared" si="66"/>
        <v>70079529751.334244</v>
      </c>
      <c r="O81" s="11"/>
      <c r="P81"/>
    </row>
    <row r="82" spans="1:16" x14ac:dyDescent="0.2">
      <c r="A82" s="44">
        <v>44074</v>
      </c>
      <c r="B82" s="45">
        <f>Inputs!D103+Inputs!E103</f>
        <v>2286313</v>
      </c>
      <c r="C82" s="290">
        <f t="shared" ref="C82:D82" si="80">C70</f>
        <v>44.609090909090909</v>
      </c>
      <c r="D82" s="290">
        <f t="shared" si="80"/>
        <v>29.781818181818178</v>
      </c>
      <c r="E82" s="275">
        <v>31</v>
      </c>
      <c r="F82" s="288">
        <f>Inputs!L103/(Inputs!H103+Inputs!J103+Inputs!L103+Inputs!O103)</f>
        <v>0.49189001629989182</v>
      </c>
      <c r="G82" s="279">
        <f>Inputs!I103+Inputs!K103+Inputs!N103</f>
        <v>1631</v>
      </c>
      <c r="H82" s="45">
        <f t="shared" si="63"/>
        <v>2302712.8632402737</v>
      </c>
      <c r="I82" s="30">
        <f t="shared" si="59"/>
        <v>16399.863240273669</v>
      </c>
      <c r="J82" s="38">
        <f t="shared" si="60"/>
        <v>7.1730612738823028E-3</v>
      </c>
      <c r="K82" s="11">
        <f t="shared" si="64"/>
        <v>7.1730612738823028E-3</v>
      </c>
      <c r="L82" s="321">
        <f t="shared" si="61"/>
        <v>268955514.29967958</v>
      </c>
      <c r="M82" s="321">
        <f t="shared" si="65"/>
        <v>252820.68341528811</v>
      </c>
      <c r="N82" s="321">
        <f t="shared" si="66"/>
        <v>63918297962.573334</v>
      </c>
      <c r="O82" s="11"/>
      <c r="P82"/>
    </row>
    <row r="83" spans="1:16" x14ac:dyDescent="0.2">
      <c r="A83" s="44">
        <v>44104</v>
      </c>
      <c r="B83" s="45">
        <f>Inputs!D104+Inputs!E104</f>
        <v>2421573</v>
      </c>
      <c r="C83" s="290">
        <f t="shared" ref="C83:D83" si="81">C71</f>
        <v>138.26363636363635</v>
      </c>
      <c r="D83" s="290">
        <f t="shared" si="81"/>
        <v>10</v>
      </c>
      <c r="E83" s="275">
        <v>30</v>
      </c>
      <c r="F83" s="288">
        <f>Inputs!L104/(Inputs!H104+Inputs!J104+Inputs!L104+Inputs!O104)</f>
        <v>0.60164959491038805</v>
      </c>
      <c r="G83" s="279">
        <f>Inputs!I104+Inputs!K104+Inputs!N104</f>
        <v>1635</v>
      </c>
      <c r="H83" s="45">
        <f t="shared" si="63"/>
        <v>2583504.4268857669</v>
      </c>
      <c r="I83" s="30">
        <f t="shared" si="59"/>
        <v>161931.42688576691</v>
      </c>
      <c r="J83" s="38">
        <f t="shared" si="60"/>
        <v>6.6870347037139455E-2</v>
      </c>
      <c r="K83" s="11">
        <f t="shared" si="64"/>
        <v>6.6870347037139455E-2</v>
      </c>
      <c r="L83" s="321">
        <f t="shared" si="61"/>
        <v>26221787013.260475</v>
      </c>
      <c r="M83" s="321">
        <f t="shared" si="65"/>
        <v>145531.56364549324</v>
      </c>
      <c r="N83" s="321">
        <f t="shared" si="66"/>
        <v>21179436017.102249</v>
      </c>
      <c r="O83" s="11"/>
      <c r="P83"/>
    </row>
    <row r="84" spans="1:16" x14ac:dyDescent="0.2">
      <c r="A84" s="44">
        <v>44135</v>
      </c>
      <c r="B84" s="45">
        <f>Inputs!D105+Inputs!E105</f>
        <v>2767069.87</v>
      </c>
      <c r="C84" s="290">
        <f t="shared" ref="C84:D84" si="82">C72</f>
        <v>354.19090909090909</v>
      </c>
      <c r="D84" s="290">
        <f t="shared" si="82"/>
        <v>3.9636363636363638</v>
      </c>
      <c r="E84" s="275">
        <v>31</v>
      </c>
      <c r="F84" s="288">
        <f>Inputs!L105/(Inputs!H105+Inputs!J105+Inputs!L105+Inputs!O105)</f>
        <v>0.56818935866900211</v>
      </c>
      <c r="G84" s="279">
        <f>Inputs!I105+Inputs!K105+Inputs!N105</f>
        <v>1632</v>
      </c>
      <c r="H84" s="45">
        <f t="shared" si="63"/>
        <v>2748493.4410398956</v>
      </c>
      <c r="I84" s="30">
        <f t="shared" si="59"/>
        <v>-18576.428960104473</v>
      </c>
      <c r="J84" s="38">
        <f t="shared" si="60"/>
        <v>-6.7133935292007906E-3</v>
      </c>
      <c r="K84" s="11">
        <f t="shared" si="64"/>
        <v>6.7133935292007906E-3</v>
      </c>
      <c r="L84" s="321">
        <f t="shared" si="61"/>
        <v>345083712.90980816</v>
      </c>
      <c r="M84" s="321">
        <f t="shared" si="65"/>
        <v>-180507.85584587138</v>
      </c>
      <c r="N84" s="321">
        <f t="shared" si="66"/>
        <v>32583086022.073883</v>
      </c>
      <c r="O84" s="11"/>
      <c r="P84"/>
    </row>
    <row r="85" spans="1:16" x14ac:dyDescent="0.2">
      <c r="A85" s="44">
        <v>44165</v>
      </c>
      <c r="B85" s="45">
        <f>Inputs!D106+Inputs!E106</f>
        <v>2883439.98</v>
      </c>
      <c r="C85" s="290">
        <f t="shared" ref="C85:D85" si="83">C73</f>
        <v>593.9909090909091</v>
      </c>
      <c r="D85" s="290">
        <f t="shared" si="83"/>
        <v>0</v>
      </c>
      <c r="E85" s="275">
        <v>30</v>
      </c>
      <c r="F85" s="288">
        <f>Inputs!L106/(Inputs!H106+Inputs!J106+Inputs!L106+Inputs!O106)</f>
        <v>0.56326249645195581</v>
      </c>
      <c r="G85" s="279">
        <f>Inputs!I106+Inputs!K106+Inputs!N106</f>
        <v>1629</v>
      </c>
      <c r="H85" s="45">
        <f t="shared" si="63"/>
        <v>2881266.8114320338</v>
      </c>
      <c r="I85" s="30">
        <f t="shared" si="59"/>
        <v>-2173.1685679662041</v>
      </c>
      <c r="J85" s="38">
        <f t="shared" si="60"/>
        <v>-7.5367220508824472E-4</v>
      </c>
      <c r="K85" s="11">
        <f t="shared" si="64"/>
        <v>7.5367220508824472E-4</v>
      </c>
      <c r="L85" s="321">
        <f t="shared" si="61"/>
        <v>4722661.6247962825</v>
      </c>
      <c r="M85" s="321">
        <f t="shared" si="65"/>
        <v>16403.260392138269</v>
      </c>
      <c r="N85" s="321">
        <f t="shared" si="66"/>
        <v>269066951.49229211</v>
      </c>
      <c r="O85" s="11"/>
      <c r="P85"/>
    </row>
    <row r="86" spans="1:16" x14ac:dyDescent="0.2">
      <c r="A86" s="44">
        <v>44196</v>
      </c>
      <c r="B86" s="45">
        <f>Inputs!D107+Inputs!E107</f>
        <v>3244269</v>
      </c>
      <c r="C86" s="290">
        <f t="shared" ref="C86:D86" si="84">C74</f>
        <v>823</v>
      </c>
      <c r="D86" s="290">
        <f t="shared" si="84"/>
        <v>0</v>
      </c>
      <c r="E86" s="275">
        <v>31</v>
      </c>
      <c r="F86" s="288">
        <f>Inputs!L107/(Inputs!H107+Inputs!J107+Inputs!L107+Inputs!O107)</f>
        <v>0.55404769876261184</v>
      </c>
      <c r="G86" s="279">
        <f>Inputs!I107+Inputs!K107+Inputs!N107</f>
        <v>1627</v>
      </c>
      <c r="H86" s="45">
        <f t="shared" si="63"/>
        <v>3229469.8174823374</v>
      </c>
      <c r="I86" s="30">
        <f t="shared" si="59"/>
        <v>-14799.182517662644</v>
      </c>
      <c r="J86" s="38">
        <f t="shared" si="60"/>
        <v>-4.5616385440487963E-3</v>
      </c>
      <c r="K86" s="11">
        <f t="shared" si="64"/>
        <v>4.5616385440487963E-3</v>
      </c>
      <c r="L86" s="321">
        <f t="shared" si="61"/>
        <v>219015803.19109166</v>
      </c>
      <c r="M86" s="321">
        <f t="shared" si="65"/>
        <v>-12626.01394969644</v>
      </c>
      <c r="N86" s="321">
        <f t="shared" si="66"/>
        <v>159416228.25792912</v>
      </c>
      <c r="O86" s="11"/>
      <c r="P86"/>
    </row>
    <row r="87" spans="1:16" x14ac:dyDescent="0.2">
      <c r="A87" s="44">
        <v>44227</v>
      </c>
      <c r="B87" s="45">
        <f>Inputs!D108+Inputs!E108</f>
        <v>3358707</v>
      </c>
      <c r="C87" s="290">
        <f t="shared" ref="C87:D87" si="85">C75</f>
        <v>999.73636363636365</v>
      </c>
      <c r="D87" s="290">
        <f t="shared" si="85"/>
        <v>0</v>
      </c>
      <c r="E87" s="275">
        <v>31</v>
      </c>
      <c r="F87" s="288">
        <f>Inputs!L108/(Inputs!H108+Inputs!J108+Inputs!L108+Inputs!O108)</f>
        <v>0.54475982088454722</v>
      </c>
      <c r="G87" s="279">
        <f>Inputs!I108+Inputs!K108+Inputs!N108</f>
        <v>1627</v>
      </c>
      <c r="H87" s="45">
        <f t="shared" si="63"/>
        <v>3421033.4818637725</v>
      </c>
      <c r="I87" s="30">
        <f t="shared" si="59"/>
        <v>62326.481863772497</v>
      </c>
      <c r="J87" s="38">
        <f t="shared" si="60"/>
        <v>1.8556689185383689E-2</v>
      </c>
      <c r="K87" s="11">
        <f t="shared" si="64"/>
        <v>1.8556689185383689E-2</v>
      </c>
      <c r="L87" s="321">
        <f t="shared" si="61"/>
        <v>3884590341.515162</v>
      </c>
      <c r="M87" s="321">
        <f t="shared" si="65"/>
        <v>77125.664381435141</v>
      </c>
      <c r="N87" s="321">
        <f t="shared" si="66"/>
        <v>5948368106.2777729</v>
      </c>
      <c r="O87" s="11"/>
      <c r="P87"/>
    </row>
    <row r="88" spans="1:16" x14ac:dyDescent="0.2">
      <c r="A88" s="44">
        <v>44255</v>
      </c>
      <c r="B88" s="45">
        <f>Inputs!D109+Inputs!E109</f>
        <v>3209565</v>
      </c>
      <c r="C88" s="290">
        <f t="shared" ref="C88:D88" si="86">C76</f>
        <v>946.53636363636372</v>
      </c>
      <c r="D88" s="290">
        <f t="shared" si="86"/>
        <v>0</v>
      </c>
      <c r="E88" s="275">
        <v>28</v>
      </c>
      <c r="F88" s="288">
        <f>Inputs!L109/(Inputs!H109+Inputs!J109+Inputs!L109+Inputs!O109)</f>
        <v>0.52204431087842373</v>
      </c>
      <c r="G88" s="279">
        <f>Inputs!I109+Inputs!K109+Inputs!N109</f>
        <v>1627</v>
      </c>
      <c r="H88" s="45">
        <f t="shared" si="63"/>
        <v>2960781.8096787808</v>
      </c>
      <c r="I88" s="30">
        <f t="shared" si="59"/>
        <v>-248783.19032121915</v>
      </c>
      <c r="J88" s="38">
        <f t="shared" si="60"/>
        <v>-7.7513055607603881E-2</v>
      </c>
      <c r="K88" s="11">
        <f t="shared" si="64"/>
        <v>7.7513055607603881E-2</v>
      </c>
      <c r="L88" s="321">
        <f t="shared" si="61"/>
        <v>61893075786.403954</v>
      </c>
      <c r="M88" s="321">
        <f t="shared" si="65"/>
        <v>-311109.67218499165</v>
      </c>
      <c r="N88" s="321">
        <f t="shared" si="66"/>
        <v>96789228127.052963</v>
      </c>
      <c r="O88" s="11"/>
      <c r="P88"/>
    </row>
    <row r="89" spans="1:16" x14ac:dyDescent="0.2">
      <c r="A89" s="44">
        <v>44286</v>
      </c>
      <c r="B89" s="45">
        <f>Inputs!D110+Inputs!E110</f>
        <v>3056137</v>
      </c>
      <c r="C89" s="290">
        <f t="shared" ref="C89:D89" si="87">C77</f>
        <v>733.42727272727291</v>
      </c>
      <c r="D89" s="290">
        <f t="shared" si="87"/>
        <v>0</v>
      </c>
      <c r="E89" s="275">
        <v>31</v>
      </c>
      <c r="F89" s="288">
        <f>Inputs!L110/(Inputs!H110+Inputs!J110+Inputs!L110+Inputs!O110)</f>
        <v>0.57315434245813301</v>
      </c>
      <c r="G89" s="279">
        <f>Inputs!I110+Inputs!K110+Inputs!N110</f>
        <v>1626</v>
      </c>
      <c r="H89" s="45">
        <f t="shared" si="63"/>
        <v>3184808.5657415651</v>
      </c>
      <c r="I89" s="30">
        <f t="shared" si="59"/>
        <v>128671.56574156508</v>
      </c>
      <c r="J89" s="38">
        <f t="shared" si="60"/>
        <v>4.2102682484968797E-2</v>
      </c>
      <c r="K89" s="11">
        <f t="shared" si="64"/>
        <v>4.2102682484968797E-2</v>
      </c>
      <c r="L89" s="321">
        <f t="shared" si="61"/>
        <v>16556371830.385904</v>
      </c>
      <c r="M89" s="321">
        <f t="shared" si="65"/>
        <v>377454.75606278423</v>
      </c>
      <c r="N89" s="321">
        <f t="shared" si="66"/>
        <v>142472092874.41595</v>
      </c>
      <c r="O89" s="11"/>
      <c r="P89"/>
    </row>
    <row r="90" spans="1:16" x14ac:dyDescent="0.2">
      <c r="A90" s="44">
        <v>44316</v>
      </c>
      <c r="B90" s="45">
        <f>Inputs!D111+Inputs!E111</f>
        <v>2479718</v>
      </c>
      <c r="C90" s="290">
        <f t="shared" ref="C90:D90" si="88">C78</f>
        <v>519.5454545454545</v>
      </c>
      <c r="D90" s="290">
        <f t="shared" si="88"/>
        <v>0</v>
      </c>
      <c r="E90" s="275">
        <v>30</v>
      </c>
      <c r="F90" s="288">
        <f>Inputs!L111/(Inputs!H111+Inputs!J111+Inputs!L111+Inputs!O111)</f>
        <v>0.54461222634915962</v>
      </c>
      <c r="G90" s="279">
        <f>Inputs!I111+Inputs!K111+Inputs!N111</f>
        <v>1629</v>
      </c>
      <c r="H90" s="45">
        <f t="shared" si="63"/>
        <v>2709581.2748347633</v>
      </c>
      <c r="I90" s="30">
        <f t="shared" si="59"/>
        <v>229863.27483476326</v>
      </c>
      <c r="J90" s="38">
        <f t="shared" si="60"/>
        <v>9.2697344954048508E-2</v>
      </c>
      <c r="K90" s="11">
        <f t="shared" si="64"/>
        <v>9.2697344954048508E-2</v>
      </c>
      <c r="L90" s="321">
        <f t="shared" si="61"/>
        <v>52837125117.761909</v>
      </c>
      <c r="M90" s="321">
        <f t="shared" si="65"/>
        <v>101191.70909319818</v>
      </c>
      <c r="N90" s="321">
        <f t="shared" si="66"/>
        <v>10239761989.202448</v>
      </c>
      <c r="O90" s="11"/>
      <c r="P90"/>
    </row>
    <row r="91" spans="1:16" x14ac:dyDescent="0.2">
      <c r="A91" s="44">
        <v>44347</v>
      </c>
      <c r="B91" s="45">
        <f>Inputs!D112+Inputs!E112</f>
        <v>2351202</v>
      </c>
      <c r="C91" s="290">
        <f t="shared" ref="C91:D91" si="89">C79</f>
        <v>253.77272727272731</v>
      </c>
      <c r="D91" s="290">
        <f t="shared" si="89"/>
        <v>3.9181818181818184</v>
      </c>
      <c r="E91" s="275">
        <v>31</v>
      </c>
      <c r="F91" s="288">
        <f>Inputs!L112/(Inputs!H112+Inputs!J112+Inputs!L112+Inputs!O112)</f>
        <v>0.53008547211290669</v>
      </c>
      <c r="G91" s="279">
        <f>Inputs!I112+Inputs!K112+Inputs!N112</f>
        <v>1627</v>
      </c>
      <c r="H91" s="45">
        <f t="shared" si="63"/>
        <v>2435989.8168150904</v>
      </c>
      <c r="I91" s="30">
        <f t="shared" si="59"/>
        <v>84787.816815090366</v>
      </c>
      <c r="J91" s="38">
        <f t="shared" si="60"/>
        <v>3.6061476987128444E-2</v>
      </c>
      <c r="K91" s="11">
        <f t="shared" si="64"/>
        <v>3.6061476987128444E-2</v>
      </c>
      <c r="L91" s="321">
        <f t="shared" si="61"/>
        <v>7188973880.2693205</v>
      </c>
      <c r="M91" s="321">
        <f t="shared" si="65"/>
        <v>-145075.45801967289</v>
      </c>
      <c r="N91" s="321">
        <f t="shared" si="66"/>
        <v>21046888519.61787</v>
      </c>
      <c r="O91" s="11"/>
      <c r="P91"/>
    </row>
    <row r="92" spans="1:16" x14ac:dyDescent="0.2">
      <c r="A92" s="44">
        <v>44377</v>
      </c>
      <c r="B92" s="45">
        <f>Inputs!D113+Inputs!E113</f>
        <v>2504808</v>
      </c>
      <c r="C92" s="290">
        <f t="shared" ref="C92:D92" si="90">C80</f>
        <v>92.218181818181819</v>
      </c>
      <c r="D92" s="290">
        <f t="shared" si="90"/>
        <v>19.445454545454545</v>
      </c>
      <c r="E92" s="275">
        <v>30</v>
      </c>
      <c r="F92" s="288">
        <f>Inputs!L113/(Inputs!H113+Inputs!J113+Inputs!L113+Inputs!O113)</f>
        <v>0.53152031405190792</v>
      </c>
      <c r="G92" s="279">
        <f>Inputs!I113+Inputs!K113+Inputs!N113</f>
        <v>1628</v>
      </c>
      <c r="H92" s="45">
        <f t="shared" si="63"/>
        <v>2299801.2986239335</v>
      </c>
      <c r="I92" s="30">
        <f t="shared" si="59"/>
        <v>-205006.70137606654</v>
      </c>
      <c r="J92" s="38">
        <f t="shared" si="60"/>
        <v>-8.1845275716169286E-2</v>
      </c>
      <c r="K92" s="11">
        <f t="shared" si="64"/>
        <v>8.1845275716169286E-2</v>
      </c>
      <c r="L92" s="321">
        <f t="shared" si="61"/>
        <v>42027747609.095726</v>
      </c>
      <c r="M92" s="321">
        <f t="shared" si="65"/>
        <v>-289794.51819115691</v>
      </c>
      <c r="N92" s="321">
        <f t="shared" si="66"/>
        <v>83980862773.644775</v>
      </c>
      <c r="O92" s="11"/>
      <c r="P92"/>
    </row>
    <row r="93" spans="1:16" x14ac:dyDescent="0.2">
      <c r="A93" s="44">
        <v>44408</v>
      </c>
      <c r="B93" s="45">
        <f>Inputs!D114+Inputs!E114</f>
        <v>2673112</v>
      </c>
      <c r="C93" s="290">
        <f t="shared" ref="C93:D93" si="91">C81</f>
        <v>33.063636363636363</v>
      </c>
      <c r="D93" s="290">
        <f t="shared" si="91"/>
        <v>38.281818181818181</v>
      </c>
      <c r="E93" s="275">
        <v>31</v>
      </c>
      <c r="F93" s="288">
        <f>Inputs!L114/(Inputs!H114+Inputs!J114+Inputs!L114+Inputs!O114)</f>
        <v>0.51024704914929686</v>
      </c>
      <c r="G93" s="279">
        <f>Inputs!I114+Inputs!K114+Inputs!N114</f>
        <v>1620</v>
      </c>
      <c r="H93" s="45">
        <f t="shared" si="63"/>
        <v>2388153.1687287241</v>
      </c>
      <c r="I93" s="30">
        <f t="shared" si="59"/>
        <v>-284958.83127127588</v>
      </c>
      <c r="J93" s="38">
        <f t="shared" si="60"/>
        <v>-0.1066019049225307</v>
      </c>
      <c r="K93" s="11">
        <f t="shared" si="64"/>
        <v>0.1066019049225307</v>
      </c>
      <c r="L93" s="321">
        <f t="shared" si="61"/>
        <v>81201535519.49147</v>
      </c>
      <c r="M93" s="321">
        <f t="shared" si="65"/>
        <v>-79952.129895209335</v>
      </c>
      <c r="N93" s="321">
        <f t="shared" si="66"/>
        <v>6392343074.780426</v>
      </c>
      <c r="O93" s="11"/>
      <c r="P93"/>
    </row>
    <row r="94" spans="1:16" x14ac:dyDescent="0.2">
      <c r="A94" s="44">
        <v>44439</v>
      </c>
      <c r="B94" s="45">
        <f>Inputs!D115+Inputs!E115</f>
        <v>2675474</v>
      </c>
      <c r="C94" s="290">
        <f t="shared" ref="C94:D94" si="92">C82</f>
        <v>44.609090909090909</v>
      </c>
      <c r="D94" s="290">
        <f t="shared" si="92"/>
        <v>29.781818181818178</v>
      </c>
      <c r="E94" s="275">
        <v>31</v>
      </c>
      <c r="F94" s="288">
        <f>Inputs!L115/(Inputs!H115+Inputs!J115+Inputs!L115+Inputs!O115)</f>
        <v>0.53632146062905095</v>
      </c>
      <c r="G94" s="279">
        <f>Inputs!I115+Inputs!K115+Inputs!N115</f>
        <v>1621</v>
      </c>
      <c r="H94" s="45">
        <f t="shared" si="63"/>
        <v>2425439.8293374367</v>
      </c>
      <c r="I94" s="30">
        <f t="shared" si="59"/>
        <v>-250034.17066256329</v>
      </c>
      <c r="J94" s="38">
        <f t="shared" si="60"/>
        <v>-9.345415827721118E-2</v>
      </c>
      <c r="K94" s="11">
        <f t="shared" si="64"/>
        <v>9.345415827721118E-2</v>
      </c>
      <c r="L94" s="321">
        <f t="shared" si="61"/>
        <v>62517086498.915825</v>
      </c>
      <c r="M94" s="321">
        <f t="shared" si="65"/>
        <v>34924.660608712584</v>
      </c>
      <c r="N94" s="321">
        <f t="shared" si="66"/>
        <v>1219731918.6337605</v>
      </c>
      <c r="O94" s="11"/>
      <c r="P94"/>
    </row>
    <row r="95" spans="1:16" x14ac:dyDescent="0.2">
      <c r="A95" s="44">
        <v>44469</v>
      </c>
      <c r="B95" s="45">
        <f>Inputs!D116+Inputs!E116</f>
        <v>2197996</v>
      </c>
      <c r="C95" s="290">
        <f t="shared" ref="C95:D95" si="93">C83</f>
        <v>138.26363636363635</v>
      </c>
      <c r="D95" s="290">
        <f t="shared" si="93"/>
        <v>10</v>
      </c>
      <c r="E95" s="275">
        <v>30</v>
      </c>
      <c r="F95" s="288">
        <f>Inputs!L116/(Inputs!H116+Inputs!J116+Inputs!L116+Inputs!O116)</f>
        <v>0.53824158779521714</v>
      </c>
      <c r="G95" s="279">
        <f>Inputs!I116+Inputs!K116+Inputs!N116</f>
        <v>1627</v>
      </c>
      <c r="H95" s="45">
        <f t="shared" si="63"/>
        <v>2282608.961607283</v>
      </c>
      <c r="I95" s="30">
        <f t="shared" si="59"/>
        <v>84612.961607282981</v>
      </c>
      <c r="J95" s="38">
        <f t="shared" si="60"/>
        <v>3.8495502997859407E-2</v>
      </c>
      <c r="K95" s="11">
        <f t="shared" si="64"/>
        <v>3.8495502997859407E-2</v>
      </c>
      <c r="L95" s="321">
        <f t="shared" si="61"/>
        <v>7159353271.9555435</v>
      </c>
      <c r="M95" s="321">
        <f t="shared" si="65"/>
        <v>334647.13226984628</v>
      </c>
      <c r="N95" s="321">
        <f t="shared" si="66"/>
        <v>111988703136.43199</v>
      </c>
      <c r="O95" s="11"/>
      <c r="P95"/>
    </row>
    <row r="96" spans="1:16" x14ac:dyDescent="0.2">
      <c r="A96" s="44">
        <v>44500</v>
      </c>
      <c r="B96" s="45">
        <f>Inputs!D117+Inputs!E117</f>
        <v>2427627</v>
      </c>
      <c r="C96" s="290">
        <f t="shared" ref="C96:D96" si="94">C84</f>
        <v>354.19090909090909</v>
      </c>
      <c r="D96" s="290">
        <f t="shared" si="94"/>
        <v>3.9636363636363638</v>
      </c>
      <c r="E96" s="275">
        <v>31</v>
      </c>
      <c r="F96" s="288">
        <f>Inputs!L117/(Inputs!H117+Inputs!J117+Inputs!L117+Inputs!O117)</f>
        <v>0.56960043170934205</v>
      </c>
      <c r="G96" s="279">
        <f>Inputs!I117+Inputs!K117+Inputs!N117</f>
        <v>1620</v>
      </c>
      <c r="H96" s="45">
        <f t="shared" si="63"/>
        <v>2686426.799405748</v>
      </c>
      <c r="I96" s="30">
        <f t="shared" si="59"/>
        <v>258799.79940574802</v>
      </c>
      <c r="J96" s="38">
        <f t="shared" si="60"/>
        <v>0.10660608050814561</v>
      </c>
      <c r="K96" s="11">
        <f t="shared" si="64"/>
        <v>0.10660608050814561</v>
      </c>
      <c r="L96" s="321">
        <f t="shared" si="61"/>
        <v>66977336172.455414</v>
      </c>
      <c r="M96" s="321">
        <f t="shared" si="65"/>
        <v>174186.83779846504</v>
      </c>
      <c r="N96" s="321">
        <f t="shared" si="66"/>
        <v>30341054462.228771</v>
      </c>
      <c r="O96" s="11"/>
      <c r="P96"/>
    </row>
    <row r="97" spans="1:16" x14ac:dyDescent="0.2">
      <c r="A97" s="44">
        <v>44530</v>
      </c>
      <c r="B97" s="45">
        <f>Inputs!D118+Inputs!E118</f>
        <v>3173171</v>
      </c>
      <c r="C97" s="290">
        <f t="shared" ref="C97:D97" si="95">C85</f>
        <v>593.9909090909091</v>
      </c>
      <c r="D97" s="290">
        <f t="shared" si="95"/>
        <v>0</v>
      </c>
      <c r="E97" s="275">
        <v>30</v>
      </c>
      <c r="F97" s="288">
        <f>Inputs!L118/(Inputs!H118+Inputs!J118+Inputs!L118+Inputs!O118)</f>
        <v>0.60373420825236845</v>
      </c>
      <c r="G97" s="279">
        <f>Inputs!I118+Inputs!K118+Inputs!N118</f>
        <v>1617</v>
      </c>
      <c r="H97" s="45">
        <f t="shared" si="63"/>
        <v>2976731.3049194515</v>
      </c>
      <c r="I97" s="30">
        <f t="shared" si="59"/>
        <v>-196439.69508054852</v>
      </c>
      <c r="J97" s="38">
        <f t="shared" si="60"/>
        <v>-6.1906432108622109E-2</v>
      </c>
      <c r="K97" s="11">
        <f t="shared" si="64"/>
        <v>6.1906432108622109E-2</v>
      </c>
      <c r="L97" s="321">
        <f t="shared" si="61"/>
        <v>38588553803.338882</v>
      </c>
      <c r="M97" s="321">
        <f t="shared" si="65"/>
        <v>-455239.49448629655</v>
      </c>
      <c r="N97" s="321">
        <f t="shared" si="66"/>
        <v>207242997340.13882</v>
      </c>
      <c r="O97" s="11"/>
      <c r="P97"/>
    </row>
    <row r="98" spans="1:16" x14ac:dyDescent="0.2">
      <c r="A98" s="44">
        <v>44561</v>
      </c>
      <c r="B98" s="45">
        <f>Inputs!D119+Inputs!E119</f>
        <v>3634242</v>
      </c>
      <c r="C98" s="290">
        <f t="shared" ref="C98:D98" si="96">C86</f>
        <v>823</v>
      </c>
      <c r="D98" s="290">
        <f t="shared" si="96"/>
        <v>0</v>
      </c>
      <c r="E98" s="275">
        <v>31</v>
      </c>
      <c r="F98" s="288">
        <f>Inputs!L119/(Inputs!H119+Inputs!J119+Inputs!L119+Inputs!O119)</f>
        <v>0.59047124103894044</v>
      </c>
      <c r="G98" s="279">
        <f>Inputs!I119+Inputs!K119+Inputs!N119</f>
        <v>1619</v>
      </c>
      <c r="H98" s="45">
        <f t="shared" si="63"/>
        <v>3331193.9149095993</v>
      </c>
      <c r="I98" s="30">
        <f t="shared" si="59"/>
        <v>-303048.08509040065</v>
      </c>
      <c r="J98" s="38">
        <f t="shared" si="60"/>
        <v>-8.338687547235453E-2</v>
      </c>
      <c r="K98" s="11">
        <f t="shared" si="64"/>
        <v>8.338687547235453E-2</v>
      </c>
      <c r="L98" s="321">
        <f t="shared" si="61"/>
        <v>91838141876.95871</v>
      </c>
      <c r="M98" s="321">
        <f t="shared" si="65"/>
        <v>-106608.39000985213</v>
      </c>
      <c r="N98" s="321">
        <f t="shared" si="66"/>
        <v>11365348820.492739</v>
      </c>
      <c r="O98" s="11"/>
      <c r="P98"/>
    </row>
    <row r="99" spans="1:16" x14ac:dyDescent="0.2">
      <c r="A99" s="44">
        <v>44592</v>
      </c>
      <c r="B99" s="45">
        <f>Inputs!D120+Inputs!E120</f>
        <v>3730633</v>
      </c>
      <c r="C99" s="290">
        <f t="shared" ref="C99:D99" si="97">C87</f>
        <v>999.73636363636365</v>
      </c>
      <c r="D99" s="290">
        <f t="shared" si="97"/>
        <v>0</v>
      </c>
      <c r="E99" s="275">
        <v>31</v>
      </c>
      <c r="F99" s="288">
        <f>Inputs!L120/(Inputs!H120+Inputs!J120+Inputs!L120+Inputs!O120)</f>
        <v>0.52406534455889398</v>
      </c>
      <c r="G99" s="279">
        <f>Inputs!I120+Inputs!K120+Inputs!N120</f>
        <v>1619</v>
      </c>
      <c r="H99" s="45">
        <f t="shared" si="63"/>
        <v>3292401.2258905247</v>
      </c>
      <c r="I99" s="30">
        <f t="shared" si="59"/>
        <v>-438231.77410947531</v>
      </c>
      <c r="J99" s="38">
        <f t="shared" si="60"/>
        <v>-0.11746847629061216</v>
      </c>
      <c r="K99" s="11">
        <f t="shared" si="64"/>
        <v>0.11746847629061216</v>
      </c>
      <c r="L99" s="321">
        <f t="shared" si="61"/>
        <v>192047087839.13818</v>
      </c>
      <c r="M99" s="321">
        <f t="shared" si="65"/>
        <v>-135183.68901907466</v>
      </c>
      <c r="N99" s="321">
        <f t="shared" si="66"/>
        <v>18274629776.805889</v>
      </c>
      <c r="O99" s="11"/>
      <c r="P99"/>
    </row>
    <row r="100" spans="1:16" x14ac:dyDescent="0.2">
      <c r="A100" s="44">
        <v>44620</v>
      </c>
      <c r="B100" s="45">
        <f>Inputs!D121+Inputs!E121</f>
        <v>3500194</v>
      </c>
      <c r="C100" s="290">
        <f t="shared" ref="C100:D100" si="98">C88</f>
        <v>946.53636363636372</v>
      </c>
      <c r="D100" s="290">
        <f t="shared" si="98"/>
        <v>0</v>
      </c>
      <c r="E100" s="275">
        <v>28</v>
      </c>
      <c r="F100" s="288">
        <f>Inputs!L121/(Inputs!H121+Inputs!J121+Inputs!L121+Inputs!O121)</f>
        <v>0.56473271716341966</v>
      </c>
      <c r="G100" s="279">
        <f>Inputs!I121+Inputs!K121+Inputs!N121</f>
        <v>1622</v>
      </c>
      <c r="H100" s="45">
        <f t="shared" si="63"/>
        <v>3104711.4071292356</v>
      </c>
      <c r="I100" s="30">
        <f t="shared" si="59"/>
        <v>-395482.59287076443</v>
      </c>
      <c r="J100" s="38">
        <f t="shared" si="60"/>
        <v>-0.11298876372874316</v>
      </c>
      <c r="K100" s="11">
        <f t="shared" si="64"/>
        <v>0.11298876372874316</v>
      </c>
      <c r="L100" s="321">
        <f t="shared" si="61"/>
        <v>156406481263.78281</v>
      </c>
      <c r="M100" s="321">
        <f t="shared" si="65"/>
        <v>42749.18123871088</v>
      </c>
      <c r="N100" s="321">
        <f t="shared" si="66"/>
        <v>1827492496.5801504</v>
      </c>
      <c r="O100" s="11"/>
      <c r="P100"/>
    </row>
    <row r="101" spans="1:16" x14ac:dyDescent="0.2">
      <c r="A101" s="44">
        <v>44651</v>
      </c>
      <c r="B101" s="45">
        <f>Inputs!D122+Inputs!E122</f>
        <v>3236575</v>
      </c>
      <c r="C101" s="290">
        <f t="shared" ref="C101:D101" si="99">C89</f>
        <v>733.42727272727291</v>
      </c>
      <c r="D101" s="290">
        <f t="shared" si="99"/>
        <v>0</v>
      </c>
      <c r="E101" s="275">
        <v>31</v>
      </c>
      <c r="F101" s="288">
        <f>Inputs!L122/(Inputs!H122+Inputs!J122+Inputs!L122+Inputs!O122)</f>
        <v>0.56982329282249633</v>
      </c>
      <c r="G101" s="279">
        <f>Inputs!I122+Inputs!K122+Inputs!N122</f>
        <v>1623</v>
      </c>
      <c r="H101" s="45">
        <f t="shared" si="63"/>
        <v>3154435.107463982</v>
      </c>
      <c r="I101" s="30">
        <f t="shared" si="59"/>
        <v>-82139.892536018044</v>
      </c>
      <c r="J101" s="38">
        <f t="shared" si="60"/>
        <v>-2.5378646419754847E-2</v>
      </c>
      <c r="K101" s="11">
        <f t="shared" si="64"/>
        <v>2.5378646419754847E-2</v>
      </c>
      <c r="L101" s="321">
        <f t="shared" si="61"/>
        <v>6746961945.8285923</v>
      </c>
      <c r="M101" s="321">
        <f t="shared" si="65"/>
        <v>313342.70033474639</v>
      </c>
      <c r="N101" s="321">
        <f t="shared" si="66"/>
        <v>98183647853.070679</v>
      </c>
      <c r="O101" s="11"/>
      <c r="P101"/>
    </row>
    <row r="102" spans="1:16" x14ac:dyDescent="0.2">
      <c r="A102" s="44">
        <v>44681</v>
      </c>
      <c r="B102" s="45">
        <f>Inputs!D123+Inputs!E123</f>
        <v>2633308</v>
      </c>
      <c r="C102" s="290">
        <f t="shared" ref="C102:D102" si="100">C90</f>
        <v>519.5454545454545</v>
      </c>
      <c r="D102" s="290">
        <f t="shared" si="100"/>
        <v>0</v>
      </c>
      <c r="E102" s="275">
        <v>30</v>
      </c>
      <c r="F102" s="288">
        <f>Inputs!L123/(Inputs!H123+Inputs!J123+Inputs!L123+Inputs!O123)</f>
        <v>0.53664060445747153</v>
      </c>
      <c r="G102" s="279">
        <f>Inputs!I123+Inputs!K123+Inputs!N123</f>
        <v>1626</v>
      </c>
      <c r="H102" s="45">
        <f t="shared" si="63"/>
        <v>2660492.4386648815</v>
      </c>
      <c r="I102" s="30">
        <f t="shared" si="59"/>
        <v>27184.438664881513</v>
      </c>
      <c r="J102" s="38">
        <f t="shared" si="60"/>
        <v>1.0323303869080834E-2</v>
      </c>
      <c r="K102" s="11">
        <f t="shared" si="64"/>
        <v>1.0323303869080834E-2</v>
      </c>
      <c r="L102" s="321">
        <f t="shared" si="61"/>
        <v>738993705.52470493</v>
      </c>
      <c r="M102" s="321">
        <f t="shared" si="65"/>
        <v>109324.33120089956</v>
      </c>
      <c r="N102" s="321">
        <f t="shared" si="66"/>
        <v>11951809392.523981</v>
      </c>
      <c r="O102" s="11"/>
      <c r="P102"/>
    </row>
    <row r="103" spans="1:16" x14ac:dyDescent="0.2">
      <c r="A103" s="44">
        <v>44712</v>
      </c>
      <c r="B103" s="45">
        <f>Inputs!D124+Inputs!E124</f>
        <v>2270314.9999999995</v>
      </c>
      <c r="C103" s="290">
        <f t="shared" ref="C103:D103" si="101">C91</f>
        <v>253.77272727272731</v>
      </c>
      <c r="D103" s="290">
        <f t="shared" si="101"/>
        <v>3.9181818181818184</v>
      </c>
      <c r="E103" s="275">
        <v>31</v>
      </c>
      <c r="F103" s="288">
        <f>Inputs!L124/(Inputs!H124+Inputs!J124+Inputs!L124+Inputs!O124)</f>
        <v>0.5031748554467077</v>
      </c>
      <c r="G103" s="279">
        <f>Inputs!I124+Inputs!K124+Inputs!N124</f>
        <v>1623</v>
      </c>
      <c r="H103" s="45">
        <f t="shared" si="63"/>
        <v>2304873.7618454089</v>
      </c>
      <c r="I103" s="30">
        <f t="shared" si="59"/>
        <v>34558.761845409404</v>
      </c>
      <c r="J103" s="38">
        <f t="shared" si="60"/>
        <v>1.5222011855363423E-2</v>
      </c>
      <c r="K103" s="11">
        <f t="shared" si="64"/>
        <v>1.5222011855363423E-2</v>
      </c>
      <c r="L103" s="321">
        <f t="shared" si="61"/>
        <v>1194308020.2877247</v>
      </c>
      <c r="M103" s="321">
        <f t="shared" si="65"/>
        <v>7374.323180527892</v>
      </c>
      <c r="N103" s="321">
        <f t="shared" si="66"/>
        <v>54380642.370871007</v>
      </c>
      <c r="O103" s="11"/>
      <c r="P103"/>
    </row>
    <row r="104" spans="1:16" x14ac:dyDescent="0.2">
      <c r="A104" s="44">
        <v>44742</v>
      </c>
      <c r="B104" s="45">
        <f>Inputs!D125+Inputs!E125</f>
        <v>2176799</v>
      </c>
      <c r="C104" s="290">
        <f t="shared" ref="C104:D104" si="102">C92</f>
        <v>92.218181818181819</v>
      </c>
      <c r="D104" s="290">
        <f t="shared" si="102"/>
        <v>19.445454545454545</v>
      </c>
      <c r="E104" s="275">
        <v>30</v>
      </c>
      <c r="F104" s="288">
        <f>Inputs!L125/(Inputs!H125+Inputs!J125+Inputs!L125+Inputs!O125)</f>
        <v>0.50984685965715348</v>
      </c>
      <c r="G104" s="279">
        <f>Inputs!I125+Inputs!K125+Inputs!N125</f>
        <v>1622</v>
      </c>
      <c r="H104" s="45">
        <f t="shared" si="63"/>
        <v>2178513.748649017</v>
      </c>
      <c r="I104" s="30">
        <f t="shared" si="59"/>
        <v>1714.748649016954</v>
      </c>
      <c r="J104" s="38">
        <f t="shared" si="60"/>
        <v>7.8773862401487413E-4</v>
      </c>
      <c r="K104" s="11">
        <f t="shared" si="64"/>
        <v>7.8773862401487413E-4</v>
      </c>
      <c r="L104" s="321">
        <f t="shared" si="61"/>
        <v>2940362.9293054687</v>
      </c>
      <c r="M104" s="321">
        <f t="shared" si="65"/>
        <v>-32844.01319639245</v>
      </c>
      <c r="N104" s="321">
        <f t="shared" si="66"/>
        <v>1078729202.8448014</v>
      </c>
      <c r="O104" s="11"/>
      <c r="P104"/>
    </row>
    <row r="105" spans="1:16" x14ac:dyDescent="0.2">
      <c r="A105" s="44">
        <v>44773</v>
      </c>
      <c r="B105" s="45">
        <f>Inputs!D126+Inputs!E126</f>
        <v>2808240</v>
      </c>
      <c r="C105" s="290">
        <f t="shared" ref="C105:D105" si="103">C93</f>
        <v>33.063636363636363</v>
      </c>
      <c r="D105" s="290">
        <f t="shared" si="103"/>
        <v>38.281818181818181</v>
      </c>
      <c r="E105" s="275">
        <v>31</v>
      </c>
      <c r="F105" s="288">
        <f>Inputs!L126/(Inputs!H126+Inputs!J126+Inputs!L126+Inputs!O126)</f>
        <v>0.57348155770035592</v>
      </c>
      <c r="G105" s="279">
        <f>Inputs!I126+Inputs!K126+Inputs!N126</f>
        <v>1624</v>
      </c>
      <c r="H105" s="45">
        <f t="shared" si="63"/>
        <v>2665763.0881690513</v>
      </c>
      <c r="I105" s="30">
        <f t="shared" si="59"/>
        <v>-142476.91183094867</v>
      </c>
      <c r="J105" s="38">
        <f t="shared" si="60"/>
        <v>-5.0735304614615798E-2</v>
      </c>
      <c r="K105" s="11">
        <f t="shared" si="64"/>
        <v>5.0735304614615798E-2</v>
      </c>
      <c r="L105" s="321">
        <f t="shared" si="61"/>
        <v>20299670404.883919</v>
      </c>
      <c r="M105" s="321">
        <f t="shared" si="65"/>
        <v>-144191.66047996562</v>
      </c>
      <c r="N105" s="321">
        <f t="shared" si="66"/>
        <v>20791234951.969681</v>
      </c>
      <c r="O105" s="11"/>
      <c r="P105"/>
    </row>
    <row r="106" spans="1:16" x14ac:dyDescent="0.2">
      <c r="A106" s="44">
        <v>44804</v>
      </c>
      <c r="B106" s="45">
        <f>Inputs!D127+Inputs!E127</f>
        <v>2548063</v>
      </c>
      <c r="C106" s="290">
        <f t="shared" ref="C106:D106" si="104">C94</f>
        <v>44.609090909090909</v>
      </c>
      <c r="D106" s="290">
        <f t="shared" si="104"/>
        <v>29.781818181818178</v>
      </c>
      <c r="E106" s="275">
        <v>31</v>
      </c>
      <c r="F106" s="288">
        <f>Inputs!L127/(Inputs!H127+Inputs!J127+Inputs!L127+Inputs!O127)</f>
        <v>0.53699465235664945</v>
      </c>
      <c r="G106" s="279">
        <f>Inputs!I127+Inputs!K127+Inputs!N127</f>
        <v>1625</v>
      </c>
      <c r="H106" s="45">
        <f t="shared" si="63"/>
        <v>2450740.6323182136</v>
      </c>
      <c r="I106" s="30">
        <f t="shared" si="59"/>
        <v>-97322.367681786418</v>
      </c>
      <c r="J106" s="38">
        <f t="shared" si="60"/>
        <v>-3.8194647338698616E-2</v>
      </c>
      <c r="K106" s="11">
        <f t="shared" si="64"/>
        <v>3.8194647338698616E-2</v>
      </c>
      <c r="L106" s="321">
        <f t="shared" si="61"/>
        <v>9471643251.1888256</v>
      </c>
      <c r="M106" s="321">
        <f t="shared" si="65"/>
        <v>45154.544149162248</v>
      </c>
      <c r="N106" s="321">
        <f t="shared" si="66"/>
        <v>2038932857.3186426</v>
      </c>
      <c r="O106" s="11"/>
      <c r="P106"/>
    </row>
    <row r="107" spans="1:16" x14ac:dyDescent="0.2">
      <c r="A107" s="44">
        <v>44834</v>
      </c>
      <c r="B107" s="45">
        <f>Inputs!D128+Inputs!E128</f>
        <v>2147586</v>
      </c>
      <c r="C107" s="290">
        <f t="shared" ref="C107:D107" si="105">C95</f>
        <v>138.26363636363635</v>
      </c>
      <c r="D107" s="290">
        <f t="shared" si="105"/>
        <v>10</v>
      </c>
      <c r="E107" s="275">
        <v>30</v>
      </c>
      <c r="F107" s="288">
        <f>Inputs!L128/(Inputs!H128+Inputs!J128+Inputs!L128+Inputs!O128)</f>
        <v>0.5245432141827705</v>
      </c>
      <c r="G107" s="279">
        <f>Inputs!I128+Inputs!K128+Inputs!N128</f>
        <v>1626</v>
      </c>
      <c r="H107" s="45">
        <f t="shared" si="63"/>
        <v>2221717.1114703752</v>
      </c>
      <c r="I107" s="30">
        <f t="shared" si="59"/>
        <v>74131.11147037521</v>
      </c>
      <c r="J107" s="38">
        <f t="shared" si="60"/>
        <v>3.4518343605506464E-2</v>
      </c>
      <c r="K107" s="11">
        <f t="shared" si="64"/>
        <v>3.4518343605506464E-2</v>
      </c>
      <c r="L107" s="321">
        <f t="shared" si="61"/>
        <v>5495421687.8331947</v>
      </c>
      <c r="M107" s="321">
        <f t="shared" si="65"/>
        <v>171453.47915216163</v>
      </c>
      <c r="N107" s="321">
        <f t="shared" si="66"/>
        <v>29396295513.380722</v>
      </c>
      <c r="O107" s="11"/>
      <c r="P107"/>
    </row>
    <row r="108" spans="1:16" x14ac:dyDescent="0.2">
      <c r="A108" s="44">
        <v>44865</v>
      </c>
      <c r="B108" s="45">
        <f>Inputs!D129+Inputs!E129</f>
        <v>2029060</v>
      </c>
      <c r="C108" s="290">
        <f t="shared" ref="C108:D108" si="106">C96</f>
        <v>354.19090909090909</v>
      </c>
      <c r="D108" s="290">
        <f t="shared" si="106"/>
        <v>3.9636363636363638</v>
      </c>
      <c r="E108" s="275">
        <v>31</v>
      </c>
      <c r="F108" s="288">
        <f>Inputs!L129/(Inputs!H129+Inputs!J129+Inputs!L129+Inputs!O129)</f>
        <v>0.44855129449209608</v>
      </c>
      <c r="G108" s="279">
        <f>Inputs!I129+Inputs!K129+Inputs!N129</f>
        <v>1622</v>
      </c>
      <c r="H108" s="45">
        <f t="shared" si="63"/>
        <v>2209529.8476826809</v>
      </c>
      <c r="I108" s="30">
        <f t="shared" si="59"/>
        <v>180469.84768268093</v>
      </c>
      <c r="J108" s="38">
        <f t="shared" si="60"/>
        <v>8.8942588037160528E-2</v>
      </c>
      <c r="K108" s="11">
        <f t="shared" si="64"/>
        <v>8.8942588037160528E-2</v>
      </c>
      <c r="L108" s="321">
        <f t="shared" si="61"/>
        <v>32569365922.610058</v>
      </c>
      <c r="M108" s="321">
        <f t="shared" si="65"/>
        <v>106338.73621230572</v>
      </c>
      <c r="N108" s="321">
        <f t="shared" si="66"/>
        <v>11307926819.230341</v>
      </c>
      <c r="O108" s="11"/>
      <c r="P108"/>
    </row>
    <row r="109" spans="1:16" x14ac:dyDescent="0.2">
      <c r="A109" s="44">
        <v>44895</v>
      </c>
      <c r="B109" s="45">
        <f>Inputs!D130+Inputs!E130</f>
        <v>2057061</v>
      </c>
      <c r="C109" s="290">
        <f t="shared" ref="C109:D109" si="107">C97</f>
        <v>593.9909090909091</v>
      </c>
      <c r="D109" s="290">
        <f t="shared" si="107"/>
        <v>0</v>
      </c>
      <c r="E109" s="275">
        <v>30</v>
      </c>
      <c r="F109" s="288">
        <f>Inputs!L130/(Inputs!H130+Inputs!J130+Inputs!L130+Inputs!O130)</f>
        <v>0.37963022753366843</v>
      </c>
      <c r="G109" s="279">
        <f>Inputs!I130+Inputs!K130+Inputs!N130</f>
        <v>1619</v>
      </c>
      <c r="H109" s="45">
        <f t="shared" si="63"/>
        <v>2084215.2800860405</v>
      </c>
      <c r="I109" s="30">
        <f t="shared" si="59"/>
        <v>27154.280086040497</v>
      </c>
      <c r="J109" s="38">
        <f t="shared" si="60"/>
        <v>1.3200522534839996E-2</v>
      </c>
      <c r="K109" s="11">
        <f t="shared" si="64"/>
        <v>1.3200522534839996E-2</v>
      </c>
      <c r="L109" s="321">
        <f t="shared" si="61"/>
        <v>737354926.99113548</v>
      </c>
      <c r="M109" s="321">
        <f t="shared" si="65"/>
        <v>-153315.56759664044</v>
      </c>
      <c r="N109" s="321">
        <f t="shared" si="66"/>
        <v>23505663267.480022</v>
      </c>
      <c r="O109" s="11"/>
      <c r="P109"/>
    </row>
    <row r="110" spans="1:16" x14ac:dyDescent="0.2">
      <c r="A110" s="44">
        <v>44926</v>
      </c>
      <c r="B110" s="45">
        <f>Inputs!D131+Inputs!E131</f>
        <v>2943555</v>
      </c>
      <c r="C110" s="290">
        <f t="shared" ref="C110:D110" si="108">C98</f>
        <v>823</v>
      </c>
      <c r="D110" s="290">
        <f t="shared" si="108"/>
        <v>0</v>
      </c>
      <c r="E110" s="275">
        <v>31</v>
      </c>
      <c r="F110" s="288">
        <f>Inputs!L131/(Inputs!H131+Inputs!J131+Inputs!L131+Inputs!O131)</f>
        <v>0.48171755349084783</v>
      </c>
      <c r="G110" s="279">
        <f>Inputs!I131+Inputs!K131+Inputs!N131</f>
        <v>1622</v>
      </c>
      <c r="H110" s="45">
        <f t="shared" si="63"/>
        <v>2909530.8361809328</v>
      </c>
      <c r="I110" s="30">
        <f t="shared" si="59"/>
        <v>-34024.16381906718</v>
      </c>
      <c r="J110" s="38">
        <f t="shared" si="60"/>
        <v>-1.1558868041897359E-2</v>
      </c>
      <c r="K110" s="11">
        <f t="shared" si="64"/>
        <v>1.1558868041897359E-2</v>
      </c>
      <c r="L110" s="321">
        <f t="shared" si="61"/>
        <v>1157643723.5867202</v>
      </c>
      <c r="M110" s="321">
        <f t="shared" si="65"/>
        <v>-61178.443905107677</v>
      </c>
      <c r="N110" s="321">
        <f t="shared" si="66"/>
        <v>3742801998.6504068</v>
      </c>
      <c r="O110" s="11"/>
      <c r="P110"/>
    </row>
    <row r="111" spans="1:16" x14ac:dyDescent="0.2">
      <c r="A111" s="44">
        <v>44957</v>
      </c>
      <c r="B111" s="45">
        <f>Inputs!D132+Inputs!E132</f>
        <v>3213905</v>
      </c>
      <c r="C111" s="290">
        <f t="shared" ref="C111:D111" si="109">C99</f>
        <v>999.73636363636365</v>
      </c>
      <c r="D111" s="290">
        <f t="shared" si="109"/>
        <v>0</v>
      </c>
      <c r="E111" s="275">
        <v>31</v>
      </c>
      <c r="F111" s="288">
        <f>Inputs!L132/(Inputs!H132+Inputs!J132+Inputs!L132+Inputs!O132)</f>
        <v>0.52665194663576653</v>
      </c>
      <c r="G111" s="279">
        <f>Inputs!I132+Inputs!K132+Inputs!N132</f>
        <v>1621</v>
      </c>
      <c r="H111" s="45">
        <f t="shared" si="63"/>
        <v>3314125.8781875409</v>
      </c>
      <c r="I111" s="30">
        <f t="shared" si="59"/>
        <v>100220.87818754092</v>
      </c>
      <c r="J111" s="38">
        <f t="shared" si="60"/>
        <v>3.1183522284429974E-2</v>
      </c>
      <c r="K111" s="11">
        <f t="shared" si="64"/>
        <v>3.1183522284429974E-2</v>
      </c>
      <c r="L111" s="321">
        <f t="shared" si="61"/>
        <v>10044224424.681915</v>
      </c>
      <c r="M111" s="321">
        <f t="shared" si="65"/>
        <v>134245.0420066081</v>
      </c>
      <c r="N111" s="321">
        <f t="shared" si="66"/>
        <v>18021731303.355972</v>
      </c>
      <c r="O111" s="11"/>
      <c r="P111"/>
    </row>
    <row r="112" spans="1:16" x14ac:dyDescent="0.2">
      <c r="A112" s="44">
        <v>44985</v>
      </c>
      <c r="B112" s="45">
        <f>Inputs!D133+Inputs!E133</f>
        <v>2857040</v>
      </c>
      <c r="C112" s="290">
        <f t="shared" ref="C112:D112" si="110">C100</f>
        <v>946.53636363636372</v>
      </c>
      <c r="D112" s="290">
        <f t="shared" si="110"/>
        <v>0</v>
      </c>
      <c r="E112" s="275">
        <v>28</v>
      </c>
      <c r="F112" s="288">
        <f>Inputs!L133/(Inputs!H133+Inputs!J133+Inputs!L133+Inputs!O133)</f>
        <v>0.52310042199681828</v>
      </c>
      <c r="G112" s="279">
        <f>Inputs!I133+Inputs!K133+Inputs!N133</f>
        <v>1621</v>
      </c>
      <c r="H112" s="45">
        <f t="shared" si="63"/>
        <v>2931162.3524378324</v>
      </c>
      <c r="I112" s="30">
        <f t="shared" si="59"/>
        <v>74122.352437832393</v>
      </c>
      <c r="J112" s="38">
        <f t="shared" si="60"/>
        <v>2.5943757328505165E-2</v>
      </c>
      <c r="K112" s="11">
        <f t="shared" si="64"/>
        <v>2.5943757328505165E-2</v>
      </c>
      <c r="L112" s="321">
        <f t="shared" si="61"/>
        <v>5494123130.9182377</v>
      </c>
      <c r="M112" s="321">
        <f t="shared" si="65"/>
        <v>-26098.525749708526</v>
      </c>
      <c r="N112" s="321">
        <f t="shared" si="66"/>
        <v>681133046.30819893</v>
      </c>
      <c r="O112" s="11"/>
      <c r="P112"/>
    </row>
    <row r="113" spans="1:16" x14ac:dyDescent="0.2">
      <c r="A113" s="44">
        <v>45016</v>
      </c>
      <c r="B113" s="45">
        <f>Inputs!D134+Inputs!E134</f>
        <v>2844422</v>
      </c>
      <c r="C113" s="290">
        <f t="shared" ref="C113:D113" si="111">C101</f>
        <v>733.42727272727291</v>
      </c>
      <c r="D113" s="290">
        <f t="shared" si="111"/>
        <v>0</v>
      </c>
      <c r="E113" s="275">
        <v>31</v>
      </c>
      <c r="F113" s="288">
        <f>Inputs!L134/(Inputs!H134+Inputs!J134+Inputs!L134+Inputs!O134)</f>
        <v>0.52685778825657625</v>
      </c>
      <c r="G113" s="279">
        <f>Inputs!I134+Inputs!K134+Inputs!N134</f>
        <v>1622</v>
      </c>
      <c r="H113" s="45">
        <f t="shared" si="63"/>
        <v>2975509.2336345343</v>
      </c>
      <c r="I113" s="30">
        <f t="shared" si="59"/>
        <v>131087.23363453429</v>
      </c>
      <c r="J113" s="38">
        <f t="shared" si="60"/>
        <v>4.6085719219769179E-2</v>
      </c>
      <c r="K113" s="11">
        <f t="shared" si="64"/>
        <v>4.6085719219769179E-2</v>
      </c>
      <c r="L113" s="321">
        <f t="shared" si="61"/>
        <v>17183862821.954979</v>
      </c>
      <c r="M113" s="321">
        <f t="shared" si="65"/>
        <v>56964.881196701899</v>
      </c>
      <c r="N113" s="321">
        <f t="shared" si="66"/>
        <v>3244997689.7543616</v>
      </c>
      <c r="O113" s="11"/>
      <c r="P113"/>
    </row>
    <row r="114" spans="1:16" x14ac:dyDescent="0.2">
      <c r="A114" s="44">
        <v>45046</v>
      </c>
      <c r="B114" s="45">
        <f>Inputs!D135+Inputs!E135</f>
        <v>2467435</v>
      </c>
      <c r="C114" s="290">
        <f t="shared" ref="C114:D114" si="112">C102</f>
        <v>519.5454545454545</v>
      </c>
      <c r="D114" s="290">
        <f t="shared" si="112"/>
        <v>0</v>
      </c>
      <c r="E114" s="275">
        <v>30</v>
      </c>
      <c r="F114" s="288">
        <f>Inputs!L135/(Inputs!H135+Inputs!J135+Inputs!L135+Inputs!O135)</f>
        <v>0.51967627702740349</v>
      </c>
      <c r="G114" s="279">
        <f>Inputs!I135+Inputs!K135+Inputs!N135</f>
        <v>1621</v>
      </c>
      <c r="H114" s="45">
        <f t="shared" si="63"/>
        <v>2563843.2039830722</v>
      </c>
      <c r="I114" s="30">
        <f t="shared" si="59"/>
        <v>96408.203983072191</v>
      </c>
      <c r="J114" s="38">
        <f t="shared" si="60"/>
        <v>3.9072236546483369E-2</v>
      </c>
      <c r="K114" s="11">
        <f t="shared" si="64"/>
        <v>3.9072236546483369E-2</v>
      </c>
      <c r="L114" s="321">
        <f t="shared" si="61"/>
        <v>9294541795.2416573</v>
      </c>
      <c r="M114" s="321">
        <f t="shared" si="65"/>
        <v>-34679.0296514621</v>
      </c>
      <c r="N114" s="321">
        <f t="shared" si="66"/>
        <v>1202635097.5669875</v>
      </c>
      <c r="O114" s="11"/>
      <c r="P114"/>
    </row>
    <row r="115" spans="1:16" x14ac:dyDescent="0.2">
      <c r="A115" s="44">
        <v>45077</v>
      </c>
      <c r="B115" s="45">
        <f>Inputs!D136+Inputs!E136</f>
        <v>2229843</v>
      </c>
      <c r="C115" s="290">
        <f t="shared" ref="C115:D115" si="113">C103</f>
        <v>253.77272727272731</v>
      </c>
      <c r="D115" s="290">
        <f t="shared" si="113"/>
        <v>3.9181818181818184</v>
      </c>
      <c r="E115" s="275">
        <v>31</v>
      </c>
      <c r="F115" s="288">
        <f>Inputs!L136/(Inputs!H136+Inputs!J136+Inputs!L136+Inputs!O136)</f>
        <v>0.50872712624838423</v>
      </c>
      <c r="G115" s="279">
        <f>Inputs!I136+Inputs!K136+Inputs!N136</f>
        <v>1625</v>
      </c>
      <c r="H115" s="45">
        <f t="shared" si="63"/>
        <v>2338558.9241454126</v>
      </c>
      <c r="I115" s="30">
        <f t="shared" si="59"/>
        <v>108715.92414541263</v>
      </c>
      <c r="J115" s="38">
        <f t="shared" si="60"/>
        <v>4.875496801587046E-2</v>
      </c>
      <c r="K115" s="11">
        <f t="shared" si="64"/>
        <v>4.875496801587046E-2</v>
      </c>
      <c r="L115" s="321">
        <f t="shared" si="61"/>
        <v>11819152162.791113</v>
      </c>
      <c r="M115" s="321">
        <f t="shared" si="65"/>
        <v>12307.72016234044</v>
      </c>
      <c r="N115" s="321">
        <f t="shared" si="66"/>
        <v>151479975.59448138</v>
      </c>
      <c r="O115" s="11"/>
      <c r="P115"/>
    </row>
    <row r="116" spans="1:16" x14ac:dyDescent="0.2">
      <c r="A116" s="44">
        <v>45107</v>
      </c>
      <c r="B116" s="45">
        <f>Inputs!D137+Inputs!E137</f>
        <v>2401668</v>
      </c>
      <c r="C116" s="290">
        <f t="shared" ref="C116:D116" si="114">C104</f>
        <v>92.218181818181819</v>
      </c>
      <c r="D116" s="290">
        <f t="shared" si="114"/>
        <v>19.445454545454545</v>
      </c>
      <c r="E116" s="275">
        <v>30</v>
      </c>
      <c r="F116" s="288">
        <f>Inputs!L137/(Inputs!H137+Inputs!J137+Inputs!L137+Inputs!O137)</f>
        <v>0.52216946458771973</v>
      </c>
      <c r="G116" s="279">
        <f>Inputs!I137+Inputs!K137+Inputs!N137</f>
        <v>1625</v>
      </c>
      <c r="H116" s="45">
        <f t="shared" si="63"/>
        <v>2245150.0525195505</v>
      </c>
      <c r="I116" s="30">
        <f t="shared" si="59"/>
        <v>-156517.94748044945</v>
      </c>
      <c r="J116" s="38">
        <f t="shared" si="60"/>
        <v>-6.5170517940218817E-2</v>
      </c>
      <c r="K116" s="11">
        <f t="shared" si="64"/>
        <v>6.5170517940218817E-2</v>
      </c>
      <c r="L116" s="321">
        <f t="shared" si="61"/>
        <v>24497867883.492733</v>
      </c>
      <c r="M116" s="321">
        <f t="shared" si="65"/>
        <v>-265233.87162586208</v>
      </c>
      <c r="N116" s="321">
        <f t="shared" si="66"/>
        <v>70349006657.644287</v>
      </c>
      <c r="O116" s="11"/>
      <c r="P116"/>
    </row>
    <row r="117" spans="1:16" x14ac:dyDescent="0.2">
      <c r="A117" s="44">
        <v>45138</v>
      </c>
      <c r="B117" s="45">
        <f>Inputs!D138+Inputs!E138</f>
        <v>2453467</v>
      </c>
      <c r="C117" s="290">
        <f t="shared" ref="C117:D117" si="115">C105</f>
        <v>33.063636363636363</v>
      </c>
      <c r="D117" s="290">
        <f t="shared" si="115"/>
        <v>38.281818181818181</v>
      </c>
      <c r="E117" s="275">
        <v>31</v>
      </c>
      <c r="F117" s="288">
        <f>Inputs!L138/(Inputs!H138+Inputs!J138+Inputs!L138+Inputs!O138)</f>
        <v>0.53429532993645279</v>
      </c>
      <c r="G117" s="279">
        <f>Inputs!I138+Inputs!K138+Inputs!N138</f>
        <v>1624</v>
      </c>
      <c r="H117" s="45">
        <f t="shared" si="63"/>
        <v>2507725.4539486431</v>
      </c>
      <c r="I117" s="30">
        <f t="shared" si="59"/>
        <v>54258.453948643059</v>
      </c>
      <c r="J117" s="38">
        <f t="shared" si="60"/>
        <v>2.2115012734486773E-2</v>
      </c>
      <c r="K117" s="11">
        <f t="shared" si="64"/>
        <v>2.2115012734486773E-2</v>
      </c>
      <c r="L117" s="321">
        <f t="shared" si="61"/>
        <v>2943979824.8970194</v>
      </c>
      <c r="M117" s="321">
        <f t="shared" si="65"/>
        <v>210776.40142909251</v>
      </c>
      <c r="N117" s="321">
        <f t="shared" si="66"/>
        <v>44426691399.397949</v>
      </c>
      <c r="O117" s="11"/>
      <c r="P117"/>
    </row>
    <row r="118" spans="1:16" x14ac:dyDescent="0.2">
      <c r="A118" s="44">
        <v>45169</v>
      </c>
      <c r="B118" s="45">
        <f>Inputs!D139+Inputs!E139</f>
        <v>2545941</v>
      </c>
      <c r="C118" s="290">
        <f t="shared" ref="C118:D118" si="116">C106</f>
        <v>44.609090909090909</v>
      </c>
      <c r="D118" s="290">
        <f t="shared" si="116"/>
        <v>29.781818181818178</v>
      </c>
      <c r="E118" s="275">
        <v>31</v>
      </c>
      <c r="F118" s="288">
        <f>Inputs!L139/(Inputs!H139+Inputs!J139+Inputs!L139+Inputs!O139)</f>
        <v>0.55368399395804002</v>
      </c>
      <c r="G118" s="279">
        <f>Inputs!I139+Inputs!K139+Inputs!N139</f>
        <v>1624</v>
      </c>
      <c r="H118" s="45">
        <f t="shared" si="63"/>
        <v>2512402.1101181712</v>
      </c>
      <c r="I118" s="30">
        <f t="shared" si="59"/>
        <v>-33538.8898818288</v>
      </c>
      <c r="J118" s="38">
        <f t="shared" si="60"/>
        <v>-1.3173474908424351E-2</v>
      </c>
      <c r="K118" s="11">
        <f t="shared" si="64"/>
        <v>1.3173474908424351E-2</v>
      </c>
      <c r="L118" s="321">
        <f t="shared" si="61"/>
        <v>1124857134.5054383</v>
      </c>
      <c r="M118" s="321">
        <f t="shared" si="65"/>
        <v>-87797.343830471858</v>
      </c>
      <c r="N118" s="321">
        <f t="shared" si="66"/>
        <v>7708373583.6860952</v>
      </c>
      <c r="O118" s="11"/>
      <c r="P118"/>
    </row>
    <row r="119" spans="1:16" x14ac:dyDescent="0.2">
      <c r="A119" s="44">
        <v>45199</v>
      </c>
      <c r="B119" s="45">
        <f>Inputs!D140+Inputs!E140</f>
        <v>2484874</v>
      </c>
      <c r="C119" s="290">
        <f t="shared" ref="C119:D119" si="117">C107</f>
        <v>138.26363636363635</v>
      </c>
      <c r="D119" s="290">
        <f t="shared" si="117"/>
        <v>10</v>
      </c>
      <c r="E119" s="275">
        <v>30</v>
      </c>
      <c r="F119" s="288">
        <f>Inputs!L140/(Inputs!H140+Inputs!J140+Inputs!L140+Inputs!O140)</f>
        <v>0.58044716242979522</v>
      </c>
      <c r="G119" s="279">
        <f>Inputs!I140+Inputs!K140+Inputs!N140</f>
        <v>1623</v>
      </c>
      <c r="H119" s="45">
        <f t="shared" si="63"/>
        <v>2430237.7612153571</v>
      </c>
      <c r="I119" s="30">
        <f t="shared" si="59"/>
        <v>-54636.23878464289</v>
      </c>
      <c r="J119" s="38">
        <f t="shared" si="60"/>
        <v>-2.1987528858462398E-2</v>
      </c>
      <c r="K119" s="11">
        <f t="shared" si="64"/>
        <v>2.1987528858462398E-2</v>
      </c>
      <c r="L119" s="321">
        <f t="shared" si="61"/>
        <v>2985118588.532516</v>
      </c>
      <c r="M119" s="321">
        <f t="shared" si="65"/>
        <v>-21097.34890281409</v>
      </c>
      <c r="N119" s="321">
        <f t="shared" si="66"/>
        <v>445098130.72707087</v>
      </c>
      <c r="O119" s="11"/>
      <c r="P119"/>
    </row>
    <row r="120" spans="1:16" x14ac:dyDescent="0.2">
      <c r="A120" s="44">
        <v>45230</v>
      </c>
      <c r="B120" s="45">
        <f>Inputs!D141+Inputs!E141</f>
        <v>2606166</v>
      </c>
      <c r="C120" s="290">
        <f t="shared" ref="C120:D120" si="118">C108</f>
        <v>354.19090909090909</v>
      </c>
      <c r="D120" s="290">
        <f t="shared" si="118"/>
        <v>3.9636363636363638</v>
      </c>
      <c r="E120" s="275">
        <v>31</v>
      </c>
      <c r="F120" s="288">
        <f>Inputs!L141/(Inputs!H141+Inputs!J141+Inputs!L141+Inputs!O141)</f>
        <v>0.57639461449939855</v>
      </c>
      <c r="G120" s="279">
        <f>Inputs!I141+Inputs!K141+Inputs!N141</f>
        <v>1620</v>
      </c>
      <c r="H120" s="45">
        <f t="shared" si="63"/>
        <v>2713827.665369953</v>
      </c>
      <c r="I120" s="30">
        <f t="shared" si="59"/>
        <v>107661.66536995303</v>
      </c>
      <c r="J120" s="38">
        <f t="shared" si="60"/>
        <v>4.1310363718179512E-2</v>
      </c>
      <c r="K120" s="11">
        <f t="shared" si="64"/>
        <v>4.1310363718179512E-2</v>
      </c>
      <c r="L120" s="321">
        <f t="shared" si="61"/>
        <v>11591034190.231743</v>
      </c>
      <c r="M120" s="321">
        <f t="shared" si="65"/>
        <v>162297.90415459592</v>
      </c>
      <c r="N120" s="321">
        <f t="shared" si="66"/>
        <v>26340609692.974403</v>
      </c>
      <c r="O120" s="11"/>
      <c r="P120"/>
    </row>
    <row r="121" spans="1:16" x14ac:dyDescent="0.2">
      <c r="A121" s="44">
        <v>45260</v>
      </c>
      <c r="B121" s="45">
        <f>Inputs!D142+Inputs!E142</f>
        <v>2817960</v>
      </c>
      <c r="C121" s="290">
        <f t="shared" ref="C121:D121" si="119">C109</f>
        <v>593.9909090909091</v>
      </c>
      <c r="D121" s="290">
        <f t="shared" si="119"/>
        <v>0</v>
      </c>
      <c r="E121" s="275">
        <v>30</v>
      </c>
      <c r="F121" s="288">
        <f>Inputs!L142/(Inputs!H142+Inputs!J142+Inputs!L142+Inputs!O142)</f>
        <v>0.54770532154484741</v>
      </c>
      <c r="G121" s="279">
        <f>Inputs!I142+Inputs!K142+Inputs!N142</f>
        <v>1619</v>
      </c>
      <c r="H121" s="45">
        <f t="shared" si="63"/>
        <v>2762060.3227101117</v>
      </c>
      <c r="I121" s="30">
        <f t="shared" si="59"/>
        <v>-55899.677289888263</v>
      </c>
      <c r="J121" s="38">
        <f t="shared" si="60"/>
        <v>-1.9836930719346002E-2</v>
      </c>
      <c r="K121" s="11">
        <f t="shared" si="64"/>
        <v>1.9836930719346002E-2</v>
      </c>
      <c r="L121" s="321">
        <f t="shared" si="61"/>
        <v>3124773921.1136494</v>
      </c>
      <c r="M121" s="321">
        <f t="shared" si="65"/>
        <v>-163561.34265984129</v>
      </c>
      <c r="N121" s="321">
        <f t="shared" si="66"/>
        <v>26752312812.690018</v>
      </c>
      <c r="O121" s="11"/>
      <c r="P121"/>
    </row>
    <row r="122" spans="1:16" x14ac:dyDescent="0.2">
      <c r="A122" s="44">
        <v>45291</v>
      </c>
      <c r="B122" s="45">
        <f>Inputs!D143+Inputs!E143</f>
        <v>3006920</v>
      </c>
      <c r="C122" s="290">
        <f t="shared" ref="C122:D122" si="120">C110</f>
        <v>823</v>
      </c>
      <c r="D122" s="290">
        <f t="shared" si="120"/>
        <v>0</v>
      </c>
      <c r="E122" s="275">
        <v>31</v>
      </c>
      <c r="F122" s="288">
        <f>Inputs!L143/(Inputs!H143+Inputs!J143+Inputs!L143+Inputs!O143)</f>
        <v>0.55129396414062581</v>
      </c>
      <c r="G122" s="279">
        <f>Inputs!I143+Inputs!K143+Inputs!N143</f>
        <v>1618</v>
      </c>
      <c r="H122" s="45">
        <f t="shared" si="63"/>
        <v>3167545.9224338681</v>
      </c>
      <c r="I122" s="30">
        <f t="shared" si="59"/>
        <v>160625.92243386805</v>
      </c>
      <c r="J122" s="38">
        <f t="shared" si="60"/>
        <v>5.3418754883358406E-2</v>
      </c>
      <c r="K122" s="11">
        <f t="shared" si="64"/>
        <v>5.3418754883358406E-2</v>
      </c>
      <c r="L122" s="321">
        <f t="shared" si="61"/>
        <v>25800686957.730995</v>
      </c>
      <c r="M122" s="321">
        <f t="shared" si="65"/>
        <v>216525.59972375631</v>
      </c>
      <c r="N122" s="321">
        <f t="shared" si="66"/>
        <v>46883335335.732338</v>
      </c>
      <c r="O122" s="11"/>
      <c r="P122"/>
    </row>
    <row r="123" spans="1:16" x14ac:dyDescent="0.2">
      <c r="A123" s="44">
        <v>45322</v>
      </c>
      <c r="B123" s="45">
        <f>Inputs!D144+Inputs!E144</f>
        <v>3261869</v>
      </c>
      <c r="C123" s="290">
        <f t="shared" ref="C123:D123" si="121">C111</f>
        <v>999.73636363636365</v>
      </c>
      <c r="D123" s="290">
        <f t="shared" si="121"/>
        <v>0</v>
      </c>
      <c r="E123" s="275">
        <v>31</v>
      </c>
      <c r="F123" s="288">
        <f>Inputs!L144/(Inputs!H144+Inputs!J144+Inputs!L144+Inputs!O144)</f>
        <v>0.53005289557695079</v>
      </c>
      <c r="G123" s="279">
        <f>Inputs!I144+Inputs!K144+Inputs!N144</f>
        <v>1619</v>
      </c>
      <c r="H123" s="45">
        <f t="shared" si="63"/>
        <v>3316548.9546121787</v>
      </c>
      <c r="I123" s="30"/>
      <c r="K123" s="5">
        <f>AVERAGE(K3:K122)</f>
        <v>4.2310012861799223E-2</v>
      </c>
      <c r="L123" s="322">
        <f>SUM(L3:L122)</f>
        <v>2756830334613.6631</v>
      </c>
      <c r="M123" s="321"/>
      <c r="N123" s="321">
        <f>SUM(N3:N122)</f>
        <v>3779363008818.2109</v>
      </c>
      <c r="O123" s="5"/>
      <c r="P123"/>
    </row>
    <row r="124" spans="1:16" x14ac:dyDescent="0.2">
      <c r="A124" s="44">
        <v>45351</v>
      </c>
      <c r="B124" s="45">
        <f>Inputs!D145+Inputs!E145</f>
        <v>2841745</v>
      </c>
      <c r="C124" s="290">
        <f t="shared" ref="C124:D124" si="122">C112</f>
        <v>946.53636363636372</v>
      </c>
      <c r="D124" s="290">
        <f t="shared" si="122"/>
        <v>0</v>
      </c>
      <c r="E124" s="275">
        <v>29</v>
      </c>
      <c r="F124" s="288">
        <f>Inputs!L145/(Inputs!H145+Inputs!J145+Inputs!L145+Inputs!O145)</f>
        <v>0.54008516895074365</v>
      </c>
      <c r="G124" s="279">
        <f>Inputs!I145+Inputs!K145+Inputs!N145</f>
        <v>1619</v>
      </c>
      <c r="H124" s="45">
        <f t="shared" si="63"/>
        <v>3088269.3130903067</v>
      </c>
      <c r="I124" s="30"/>
      <c r="P124"/>
    </row>
    <row r="125" spans="1:16" x14ac:dyDescent="0.2">
      <c r="A125" s="44">
        <v>45382</v>
      </c>
      <c r="B125" s="45">
        <f>Inputs!D146+Inputs!E146</f>
        <v>2922239</v>
      </c>
      <c r="C125" s="290">
        <f t="shared" ref="C125:D125" si="123">C113</f>
        <v>733.42727272727291</v>
      </c>
      <c r="D125" s="290">
        <f t="shared" si="123"/>
        <v>0</v>
      </c>
      <c r="E125" s="275">
        <v>31</v>
      </c>
      <c r="F125" s="288">
        <f>Inputs!L146/(Inputs!H146+Inputs!J146+Inputs!L146+Inputs!O146)</f>
        <v>0.53664008590289247</v>
      </c>
      <c r="G125" s="279">
        <f>Inputs!I146+Inputs!K146+Inputs!N146</f>
        <v>1619</v>
      </c>
      <c r="H125" s="45">
        <f t="shared" si="63"/>
        <v>2998021.7636086587</v>
      </c>
      <c r="I125" s="30"/>
      <c r="P125"/>
    </row>
    <row r="126" spans="1:16" x14ac:dyDescent="0.2">
      <c r="A126" s="44">
        <v>45412</v>
      </c>
      <c r="B126" s="45">
        <f>Inputs!D147+Inputs!E147</f>
        <v>2452765</v>
      </c>
      <c r="C126" s="290">
        <f t="shared" ref="C126:D126" si="124">C114</f>
        <v>519.5454545454545</v>
      </c>
      <c r="D126" s="290">
        <f t="shared" si="124"/>
        <v>0</v>
      </c>
      <c r="E126" s="275">
        <v>30</v>
      </c>
      <c r="F126" s="288">
        <f>Inputs!L147/(Inputs!H147+Inputs!J147+Inputs!L147+Inputs!O147)</f>
        <v>0.53515770628467441</v>
      </c>
      <c r="G126" s="279">
        <f>Inputs!I147+Inputs!K147+Inputs!N147</f>
        <v>1623</v>
      </c>
      <c r="H126" s="45">
        <f t="shared" si="63"/>
        <v>2637572.5553174475</v>
      </c>
      <c r="I126" s="30"/>
      <c r="P126"/>
    </row>
    <row r="127" spans="1:16" x14ac:dyDescent="0.2">
      <c r="A127" s="44">
        <v>45443</v>
      </c>
      <c r="B127" s="45">
        <f>Inputs!D148+Inputs!E148</f>
        <v>2364541</v>
      </c>
      <c r="C127" s="290">
        <f t="shared" ref="C127:D127" si="125">C115</f>
        <v>253.77272727272731</v>
      </c>
      <c r="D127" s="290">
        <f t="shared" si="125"/>
        <v>3.9181818181818184</v>
      </c>
      <c r="E127" s="275">
        <v>31</v>
      </c>
      <c r="F127" s="288">
        <f>Inputs!L148/(Inputs!H148+Inputs!J148+Inputs!L148+Inputs!O148)</f>
        <v>0.55446087374184494</v>
      </c>
      <c r="G127" s="279">
        <f>Inputs!I148+Inputs!K148+Inputs!N148</f>
        <v>1624</v>
      </c>
      <c r="H127" s="45">
        <f t="shared" si="63"/>
        <v>2517356.1778658153</v>
      </c>
      <c r="I127" s="30"/>
      <c r="P127"/>
    </row>
    <row r="128" spans="1:16" x14ac:dyDescent="0.2">
      <c r="A128" s="44">
        <v>45473</v>
      </c>
      <c r="B128" s="45">
        <f>Inputs!D149+Inputs!E149</f>
        <v>1993950</v>
      </c>
      <c r="C128" s="290">
        <f t="shared" ref="C128:D128" si="126">C116</f>
        <v>92.218181818181819</v>
      </c>
      <c r="D128" s="290">
        <f t="shared" si="126"/>
        <v>19.445454545454545</v>
      </c>
      <c r="E128" s="275">
        <v>30</v>
      </c>
      <c r="F128" s="288">
        <f>Inputs!L149/(Inputs!H149+Inputs!J149+Inputs!L149+Inputs!O149)</f>
        <v>0.47756929377389679</v>
      </c>
      <c r="G128" s="279">
        <f>Inputs!I149+Inputs!K149+Inputs!N149</f>
        <v>1624</v>
      </c>
      <c r="H128" s="45">
        <f t="shared" si="63"/>
        <v>2059631.5873308368</v>
      </c>
      <c r="I128" s="30"/>
      <c r="P128"/>
    </row>
    <row r="129" spans="1:16" x14ac:dyDescent="0.2">
      <c r="A129" s="44">
        <v>45504</v>
      </c>
      <c r="B129" s="45">
        <f>Inputs!D150+Inputs!E150</f>
        <v>1996849</v>
      </c>
      <c r="C129" s="290">
        <f t="shared" ref="C129:D129" si="127">C117</f>
        <v>33.063636363636363</v>
      </c>
      <c r="D129" s="290">
        <f t="shared" si="127"/>
        <v>38.281818181818181</v>
      </c>
      <c r="E129" s="275">
        <v>31</v>
      </c>
      <c r="F129" s="288">
        <f>Inputs!L150/(Inputs!H150+Inputs!J150+Inputs!L150+Inputs!O150)</f>
        <v>0.34764834482948065</v>
      </c>
      <c r="G129" s="279">
        <f>Inputs!I150+Inputs!K150+Inputs!N150</f>
        <v>1623</v>
      </c>
      <c r="H129" s="45">
        <f t="shared" si="63"/>
        <v>1749333.7177043781</v>
      </c>
      <c r="I129" s="30"/>
      <c r="J129"/>
      <c r="K129"/>
      <c r="L129"/>
      <c r="M129"/>
      <c r="N129"/>
      <c r="O129"/>
      <c r="P129"/>
    </row>
    <row r="130" spans="1:16" x14ac:dyDescent="0.2">
      <c r="A130" s="44">
        <v>45535</v>
      </c>
      <c r="B130" s="45">
        <f>Inputs!D151+Inputs!E151</f>
        <v>2407779</v>
      </c>
      <c r="C130" s="290">
        <f t="shared" ref="C130:D130" si="128">C118</f>
        <v>44.609090909090909</v>
      </c>
      <c r="D130" s="290">
        <f t="shared" si="128"/>
        <v>29.781818181818178</v>
      </c>
      <c r="E130" s="275">
        <v>31</v>
      </c>
      <c r="F130" s="288">
        <f>Inputs!L151/(Inputs!H151+Inputs!J151+Inputs!L151+Inputs!O151)</f>
        <v>0.50350884788714034</v>
      </c>
      <c r="G130" s="279">
        <f>Inputs!I151+Inputs!K151+Inputs!N151</f>
        <v>1620</v>
      </c>
      <c r="H130" s="45">
        <f t="shared" si="63"/>
        <v>2287460.4588057678</v>
      </c>
      <c r="I130" s="30"/>
      <c r="J130"/>
      <c r="K130"/>
      <c r="L130"/>
      <c r="M130"/>
      <c r="N130"/>
      <c r="O130"/>
      <c r="P130"/>
    </row>
    <row r="131" spans="1:16" x14ac:dyDescent="0.2">
      <c r="A131" s="44">
        <v>45565</v>
      </c>
      <c r="B131" s="45">
        <f>Inputs!D152+Inputs!E152</f>
        <v>2403330</v>
      </c>
      <c r="C131" s="290">
        <f t="shared" ref="C131:D131" si="129">C119</f>
        <v>138.26363636363635</v>
      </c>
      <c r="D131" s="290">
        <f t="shared" si="129"/>
        <v>10</v>
      </c>
      <c r="E131" s="275">
        <v>30</v>
      </c>
      <c r="F131" s="288">
        <f>Inputs!L152/(Inputs!H152+Inputs!J152+Inputs!L152+Inputs!O152)</f>
        <v>0.55166190536589488</v>
      </c>
      <c r="G131" s="279">
        <f>Inputs!I152+Inputs!K152+Inputs!N152</f>
        <v>1621</v>
      </c>
      <c r="H131" s="45">
        <f t="shared" si="63"/>
        <v>2302854.2157262657</v>
      </c>
      <c r="I131" s="30"/>
      <c r="J131"/>
      <c r="K131"/>
      <c r="L131"/>
      <c r="M131"/>
      <c r="N131"/>
      <c r="O131"/>
      <c r="P131"/>
    </row>
    <row r="132" spans="1:16" x14ac:dyDescent="0.2">
      <c r="A132" s="44">
        <v>45596</v>
      </c>
      <c r="B132" s="45">
        <f>Inputs!D153+Inputs!E153</f>
        <v>2429951</v>
      </c>
      <c r="C132" s="290">
        <f t="shared" ref="C132:D132" si="130">C120</f>
        <v>354.19090909090909</v>
      </c>
      <c r="D132" s="290">
        <f t="shared" si="130"/>
        <v>3.9636363636363638</v>
      </c>
      <c r="E132" s="275">
        <v>31</v>
      </c>
      <c r="F132" s="288">
        <f>Inputs!L153/(Inputs!H153+Inputs!J153+Inputs!L153+Inputs!O153)</f>
        <v>0.56286037334364636</v>
      </c>
      <c r="G132" s="279">
        <f>Inputs!I153+Inputs!K153+Inputs!N153</f>
        <v>1618</v>
      </c>
      <c r="H132" s="45">
        <f t="shared" ref="H132:H146" si="131">$Q$18+$Q$19*C132+$Q$20*D132+$Q$21*E132+$Q$22*F132+$Q$23*G132</f>
        <v>2647951.3026620978</v>
      </c>
      <c r="I132" s="30"/>
      <c r="J132"/>
      <c r="K132"/>
      <c r="L132"/>
      <c r="M132"/>
      <c r="N132"/>
      <c r="O132"/>
      <c r="P132"/>
    </row>
    <row r="133" spans="1:16" x14ac:dyDescent="0.2">
      <c r="A133" s="44">
        <v>45626</v>
      </c>
      <c r="B133" s="45">
        <f>Inputs!D154+Inputs!E154</f>
        <v>2687461</v>
      </c>
      <c r="C133" s="290">
        <f t="shared" ref="C133:D133" si="132">C121</f>
        <v>593.9909090909091</v>
      </c>
      <c r="D133" s="290">
        <f t="shared" si="132"/>
        <v>0</v>
      </c>
      <c r="E133" s="275">
        <v>30</v>
      </c>
      <c r="F133" s="288">
        <f>Inputs!L154/(Inputs!H154+Inputs!J154+Inputs!L154+Inputs!O154)</f>
        <v>0.55515722042715354</v>
      </c>
      <c r="G133" s="279">
        <f>Inputs!I154+Inputs!K154+Inputs!N154</f>
        <v>1618</v>
      </c>
      <c r="H133" s="45">
        <f t="shared" si="131"/>
        <v>2786467.2935856916</v>
      </c>
      <c r="I133" s="30"/>
      <c r="J133"/>
      <c r="K133"/>
      <c r="L133"/>
      <c r="M133"/>
      <c r="N133"/>
      <c r="O133"/>
      <c r="P133"/>
    </row>
    <row r="134" spans="1:16" x14ac:dyDescent="0.2">
      <c r="A134" s="44">
        <v>45657</v>
      </c>
      <c r="B134" s="45">
        <f>Inputs!D155+Inputs!E155</f>
        <v>3139170</v>
      </c>
      <c r="C134" s="290">
        <f t="shared" ref="C134:D134" si="133">C122</f>
        <v>823</v>
      </c>
      <c r="D134" s="290">
        <f t="shared" si="133"/>
        <v>0</v>
      </c>
      <c r="E134" s="275">
        <v>31</v>
      </c>
      <c r="F134" s="288">
        <f>Inputs!L155/(Inputs!H155+Inputs!J155+Inputs!L155+Inputs!O155)</f>
        <v>0.51826649951925297</v>
      </c>
      <c r="G134" s="279">
        <f>Inputs!I155+Inputs!K155+Inputs!N155</f>
        <v>1620</v>
      </c>
      <c r="H134" s="45">
        <f t="shared" si="131"/>
        <v>3045639.4275873164</v>
      </c>
      <c r="I134" s="30"/>
      <c r="J134"/>
      <c r="K134"/>
      <c r="L134"/>
      <c r="M134"/>
      <c r="N134"/>
      <c r="O134"/>
      <c r="P134"/>
    </row>
    <row r="135" spans="1:16" x14ac:dyDescent="0.2">
      <c r="A135" s="44">
        <v>45688</v>
      </c>
      <c r="B135" s="45"/>
      <c r="C135" s="274">
        <f>(C3+C15+C27+C39+C51+C63+C75+C87+C99+C111+C123)/11</f>
        <v>999.73636363636365</v>
      </c>
      <c r="D135" s="274">
        <f>(D3+D15+D27+D39+D51+D63+D75+D87+D99+D111+D123)/11</f>
        <v>0</v>
      </c>
      <c r="E135" s="275">
        <v>31</v>
      </c>
      <c r="F135" s="289">
        <v>0.51706048090679224</v>
      </c>
      <c r="G135" s="280">
        <f>'Rate Class Customer Model'!M11</f>
        <v>1619.5380145019603</v>
      </c>
      <c r="H135" s="45">
        <f t="shared" si="131"/>
        <v>3267188.5620309925</v>
      </c>
      <c r="I135" s="30"/>
      <c r="J135"/>
      <c r="K135"/>
      <c r="L135"/>
      <c r="M135"/>
      <c r="N135"/>
      <c r="O135"/>
      <c r="P135"/>
    </row>
    <row r="136" spans="1:16" x14ac:dyDescent="0.2">
      <c r="A136" s="44">
        <v>45716</v>
      </c>
      <c r="B136" s="45"/>
      <c r="C136" s="274">
        <f t="shared" ref="C136:D146" si="134">(C4+C16+C28+C40+C52+C64+C76+C88+C100+C112+C124)/11</f>
        <v>946.53636363636372</v>
      </c>
      <c r="D136" s="274">
        <f t="shared" si="134"/>
        <v>0</v>
      </c>
      <c r="E136" s="275">
        <v>28</v>
      </c>
      <c r="F136" s="288">
        <f>F135</f>
        <v>0.51706048090679224</v>
      </c>
      <c r="G136" s="280">
        <f>'Rate Class Customer Model'!M12</f>
        <v>1619.0761607512047</v>
      </c>
      <c r="H136" s="45">
        <f t="shared" si="131"/>
        <v>2895940.4595278027</v>
      </c>
      <c r="I136" s="30"/>
      <c r="J136"/>
      <c r="K136"/>
      <c r="L136"/>
      <c r="M136"/>
      <c r="N136"/>
      <c r="O136"/>
      <c r="P136"/>
    </row>
    <row r="137" spans="1:16" x14ac:dyDescent="0.2">
      <c r="A137" s="44">
        <v>45747</v>
      </c>
      <c r="B137" s="45"/>
      <c r="C137" s="274">
        <f t="shared" si="134"/>
        <v>733.42727272727291</v>
      </c>
      <c r="D137" s="274">
        <f t="shared" si="134"/>
        <v>0</v>
      </c>
      <c r="E137" s="275">
        <v>31</v>
      </c>
      <c r="F137" s="288">
        <f t="shared" ref="F137:F146" si="135">F136</f>
        <v>0.51706048090679224</v>
      </c>
      <c r="G137" s="280">
        <f>'Rate Class Customer Model'!M13</f>
        <v>1618.6144387101622</v>
      </c>
      <c r="H137" s="45">
        <f t="shared" si="131"/>
        <v>2916880.3724456495</v>
      </c>
      <c r="I137" s="30"/>
      <c r="J137"/>
      <c r="K137"/>
      <c r="L137"/>
      <c r="M137"/>
      <c r="N137"/>
      <c r="O137"/>
      <c r="P137"/>
    </row>
    <row r="138" spans="1:16" x14ac:dyDescent="0.2">
      <c r="A138" s="44">
        <v>45777</v>
      </c>
      <c r="B138" s="45"/>
      <c r="C138" s="274">
        <f t="shared" si="134"/>
        <v>519.54545454545439</v>
      </c>
      <c r="D138" s="274">
        <f t="shared" si="134"/>
        <v>0</v>
      </c>
      <c r="E138" s="275">
        <v>30</v>
      </c>
      <c r="F138" s="288">
        <f t="shared" si="135"/>
        <v>0.51706048090679224</v>
      </c>
      <c r="G138" s="280">
        <f>'Rate Class Customer Model'!M14</f>
        <v>1618.1528483412721</v>
      </c>
      <c r="H138" s="45">
        <f t="shared" si="131"/>
        <v>2537217.4070090242</v>
      </c>
      <c r="I138" s="30"/>
      <c r="J138"/>
      <c r="K138"/>
      <c r="L138"/>
      <c r="M138"/>
      <c r="N138"/>
      <c r="O138"/>
      <c r="P138"/>
    </row>
    <row r="139" spans="1:16" x14ac:dyDescent="0.2">
      <c r="A139" s="44">
        <v>45808</v>
      </c>
      <c r="B139" s="45"/>
      <c r="C139" s="274">
        <f t="shared" si="134"/>
        <v>253.77272727272731</v>
      </c>
      <c r="D139" s="274">
        <f t="shared" si="134"/>
        <v>3.9181818181818189</v>
      </c>
      <c r="E139" s="275">
        <v>31</v>
      </c>
      <c r="F139" s="288">
        <f t="shared" si="135"/>
        <v>0.51706048090679224</v>
      </c>
      <c r="G139" s="280">
        <f>'Rate Class Customer Model'!M15</f>
        <v>1617.691389606985</v>
      </c>
      <c r="H139" s="45">
        <f t="shared" si="131"/>
        <v>2330899.4993531834</v>
      </c>
      <c r="I139" s="30"/>
      <c r="J139"/>
      <c r="K139"/>
      <c r="L139"/>
      <c r="M139"/>
      <c r="N139"/>
      <c r="O139"/>
      <c r="P139"/>
    </row>
    <row r="140" spans="1:16" x14ac:dyDescent="0.2">
      <c r="A140" s="44">
        <v>45838</v>
      </c>
      <c r="B140" s="45"/>
      <c r="C140" s="274">
        <f t="shared" si="134"/>
        <v>92.218181818181833</v>
      </c>
      <c r="D140" s="274">
        <f t="shared" si="134"/>
        <v>19.445454545454542</v>
      </c>
      <c r="E140" s="275">
        <v>30</v>
      </c>
      <c r="F140" s="288">
        <f t="shared" si="135"/>
        <v>0.51706048090679224</v>
      </c>
      <c r="G140" s="280">
        <f>'Rate Class Customer Model'!M16</f>
        <v>1617.2300624697614</v>
      </c>
      <c r="H140" s="45">
        <f t="shared" si="131"/>
        <v>2180672.9582439158</v>
      </c>
      <c r="I140" s="30"/>
      <c r="J140"/>
      <c r="K140"/>
      <c r="L140"/>
      <c r="M140"/>
      <c r="N140"/>
      <c r="O140"/>
      <c r="P140"/>
    </row>
    <row r="141" spans="1:16" x14ac:dyDescent="0.2">
      <c r="A141" s="44">
        <v>45869</v>
      </c>
      <c r="B141" s="45"/>
      <c r="C141" s="274">
        <f t="shared" si="134"/>
        <v>33.063636363636363</v>
      </c>
      <c r="D141" s="274">
        <f t="shared" si="134"/>
        <v>38.281818181818174</v>
      </c>
      <c r="E141" s="275">
        <v>31</v>
      </c>
      <c r="F141" s="288">
        <f t="shared" si="135"/>
        <v>0.51706048090679224</v>
      </c>
      <c r="G141" s="280">
        <f>'Rate Class Customer Model'!M17</f>
        <v>1616.7688668920732</v>
      </c>
      <c r="H141" s="45">
        <f t="shared" si="131"/>
        <v>2397387.2114167102</v>
      </c>
      <c r="I141" s="30"/>
      <c r="J141"/>
      <c r="K141"/>
      <c r="L141"/>
      <c r="M141"/>
      <c r="N141"/>
      <c r="O141"/>
      <c r="P141"/>
    </row>
    <row r="142" spans="1:16" x14ac:dyDescent="0.2">
      <c r="A142" s="44">
        <v>45900</v>
      </c>
      <c r="B142" s="45"/>
      <c r="C142" s="274">
        <f t="shared" si="134"/>
        <v>44.609090909090916</v>
      </c>
      <c r="D142" s="274">
        <f t="shared" si="134"/>
        <v>29.781818181818174</v>
      </c>
      <c r="E142" s="275">
        <v>31</v>
      </c>
      <c r="F142" s="288">
        <f t="shared" si="135"/>
        <v>0.51706048090679224</v>
      </c>
      <c r="G142" s="280">
        <f>'Rate Class Customer Model'!M18</f>
        <v>1616.3078028364027</v>
      </c>
      <c r="H142" s="45">
        <f t="shared" si="131"/>
        <v>2321266.216194829</v>
      </c>
      <c r="I142" s="30"/>
      <c r="J142"/>
      <c r="K142"/>
      <c r="L142"/>
      <c r="M142"/>
      <c r="N142"/>
      <c r="O142"/>
      <c r="P142"/>
    </row>
    <row r="143" spans="1:16" x14ac:dyDescent="0.2">
      <c r="A143" s="44">
        <v>45930</v>
      </c>
      <c r="B143" s="45"/>
      <c r="C143" s="274">
        <f t="shared" si="134"/>
        <v>138.26363636363635</v>
      </c>
      <c r="D143" s="274">
        <f t="shared" si="134"/>
        <v>10</v>
      </c>
      <c r="E143" s="275">
        <v>30</v>
      </c>
      <c r="F143" s="288">
        <f t="shared" si="135"/>
        <v>0.51706048090679224</v>
      </c>
      <c r="G143" s="280">
        <f>'Rate Class Customer Model'!M19</f>
        <v>1615.8468702652431</v>
      </c>
      <c r="H143" s="45">
        <f t="shared" si="131"/>
        <v>2134210.1183573157</v>
      </c>
      <c r="I143" s="30"/>
      <c r="J143"/>
      <c r="K143"/>
      <c r="L143"/>
      <c r="M143"/>
      <c r="N143"/>
      <c r="O143"/>
      <c r="P143"/>
    </row>
    <row r="144" spans="1:16" x14ac:dyDescent="0.2">
      <c r="A144" s="44">
        <v>45961</v>
      </c>
      <c r="B144" s="45"/>
      <c r="C144" s="274">
        <f t="shared" si="134"/>
        <v>354.19090909090897</v>
      </c>
      <c r="D144" s="274">
        <f t="shared" si="134"/>
        <v>3.9636363636363638</v>
      </c>
      <c r="E144" s="275">
        <v>31</v>
      </c>
      <c r="F144" s="288">
        <f t="shared" si="135"/>
        <v>0.51706048090679224</v>
      </c>
      <c r="G144" s="280">
        <f>'Rate Class Customer Model'!M20</f>
        <v>1615.3860691410978</v>
      </c>
      <c r="H144" s="45">
        <f t="shared" si="131"/>
        <v>2448481.3819029778</v>
      </c>
      <c r="I144" s="30"/>
      <c r="J144"/>
      <c r="K144"/>
      <c r="L144"/>
      <c r="M144"/>
      <c r="N144"/>
      <c r="O144"/>
      <c r="P144"/>
    </row>
    <row r="145" spans="1:16" x14ac:dyDescent="0.2">
      <c r="A145" s="44">
        <v>45991</v>
      </c>
      <c r="B145" s="45"/>
      <c r="C145" s="274">
        <f t="shared" si="134"/>
        <v>593.99090909090921</v>
      </c>
      <c r="D145" s="274">
        <f t="shared" si="134"/>
        <v>0</v>
      </c>
      <c r="E145" s="275">
        <v>30</v>
      </c>
      <c r="F145" s="288">
        <f t="shared" si="135"/>
        <v>0.51706048090679224</v>
      </c>
      <c r="G145" s="280">
        <f>'Rate Class Customer Model'!M21</f>
        <v>1614.9253994264814</v>
      </c>
      <c r="H145" s="45">
        <f t="shared" si="131"/>
        <v>2615462.9537790865</v>
      </c>
      <c r="I145" s="30"/>
      <c r="P145"/>
    </row>
    <row r="146" spans="1:16" x14ac:dyDescent="0.2">
      <c r="A146" s="44">
        <v>46022</v>
      </c>
      <c r="B146" s="45"/>
      <c r="C146" s="274">
        <f>(C14+C26+C38+C50+C62+C74+C86+C98+C110+C122+C134)/11</f>
        <v>823</v>
      </c>
      <c r="D146" s="274">
        <f t="shared" si="134"/>
        <v>0</v>
      </c>
      <c r="E146" s="275">
        <v>31</v>
      </c>
      <c r="F146" s="288">
        <f t="shared" si="135"/>
        <v>0.51706048090679224</v>
      </c>
      <c r="G146" s="280">
        <f>'Rate Class Customer Model'!M22</f>
        <v>1614.464861083919</v>
      </c>
      <c r="H146" s="45">
        <f t="shared" si="131"/>
        <v>3009521.6436444083</v>
      </c>
      <c r="I146" s="30"/>
      <c r="P146"/>
    </row>
    <row r="147" spans="1:16" x14ac:dyDescent="0.2">
      <c r="A147" s="31"/>
      <c r="E147" s="9"/>
      <c r="P147"/>
    </row>
    <row r="148" spans="1:16" x14ac:dyDescent="0.2">
      <c r="A148" s="31"/>
      <c r="E148" s="9"/>
      <c r="P148"/>
    </row>
    <row r="149" spans="1:16" x14ac:dyDescent="0.2">
      <c r="A149" s="31"/>
      <c r="C149" s="71" t="s">
        <v>90</v>
      </c>
      <c r="D149" s="69"/>
      <c r="E149" s="9"/>
      <c r="P149"/>
    </row>
    <row r="150" spans="1:16" x14ac:dyDescent="0.2">
      <c r="A150" s="31"/>
      <c r="C150" s="72" t="s">
        <v>91</v>
      </c>
      <c r="D150" s="70"/>
      <c r="E150" s="9"/>
      <c r="H150" s="30">
        <f>SUM(H2:H146)</f>
        <v>387846013.55562735</v>
      </c>
      <c r="P150"/>
    </row>
    <row r="151" spans="1:16" x14ac:dyDescent="0.2">
      <c r="A151" s="31"/>
      <c r="C151" s="39"/>
      <c r="E151" s="9"/>
      <c r="I151" s="49"/>
      <c r="J151" s="291" t="s">
        <v>226</v>
      </c>
      <c r="P151"/>
    </row>
    <row r="152" spans="1:16" x14ac:dyDescent="0.2">
      <c r="A152" s="25">
        <v>2014</v>
      </c>
      <c r="B152" s="6">
        <f>SUM(B3:B14)</f>
        <v>25737257.069999997</v>
      </c>
      <c r="H152" s="6">
        <f>SUM(H3:H14)</f>
        <v>25365127.227606844</v>
      </c>
      <c r="I152" s="77">
        <f>'Power Purchased Model'!H152</f>
        <v>25885503.155275811</v>
      </c>
      <c r="J152" s="323">
        <f>H152/I152</f>
        <v>0.97989701322213218</v>
      </c>
      <c r="K152" s="5"/>
      <c r="L152" s="348"/>
      <c r="M152" s="5"/>
      <c r="N152" s="5"/>
      <c r="O152" s="5"/>
      <c r="P152"/>
    </row>
    <row r="153" spans="1:16" x14ac:dyDescent="0.2">
      <c r="A153" s="25">
        <v>2015</v>
      </c>
      <c r="B153" s="6">
        <f>SUM(B15:B26)</f>
        <v>34929593.239999995</v>
      </c>
      <c r="H153" s="6">
        <f>SUM(H15:H26)</f>
        <v>35019650.0360879</v>
      </c>
      <c r="I153" s="77">
        <f>'Power Purchased Model'!H153</f>
        <v>34895860.022439003</v>
      </c>
      <c r="J153" s="323">
        <f t="shared" ref="J153:J162" si="136">H153/I153</f>
        <v>1.0035474126033661</v>
      </c>
      <c r="K153" s="5"/>
      <c r="L153" s="5"/>
      <c r="M153" s="5"/>
      <c r="N153" s="5"/>
      <c r="O153" s="5"/>
      <c r="P153"/>
    </row>
    <row r="154" spans="1:16" x14ac:dyDescent="0.2">
      <c r="A154" s="25">
        <v>2016</v>
      </c>
      <c r="B154" s="6">
        <f>SUM(B27:B38)</f>
        <v>38074821.230769224</v>
      </c>
      <c r="H154" s="6">
        <f>SUM(H27:H38)</f>
        <v>36964637.939944513</v>
      </c>
      <c r="I154" s="77">
        <f>'Power Purchased Model'!H154</f>
        <v>36268063.807231545</v>
      </c>
      <c r="J154" s="323">
        <f t="shared" si="136"/>
        <v>1.0192062674317364</v>
      </c>
      <c r="K154" s="5"/>
      <c r="L154" s="5"/>
      <c r="M154" s="5"/>
      <c r="N154" s="5"/>
      <c r="O154" s="5"/>
      <c r="P154"/>
    </row>
    <row r="155" spans="1:16" x14ac:dyDescent="0.2">
      <c r="A155" s="25">
        <v>2017</v>
      </c>
      <c r="B155" s="6">
        <f>SUM(B39:B50)</f>
        <v>32032893.047619052</v>
      </c>
      <c r="H155" s="6">
        <f>SUM(H39:H50)</f>
        <v>33235678.533187091</v>
      </c>
      <c r="I155" s="77">
        <f>'Power Purchased Model'!H155</f>
        <v>32327823.883200567</v>
      </c>
      <c r="J155" s="323">
        <f t="shared" si="136"/>
        <v>1.0280827640383892</v>
      </c>
      <c r="K155" s="5"/>
      <c r="L155" s="5"/>
      <c r="M155" s="5"/>
      <c r="N155" s="5"/>
      <c r="O155" s="5"/>
      <c r="P155"/>
    </row>
    <row r="156" spans="1:16" x14ac:dyDescent="0.2">
      <c r="A156" s="25">
        <v>2018</v>
      </c>
      <c r="B156" s="6">
        <f>SUM(B51:B62)</f>
        <v>32615191.333333336</v>
      </c>
      <c r="H156" s="6">
        <f>SUM(H51:H62)</f>
        <v>32668453.210057031</v>
      </c>
      <c r="I156" s="77">
        <f>'Power Purchased Model'!H156</f>
        <v>33368600.356360652</v>
      </c>
      <c r="J156" s="323">
        <f t="shared" si="136"/>
        <v>0.97901778501865877</v>
      </c>
      <c r="K156" s="5"/>
      <c r="L156" s="5"/>
      <c r="M156" s="5"/>
      <c r="N156" s="5"/>
      <c r="O156" s="5"/>
      <c r="P156"/>
    </row>
    <row r="157" spans="1:16" x14ac:dyDescent="0.2">
      <c r="A157" s="25">
        <v>2019</v>
      </c>
      <c r="B157" s="6">
        <f>SUM(B63:B74)</f>
        <v>31966205</v>
      </c>
      <c r="H157" s="6">
        <f>SUM(H63:H74)</f>
        <v>32053893.969004311</v>
      </c>
      <c r="I157" s="77">
        <f>'Power Purchased Model'!H157</f>
        <v>32482536.697219722</v>
      </c>
      <c r="J157" s="323">
        <f t="shared" si="136"/>
        <v>0.98680390228722192</v>
      </c>
      <c r="K157" s="5"/>
      <c r="L157" s="5"/>
      <c r="M157" s="5"/>
      <c r="N157" s="5"/>
      <c r="O157" s="5"/>
      <c r="P157"/>
    </row>
    <row r="158" spans="1:16" x14ac:dyDescent="0.2">
      <c r="A158" s="25">
        <v>2020</v>
      </c>
      <c r="B158" s="6">
        <f>SUM(B75:B86)</f>
        <v>32780485.850000001</v>
      </c>
      <c r="H158" s="6">
        <f>SUM(H75:H86)</f>
        <v>33244713.495217018</v>
      </c>
      <c r="I158" s="77">
        <f>'Power Purchased Model'!H158</f>
        <v>33781714.039513543</v>
      </c>
      <c r="J158" s="323">
        <f t="shared" si="136"/>
        <v>0.98410381001779812</v>
      </c>
      <c r="K158" s="5"/>
      <c r="L158" s="5"/>
      <c r="M158" s="5"/>
      <c r="N158" s="5"/>
      <c r="O158" s="5"/>
      <c r="P158"/>
    </row>
    <row r="159" spans="1:16" x14ac:dyDescent="0.2">
      <c r="A159" s="25">
        <v>2021</v>
      </c>
      <c r="B159" s="6">
        <f>SUM(B87:B98)</f>
        <v>33741759</v>
      </c>
      <c r="H159" s="6">
        <f>SUM(H87:H98)</f>
        <v>33102550.226466149</v>
      </c>
      <c r="I159" s="77">
        <f>'Power Purchased Model'!H159</f>
        <v>33269503.836934485</v>
      </c>
      <c r="J159" s="323">
        <f t="shared" si="136"/>
        <v>0.99498178237683876</v>
      </c>
      <c r="K159" s="5"/>
      <c r="L159" s="5"/>
      <c r="M159" s="5"/>
      <c r="N159" s="5"/>
      <c r="O159" s="5"/>
      <c r="P159"/>
    </row>
    <row r="160" spans="1:16" x14ac:dyDescent="0.2">
      <c r="A160" s="25">
        <v>2022</v>
      </c>
      <c r="B160" s="6">
        <f>SUM(B99:B110)</f>
        <v>32081389</v>
      </c>
      <c r="H160" s="6">
        <f>SUM(H99:H110)</f>
        <v>31236924.485550344</v>
      </c>
      <c r="I160" s="77">
        <f>'Power Purchased Model'!H160</f>
        <v>31668233.564430892</v>
      </c>
      <c r="J160" s="323">
        <f t="shared" si="136"/>
        <v>0.98638038721032473</v>
      </c>
      <c r="K160" s="5"/>
      <c r="L160" s="5"/>
      <c r="M160" s="5"/>
      <c r="N160" s="5"/>
      <c r="O160" s="5"/>
      <c r="P160"/>
    </row>
    <row r="161" spans="1:18" x14ac:dyDescent="0.2">
      <c r="A161" s="25">
        <v>2023</v>
      </c>
      <c r="B161" s="6">
        <f>SUM(B111:B122)</f>
        <v>31929641</v>
      </c>
      <c r="H161" s="6">
        <f>SUM(H111:H122)</f>
        <v>32462148.880704049</v>
      </c>
      <c r="I161" s="77">
        <f>'Power Purchased Model'!H161</f>
        <v>32150170.482867278</v>
      </c>
      <c r="J161" s="323">
        <f t="shared" si="136"/>
        <v>1.0097037867342888</v>
      </c>
      <c r="K161" s="5"/>
      <c r="L161" s="5"/>
      <c r="M161" s="5"/>
      <c r="N161" s="5"/>
      <c r="O161" s="5"/>
      <c r="P161"/>
    </row>
    <row r="162" spans="1:18" x14ac:dyDescent="0.2">
      <c r="A162" s="25">
        <v>2024</v>
      </c>
      <c r="B162" s="6">
        <f>SUM(B123:B134)</f>
        <v>30901649</v>
      </c>
      <c r="H162" s="6">
        <f>SUM(H123:H134)</f>
        <v>31437106.767896753</v>
      </c>
      <c r="I162" s="77">
        <f>'Power Purchased Model'!H162</f>
        <v>30692874.926248491</v>
      </c>
      <c r="J162" s="323">
        <f t="shared" si="136"/>
        <v>1.0242477071123695</v>
      </c>
      <c r="K162" s="5"/>
      <c r="L162" s="5"/>
      <c r="M162" s="5"/>
      <c r="N162" s="5"/>
      <c r="O162" s="5"/>
      <c r="P162"/>
    </row>
    <row r="163" spans="1:18" x14ac:dyDescent="0.2">
      <c r="A163" s="25">
        <v>2025</v>
      </c>
      <c r="H163" s="14">
        <f>SUM(H135:H146)</f>
        <v>31055128.783905894</v>
      </c>
      <c r="I163" s="22"/>
      <c r="J163" s="5"/>
      <c r="K163" s="5"/>
      <c r="L163" s="5"/>
      <c r="M163" s="5"/>
      <c r="N163" s="5"/>
      <c r="O163" s="5"/>
      <c r="P163"/>
      <c r="Q163" s="6"/>
      <c r="R163" s="33"/>
    </row>
    <row r="164" spans="1:18" x14ac:dyDescent="0.2">
      <c r="H164" s="6"/>
      <c r="P164"/>
      <c r="Q164" s="6"/>
      <c r="R164" s="33"/>
    </row>
    <row r="165" spans="1:18" x14ac:dyDescent="0.2">
      <c r="A165" s="39" t="s">
        <v>8</v>
      </c>
      <c r="B165" s="6">
        <f>SUM(B152:B162)</f>
        <v>356790884.7717216</v>
      </c>
      <c r="H165" s="6">
        <f>SUM(H152:H162)</f>
        <v>356790884.77172202</v>
      </c>
      <c r="I165" s="30">
        <f>H165-B165</f>
        <v>0</v>
      </c>
      <c r="J165" s="1" t="s">
        <v>66</v>
      </c>
      <c r="P165" s="5"/>
      <c r="Q165" s="6"/>
      <c r="R165" s="33"/>
    </row>
    <row r="166" spans="1:18" x14ac:dyDescent="0.2">
      <c r="P166" s="5"/>
      <c r="Q166" s="6"/>
      <c r="R166" s="33"/>
    </row>
    <row r="167" spans="1:18" x14ac:dyDescent="0.2">
      <c r="H167" s="6">
        <f>SUM(H152:H163)</f>
        <v>387846013.55562794</v>
      </c>
      <c r="I167" s="30">
        <f>H150-H167</f>
        <v>-5.9604644775390625E-7</v>
      </c>
      <c r="P167" s="5"/>
      <c r="Q167" s="6"/>
      <c r="R167" s="33"/>
    </row>
    <row r="168" spans="1:18" x14ac:dyDescent="0.2">
      <c r="H168" s="392"/>
      <c r="I168" s="392"/>
      <c r="J168"/>
      <c r="K168"/>
      <c r="L168"/>
      <c r="M168"/>
      <c r="N168"/>
      <c r="O168"/>
      <c r="P168" s="5"/>
      <c r="Q168" s="6"/>
      <c r="R168" s="33"/>
    </row>
    <row r="169" spans="1:18" x14ac:dyDescent="0.2">
      <c r="P169" s="6"/>
      <c r="Q169" s="6"/>
      <c r="R169" s="33"/>
    </row>
    <row r="170" spans="1:18" x14ac:dyDescent="0.2">
      <c r="B170" s="284"/>
      <c r="P170" s="6"/>
      <c r="Q170" s="6"/>
      <c r="R170" s="33"/>
    </row>
    <row r="171" spans="1:18" x14ac:dyDescent="0.2">
      <c r="A171"/>
      <c r="B171"/>
      <c r="C171"/>
      <c r="D171"/>
      <c r="E171"/>
      <c r="F171"/>
      <c r="G171"/>
      <c r="H171"/>
      <c r="I171"/>
    </row>
    <row r="172" spans="1:18" x14ac:dyDescent="0.2">
      <c r="A172"/>
      <c r="B172"/>
      <c r="C172"/>
      <c r="D172"/>
      <c r="E172"/>
      <c r="F172"/>
      <c r="G172"/>
      <c r="H172"/>
      <c r="I172"/>
    </row>
    <row r="173" spans="1:18" x14ac:dyDescent="0.2">
      <c r="A173"/>
      <c r="B173"/>
      <c r="C173"/>
      <c r="D173"/>
      <c r="E173"/>
      <c r="F173"/>
      <c r="G173"/>
      <c r="H173"/>
      <c r="I173"/>
    </row>
    <row r="174" spans="1:18" x14ac:dyDescent="0.2">
      <c r="A174"/>
      <c r="B174"/>
      <c r="C174"/>
      <c r="D174"/>
      <c r="E174"/>
      <c r="F174"/>
      <c r="G174"/>
      <c r="H174"/>
      <c r="I174"/>
    </row>
    <row r="175" spans="1:18" x14ac:dyDescent="0.2">
      <c r="A175"/>
      <c r="B175"/>
      <c r="C175"/>
      <c r="D175"/>
      <c r="E175"/>
      <c r="F175"/>
      <c r="G175"/>
      <c r="H175"/>
      <c r="I175"/>
    </row>
    <row r="176" spans="1:18" x14ac:dyDescent="0.2">
      <c r="A176"/>
      <c r="B176"/>
      <c r="C176"/>
      <c r="D176"/>
      <c r="E176"/>
      <c r="F176"/>
      <c r="G176"/>
      <c r="H176"/>
      <c r="I176"/>
    </row>
    <row r="177" spans="1:16" x14ac:dyDescent="0.2">
      <c r="A177"/>
      <c r="B177"/>
      <c r="C177"/>
      <c r="D177"/>
      <c r="E177"/>
      <c r="F177"/>
      <c r="G177"/>
      <c r="H177"/>
      <c r="I177"/>
    </row>
    <row r="178" spans="1:16" x14ac:dyDescent="0.2">
      <c r="A178"/>
      <c r="B178"/>
      <c r="C178"/>
      <c r="D178"/>
      <c r="E178"/>
      <c r="F178"/>
      <c r="G178"/>
      <c r="H178"/>
      <c r="I178"/>
    </row>
    <row r="179" spans="1:16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</row>
    <row r="180" spans="1:16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</row>
    <row r="181" spans="1:16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</row>
    <row r="182" spans="1:16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</row>
    <row r="183" spans="1:16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</row>
    <row r="184" spans="1:16" x14ac:dyDescent="0.2">
      <c r="A184"/>
      <c r="J184"/>
      <c r="K184"/>
      <c r="L184"/>
      <c r="M184"/>
      <c r="N184"/>
      <c r="O184"/>
      <c r="P184"/>
    </row>
    <row r="185" spans="1:16" x14ac:dyDescent="0.2">
      <c r="A185"/>
      <c r="J185"/>
      <c r="K185"/>
      <c r="L185"/>
      <c r="M185"/>
      <c r="N185"/>
      <c r="O185"/>
      <c r="P185"/>
    </row>
    <row r="186" spans="1:16" x14ac:dyDescent="0.2">
      <c r="A186"/>
      <c r="J186"/>
      <c r="K186"/>
      <c r="L186"/>
      <c r="M186"/>
      <c r="N186"/>
      <c r="O186"/>
      <c r="P186"/>
    </row>
    <row r="187" spans="1:16" x14ac:dyDescent="0.2">
      <c r="A187"/>
      <c r="J187"/>
      <c r="K187"/>
      <c r="L187"/>
      <c r="M187"/>
      <c r="N187"/>
      <c r="O187"/>
      <c r="P187"/>
    </row>
    <row r="188" spans="1:16" x14ac:dyDescent="0.2">
      <c r="A188"/>
      <c r="J188"/>
      <c r="K188"/>
      <c r="L188"/>
      <c r="M188"/>
      <c r="N188"/>
      <c r="O188"/>
      <c r="P188"/>
    </row>
    <row r="189" spans="1:16" x14ac:dyDescent="0.2">
      <c r="A189"/>
      <c r="J189"/>
      <c r="K189"/>
      <c r="L189"/>
      <c r="M189"/>
      <c r="N189"/>
      <c r="O189"/>
      <c r="P189"/>
    </row>
    <row r="190" spans="1:16" x14ac:dyDescent="0.2">
      <c r="A190"/>
      <c r="J190"/>
      <c r="K190"/>
      <c r="L190"/>
      <c r="M190"/>
      <c r="N190"/>
      <c r="O190"/>
      <c r="P190"/>
    </row>
    <row r="191" spans="1:16" x14ac:dyDescent="0.2">
      <c r="A191"/>
      <c r="J191"/>
      <c r="K191"/>
      <c r="L191"/>
      <c r="M191"/>
      <c r="N191"/>
      <c r="O191"/>
      <c r="P191"/>
    </row>
    <row r="192" spans="1:16" x14ac:dyDescent="0.2">
      <c r="A192"/>
      <c r="J192"/>
      <c r="K192"/>
      <c r="L192"/>
      <c r="M192"/>
      <c r="N192"/>
      <c r="O192"/>
      <c r="P192"/>
    </row>
    <row r="193" spans="1:16" x14ac:dyDescent="0.2">
      <c r="A193"/>
      <c r="J193"/>
      <c r="K193"/>
      <c r="L193"/>
      <c r="M193"/>
      <c r="N193"/>
      <c r="O193"/>
      <c r="P193"/>
    </row>
    <row r="194" spans="1:16" x14ac:dyDescent="0.2">
      <c r="A194"/>
      <c r="J194"/>
      <c r="K194"/>
      <c r="L194"/>
      <c r="M194"/>
      <c r="N194"/>
      <c r="O194"/>
      <c r="P194"/>
    </row>
    <row r="195" spans="1:16" customFormat="1" x14ac:dyDescent="0.2"/>
    <row r="196" spans="1:16" customFormat="1" x14ac:dyDescent="0.2"/>
  </sheetData>
  <mergeCells count="1">
    <mergeCell ref="H168:I168"/>
  </mergeCells>
  <printOptions gridLines="1"/>
  <pageMargins left="0.38" right="0.75" top="0.73" bottom="0.74" header="0.5" footer="0.5"/>
  <pageSetup scale="15" orientation="landscape" r:id="rId1"/>
  <headerFooter alignWithMargins="0">
    <oddFooter>&amp;L&amp;Z&amp;F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pageSetUpPr fitToPage="1"/>
  </sheetPr>
  <dimension ref="A2:S58"/>
  <sheetViews>
    <sheetView workbookViewId="0">
      <pane xSplit="2" ySplit="2" topLeftCell="C12" activePane="bottomRight" state="frozen"/>
      <selection pane="topRight" activeCell="C1" sqref="C1"/>
      <selection pane="bottomLeft" activeCell="A3" sqref="A3"/>
      <selection pane="bottomRight" activeCell="J13" sqref="J13"/>
    </sheetView>
  </sheetViews>
  <sheetFormatPr defaultRowHeight="12.75" x14ac:dyDescent="0.2"/>
  <cols>
    <col min="1" max="1" width="21.5703125" customWidth="1"/>
    <col min="2" max="5" width="18" style="1" customWidth="1"/>
    <col min="6" max="6" width="15.5703125" style="1" customWidth="1"/>
    <col min="7" max="7" width="15.5703125" style="6" customWidth="1"/>
    <col min="8" max="11" width="14" style="6" customWidth="1"/>
    <col min="12" max="13" width="16.85546875" customWidth="1"/>
    <col min="14" max="14" width="14.42578125" customWidth="1"/>
    <col min="15" max="15" width="12.5703125" bestFit="1" customWidth="1"/>
    <col min="16" max="16" width="11.5703125" bestFit="1" customWidth="1"/>
    <col min="17" max="17" width="14" customWidth="1"/>
    <col min="18" max="18" width="10.140625" bestFit="1" customWidth="1"/>
    <col min="19" max="19" width="12.5703125" style="6" bestFit="1" customWidth="1"/>
  </cols>
  <sheetData>
    <row r="2" spans="1:19" s="276" customFormat="1" ht="38.25" x14ac:dyDescent="0.2">
      <c r="B2" s="277" t="s">
        <v>5</v>
      </c>
      <c r="C2" s="277" t="s">
        <v>6</v>
      </c>
      <c r="D2" s="277" t="s">
        <v>30</v>
      </c>
      <c r="E2" s="277" t="s">
        <v>7</v>
      </c>
      <c r="F2" s="277" t="s">
        <v>0</v>
      </c>
      <c r="G2" s="8" t="s">
        <v>2</v>
      </c>
      <c r="H2" s="278" t="str">
        <f>Inputs!B4</f>
        <v>Residential</v>
      </c>
      <c r="I2" s="278" t="str">
        <f>Inputs!C4</f>
        <v>General Service &lt; 50 kW</v>
      </c>
      <c r="J2" s="278" t="str">
        <f>Inputs!D4</f>
        <v>General Service &gt; 50 to 4999 kW</v>
      </c>
      <c r="K2" s="278" t="str">
        <f>Inputs!E4</f>
        <v>Street Lights</v>
      </c>
      <c r="S2" s="20"/>
    </row>
    <row r="3" spans="1:19" x14ac:dyDescent="0.2">
      <c r="A3">
        <v>2014</v>
      </c>
      <c r="B3" s="53">
        <f>+'Power Purchased Model'!B152</f>
        <v>25737257.069999997</v>
      </c>
      <c r="C3" s="53">
        <f>+'Power Purchased Model'!H152</f>
        <v>25885503.155275811</v>
      </c>
      <c r="D3" s="22">
        <f>C3-B3</f>
        <v>148246.08527581394</v>
      </c>
      <c r="E3" s="5">
        <f>D3/B3</f>
        <v>5.7599799727148611E-3</v>
      </c>
      <c r="F3" s="16">
        <f>1 +(B3-G3)/G3</f>
        <v>1.1009772090458949</v>
      </c>
      <c r="G3" s="6">
        <f>SUM(H3:K3)</f>
        <v>23376739.190000001</v>
      </c>
      <c r="H3" s="35">
        <f>SUMIF(Inputs!$A$24:$A$155,'Rate Class Energy Model'!A3,Inputs!$H$24:$H$155)</f>
        <v>9746016.6500000004</v>
      </c>
      <c r="I3" s="35">
        <f>SUMIF(Inputs!$A$24:$A$155,'Rate Class Energy Model'!A3,Inputs!$J$24:$J$155)</f>
        <v>5326984.41</v>
      </c>
      <c r="J3" s="35">
        <f>SUMIF(Inputs!$A$24:$A$155,'Rate Class Energy Model'!A3,Inputs!$L$24:$L$155)</f>
        <v>7837175.5100000007</v>
      </c>
      <c r="K3" s="35">
        <f>SUMIF(Inputs!$A$24:$A$155,'Rate Class Energy Model'!A3,Inputs!$O$24:$O$155)</f>
        <v>466562.62</v>
      </c>
    </row>
    <row r="4" spans="1:19" x14ac:dyDescent="0.2">
      <c r="A4">
        <v>2015</v>
      </c>
      <c r="B4" s="53">
        <f>+'Power Purchased Model'!B153</f>
        <v>34929593.239999995</v>
      </c>
      <c r="C4" s="53">
        <f>+'Power Purchased Model'!H153</f>
        <v>34895860.022439003</v>
      </c>
      <c r="D4" s="22">
        <f t="shared" ref="D4:D11" si="0">C4-B4</f>
        <v>-33733.217560991645</v>
      </c>
      <c r="E4" s="5">
        <f t="shared" ref="E4:E11" si="1">D4/B4</f>
        <v>-9.6574893756168031E-4</v>
      </c>
      <c r="F4" s="16">
        <f>1 +(B4-G4)/G4</f>
        <v>1.0778645391484822</v>
      </c>
      <c r="G4" s="6">
        <f t="shared" ref="G4:G12" si="2">SUM(H4:K4)</f>
        <v>32406292.23</v>
      </c>
      <c r="H4" s="35">
        <f>SUMIF(Inputs!$A$24:$A$155,'Rate Class Energy Model'!A4,Inputs!$H$24:$H$155)</f>
        <v>9228521.790000001</v>
      </c>
      <c r="I4" s="35">
        <f>SUMIF(Inputs!$A$24:$A$155,'Rate Class Energy Model'!A4,Inputs!$J$24:$J$155)</f>
        <v>5132274.67</v>
      </c>
      <c r="J4" s="35">
        <f>SUMIF(Inputs!$A$24:$A$155,'Rate Class Energy Model'!A4,Inputs!$L$24:$L$155)</f>
        <v>17581899.640000001</v>
      </c>
      <c r="K4" s="35">
        <f>SUMIF(Inputs!$A$24:$A$155,'Rate Class Energy Model'!A4,Inputs!$O$24:$O$155)</f>
        <v>463596.13</v>
      </c>
    </row>
    <row r="5" spans="1:19" x14ac:dyDescent="0.2">
      <c r="A5">
        <v>2016</v>
      </c>
      <c r="B5" s="53">
        <f>+'Power Purchased Model'!B154</f>
        <v>38074821.230769224</v>
      </c>
      <c r="C5" s="53">
        <f>+'Power Purchased Model'!H154</f>
        <v>36268063.807231545</v>
      </c>
      <c r="D5" s="22">
        <f t="shared" si="0"/>
        <v>-1806757.423537679</v>
      </c>
      <c r="E5" s="5">
        <f t="shared" si="1"/>
        <v>-4.745281435694812E-2</v>
      </c>
      <c r="F5" s="16">
        <f>1 +(B5-G5)/G5</f>
        <v>1.0714899887286331</v>
      </c>
      <c r="G5" s="6">
        <f t="shared" si="2"/>
        <v>35534462.879999995</v>
      </c>
      <c r="H5" s="35">
        <f>SUMIF(Inputs!$A$24:$A$155,'Rate Class Energy Model'!A5,Inputs!$H$24:$H$155)</f>
        <v>8885317.2299999986</v>
      </c>
      <c r="I5" s="35">
        <f>SUMIF(Inputs!$A$24:$A$155,'Rate Class Energy Model'!A5,Inputs!$J$24:$J$155)</f>
        <v>4951710.95</v>
      </c>
      <c r="J5" s="35">
        <f>SUMIF(Inputs!$A$24:$A$155,'Rate Class Energy Model'!A5,Inputs!$L$24:$L$155)</f>
        <v>21235005.439999998</v>
      </c>
      <c r="K5" s="35">
        <f>SUMIF(Inputs!$A$24:$A$155,'Rate Class Energy Model'!A5,Inputs!$O$24:$O$155)</f>
        <v>462429.26</v>
      </c>
    </row>
    <row r="6" spans="1:19" x14ac:dyDescent="0.2">
      <c r="A6">
        <v>2017</v>
      </c>
      <c r="B6" s="53">
        <f>+'Power Purchased Model'!B155</f>
        <v>32032893.047619052</v>
      </c>
      <c r="C6" s="53">
        <f>+'Power Purchased Model'!H155</f>
        <v>32327823.883200567</v>
      </c>
      <c r="D6" s="22">
        <f t="shared" si="0"/>
        <v>294930.83558151498</v>
      </c>
      <c r="E6" s="5">
        <f t="shared" si="1"/>
        <v>9.2071245373647782E-3</v>
      </c>
      <c r="F6" s="16">
        <f t="shared" ref="F6:F11" si="3">1 +(B6-G6)/G6</f>
        <v>1.0818305623365716</v>
      </c>
      <c r="G6" s="6">
        <f t="shared" si="2"/>
        <v>29609898.409999996</v>
      </c>
      <c r="H6" s="35">
        <f>SUMIF(Inputs!$A$24:$A$155,'Rate Class Energy Model'!A6,Inputs!$H$24:$H$155)</f>
        <v>8711446.4899999984</v>
      </c>
      <c r="I6" s="35">
        <f>SUMIF(Inputs!$A$24:$A$155,'Rate Class Energy Model'!A6,Inputs!$J$24:$J$155)</f>
        <v>4776480.3099999996</v>
      </c>
      <c r="J6" s="35">
        <f>SUMIF(Inputs!$A$24:$A$155,'Rate Class Energy Model'!A6,Inputs!$L$24:$L$155)</f>
        <v>15667365</v>
      </c>
      <c r="K6" s="35">
        <f>SUMIF(Inputs!$A$24:$A$155,'Rate Class Energy Model'!A6,Inputs!$O$24:$O$155)</f>
        <v>454606.61000000004</v>
      </c>
    </row>
    <row r="7" spans="1:19" x14ac:dyDescent="0.2">
      <c r="A7">
        <v>2018</v>
      </c>
      <c r="B7" s="53">
        <f>+'Power Purchased Model'!B156</f>
        <v>32615191.333333336</v>
      </c>
      <c r="C7" s="53">
        <f>+'Power Purchased Model'!H156</f>
        <v>33368600.356360652</v>
      </c>
      <c r="D7" s="22">
        <f t="shared" si="0"/>
        <v>753409.02302731574</v>
      </c>
      <c r="E7" s="5">
        <f t="shared" si="1"/>
        <v>2.3099941843889096E-2</v>
      </c>
      <c r="F7" s="16">
        <f t="shared" si="3"/>
        <v>1.0819255748540497</v>
      </c>
      <c r="G7" s="6">
        <f t="shared" si="2"/>
        <v>30145503.620000001</v>
      </c>
      <c r="H7" s="35">
        <f>SUMIF(Inputs!$A$24:$A$155,'Rate Class Energy Model'!A7,Inputs!$H$24:$H$155)</f>
        <v>9142615.4499999993</v>
      </c>
      <c r="I7" s="35">
        <f>SUMIF(Inputs!$A$24:$A$155,'Rate Class Energy Model'!A7,Inputs!$J$24:$J$155)</f>
        <v>4728871.66</v>
      </c>
      <c r="J7" s="35">
        <f>SUMIF(Inputs!$A$24:$A$155,'Rate Class Energy Model'!A7,Inputs!$L$24:$L$155)</f>
        <v>15854585.91</v>
      </c>
      <c r="K7" s="35">
        <f>SUMIF(Inputs!$A$24:$A$155,'Rate Class Energy Model'!A7,Inputs!$O$24:$O$155)</f>
        <v>419430.60000000003</v>
      </c>
    </row>
    <row r="8" spans="1:19" x14ac:dyDescent="0.2">
      <c r="A8">
        <v>2019</v>
      </c>
      <c r="B8" s="53">
        <f>+'Power Purchased Model'!B157</f>
        <v>31966205</v>
      </c>
      <c r="C8" s="53">
        <f>+'Power Purchased Model'!H157</f>
        <v>32482536.697219722</v>
      </c>
      <c r="D8" s="22">
        <f t="shared" si="0"/>
        <v>516331.69721972197</v>
      </c>
      <c r="E8" s="5">
        <f t="shared" si="1"/>
        <v>1.6152424012162908E-2</v>
      </c>
      <c r="F8" s="16">
        <f t="shared" si="3"/>
        <v>1.0809041676764415</v>
      </c>
      <c r="G8" s="6">
        <f t="shared" si="2"/>
        <v>29573579.190388303</v>
      </c>
      <c r="H8" s="35">
        <f>SUMIF(Inputs!$A$24:$A$155,'Rate Class Energy Model'!A8,Inputs!$H$24:$H$155)</f>
        <v>9094155.1499999985</v>
      </c>
      <c r="I8" s="35">
        <f>SUMIF(Inputs!$A$24:$A$155,'Rate Class Energy Model'!A8,Inputs!$J$24:$J$155)</f>
        <v>4649964.6899999995</v>
      </c>
      <c r="J8" s="35">
        <f>SUMIF(Inputs!$A$24:$A$155,'Rate Class Energy Model'!A8,Inputs!$L$24:$L$155)</f>
        <v>15421989.340388302</v>
      </c>
      <c r="K8" s="35">
        <f>SUMIF(Inputs!$A$24:$A$155,'Rate Class Energy Model'!A8,Inputs!$O$24:$O$155)</f>
        <v>407470.01000000013</v>
      </c>
    </row>
    <row r="9" spans="1:19" x14ac:dyDescent="0.2">
      <c r="A9">
        <v>2020</v>
      </c>
      <c r="B9" s="53">
        <f>+'Power Purchased Model'!B158</f>
        <v>32780485.850000001</v>
      </c>
      <c r="C9" s="53">
        <f>+'Power Purchased Model'!H158</f>
        <v>33781714.039513543</v>
      </c>
      <c r="D9" s="22">
        <f t="shared" si="0"/>
        <v>1001228.1895135418</v>
      </c>
      <c r="E9" s="5">
        <f t="shared" si="1"/>
        <v>3.0543421293236925E-2</v>
      </c>
      <c r="F9" s="16">
        <f t="shared" si="3"/>
        <v>1.0748430498864014</v>
      </c>
      <c r="G9" s="6">
        <f t="shared" si="2"/>
        <v>30497927.909999996</v>
      </c>
      <c r="H9" s="35">
        <f>SUMIF(Inputs!$A$24:$A$155,'Rate Class Energy Model'!A9,Inputs!$H$24:$H$155)</f>
        <v>9262308.5</v>
      </c>
      <c r="I9" s="35">
        <f>SUMIF(Inputs!$A$24:$A$155,'Rate Class Energy Model'!A9,Inputs!$J$24:$J$155)</f>
        <v>4251506.3099999996</v>
      </c>
      <c r="J9" s="35">
        <f>SUMIF(Inputs!$A$24:$A$155,'Rate Class Energy Model'!A9,Inputs!$L$24:$L$155)</f>
        <v>16578363.700000001</v>
      </c>
      <c r="K9" s="35">
        <f>SUMIF(Inputs!$A$24:$A$155,'Rate Class Energy Model'!A9,Inputs!$O$24:$O$155)</f>
        <v>405749.39999999997</v>
      </c>
    </row>
    <row r="10" spans="1:19" x14ac:dyDescent="0.2">
      <c r="A10">
        <v>2021</v>
      </c>
      <c r="B10" s="53">
        <f>+'Power Purchased Model'!B159</f>
        <v>33741759</v>
      </c>
      <c r="C10" s="53">
        <f>+'Power Purchased Model'!H159</f>
        <v>33269503.836934485</v>
      </c>
      <c r="D10" s="22">
        <f t="shared" si="0"/>
        <v>-472255.16306551546</v>
      </c>
      <c r="E10" s="5">
        <f t="shared" si="1"/>
        <v>-1.3996163124320681E-2</v>
      </c>
      <c r="F10" s="16">
        <f t="shared" si="3"/>
        <v>1.0648332155651532</v>
      </c>
      <c r="G10" s="6">
        <f t="shared" si="2"/>
        <v>31687365.220000003</v>
      </c>
      <c r="H10" s="35">
        <f>SUMIF(Inputs!$A$24:$A$155,'Rate Class Energy Model'!A10,Inputs!$H$24:$H$155)</f>
        <v>9440222.7800000012</v>
      </c>
      <c r="I10" s="35">
        <f>SUMIF(Inputs!$A$24:$A$155,'Rate Class Energy Model'!A10,Inputs!$J$24:$J$155)</f>
        <v>4361718.66</v>
      </c>
      <c r="J10" s="35">
        <f>SUMIF(Inputs!$A$24:$A$155,'Rate Class Energy Model'!A10,Inputs!$L$24:$L$155)</f>
        <v>17481240.91</v>
      </c>
      <c r="K10" s="35">
        <f>SUMIF(Inputs!$A$24:$A$155,'Rate Class Energy Model'!A10,Inputs!$O$24:$O$155)</f>
        <v>404182.86999999994</v>
      </c>
    </row>
    <row r="11" spans="1:19" x14ac:dyDescent="0.2">
      <c r="A11">
        <v>2022</v>
      </c>
      <c r="B11" s="53">
        <f>+'Power Purchased Model'!B160</f>
        <v>32081389</v>
      </c>
      <c r="C11" s="53">
        <f>+'Power Purchased Model'!H160</f>
        <v>31668233.564430892</v>
      </c>
      <c r="D11" s="22">
        <f t="shared" si="0"/>
        <v>-413155.43556910753</v>
      </c>
      <c r="E11" s="5">
        <f t="shared" si="1"/>
        <v>-1.2878352479348931E-2</v>
      </c>
      <c r="F11" s="16">
        <f t="shared" si="3"/>
        <v>1.0700505171991657</v>
      </c>
      <c r="G11" s="6">
        <f t="shared" si="2"/>
        <v>29981191.059999999</v>
      </c>
      <c r="H11" s="35">
        <f>SUMIF(Inputs!$A$24:$A$155,'Rate Class Energy Model'!A11,Inputs!$H$24:$H$155)</f>
        <v>9369383.0700000003</v>
      </c>
      <c r="I11" s="35">
        <f>SUMIF(Inputs!$A$24:$A$155,'Rate Class Energy Model'!A11,Inputs!$J$24:$J$155)</f>
        <v>4638599.13</v>
      </c>
      <c r="J11" s="35">
        <f>SUMIF(Inputs!$A$24:$A$155,'Rate Class Energy Model'!A11,Inputs!$L$24:$L$155)</f>
        <v>15578432.450000001</v>
      </c>
      <c r="K11" s="35">
        <f>SUMIF(Inputs!$A$24:$A$155,'Rate Class Energy Model'!A11,Inputs!$O$24:$O$155)</f>
        <v>394776.41</v>
      </c>
    </row>
    <row r="12" spans="1:19" x14ac:dyDescent="0.2">
      <c r="A12">
        <v>2023</v>
      </c>
      <c r="B12" s="53">
        <f>+'Power Purchased Model'!B161</f>
        <v>31929641</v>
      </c>
      <c r="C12" s="53">
        <f>+'Power Purchased Model'!H161</f>
        <v>32150170.482867278</v>
      </c>
      <c r="D12" s="22">
        <f t="shared" ref="D12" si="4">C12-B12</f>
        <v>220529.48286727816</v>
      </c>
      <c r="E12" s="5">
        <f t="shared" ref="E12" si="5">D12/B12</f>
        <v>6.9067323014147938E-3</v>
      </c>
      <c r="F12" s="16">
        <f t="shared" ref="F12" si="6">1 +(B12-G12)/G12</f>
        <v>1.071939860861602</v>
      </c>
      <c r="G12" s="6">
        <f t="shared" si="2"/>
        <v>29786783.909999996</v>
      </c>
      <c r="H12" s="35">
        <f>SUMIF(Inputs!$A$24:$A$155,'Rate Class Energy Model'!A12,Inputs!$H$24:$H$155)</f>
        <v>8825872.7699999996</v>
      </c>
      <c r="I12" s="35">
        <f>SUMIF(Inputs!$A$24:$A$155,'Rate Class Energy Model'!A12,Inputs!$J$24:$J$155)</f>
        <v>4501424.13</v>
      </c>
      <c r="J12" s="35">
        <f>SUMIF(Inputs!$A$24:$A$155,'Rate Class Energy Model'!A12,Inputs!$L$24:$L$155)</f>
        <v>16062198.299999999</v>
      </c>
      <c r="K12" s="35">
        <f>SUMIF(Inputs!$A$24:$A$155,'Rate Class Energy Model'!A12,Inputs!$O$24:$O$155)</f>
        <v>397288.71000000008</v>
      </c>
    </row>
    <row r="13" spans="1:19" x14ac:dyDescent="0.2">
      <c r="A13" s="42">
        <v>2024</v>
      </c>
      <c r="B13" s="53">
        <f>+'Power Purchased Model'!B162</f>
        <v>30901649</v>
      </c>
      <c r="C13" s="53">
        <f>+'Power Purchased Model'!H162</f>
        <v>30692874.926248491</v>
      </c>
      <c r="D13" s="22">
        <f t="shared" ref="D13" si="7">C13-B13</f>
        <v>-208774.07375150919</v>
      </c>
      <c r="E13" s="5">
        <f t="shared" ref="E13" si="8">D13/B13</f>
        <v>-6.7560819732147368E-3</v>
      </c>
      <c r="F13" s="16">
        <f t="shared" ref="F13" si="9">1 +(B13-G13)/G13</f>
        <v>1.0700820247099947</v>
      </c>
      <c r="G13" s="6">
        <f t="shared" ref="G13" si="10">SUM(H13:K13)</f>
        <v>28877832.060000002</v>
      </c>
      <c r="H13" s="35">
        <f>SUMIF(Inputs!$A$24:$A$155,'Rate Class Energy Model'!A13,Inputs!$H$24:$H$155)</f>
        <v>8779856.7200000007</v>
      </c>
      <c r="I13" s="35">
        <f>SUMIF(Inputs!$A$24:$A$155,'Rate Class Energy Model'!A13,Inputs!$J$24:$J$155)</f>
        <v>4660998.8900000006</v>
      </c>
      <c r="J13" s="35">
        <f>SUMIF(Inputs!$A$24:$A$155,'Rate Class Energy Model'!A13,Inputs!$L$24:$L$155)</f>
        <v>15081903.560000002</v>
      </c>
      <c r="K13" s="35">
        <f>SUMIF(Inputs!$A$24:$A$155,'Rate Class Energy Model'!A13,Inputs!$O$24:$O$155)</f>
        <v>355072.89</v>
      </c>
    </row>
    <row r="14" spans="1:19" x14ac:dyDescent="0.2">
      <c r="A14" s="42">
        <v>2025</v>
      </c>
      <c r="B14" s="6"/>
      <c r="C14" s="14">
        <f>+'Power Purchased Model'!H163</f>
        <v>31055128.783905894</v>
      </c>
      <c r="G14" s="14">
        <f>C14/$F$16</f>
        <v>28835476.776684482</v>
      </c>
    </row>
    <row r="16" spans="1:19" x14ac:dyDescent="0.2">
      <c r="A16" s="13" t="s">
        <v>10</v>
      </c>
      <c r="C16" s="32"/>
      <c r="D16" s="34"/>
      <c r="E16" s="49" t="s">
        <v>248</v>
      </c>
      <c r="F16" s="16">
        <f>AVERAGE(F3:F13)</f>
        <v>1.0769764281829444</v>
      </c>
    </row>
    <row r="17" spans="1:14" x14ac:dyDescent="0.2">
      <c r="C17" s="32"/>
      <c r="D17" s="34"/>
      <c r="E17" s="49"/>
      <c r="F17" s="16"/>
      <c r="G17" s="170"/>
    </row>
    <row r="18" spans="1:14" x14ac:dyDescent="0.2">
      <c r="C18" s="170"/>
      <c r="D18" s="34"/>
      <c r="G18" s="170"/>
    </row>
    <row r="19" spans="1:14" x14ac:dyDescent="0.2">
      <c r="A19" s="15" t="s">
        <v>12</v>
      </c>
      <c r="B19" s="10"/>
      <c r="C19" s="170"/>
      <c r="G19" s="170"/>
    </row>
    <row r="21" spans="1:14" x14ac:dyDescent="0.2">
      <c r="A21">
        <v>2024</v>
      </c>
      <c r="H21" s="6">
        <f>H13/'Rate Class Customer Model'!B21</f>
        <v>6402.0344315488856</v>
      </c>
      <c r="I21" s="6">
        <f>I13/'Rate Class Customer Model'!C21</f>
        <v>19925.894791592451</v>
      </c>
      <c r="J21" s="6">
        <f>J13/'Rate Class Customer Model'!D21</f>
        <v>983602.40608695662</v>
      </c>
      <c r="K21" s="6">
        <f>K13/'Rate Class Customer Model'!E21</f>
        <v>570.85673633440513</v>
      </c>
    </row>
    <row r="22" spans="1:14" x14ac:dyDescent="0.2">
      <c r="A22">
        <f>A21+1</f>
        <v>2025</v>
      </c>
      <c r="H22" s="14">
        <f>H21</f>
        <v>6402.0344315488856</v>
      </c>
      <c r="I22" s="14">
        <f t="shared" ref="I22:K22" si="11">I21</f>
        <v>19925.894791592451</v>
      </c>
      <c r="J22" s="14">
        <f t="shared" si="11"/>
        <v>983602.40608695662</v>
      </c>
      <c r="K22" s="14">
        <f t="shared" si="11"/>
        <v>570.85673633440513</v>
      </c>
    </row>
    <row r="23" spans="1:14" x14ac:dyDescent="0.2">
      <c r="H23"/>
      <c r="I23"/>
      <c r="J23"/>
      <c r="K23"/>
    </row>
    <row r="24" spans="1:14" x14ac:dyDescent="0.2">
      <c r="D24" s="6"/>
      <c r="H24" s="17"/>
      <c r="I24" s="17"/>
      <c r="J24" s="17"/>
      <c r="K24" s="17"/>
    </row>
    <row r="25" spans="1:14" x14ac:dyDescent="0.2">
      <c r="A25" s="13" t="s">
        <v>33</v>
      </c>
    </row>
    <row r="26" spans="1:14" x14ac:dyDescent="0.2">
      <c r="A26" s="40">
        <f>A22</f>
        <v>2025</v>
      </c>
      <c r="G26" s="6">
        <f>SUM(H26:K26)</f>
        <v>28553421.127489645</v>
      </c>
      <c r="H26" s="6">
        <f>H22*'Rate Class Customer Model'!B22</f>
        <v>8756306.9661537018</v>
      </c>
      <c r="I26" s="6">
        <f>I22*'Rate Class Customer Model'!C22</f>
        <v>4660501.0352304066</v>
      </c>
      <c r="J26" s="6">
        <f>J22*'Rate Class Customer Model'!D22</f>
        <v>14781540.236105535</v>
      </c>
      <c r="K26" s="6">
        <f>K22*'Rate Class Customer Model'!E22</f>
        <v>355072.89</v>
      </c>
    </row>
    <row r="28" spans="1:14" x14ac:dyDescent="0.2">
      <c r="A28" s="13" t="s">
        <v>32</v>
      </c>
      <c r="M28" s="6"/>
    </row>
    <row r="29" spans="1:14" x14ac:dyDescent="0.2">
      <c r="A29" s="40">
        <f>A26</f>
        <v>2025</v>
      </c>
      <c r="G29" s="14">
        <f>G14</f>
        <v>28835476.776684482</v>
      </c>
      <c r="H29" s="6">
        <f>H26+H35</f>
        <v>8853696.5193797834</v>
      </c>
      <c r="I29" s="6">
        <f>I26+I35</f>
        <v>4712336.142814598</v>
      </c>
      <c r="J29" s="6">
        <f>J26+J35</f>
        <v>14914371.224490099</v>
      </c>
      <c r="K29" s="6">
        <f>K26+K35</f>
        <v>355072.89</v>
      </c>
      <c r="L29" s="6">
        <f>SUM(H29:K29)</f>
        <v>28835476.776684482</v>
      </c>
      <c r="M29" s="293">
        <f>J29/L29</f>
        <v>0.51722297987281485</v>
      </c>
      <c r="N29" s="6"/>
    </row>
    <row r="30" spans="1:14" x14ac:dyDescent="0.2">
      <c r="M30" s="6"/>
    </row>
    <row r="31" spans="1:14" x14ac:dyDescent="0.2">
      <c r="A31" t="s">
        <v>34</v>
      </c>
      <c r="H31" s="47">
        <f>(100%+J31)/2</f>
        <v>0.8388960051232367</v>
      </c>
      <c r="I31" s="48">
        <f>H31</f>
        <v>0.8388960051232367</v>
      </c>
      <c r="J31" s="283">
        <v>0.6777920102464734</v>
      </c>
      <c r="K31" s="48">
        <v>0</v>
      </c>
    </row>
    <row r="32" spans="1:14" x14ac:dyDescent="0.2">
      <c r="A32" s="40">
        <f>+A29</f>
        <v>2025</v>
      </c>
      <c r="G32" s="6">
        <f>G29-G26</f>
        <v>282055.64919483662</v>
      </c>
      <c r="H32" s="6">
        <f>H26*H$31</f>
        <v>7345630.9335391093</v>
      </c>
      <c r="I32" s="6">
        <f>I26*I$31</f>
        <v>3909675.700327497</v>
      </c>
      <c r="J32" s="6">
        <f>J26*J$31</f>
        <v>10018809.871169101</v>
      </c>
      <c r="K32" s="6">
        <f>K26*K$31</f>
        <v>0</v>
      </c>
      <c r="L32" s="6">
        <f>SUM(H32:K32)</f>
        <v>21274116.505035706</v>
      </c>
    </row>
    <row r="33" spans="1:19" ht="12" customHeight="1" x14ac:dyDescent="0.2"/>
    <row r="34" spans="1:19" x14ac:dyDescent="0.2">
      <c r="A34" t="s">
        <v>35</v>
      </c>
    </row>
    <row r="35" spans="1:19" x14ac:dyDescent="0.2">
      <c r="A35" s="40">
        <f t="shared" ref="A35" si="12">+A32</f>
        <v>2025</v>
      </c>
      <c r="G35" s="6">
        <f>SUM(H35:K35)</f>
        <v>282055.64919483662</v>
      </c>
      <c r="H35" s="6">
        <f t="shared" ref="H35:K35" si="13">H32/$L32*$G32</f>
        <v>97389.55322608212</v>
      </c>
      <c r="I35" s="6">
        <f t="shared" si="13"/>
        <v>51835.107584191494</v>
      </c>
      <c r="J35" s="6">
        <f t="shared" si="13"/>
        <v>132830.98838456301</v>
      </c>
      <c r="K35" s="6">
        <f t="shared" si="13"/>
        <v>0</v>
      </c>
    </row>
    <row r="36" spans="1:19" x14ac:dyDescent="0.2">
      <c r="A36" s="40"/>
      <c r="G36" s="18"/>
    </row>
    <row r="37" spans="1:19" x14ac:dyDescent="0.2">
      <c r="A37" s="13"/>
    </row>
    <row r="38" spans="1:19" x14ac:dyDescent="0.2">
      <c r="A38" s="13"/>
    </row>
    <row r="39" spans="1:19" x14ac:dyDescent="0.2">
      <c r="A39" s="13"/>
    </row>
    <row r="41" spans="1:19" x14ac:dyDescent="0.2">
      <c r="B41"/>
      <c r="C41"/>
      <c r="D41"/>
      <c r="E41"/>
      <c r="F41"/>
      <c r="G41"/>
      <c r="H41"/>
      <c r="I41"/>
      <c r="J41"/>
      <c r="K41"/>
      <c r="S41"/>
    </row>
    <row r="42" spans="1:19" x14ac:dyDescent="0.2">
      <c r="B42"/>
      <c r="C42"/>
      <c r="D42"/>
      <c r="E42"/>
      <c r="F42"/>
      <c r="G42"/>
      <c r="H42"/>
      <c r="I42"/>
      <c r="J42"/>
      <c r="K42"/>
      <c r="S42"/>
    </row>
    <row r="43" spans="1:19" x14ac:dyDescent="0.2">
      <c r="B43"/>
      <c r="C43"/>
      <c r="D43"/>
      <c r="E43"/>
      <c r="F43"/>
      <c r="G43"/>
      <c r="H43"/>
      <c r="I43"/>
      <c r="J43"/>
      <c r="K43"/>
      <c r="S43"/>
    </row>
    <row r="44" spans="1:19" x14ac:dyDescent="0.2">
      <c r="B44"/>
      <c r="C44"/>
      <c r="D44"/>
      <c r="E44"/>
      <c r="F44"/>
      <c r="G44"/>
      <c r="H44"/>
      <c r="I44"/>
      <c r="J44"/>
      <c r="K44"/>
      <c r="S44"/>
    </row>
    <row r="47" spans="1:19" x14ac:dyDescent="0.2">
      <c r="B47"/>
      <c r="C47"/>
      <c r="D47"/>
      <c r="E47"/>
      <c r="F47"/>
      <c r="G47"/>
      <c r="H47"/>
      <c r="I47"/>
      <c r="J47"/>
      <c r="K47"/>
      <c r="S47"/>
    </row>
    <row r="48" spans="1:19" x14ac:dyDescent="0.2">
      <c r="B48"/>
      <c r="C48"/>
      <c r="D48"/>
      <c r="E48"/>
      <c r="F48"/>
      <c r="G48"/>
      <c r="H48"/>
      <c r="I48"/>
      <c r="J48"/>
      <c r="K48"/>
      <c r="S48"/>
    </row>
    <row r="49" customFormat="1" x14ac:dyDescent="0.2"/>
    <row r="50" customFormat="1" x14ac:dyDescent="0.2"/>
    <row r="51" customFormat="1" x14ac:dyDescent="0.2"/>
    <row r="52" customFormat="1" x14ac:dyDescent="0.2"/>
    <row r="53" customFormat="1" x14ac:dyDescent="0.2"/>
    <row r="54" customFormat="1" x14ac:dyDescent="0.2"/>
    <row r="55" customFormat="1" x14ac:dyDescent="0.2"/>
    <row r="56" customFormat="1" x14ac:dyDescent="0.2"/>
    <row r="57" customFormat="1" x14ac:dyDescent="0.2"/>
    <row r="58" customFormat="1" x14ac:dyDescent="0.2"/>
  </sheetData>
  <phoneticPr fontId="0" type="noConversion"/>
  <pageMargins left="0.38" right="0.75" top="0.73" bottom="0.74" header="0.5" footer="0.5"/>
  <pageSetup scale="62" orientation="landscape" r:id="rId1"/>
  <headerFooter alignWithMargins="0">
    <oddFooter>&amp;L&amp;Z&amp;F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pageSetUpPr fitToPage="1"/>
  </sheetPr>
  <dimension ref="A1:M91"/>
  <sheetViews>
    <sheetView workbookViewId="0">
      <selection activeCell="I28" sqref="I28"/>
    </sheetView>
  </sheetViews>
  <sheetFormatPr defaultRowHeight="12.75" x14ac:dyDescent="0.2"/>
  <cols>
    <col min="1" max="1" width="11" customWidth="1"/>
    <col min="2" max="2" width="15" style="6" customWidth="1"/>
    <col min="3" max="3" width="14.140625" style="6" bestFit="1" customWidth="1"/>
    <col min="4" max="4" width="17.85546875" style="6" bestFit="1" customWidth="1"/>
    <col min="5" max="5" width="12.5703125" style="6" customWidth="1"/>
    <col min="6" max="6" width="11.5703125" customWidth="1"/>
    <col min="7" max="7" width="12.5703125" bestFit="1" customWidth="1"/>
    <col min="8" max="8" width="12.5703125" customWidth="1"/>
    <col min="9" max="9" width="12.5703125" bestFit="1" customWidth="1"/>
    <col min="10" max="10" width="11.5703125" bestFit="1" customWidth="1"/>
    <col min="11" max="11" width="14.140625" customWidth="1"/>
    <col min="12" max="12" width="11.5703125" customWidth="1"/>
    <col min="13" max="14" width="9.140625" customWidth="1"/>
  </cols>
  <sheetData>
    <row r="1" spans="1:13" x14ac:dyDescent="0.2">
      <c r="B1" s="393" t="s">
        <v>54</v>
      </c>
      <c r="C1" s="394"/>
      <c r="D1" s="394"/>
      <c r="E1" s="394"/>
      <c r="M1" s="33">
        <f>Inputs!I155+Inputs!K155+Inputs!N155</f>
        <v>1620</v>
      </c>
    </row>
    <row r="2" spans="1:13" ht="25.5" x14ac:dyDescent="0.2">
      <c r="B2" s="8" t="str">
        <f>Inputs!B4</f>
        <v>Residential</v>
      </c>
      <c r="C2" s="8" t="str">
        <f>Inputs!C4</f>
        <v>General Service &lt; 50 kW</v>
      </c>
      <c r="D2" s="8" t="str">
        <f>Inputs!D4</f>
        <v>General Service &gt; 50 to 4999 kW</v>
      </c>
      <c r="E2" s="8" t="str">
        <f>Inputs!E4</f>
        <v>Street Lights</v>
      </c>
      <c r="F2" s="1" t="s">
        <v>8</v>
      </c>
      <c r="H2" s="68" t="s">
        <v>106</v>
      </c>
      <c r="M2" s="78">
        <v>2025</v>
      </c>
    </row>
    <row r="3" spans="1:13" hidden="1" x14ac:dyDescent="0.2">
      <c r="A3" s="4"/>
      <c r="B3" s="24"/>
      <c r="C3" s="24"/>
      <c r="D3" s="24"/>
      <c r="E3" s="24"/>
    </row>
    <row r="4" spans="1:13" hidden="1" x14ac:dyDescent="0.2">
      <c r="A4" s="4">
        <v>2000</v>
      </c>
      <c r="B4" s="23"/>
      <c r="C4" s="23"/>
      <c r="D4" s="23"/>
      <c r="E4" s="23"/>
    </row>
    <row r="5" spans="1:13" hidden="1" x14ac:dyDescent="0.2">
      <c r="A5" s="4">
        <v>2001</v>
      </c>
      <c r="B5" s="24" t="e">
        <f>(#REF!+#REF!)/2</f>
        <v>#REF!</v>
      </c>
      <c r="C5" s="24" t="e">
        <f>(#REF!+#REF!)/2</f>
        <v>#REF!</v>
      </c>
      <c r="D5" s="24" t="e">
        <f>(#REF!+#REF!)/2</f>
        <v>#REF!</v>
      </c>
      <c r="E5" s="24" t="e">
        <f>(#REF!+#REF!)/2</f>
        <v>#REF!</v>
      </c>
    </row>
    <row r="6" spans="1:13" hidden="1" x14ac:dyDescent="0.2">
      <c r="A6" s="4">
        <v>2002</v>
      </c>
      <c r="B6" s="24" t="e">
        <f>(#REF!+#REF!)/2</f>
        <v>#REF!</v>
      </c>
      <c r="C6" s="24" t="e">
        <f>(#REF!+#REF!)/2</f>
        <v>#REF!</v>
      </c>
      <c r="D6" s="24" t="e">
        <f>(#REF!+#REF!)/2</f>
        <v>#REF!</v>
      </c>
      <c r="E6" s="24" t="e">
        <f>(#REF!+#REF!)/2</f>
        <v>#REF!</v>
      </c>
    </row>
    <row r="7" spans="1:13" hidden="1" x14ac:dyDescent="0.2">
      <c r="A7" s="4">
        <v>2003</v>
      </c>
      <c r="B7" s="24" t="e">
        <f>(#REF!+#REF!)/2</f>
        <v>#REF!</v>
      </c>
      <c r="C7" s="24" t="e">
        <f>(#REF!+#REF!)/2</f>
        <v>#REF!</v>
      </c>
      <c r="D7" s="24" t="e">
        <f>(#REF!+#REF!)/2</f>
        <v>#REF!</v>
      </c>
      <c r="E7" s="24" t="e">
        <f>(#REF!+#REF!)/2</f>
        <v>#REF!</v>
      </c>
    </row>
    <row r="8" spans="1:13" hidden="1" x14ac:dyDescent="0.2">
      <c r="A8" s="4">
        <v>2004</v>
      </c>
      <c r="B8" s="24" t="e">
        <f>(#REF!+#REF!)/2</f>
        <v>#REF!</v>
      </c>
      <c r="C8" s="24" t="e">
        <f>(#REF!+#REF!)/2</f>
        <v>#REF!</v>
      </c>
      <c r="D8" s="24" t="e">
        <f>(#REF!+#REF!)/2</f>
        <v>#REF!</v>
      </c>
      <c r="E8" s="24" t="e">
        <f>(#REF!+#REF!)/2</f>
        <v>#REF!</v>
      </c>
    </row>
    <row r="9" spans="1:13" hidden="1" x14ac:dyDescent="0.2">
      <c r="A9" s="4">
        <v>2005</v>
      </c>
      <c r="B9" s="24" t="e">
        <f>(#REF!+#REF!)/2</f>
        <v>#REF!</v>
      </c>
      <c r="C9" s="24" t="e">
        <f>(#REF!+#REF!)/2</f>
        <v>#REF!</v>
      </c>
      <c r="D9" s="24" t="e">
        <f>(#REF!+#REF!)/2</f>
        <v>#REF!</v>
      </c>
      <c r="E9" s="24" t="e">
        <f>(#REF!+#REF!)/2</f>
        <v>#REF!</v>
      </c>
    </row>
    <row r="10" spans="1:13" hidden="1" x14ac:dyDescent="0.2">
      <c r="A10" s="4">
        <v>2006</v>
      </c>
      <c r="B10" s="24" t="e">
        <f>(#REF!+#REF!)/2</f>
        <v>#REF!</v>
      </c>
      <c r="C10" s="24" t="e">
        <f>(#REF!+#REF!)/2</f>
        <v>#REF!</v>
      </c>
      <c r="D10" s="24" t="e">
        <f>(#REF!+#REF!)/2</f>
        <v>#REF!</v>
      </c>
      <c r="E10" s="24">
        <v>1</v>
      </c>
    </row>
    <row r="11" spans="1:13" x14ac:dyDescent="0.2">
      <c r="A11" s="4">
        <v>2014</v>
      </c>
      <c r="B11" s="36">
        <f>Inputs!B5</f>
        <v>1408.75</v>
      </c>
      <c r="C11" s="36">
        <f>Inputs!C5</f>
        <v>234.16666666666666</v>
      </c>
      <c r="D11" s="36">
        <f>Inputs!D5</f>
        <v>18.75</v>
      </c>
      <c r="E11" s="36">
        <f>Inputs!E5</f>
        <v>630</v>
      </c>
      <c r="F11" s="46">
        <f t="shared" ref="F11:F22" si="0">SUM(B11:E11)</f>
        <v>2291.666666666667</v>
      </c>
      <c r="H11" s="6">
        <f>B11+C11+D11</f>
        <v>1661.6666666666667</v>
      </c>
      <c r="I11" s="6"/>
      <c r="L11" s="79" t="s">
        <v>93</v>
      </c>
      <c r="M11" s="77">
        <f>M1+M1*K20</f>
        <v>1619.5380145019603</v>
      </c>
    </row>
    <row r="12" spans="1:13" x14ac:dyDescent="0.2">
      <c r="A12" s="4">
        <v>2015</v>
      </c>
      <c r="B12" s="36">
        <f>Inputs!B6</f>
        <v>1404.25</v>
      </c>
      <c r="C12" s="36">
        <f>Inputs!C6</f>
        <v>235.41666666666666</v>
      </c>
      <c r="D12" s="36">
        <f>Inputs!D6</f>
        <v>18.75</v>
      </c>
      <c r="E12" s="36">
        <f>Inputs!E6</f>
        <v>627.08333333333337</v>
      </c>
      <c r="F12" s="46">
        <f t="shared" si="0"/>
        <v>2285.5</v>
      </c>
      <c r="H12" s="6">
        <f t="shared" ref="H12:H22" si="1">B12+C12+D12</f>
        <v>1658.4166666666667</v>
      </c>
      <c r="I12" s="6"/>
      <c r="L12" s="79" t="s">
        <v>94</v>
      </c>
      <c r="M12" s="77">
        <f t="shared" ref="M12:M22" si="2">M11+M11*K$20</f>
        <v>1619.0761607512047</v>
      </c>
    </row>
    <row r="13" spans="1:13" x14ac:dyDescent="0.2">
      <c r="A13" s="4">
        <v>2016</v>
      </c>
      <c r="B13" s="36">
        <f>Inputs!B7</f>
        <v>1396.0833333333333</v>
      </c>
      <c r="C13" s="36">
        <f>Inputs!C7</f>
        <v>231.41666666666666</v>
      </c>
      <c r="D13" s="36">
        <f>Inputs!D7</f>
        <v>17.416666666666668</v>
      </c>
      <c r="E13" s="36">
        <f>Inputs!E7</f>
        <v>625</v>
      </c>
      <c r="F13" s="46">
        <f t="shared" si="0"/>
        <v>2269.916666666667</v>
      </c>
      <c r="H13" s="6">
        <f t="shared" si="1"/>
        <v>1644.9166666666667</v>
      </c>
      <c r="I13" s="6"/>
      <c r="L13" s="79" t="s">
        <v>95</v>
      </c>
      <c r="M13" s="77">
        <f t="shared" si="2"/>
        <v>1618.6144387101622</v>
      </c>
    </row>
    <row r="14" spans="1:13" x14ac:dyDescent="0.2">
      <c r="A14" s="4">
        <v>2017</v>
      </c>
      <c r="B14" s="36">
        <f>Inputs!B8</f>
        <v>1389.75</v>
      </c>
      <c r="C14" s="36">
        <f>Inputs!C8</f>
        <v>232.5</v>
      </c>
      <c r="D14" s="36">
        <f>Inputs!D8</f>
        <v>17</v>
      </c>
      <c r="E14" s="36">
        <f>Inputs!E8</f>
        <v>626</v>
      </c>
      <c r="F14" s="46">
        <f t="shared" si="0"/>
        <v>2265.25</v>
      </c>
      <c r="H14" s="6">
        <f t="shared" si="1"/>
        <v>1639.25</v>
      </c>
      <c r="I14" s="6"/>
      <c r="L14" s="79" t="s">
        <v>96</v>
      </c>
      <c r="M14" s="77">
        <f t="shared" si="2"/>
        <v>1618.1528483412721</v>
      </c>
    </row>
    <row r="15" spans="1:13" x14ac:dyDescent="0.2">
      <c r="A15" s="4">
        <v>2018</v>
      </c>
      <c r="B15" s="36">
        <f>Inputs!B9</f>
        <v>1384.75</v>
      </c>
      <c r="C15" s="36">
        <f>Inputs!C9</f>
        <v>233.16666666666666</v>
      </c>
      <c r="D15" s="36">
        <f>Inputs!D9</f>
        <v>16.666666666666668</v>
      </c>
      <c r="E15" s="36">
        <f>Inputs!E9</f>
        <v>626</v>
      </c>
      <c r="F15" s="46">
        <f t="shared" si="0"/>
        <v>2260.5833333333335</v>
      </c>
      <c r="H15" s="6">
        <f t="shared" si="1"/>
        <v>1634.5833333333335</v>
      </c>
      <c r="I15" s="6"/>
      <c r="L15" s="79" t="s">
        <v>48</v>
      </c>
      <c r="M15" s="77">
        <f t="shared" si="2"/>
        <v>1617.691389606985</v>
      </c>
    </row>
    <row r="16" spans="1:13" x14ac:dyDescent="0.2">
      <c r="A16" s="4">
        <v>2019</v>
      </c>
      <c r="B16" s="36">
        <f>Inputs!B10</f>
        <v>1382.1666666666667</v>
      </c>
      <c r="C16" s="36">
        <f>Inputs!C10</f>
        <v>233</v>
      </c>
      <c r="D16" s="36">
        <f>Inputs!D10</f>
        <v>16</v>
      </c>
      <c r="E16" s="36">
        <f>Inputs!E10</f>
        <v>626</v>
      </c>
      <c r="F16" s="46">
        <f t="shared" si="0"/>
        <v>2257.166666666667</v>
      </c>
      <c r="H16" s="6">
        <f t="shared" si="1"/>
        <v>1631.1666666666667</v>
      </c>
      <c r="I16" s="6"/>
      <c r="L16" s="79" t="s">
        <v>97</v>
      </c>
      <c r="M16" s="77">
        <f t="shared" si="2"/>
        <v>1617.2300624697614</v>
      </c>
    </row>
    <row r="17" spans="1:13" x14ac:dyDescent="0.2">
      <c r="A17" s="4">
        <v>2020</v>
      </c>
      <c r="B17" s="36">
        <f>Inputs!B11</f>
        <v>1382.1666666666667</v>
      </c>
      <c r="C17" s="36">
        <f>Inputs!C11</f>
        <v>231.41666666666666</v>
      </c>
      <c r="D17" s="36">
        <f>Inputs!D11</f>
        <v>16</v>
      </c>
      <c r="E17" s="36">
        <f>Inputs!E11</f>
        <v>624</v>
      </c>
      <c r="F17" s="46">
        <f t="shared" si="0"/>
        <v>2253.5833333333335</v>
      </c>
      <c r="H17" s="6">
        <f t="shared" si="1"/>
        <v>1629.5833333333335</v>
      </c>
      <c r="I17" s="6"/>
      <c r="L17" s="79" t="s">
        <v>98</v>
      </c>
      <c r="M17" s="77">
        <f t="shared" si="2"/>
        <v>1616.7688668920732</v>
      </c>
    </row>
    <row r="18" spans="1:13" x14ac:dyDescent="0.2">
      <c r="A18" s="4">
        <v>2021</v>
      </c>
      <c r="B18" s="36">
        <f>Inputs!B12</f>
        <v>1375.3333333333333</v>
      </c>
      <c r="C18" s="36">
        <f>Inputs!C12</f>
        <v>232.83333333333334</v>
      </c>
      <c r="D18" s="36">
        <f>Inputs!D12</f>
        <v>15.833333333333334</v>
      </c>
      <c r="E18" s="36">
        <f>Inputs!E12</f>
        <v>624</v>
      </c>
      <c r="F18" s="46">
        <f t="shared" si="0"/>
        <v>2248</v>
      </c>
      <c r="H18" s="6">
        <f t="shared" si="1"/>
        <v>1623.9999999999998</v>
      </c>
      <c r="I18" s="6"/>
      <c r="J18" s="395" t="s">
        <v>204</v>
      </c>
      <c r="K18" s="395"/>
      <c r="L18" s="79" t="s">
        <v>99</v>
      </c>
      <c r="M18" s="77">
        <f t="shared" si="2"/>
        <v>1616.3078028364027</v>
      </c>
    </row>
    <row r="19" spans="1:13" x14ac:dyDescent="0.2">
      <c r="A19" s="4">
        <v>2022</v>
      </c>
      <c r="B19" s="36">
        <f>Inputs!B13</f>
        <v>1374.25</v>
      </c>
      <c r="C19" s="36">
        <f>Inputs!C13</f>
        <v>232.16666666666666</v>
      </c>
      <c r="D19" s="36">
        <f>Inputs!D13</f>
        <v>16.333333333333332</v>
      </c>
      <c r="E19" s="36">
        <f>Inputs!E13</f>
        <v>622</v>
      </c>
      <c r="F19" s="46">
        <f t="shared" si="0"/>
        <v>2244.75</v>
      </c>
      <c r="H19" s="6">
        <f t="shared" si="1"/>
        <v>1622.75</v>
      </c>
      <c r="I19" s="6"/>
      <c r="J19" s="2" t="s">
        <v>205</v>
      </c>
      <c r="K19" s="2" t="s">
        <v>206</v>
      </c>
      <c r="L19" s="79" t="s">
        <v>100</v>
      </c>
      <c r="M19" s="77">
        <f t="shared" si="2"/>
        <v>1615.8468702652431</v>
      </c>
    </row>
    <row r="20" spans="1:13" x14ac:dyDescent="0.2">
      <c r="A20" s="4">
        <v>2023</v>
      </c>
      <c r="B20" s="36">
        <f>Inputs!B14</f>
        <v>1373.25</v>
      </c>
      <c r="C20" s="36">
        <f>Inputs!C14</f>
        <v>232.66666666666666</v>
      </c>
      <c r="D20" s="36">
        <f>Inputs!D14</f>
        <v>16</v>
      </c>
      <c r="E20" s="36">
        <f>Inputs!E14</f>
        <v>621.33333333333337</v>
      </c>
      <c r="F20" s="46">
        <f t="shared" si="0"/>
        <v>2243.25</v>
      </c>
      <c r="H20" s="6">
        <f t="shared" si="1"/>
        <v>1621.9166666666667</v>
      </c>
      <c r="I20" s="1">
        <v>2025</v>
      </c>
      <c r="J20" s="80">
        <v>-3.4221148002941629E-3</v>
      </c>
      <c r="K20" s="80">
        <f>J20/12</f>
        <v>-2.8517623335784693E-4</v>
      </c>
      <c r="L20" s="79" t="s">
        <v>101</v>
      </c>
      <c r="M20" s="77">
        <f t="shared" si="2"/>
        <v>1615.3860691410978</v>
      </c>
    </row>
    <row r="21" spans="1:13" x14ac:dyDescent="0.2">
      <c r="A21" s="4">
        <v>2024</v>
      </c>
      <c r="B21" s="36">
        <f>Inputs!B15</f>
        <v>1371.4166666666667</v>
      </c>
      <c r="C21" s="36">
        <f>Inputs!C15</f>
        <v>233.91666666666666</v>
      </c>
      <c r="D21" s="36">
        <f>Inputs!D15</f>
        <v>15.333333333333334</v>
      </c>
      <c r="E21" s="292">
        <v>622</v>
      </c>
      <c r="F21" s="46">
        <f t="shared" si="0"/>
        <v>2242.666666666667</v>
      </c>
      <c r="H21" s="6">
        <f>B21+C21+D21</f>
        <v>1620.6666666666667</v>
      </c>
      <c r="I21" s="6"/>
      <c r="J21" s="80"/>
      <c r="K21" s="80"/>
      <c r="L21" s="79" t="s">
        <v>102</v>
      </c>
      <c r="M21" s="77">
        <f t="shared" si="2"/>
        <v>1614.9253994264814</v>
      </c>
    </row>
    <row r="22" spans="1:13" x14ac:dyDescent="0.2">
      <c r="A22" s="4">
        <v>2025</v>
      </c>
      <c r="B22" s="51">
        <f>B21*B39</f>
        <v>1367.7381869430576</v>
      </c>
      <c r="C22" s="51">
        <f t="shared" ref="C22:D22" si="3">C21*C39</f>
        <v>233.89168135108605</v>
      </c>
      <c r="D22" s="51">
        <f t="shared" si="3"/>
        <v>15.02796266523036</v>
      </c>
      <c r="E22" s="292">
        <f>E21</f>
        <v>622</v>
      </c>
      <c r="F22" s="46">
        <f t="shared" si="0"/>
        <v>2238.6578309593742</v>
      </c>
      <c r="H22" s="6">
        <f t="shared" si="1"/>
        <v>1616.6578309593742</v>
      </c>
      <c r="L22" s="81" t="s">
        <v>103</v>
      </c>
      <c r="M22" s="82">
        <f t="shared" si="2"/>
        <v>1614.464861083919</v>
      </c>
    </row>
    <row r="23" spans="1:13" x14ac:dyDescent="0.2">
      <c r="A23" s="13"/>
      <c r="L23" s="79" t="s">
        <v>10</v>
      </c>
      <c r="M23" s="77">
        <f>AVERAGE(M11:M22)</f>
        <v>1617.0002320022134</v>
      </c>
    </row>
    <row r="24" spans="1:13" x14ac:dyDescent="0.2">
      <c r="A24" s="13" t="s">
        <v>31</v>
      </c>
      <c r="B24" s="5"/>
      <c r="C24" s="5"/>
      <c r="D24" s="5"/>
      <c r="E24" s="5"/>
    </row>
    <row r="25" spans="1:13" x14ac:dyDescent="0.2">
      <c r="A25" s="4"/>
      <c r="B25" s="16"/>
      <c r="C25" s="16"/>
      <c r="D25" s="16"/>
      <c r="E25" s="16"/>
      <c r="L25" s="285" t="s">
        <v>224</v>
      </c>
      <c r="M25" s="286">
        <f>M23-H22</f>
        <v>0.34240104283912842</v>
      </c>
    </row>
    <row r="26" spans="1:13" x14ac:dyDescent="0.2">
      <c r="A26" s="4">
        <f>+A12</f>
        <v>2015</v>
      </c>
      <c r="B26" s="16">
        <f>B12/B11</f>
        <v>0.99680567879325643</v>
      </c>
      <c r="C26" s="16">
        <f t="shared" ref="C26:E26" si="4">C12/C11</f>
        <v>1.0053380782918149</v>
      </c>
      <c r="D26" s="16">
        <f t="shared" si="4"/>
        <v>1</v>
      </c>
      <c r="E26" s="16">
        <f t="shared" si="4"/>
        <v>0.99537037037037046</v>
      </c>
      <c r="G26" s="16"/>
    </row>
    <row r="27" spans="1:13" x14ac:dyDescent="0.2">
      <c r="A27" s="4">
        <f t="shared" ref="A27:A34" si="5">+A13</f>
        <v>2016</v>
      </c>
      <c r="B27" s="16">
        <f t="shared" ref="B27:B35" si="6">B13/B12</f>
        <v>0.99418432140525781</v>
      </c>
      <c r="C27" s="16">
        <f t="shared" ref="C27:E35" si="7">C13/C12</f>
        <v>0.9830088495575221</v>
      </c>
      <c r="D27" s="16">
        <f t="shared" si="7"/>
        <v>0.92888888888888899</v>
      </c>
      <c r="E27" s="16">
        <f t="shared" si="7"/>
        <v>0.99667774086378735</v>
      </c>
      <c r="G27" s="16"/>
    </row>
    <row r="28" spans="1:13" x14ac:dyDescent="0.2">
      <c r="A28" s="4">
        <f t="shared" si="5"/>
        <v>2017</v>
      </c>
      <c r="B28" s="16">
        <f t="shared" si="6"/>
        <v>0.99546349907479259</v>
      </c>
      <c r="C28" s="16">
        <f t="shared" si="7"/>
        <v>1.0046813107670147</v>
      </c>
      <c r="D28" s="16">
        <f t="shared" si="7"/>
        <v>0.97607655502392343</v>
      </c>
      <c r="E28" s="16">
        <f t="shared" si="7"/>
        <v>1.0016</v>
      </c>
      <c r="G28" s="16"/>
    </row>
    <row r="29" spans="1:13" x14ac:dyDescent="0.2">
      <c r="A29" s="4">
        <f t="shared" si="5"/>
        <v>2018</v>
      </c>
      <c r="B29" s="16">
        <f t="shared" si="6"/>
        <v>0.99640223061701749</v>
      </c>
      <c r="C29" s="16">
        <f t="shared" si="7"/>
        <v>1.0028673835125448</v>
      </c>
      <c r="D29" s="16">
        <f t="shared" si="7"/>
        <v>0.98039215686274517</v>
      </c>
      <c r="E29" s="16">
        <f t="shared" si="7"/>
        <v>1</v>
      </c>
    </row>
    <row r="30" spans="1:13" x14ac:dyDescent="0.2">
      <c r="A30" s="4">
        <f t="shared" si="5"/>
        <v>2019</v>
      </c>
      <c r="B30" s="16">
        <f t="shared" si="6"/>
        <v>0.99813444063308665</v>
      </c>
      <c r="C30" s="16">
        <f t="shared" si="7"/>
        <v>0.99928520371694074</v>
      </c>
      <c r="D30" s="16">
        <f t="shared" si="7"/>
        <v>0.96</v>
      </c>
      <c r="E30" s="16">
        <f t="shared" si="7"/>
        <v>1</v>
      </c>
    </row>
    <row r="31" spans="1:13" x14ac:dyDescent="0.2">
      <c r="A31" s="4">
        <f t="shared" si="5"/>
        <v>2020</v>
      </c>
      <c r="B31" s="16">
        <f t="shared" si="6"/>
        <v>1</v>
      </c>
      <c r="C31" s="16">
        <f t="shared" si="7"/>
        <v>0.99320457796852646</v>
      </c>
      <c r="D31" s="16">
        <f t="shared" si="7"/>
        <v>1</v>
      </c>
      <c r="E31" s="16">
        <f t="shared" si="7"/>
        <v>0.99680511182108622</v>
      </c>
    </row>
    <row r="32" spans="1:13" x14ac:dyDescent="0.2">
      <c r="A32" s="4">
        <f t="shared" si="5"/>
        <v>2021</v>
      </c>
      <c r="B32" s="16">
        <f t="shared" si="6"/>
        <v>0.99505607138550578</v>
      </c>
      <c r="C32" s="16">
        <f t="shared" si="7"/>
        <v>1.0061217140799426</v>
      </c>
      <c r="D32" s="16">
        <f t="shared" si="7"/>
        <v>0.98958333333333337</v>
      </c>
      <c r="E32" s="16">
        <f t="shared" si="7"/>
        <v>1</v>
      </c>
    </row>
    <row r="33" spans="1:6" x14ac:dyDescent="0.2">
      <c r="A33" s="4">
        <f t="shared" si="5"/>
        <v>2022</v>
      </c>
      <c r="B33" s="16">
        <f t="shared" si="6"/>
        <v>0.99921231216674755</v>
      </c>
      <c r="C33" s="16">
        <f t="shared" si="7"/>
        <v>0.99713672154617028</v>
      </c>
      <c r="D33" s="16">
        <f t="shared" si="7"/>
        <v>1.0315789473684209</v>
      </c>
      <c r="E33" s="16">
        <f t="shared" si="7"/>
        <v>0.99679487179487181</v>
      </c>
    </row>
    <row r="34" spans="1:6" x14ac:dyDescent="0.2">
      <c r="A34" s="4">
        <f t="shared" si="5"/>
        <v>2023</v>
      </c>
      <c r="B34" s="16">
        <f t="shared" si="6"/>
        <v>0.99927233036201568</v>
      </c>
      <c r="C34" s="16">
        <f t="shared" si="7"/>
        <v>1.0021536252692032</v>
      </c>
      <c r="D34" s="16">
        <f t="shared" si="7"/>
        <v>0.97959183673469397</v>
      </c>
      <c r="E34" s="16">
        <f t="shared" si="7"/>
        <v>0.99892818863879962</v>
      </c>
    </row>
    <row r="35" spans="1:6" x14ac:dyDescent="0.2">
      <c r="A35" s="4">
        <v>2024</v>
      </c>
      <c r="B35" s="16">
        <f t="shared" si="6"/>
        <v>0.99866496753443779</v>
      </c>
      <c r="C35" s="16">
        <f t="shared" si="7"/>
        <v>1.0053724928366763</v>
      </c>
      <c r="D35" s="16">
        <f t="shared" si="7"/>
        <v>0.95833333333333337</v>
      </c>
      <c r="E35" s="16">
        <f t="shared" si="7"/>
        <v>1.0010729613733904</v>
      </c>
    </row>
    <row r="36" spans="1:6" x14ac:dyDescent="0.2">
      <c r="A36" s="4"/>
      <c r="B36" s="16"/>
      <c r="C36" s="16"/>
      <c r="D36" s="16"/>
      <c r="E36" s="16"/>
    </row>
    <row r="37" spans="1:6" x14ac:dyDescent="0.2">
      <c r="A37" s="4"/>
      <c r="B37" s="16"/>
      <c r="C37" s="16"/>
      <c r="D37" s="16"/>
      <c r="E37" s="16"/>
    </row>
    <row r="39" spans="1:6" x14ac:dyDescent="0.2">
      <c r="A39" t="s">
        <v>45</v>
      </c>
      <c r="B39" s="52">
        <f>B41</f>
        <v>0.99731775191813143</v>
      </c>
      <c r="C39" s="52">
        <f>C41</f>
        <v>0.99989318710831232</v>
      </c>
      <c r="D39" s="52">
        <f>D41</f>
        <v>0.98008452164545823</v>
      </c>
      <c r="E39" s="52">
        <f>E41</f>
        <v>0.99872284359466978</v>
      </c>
      <c r="F39" s="40" t="s">
        <v>58</v>
      </c>
    </row>
    <row r="40" spans="1:6" x14ac:dyDescent="0.2">
      <c r="B40" s="17"/>
      <c r="C40" s="17"/>
      <c r="D40" s="17"/>
      <c r="E40" s="17"/>
    </row>
    <row r="41" spans="1:6" x14ac:dyDescent="0.2">
      <c r="A41" t="s">
        <v>11</v>
      </c>
      <c r="B41" s="17">
        <f>IF(B19="",0,GEOMEAN(B26:B35))</f>
        <v>0.99731775191813143</v>
      </c>
      <c r="C41" s="17">
        <f t="shared" ref="C41:E41" si="8">IF(C19="",0,GEOMEAN(C26:C35))</f>
        <v>0.99989318710831232</v>
      </c>
      <c r="D41" s="17">
        <f t="shared" si="8"/>
        <v>0.98008452164545823</v>
      </c>
      <c r="E41" s="17">
        <f t="shared" si="8"/>
        <v>0.99872284359466978</v>
      </c>
    </row>
    <row r="42" spans="1:6" x14ac:dyDescent="0.2">
      <c r="A42" s="4"/>
      <c r="B42" s="17"/>
      <c r="C42" s="17"/>
      <c r="D42" s="17"/>
      <c r="E42" s="17"/>
    </row>
    <row r="43" spans="1:6" x14ac:dyDescent="0.2">
      <c r="A43" t="s">
        <v>89</v>
      </c>
      <c r="B43" s="17">
        <f>AVERAGE(B41,C41,D41)</f>
        <v>0.99243182022396725</v>
      </c>
      <c r="C43"/>
      <c r="D43"/>
      <c r="E43"/>
    </row>
    <row r="44" spans="1:6" x14ac:dyDescent="0.2">
      <c r="A44" s="3"/>
      <c r="B44"/>
      <c r="C44"/>
      <c r="D44"/>
      <c r="E44"/>
    </row>
    <row r="45" spans="1:6" x14ac:dyDescent="0.2">
      <c r="A45" s="3"/>
      <c r="B45"/>
      <c r="C45"/>
      <c r="D45"/>
      <c r="E45"/>
    </row>
    <row r="46" spans="1:6" x14ac:dyDescent="0.2">
      <c r="A46" s="3"/>
      <c r="B46"/>
      <c r="C46"/>
      <c r="D46"/>
      <c r="E46"/>
    </row>
    <row r="47" spans="1:6" x14ac:dyDescent="0.2">
      <c r="A47" s="3"/>
      <c r="B47"/>
      <c r="C47"/>
      <c r="D47"/>
      <c r="E47"/>
    </row>
    <row r="48" spans="1:6" x14ac:dyDescent="0.2">
      <c r="A48" s="3"/>
      <c r="B48"/>
      <c r="C48"/>
      <c r="D48"/>
      <c r="E48"/>
    </row>
    <row r="49" spans="1:5" x14ac:dyDescent="0.2">
      <c r="A49" s="3"/>
      <c r="B49"/>
      <c r="C49"/>
      <c r="D49"/>
      <c r="E49"/>
    </row>
    <row r="50" spans="1:5" x14ac:dyDescent="0.2">
      <c r="A50" s="3"/>
      <c r="B50"/>
      <c r="C50"/>
      <c r="D50"/>
      <c r="E50"/>
    </row>
    <row r="51" spans="1:5" x14ac:dyDescent="0.2">
      <c r="A51" s="3"/>
      <c r="B51"/>
      <c r="C51"/>
      <c r="D51"/>
      <c r="E51"/>
    </row>
    <row r="52" spans="1:5" x14ac:dyDescent="0.2">
      <c r="A52" s="3"/>
      <c r="B52"/>
      <c r="C52"/>
      <c r="D52"/>
      <c r="E52"/>
    </row>
    <row r="53" spans="1:5" x14ac:dyDescent="0.2">
      <c r="A53" s="3"/>
      <c r="B53"/>
      <c r="C53"/>
      <c r="D53"/>
      <c r="E53"/>
    </row>
    <row r="54" spans="1:5" x14ac:dyDescent="0.2">
      <c r="A54" s="3"/>
      <c r="B54"/>
      <c r="C54"/>
      <c r="D54"/>
      <c r="E54"/>
    </row>
    <row r="55" spans="1:5" x14ac:dyDescent="0.2">
      <c r="A55" s="3"/>
      <c r="B55"/>
      <c r="C55"/>
      <c r="D55"/>
      <c r="E55"/>
    </row>
    <row r="56" spans="1:5" x14ac:dyDescent="0.2">
      <c r="A56" s="3"/>
      <c r="B56"/>
      <c r="C56"/>
      <c r="D56"/>
      <c r="E56"/>
    </row>
    <row r="57" spans="1:5" x14ac:dyDescent="0.2">
      <c r="A57" s="3"/>
      <c r="B57"/>
      <c r="C57"/>
      <c r="D57"/>
      <c r="E57"/>
    </row>
    <row r="58" spans="1:5" x14ac:dyDescent="0.2">
      <c r="A58" s="3"/>
      <c r="B58"/>
      <c r="C58"/>
      <c r="D58"/>
      <c r="E58"/>
    </row>
    <row r="59" spans="1:5" x14ac:dyDescent="0.2">
      <c r="A59" s="3"/>
      <c r="B59"/>
      <c r="C59"/>
      <c r="D59"/>
      <c r="E59"/>
    </row>
    <row r="60" spans="1:5" x14ac:dyDescent="0.2">
      <c r="A60" s="3"/>
      <c r="B60"/>
      <c r="C60"/>
      <c r="D60"/>
      <c r="E60"/>
    </row>
    <row r="61" spans="1:5" x14ac:dyDescent="0.2">
      <c r="A61" s="3"/>
      <c r="B61"/>
      <c r="C61"/>
      <c r="D61"/>
      <c r="E61"/>
    </row>
    <row r="62" spans="1:5" x14ac:dyDescent="0.2">
      <c r="A62" s="3"/>
      <c r="B62"/>
      <c r="C62"/>
      <c r="D62"/>
      <c r="E62"/>
    </row>
    <row r="63" spans="1:5" x14ac:dyDescent="0.2">
      <c r="A63" s="3"/>
      <c r="B63"/>
      <c r="C63"/>
      <c r="D63"/>
      <c r="E63"/>
    </row>
    <row r="64" spans="1:5" x14ac:dyDescent="0.2">
      <c r="A64" s="3"/>
      <c r="B64"/>
      <c r="C64"/>
      <c r="D64"/>
      <c r="E64"/>
    </row>
    <row r="65" spans="1:5" x14ac:dyDescent="0.2">
      <c r="A65" s="3"/>
      <c r="B65"/>
      <c r="C65"/>
      <c r="D65"/>
      <c r="E65"/>
    </row>
    <row r="66" spans="1:5" x14ac:dyDescent="0.2">
      <c r="A66" s="3"/>
      <c r="B66"/>
      <c r="C66"/>
      <c r="D66"/>
      <c r="E66"/>
    </row>
    <row r="67" spans="1:5" x14ac:dyDescent="0.2">
      <c r="A67" s="3"/>
      <c r="B67"/>
      <c r="C67"/>
      <c r="D67"/>
      <c r="E67"/>
    </row>
    <row r="68" spans="1:5" x14ac:dyDescent="0.2">
      <c r="B68"/>
      <c r="C68"/>
      <c r="D68"/>
      <c r="E68"/>
    </row>
    <row r="69" spans="1:5" x14ac:dyDescent="0.2">
      <c r="B69"/>
      <c r="C69"/>
      <c r="D69"/>
      <c r="E69"/>
    </row>
    <row r="70" spans="1:5" x14ac:dyDescent="0.2">
      <c r="B70"/>
      <c r="C70"/>
      <c r="D70"/>
      <c r="E70"/>
    </row>
    <row r="71" spans="1:5" x14ac:dyDescent="0.2">
      <c r="B71"/>
      <c r="C71"/>
      <c r="D71"/>
      <c r="E71"/>
    </row>
    <row r="72" spans="1:5" x14ac:dyDescent="0.2">
      <c r="B72"/>
      <c r="C72"/>
      <c r="D72"/>
      <c r="E72"/>
    </row>
    <row r="73" spans="1:5" x14ac:dyDescent="0.2">
      <c r="B73"/>
      <c r="C73"/>
      <c r="D73"/>
      <c r="E73"/>
    </row>
    <row r="74" spans="1:5" x14ac:dyDescent="0.2">
      <c r="B74"/>
      <c r="C74"/>
      <c r="D74"/>
      <c r="E74"/>
    </row>
    <row r="75" spans="1:5" x14ac:dyDescent="0.2">
      <c r="B75"/>
      <c r="C75"/>
      <c r="D75"/>
      <c r="E75"/>
    </row>
    <row r="76" spans="1:5" x14ac:dyDescent="0.2">
      <c r="B76"/>
      <c r="C76"/>
      <c r="D76"/>
      <c r="E76"/>
    </row>
    <row r="77" spans="1:5" x14ac:dyDescent="0.2">
      <c r="B77"/>
      <c r="C77"/>
      <c r="D77"/>
      <c r="E77"/>
    </row>
    <row r="78" spans="1:5" x14ac:dyDescent="0.2">
      <c r="B78"/>
      <c r="C78"/>
      <c r="D78"/>
      <c r="E78"/>
    </row>
    <row r="79" spans="1:5" x14ac:dyDescent="0.2">
      <c r="B79"/>
      <c r="C79"/>
      <c r="D79"/>
      <c r="E79"/>
    </row>
    <row r="80" spans="1:5" x14ac:dyDescent="0.2">
      <c r="B80"/>
      <c r="C80"/>
      <c r="D80"/>
      <c r="E80"/>
    </row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</sheetData>
  <mergeCells count="2">
    <mergeCell ref="B1:E1"/>
    <mergeCell ref="J18:K18"/>
  </mergeCells>
  <phoneticPr fontId="0" type="noConversion"/>
  <pageMargins left="0.38" right="0.75" top="0.73" bottom="0.74" header="0.5" footer="0.5"/>
  <pageSetup scale="40" orientation="landscape" r:id="rId1"/>
  <headerFooter alignWithMargins="0">
    <oddFooter>&amp;L&amp;Z&amp;F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pageSetUpPr fitToPage="1"/>
  </sheetPr>
  <dimension ref="A1:L56"/>
  <sheetViews>
    <sheetView workbookViewId="0">
      <selection activeCell="F20" sqref="F20"/>
    </sheetView>
  </sheetViews>
  <sheetFormatPr defaultRowHeight="12.75" x14ac:dyDescent="0.2"/>
  <cols>
    <col min="1" max="1" width="11" customWidth="1"/>
    <col min="2" max="2" width="14.140625" style="6" bestFit="1" customWidth="1"/>
    <col min="3" max="3" width="12.5703125" style="6" customWidth="1"/>
    <col min="4" max="4" width="13.42578125" customWidth="1"/>
    <col min="5" max="5" width="13" customWidth="1"/>
    <col min="6" max="6" width="13.42578125" customWidth="1"/>
    <col min="7" max="7" width="12.5703125" bestFit="1" customWidth="1"/>
    <col min="9" max="9" width="12.42578125" style="6" bestFit="1" customWidth="1"/>
    <col min="10" max="10" width="13.42578125" bestFit="1" customWidth="1"/>
    <col min="11" max="12" width="9.140625" style="6" customWidth="1"/>
  </cols>
  <sheetData>
    <row r="1" spans="1:9" ht="38.25" x14ac:dyDescent="0.2">
      <c r="B1" s="7" t="str">
        <f>'Rate Class Customer Model'!D2</f>
        <v>General Service &gt; 50 to 4999 kW</v>
      </c>
      <c r="C1" s="7" t="str">
        <f>'Rate Class Customer Model'!E2</f>
        <v>Street Lights</v>
      </c>
      <c r="D1" s="49" t="s">
        <v>8</v>
      </c>
      <c r="I1" s="7"/>
    </row>
    <row r="2" spans="1:9" x14ac:dyDescent="0.2">
      <c r="A2" s="21">
        <f>+'Rate Class Customer Model'!A11</f>
        <v>2014</v>
      </c>
      <c r="B2" s="36">
        <f>SUMIF(Inputs!$A$24:$A$155,'Rate Class Load Model'!A2,Inputs!$M$24:$M$155)</f>
        <v>24636.35</v>
      </c>
      <c r="C2" s="36">
        <f>SUMIF(Inputs!$A$24:$A$155,'Rate Class Load Model'!A2,Inputs!$P$24:$P$155)</f>
        <v>1446.7199999999996</v>
      </c>
      <c r="D2" s="46">
        <f>SUM(B2:C2)</f>
        <v>26083.07</v>
      </c>
      <c r="E2" s="40" t="s">
        <v>67</v>
      </c>
    </row>
    <row r="3" spans="1:9" x14ac:dyDescent="0.2">
      <c r="A3" s="21">
        <f>+'Rate Class Customer Model'!A12</f>
        <v>2015</v>
      </c>
      <c r="B3" s="36">
        <f>SUMIF(Inputs!$A$24:$A$155,'Rate Class Load Model'!A3,Inputs!$M$24:$M$155)</f>
        <v>50558.44999999999</v>
      </c>
      <c r="C3" s="36">
        <f>SUMIF(Inputs!$A$24:$A$155,'Rate Class Load Model'!A3,Inputs!$P$24:$P$155)</f>
        <v>1436.0099999999998</v>
      </c>
      <c r="D3" s="46">
        <f t="shared" ref="D3:D13" si="0">SUM(B3:C3)</f>
        <v>51994.459999999992</v>
      </c>
    </row>
    <row r="4" spans="1:9" x14ac:dyDescent="0.2">
      <c r="A4" s="21">
        <f>+'Rate Class Customer Model'!A13</f>
        <v>2016</v>
      </c>
      <c r="B4" s="36">
        <f>SUMIF(Inputs!$A$24:$A$155,'Rate Class Load Model'!A4,Inputs!$M$24:$M$155)</f>
        <v>53769.410000000011</v>
      </c>
      <c r="C4" s="36">
        <f>SUMIF(Inputs!$A$24:$A$155,'Rate Class Load Model'!A4,Inputs!$P$24:$P$155)</f>
        <v>1432.5600000000004</v>
      </c>
      <c r="D4" s="46">
        <f t="shared" si="0"/>
        <v>55201.970000000008</v>
      </c>
      <c r="I4" s="37"/>
    </row>
    <row r="5" spans="1:9" x14ac:dyDescent="0.2">
      <c r="A5" s="21">
        <f>+'Rate Class Customer Model'!A14</f>
        <v>2017</v>
      </c>
      <c r="B5" s="36">
        <f>SUMIF(Inputs!$A$24:$A$155,'Rate Class Load Model'!A5,Inputs!$M$24:$M$155)</f>
        <v>50147.540000000008</v>
      </c>
      <c r="C5" s="36">
        <f>SUMIF(Inputs!$A$24:$A$155,'Rate Class Load Model'!A5,Inputs!$P$24:$P$155)</f>
        <v>1409.64</v>
      </c>
      <c r="D5" s="46">
        <f t="shared" si="0"/>
        <v>51557.180000000008</v>
      </c>
      <c r="I5" s="37"/>
    </row>
    <row r="6" spans="1:9" x14ac:dyDescent="0.2">
      <c r="A6" s="21">
        <f>+'Rate Class Customer Model'!A15</f>
        <v>2018</v>
      </c>
      <c r="B6" s="36">
        <f>SUMIF(Inputs!$A$24:$A$155,'Rate Class Load Model'!A6,Inputs!$M$24:$M$155)</f>
        <v>55782.540000000008</v>
      </c>
      <c r="C6" s="36">
        <f>SUMIF(Inputs!$A$24:$A$155,'Rate Class Load Model'!A6,Inputs!$P$24:$P$155)</f>
        <v>1300.56</v>
      </c>
      <c r="D6" s="46">
        <f t="shared" si="0"/>
        <v>57083.100000000006</v>
      </c>
      <c r="I6" s="37"/>
    </row>
    <row r="7" spans="1:9" x14ac:dyDescent="0.2">
      <c r="A7" s="21">
        <f>+'Rate Class Customer Model'!A16</f>
        <v>2019</v>
      </c>
      <c r="B7" s="36">
        <f>SUMIF(Inputs!$A$24:$A$155,'Rate Class Load Model'!A7,Inputs!$M$24:$M$155)</f>
        <v>48321.4</v>
      </c>
      <c r="C7" s="36">
        <f>SUMIF(Inputs!$A$24:$A$155,'Rate Class Load Model'!A7,Inputs!$P$24:$P$155)</f>
        <v>1263.4799999999998</v>
      </c>
      <c r="D7" s="46">
        <f t="shared" si="0"/>
        <v>49584.880000000005</v>
      </c>
      <c r="I7" s="37"/>
    </row>
    <row r="8" spans="1:9" x14ac:dyDescent="0.2">
      <c r="A8" s="21">
        <f>+'Rate Class Customer Model'!A17</f>
        <v>2020</v>
      </c>
      <c r="B8" s="36">
        <f>SUMIF(Inputs!$A$24:$A$155,'Rate Class Load Model'!A8,Inputs!$M$24:$M$155)</f>
        <v>47169.919999999998</v>
      </c>
      <c r="C8" s="36">
        <f>SUMIF(Inputs!$A$24:$A$155,'Rate Class Load Model'!A8,Inputs!$P$24:$P$155)</f>
        <v>1253.2800000000004</v>
      </c>
      <c r="D8" s="46">
        <f t="shared" si="0"/>
        <v>48423.199999999997</v>
      </c>
      <c r="I8" s="37"/>
    </row>
    <row r="9" spans="1:9" x14ac:dyDescent="0.2">
      <c r="A9" s="21">
        <f>+'Rate Class Customer Model'!A18</f>
        <v>2021</v>
      </c>
      <c r="B9" s="36">
        <f>SUMIF(Inputs!$A$24:$A$155,'Rate Class Load Model'!A9,Inputs!$M$24:$M$155)</f>
        <v>49426.239999999998</v>
      </c>
      <c r="C9" s="36">
        <f>SUMIF(Inputs!$A$24:$A$155,'Rate Class Load Model'!A9,Inputs!$P$24:$P$155)</f>
        <v>1253.2800000000004</v>
      </c>
      <c r="D9" s="46">
        <f t="shared" si="0"/>
        <v>50679.519999999997</v>
      </c>
    </row>
    <row r="10" spans="1:9" x14ac:dyDescent="0.2">
      <c r="A10" s="21">
        <f>+'Rate Class Customer Model'!A19</f>
        <v>2022</v>
      </c>
      <c r="B10" s="36">
        <f>SUMIF(Inputs!$A$24:$A$155,'Rate Class Load Model'!A10,Inputs!$M$24:$M$155)</f>
        <v>46588.650000000009</v>
      </c>
      <c r="C10" s="36">
        <f>SUMIF(Inputs!$A$24:$A$155,'Rate Class Load Model'!A10,Inputs!$P$24:$P$155)</f>
        <v>1153.8000000000002</v>
      </c>
      <c r="D10" s="46">
        <f t="shared" si="0"/>
        <v>47742.450000000012</v>
      </c>
    </row>
    <row r="11" spans="1:9" x14ac:dyDescent="0.2">
      <c r="A11" s="21">
        <f>+'Rate Class Customer Model'!A20</f>
        <v>2023</v>
      </c>
      <c r="B11" s="36">
        <f>SUMIF(Inputs!$A$24:$A$155,'Rate Class Load Model'!A11,Inputs!$M$24:$M$155)</f>
        <v>48332.42</v>
      </c>
      <c r="C11" s="36">
        <f>SUMIF(Inputs!$A$24:$A$155,'Rate Class Load Model'!A11,Inputs!$P$24:$P$155)</f>
        <v>1112.5200000000002</v>
      </c>
      <c r="D11" s="46">
        <f t="shared" si="0"/>
        <v>49444.939999999995</v>
      </c>
    </row>
    <row r="12" spans="1:9" x14ac:dyDescent="0.2">
      <c r="A12" s="21">
        <f>+'Rate Class Customer Model'!A21</f>
        <v>2024</v>
      </c>
      <c r="B12" s="36">
        <f>SUMIF(Inputs!$A$24:$A$155,'Rate Class Load Model'!A12,Inputs!$M$24:$M$155)</f>
        <v>45627.18</v>
      </c>
      <c r="C12" s="36">
        <f>SUMIF(Inputs!$A$24:$A$155,'Rate Class Load Model'!A12,Inputs!$P$24:$P$155)</f>
        <v>1057.6799999999998</v>
      </c>
      <c r="D12" s="46">
        <f t="shared" si="0"/>
        <v>46684.86</v>
      </c>
    </row>
    <row r="13" spans="1:9" x14ac:dyDescent="0.2">
      <c r="A13" s="21">
        <f>+'Rate Class Customer Model'!A22</f>
        <v>2025</v>
      </c>
      <c r="B13" s="248">
        <f>B$28*'Rate Class Energy Model'!J29</f>
        <v>44856.438696787365</v>
      </c>
      <c r="C13" s="36">
        <f>C12</f>
        <v>1057.6799999999998</v>
      </c>
      <c r="D13" s="46">
        <f t="shared" si="0"/>
        <v>45914.118696787365</v>
      </c>
    </row>
    <row r="14" spans="1:9" x14ac:dyDescent="0.2">
      <c r="A14" s="13"/>
    </row>
    <row r="15" spans="1:9" x14ac:dyDescent="0.2">
      <c r="A15" s="13" t="s">
        <v>46</v>
      </c>
      <c r="B15" s="5"/>
      <c r="C15" s="5"/>
    </row>
    <row r="16" spans="1:9" x14ac:dyDescent="0.2">
      <c r="A16" s="21">
        <f>+A2</f>
        <v>2014</v>
      </c>
      <c r="B16" s="50">
        <f>B2/'Rate Class Energy Model'!J3</f>
        <v>3.143524088310228E-3</v>
      </c>
      <c r="C16" s="50">
        <f>C2/'Rate Class Energy Model'!K3</f>
        <v>3.1008056324786574E-3</v>
      </c>
      <c r="I16" s="19"/>
    </row>
    <row r="17" spans="1:9" x14ac:dyDescent="0.2">
      <c r="A17" s="21">
        <f t="shared" ref="A17:A26" si="1">+A3</f>
        <v>2015</v>
      </c>
      <c r="B17" s="50">
        <f>B3/'Rate Class Energy Model'!J4</f>
        <v>2.8755965530013676E-3</v>
      </c>
      <c r="C17" s="50">
        <f>C3/'Rate Class Energy Model'!K4</f>
        <v>3.0975452707079324E-3</v>
      </c>
      <c r="I17" s="19"/>
    </row>
    <row r="18" spans="1:9" x14ac:dyDescent="0.2">
      <c r="A18" s="21">
        <f t="shared" si="1"/>
        <v>2016</v>
      </c>
      <c r="B18" s="50">
        <f>B4/'Rate Class Energy Model'!J5</f>
        <v>2.5321119013567823E-3</v>
      </c>
      <c r="C18" s="50">
        <f>C4/'Rate Class Energy Model'!K5</f>
        <v>3.0979008551491752E-3</v>
      </c>
      <c r="I18" s="19"/>
    </row>
    <row r="19" spans="1:9" x14ac:dyDescent="0.2">
      <c r="A19" s="21">
        <f t="shared" si="1"/>
        <v>2017</v>
      </c>
      <c r="B19" s="50">
        <f>B5/'Rate Class Energy Model'!J6</f>
        <v>3.2007641361518038E-3</v>
      </c>
      <c r="C19" s="50">
        <f>C5/'Rate Class Energy Model'!K6</f>
        <v>3.1007908134023832E-3</v>
      </c>
      <c r="I19" s="19"/>
    </row>
    <row r="20" spans="1:9" x14ac:dyDescent="0.2">
      <c r="A20" s="21">
        <f t="shared" si="1"/>
        <v>2018</v>
      </c>
      <c r="B20" s="50">
        <f>B6/'Rate Class Energy Model'!J7</f>
        <v>3.5183851736434288E-3</v>
      </c>
      <c r="C20" s="50">
        <f>C6/'Rate Class Energy Model'!K7</f>
        <v>3.1007751937984491E-3</v>
      </c>
      <c r="I20" s="19"/>
    </row>
    <row r="21" spans="1:9" x14ac:dyDescent="0.2">
      <c r="A21" s="21">
        <f t="shared" si="1"/>
        <v>2019</v>
      </c>
      <c r="B21" s="50">
        <f>B7/'Rate Class Energy Model'!J8</f>
        <v>3.1332793022656406E-3</v>
      </c>
      <c r="C21" s="50">
        <f>C7/'Rate Class Energy Model'!K8</f>
        <v>3.1007926202961523E-3</v>
      </c>
      <c r="I21" s="19"/>
    </row>
    <row r="22" spans="1:9" x14ac:dyDescent="0.2">
      <c r="A22" s="21">
        <f t="shared" si="1"/>
        <v>2020</v>
      </c>
      <c r="B22" s="50">
        <f>B8/'Rate Class Energy Model'!J9</f>
        <v>2.845269946635324E-3</v>
      </c>
      <c r="C22" s="50">
        <f>C8/'Rate Class Energy Model'!K9</f>
        <v>3.0888030888030901E-3</v>
      </c>
      <c r="I22" s="19"/>
    </row>
    <row r="23" spans="1:9" x14ac:dyDescent="0.2">
      <c r="A23" s="21">
        <f t="shared" si="1"/>
        <v>2021</v>
      </c>
      <c r="B23" s="50">
        <f>B9/'Rate Class Energy Model'!J10</f>
        <v>2.8273873836797319E-3</v>
      </c>
      <c r="C23" s="50">
        <f>C9/'Rate Class Energy Model'!K10</f>
        <v>3.1007746567785037E-3</v>
      </c>
      <c r="I23" s="19"/>
    </row>
    <row r="24" spans="1:9" x14ac:dyDescent="0.2">
      <c r="A24" s="21">
        <f t="shared" si="1"/>
        <v>2022</v>
      </c>
      <c r="B24" s="50">
        <f>B10/'Rate Class Energy Model'!J11</f>
        <v>2.9905865143703856E-3</v>
      </c>
      <c r="C24" s="50">
        <f>C10/'Rate Class Energy Model'!K11</f>
        <v>2.9226670357532262E-3</v>
      </c>
      <c r="I24" s="19"/>
    </row>
    <row r="25" spans="1:9" x14ac:dyDescent="0.2">
      <c r="A25" s="21">
        <f t="shared" si="1"/>
        <v>2023</v>
      </c>
      <c r="B25" s="50">
        <f>B11/'Rate Class Energy Model'!J12</f>
        <v>3.0090787759730251E-3</v>
      </c>
      <c r="C25" s="50">
        <f>C11/'Rate Class Energy Model'!K12</f>
        <v>2.8002809342354581E-3</v>
      </c>
      <c r="I25" s="19"/>
    </row>
    <row r="26" spans="1:9" x14ac:dyDescent="0.2">
      <c r="A26" s="21">
        <f t="shared" si="1"/>
        <v>2024</v>
      </c>
      <c r="B26" s="50">
        <f>B12/'Rate Class Energy Model'!J13</f>
        <v>3.0252931812275821E-3</v>
      </c>
      <c r="C26" s="50">
        <f>C12/'Rate Class Energy Model'!K13</f>
        <v>2.9787686691597317E-3</v>
      </c>
      <c r="I26" s="19"/>
    </row>
    <row r="28" spans="1:9" x14ac:dyDescent="0.2">
      <c r="A28" s="40" t="s">
        <v>45</v>
      </c>
      <c r="B28" s="19">
        <f>B30</f>
        <v>3.0075983775387717E-3</v>
      </c>
      <c r="C28" s="19">
        <f>C30</f>
        <v>3.0511136101403031E-3</v>
      </c>
    </row>
    <row r="30" spans="1:9" x14ac:dyDescent="0.2">
      <c r="A30" t="s">
        <v>10</v>
      </c>
      <c r="B30" s="19">
        <f>AVERAGE(B16:B25)</f>
        <v>3.0075983775387717E-3</v>
      </c>
      <c r="C30" s="19">
        <f>AVERAGE(C16:C25)</f>
        <v>3.0511136101403031E-3</v>
      </c>
      <c r="H30" s="19"/>
      <c r="I30" s="19"/>
    </row>
    <row r="35" spans="2:3" x14ac:dyDescent="0.2">
      <c r="B35" s="18"/>
      <c r="C35" s="18"/>
    </row>
    <row r="36" spans="2:3" x14ac:dyDescent="0.2">
      <c r="B36" s="18"/>
      <c r="C36" s="18"/>
    </row>
    <row r="55" spans="2:3" x14ac:dyDescent="0.2">
      <c r="B55" s="12"/>
      <c r="C55" s="12"/>
    </row>
    <row r="56" spans="2:3" x14ac:dyDescent="0.2">
      <c r="B56" s="12"/>
      <c r="C56" s="12"/>
    </row>
  </sheetData>
  <phoneticPr fontId="0" type="noConversion"/>
  <pageMargins left="0.38" right="0.75" top="0.73" bottom="0.74" header="0.5" footer="0.5"/>
  <pageSetup orientation="landscape" r:id="rId1"/>
  <headerFooter alignWithMargins="0">
    <oddFooter>&amp;L&amp;Z&amp;F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7</vt:i4>
      </vt:variant>
    </vt:vector>
  </HeadingPairs>
  <TitlesOfParts>
    <vt:vector size="15" baseType="lpstr">
      <vt:lpstr>Exhibit 3 Tables</vt:lpstr>
      <vt:lpstr>Load Forecast Summary</vt:lpstr>
      <vt:lpstr>Inputs</vt:lpstr>
      <vt:lpstr>Power Purchased Model</vt:lpstr>
      <vt:lpstr>Power Purchased Model-WN</vt:lpstr>
      <vt:lpstr>Rate Class Energy Model</vt:lpstr>
      <vt:lpstr>Rate Class Customer Model</vt:lpstr>
      <vt:lpstr>Rate Class Load Model</vt:lpstr>
      <vt:lpstr>'Load Forecast Summary'!Print_Area</vt:lpstr>
      <vt:lpstr>'Power Purchased Model'!Print_Area</vt:lpstr>
      <vt:lpstr>'Power Purchased Model-WN'!Print_Area</vt:lpstr>
      <vt:lpstr>'Rate Class Customer Model'!Print_Area</vt:lpstr>
      <vt:lpstr>'Rate Class Load Model'!Print_Area</vt:lpstr>
      <vt:lpstr>'Power Purchased Model'!Print_Titles</vt:lpstr>
      <vt:lpstr>'Power Purchased Model-WN'!Print_Titles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_</dc:title>
  <dc:creator/>
  <cp:lastModifiedBy/>
  <cp:lastPrinted>2014-03-06T15:42:29Z</cp:lastPrinted>
  <dcterms:created xsi:type="dcterms:W3CDTF">2014-03-06T15:42:29Z</dcterms:created>
  <dcterms:modified xsi:type="dcterms:W3CDTF">2025-02-21T18:07:30Z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,	;	,	{	}	[@[{0}]]	1033	4105</vt:lpwstr>
  </property>
</Properties>
</file>