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66925"/>
  <xr:revisionPtr revIDLastSave="12" documentId="13_ncr:1_{7E65867D-100D-42AA-BC2E-93998880EBC7}" xr6:coauthVersionLast="47" xr6:coauthVersionMax="47" xr10:uidLastSave="{70DB05E9-3630-4F4A-886B-BDBE6523A6D1}"/>
  <bookViews>
    <workbookView xWindow="-9410" yWindow="10690" windowWidth="19420" windowHeight="10300" tabRatio="893" activeTab="12" xr2:uid="{5C2414DE-7D15-4E7E-8785-7E74EE628BFB}"/>
  </bookViews>
  <sheets>
    <sheet name="Function" sheetId="1" r:id="rId1"/>
    <sheet name="Function Factors" sheetId="2" r:id="rId2"/>
    <sheet name="Gas Supply Class" sheetId="13" r:id="rId3"/>
    <sheet name="Gas Supply Factors" sheetId="14" r:id="rId4"/>
    <sheet name="Storage Class" sheetId="4" r:id="rId5"/>
    <sheet name="Stor Factors" sheetId="10" r:id="rId6"/>
    <sheet name="Transmission Class" sheetId="5" r:id="rId7"/>
    <sheet name="Trans Factors" sheetId="11" r:id="rId8"/>
    <sheet name="Distribution Class" sheetId="7" r:id="rId9"/>
    <sheet name="Dist Factors" sheetId="12" r:id="rId10"/>
    <sheet name="Dist Cust Class" sheetId="50" state="hidden" r:id="rId11"/>
    <sheet name="Dist Cust Factors" sheetId="51" state="hidden" r:id="rId12"/>
    <sheet name="Total Allocation Current RZ" sheetId="52" r:id="rId13"/>
    <sheet name="Total Allocation RZ - Dist" sheetId="61" r:id="rId14"/>
    <sheet name="Total Allocation RZ - Gas" sheetId="60" r:id="rId15"/>
    <sheet name="RZ Factors" sheetId="53" r:id="rId16"/>
    <sheet name="Dist RZ Factors" sheetId="80" r:id="rId17"/>
    <sheet name="Total Allocation - EGD" sheetId="54" r:id="rId18"/>
    <sheet name="Total Allocation - Dist EGD" sheetId="82" r:id="rId19"/>
    <sheet name="Total Allocation - Gas EGD" sheetId="81" r:id="rId20"/>
    <sheet name="Allocation Factors - EGD" sheetId="55" r:id="rId21"/>
    <sheet name="Total Allocation - North" sheetId="62" r:id="rId22"/>
    <sheet name="Total Allo - Dist Union North" sheetId="86" r:id="rId23"/>
    <sheet name="Total Allo - Gas Union North" sheetId="87" r:id="rId24"/>
    <sheet name="Allocation Factors-Union North" sheetId="63" r:id="rId25"/>
    <sheet name="Total Allocation - Union South" sheetId="56" r:id="rId26"/>
    <sheet name="Total Allo - Dist Union South" sheetId="84" r:id="rId27"/>
    <sheet name="Total Allo -  Gas Union South" sheetId="83" r:id="rId28"/>
    <sheet name="Allocation Factors-Union South" sheetId="57" r:id="rId29"/>
    <sheet name="Total Allocation - Ex Fran" sheetId="88" r:id="rId30"/>
    <sheet name="Total Allocation - Dist Ex Fran" sheetId="90" r:id="rId31"/>
    <sheet name="Total Allocation - Gas Ex Fran" sheetId="89" r:id="rId32"/>
    <sheet name="Allocation Factors - Ex Fran" sheetId="91" r:id="rId33"/>
  </sheets>
  <definedNames>
    <definedName name="_xlnm.Print_Area" localSheetId="10">'Dist Cust Class'!$B$5:$X$106</definedName>
    <definedName name="_xlnm.Print_Area" localSheetId="9">'Dist Factors'!$A$1:$X$81</definedName>
    <definedName name="_xlnm.Print_Area" localSheetId="8">'Distribution Class'!$A$2:$AJ$182</definedName>
    <definedName name="_xlnm.Print_Area" localSheetId="0">Function!$A$2:$X$182</definedName>
    <definedName name="_xlnm.Print_Area" localSheetId="1">'Function Factors'!$A$1:$M$121</definedName>
    <definedName name="_xlnm.Print_Area" localSheetId="2">'Gas Supply Class'!$A$2:$AB$182</definedName>
    <definedName name="_xlnm.Print_Area" localSheetId="3">'Gas Supply Factors'!$A$1:$P$21</definedName>
    <definedName name="_xlnm.Print_Area" localSheetId="5">'Stor Factors'!$A$1:$L$77</definedName>
    <definedName name="_xlnm.Print_Area" localSheetId="4">'Storage Class'!$A$2:$X$182</definedName>
    <definedName name="_xlnm.Print_Area" localSheetId="7">'Trans Factors'!$A$1:$R$85</definedName>
    <definedName name="_xlnm.Print_Area" localSheetId="6">'Transmission Class'!$A$2:$AD$182</definedName>
    <definedName name="_xlnm.Print_Titles" localSheetId="0">Function!$10:$13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9" i="10" l="1"/>
  <c r="I59" i="10"/>
  <c r="K59" i="10"/>
  <c r="G53" i="10"/>
  <c r="I53" i="10"/>
  <c r="K53" i="10"/>
  <c r="AT11" i="86"/>
  <c r="BD11" i="86"/>
  <c r="AT12" i="86"/>
  <c r="BD12" i="86"/>
  <c r="AT13" i="86"/>
  <c r="BD13" i="86"/>
  <c r="AT14" i="86"/>
  <c r="AT15" i="86"/>
  <c r="BD15" i="86"/>
  <c r="AT16" i="86"/>
  <c r="BD16" i="86"/>
  <c r="AT20" i="86"/>
  <c r="BD20" i="86"/>
  <c r="AT21" i="86"/>
  <c r="AT22" i="86"/>
  <c r="BD22" i="86"/>
  <c r="AT23" i="86"/>
  <c r="BD23" i="86"/>
  <c r="AT27" i="86"/>
  <c r="BD27" i="86"/>
  <c r="AT28" i="86"/>
  <c r="BD28" i="86"/>
  <c r="AT29" i="86"/>
  <c r="BD29" i="86"/>
  <c r="AT30" i="86"/>
  <c r="BD30" i="86"/>
  <c r="AT31" i="86"/>
  <c r="BD31" i="86"/>
  <c r="AT32" i="86"/>
  <c r="BD32" i="86"/>
  <c r="H33" i="87" l="1"/>
  <c r="D73" i="63"/>
  <c r="D72" i="63"/>
  <c r="D55" i="63"/>
  <c r="D54" i="63"/>
  <c r="D25" i="63"/>
  <c r="D24" i="63"/>
  <c r="V33" i="90"/>
  <c r="U33" i="90"/>
  <c r="T33" i="90"/>
  <c r="S33" i="90"/>
  <c r="R33" i="90"/>
  <c r="Q33" i="90"/>
  <c r="P33" i="90"/>
  <c r="O33" i="90"/>
  <c r="N33" i="90"/>
  <c r="D97" i="91"/>
  <c r="D96" i="91"/>
  <c r="D94" i="91"/>
  <c r="D93" i="91"/>
  <c r="D91" i="91"/>
  <c r="D90" i="91"/>
  <c r="D88" i="91"/>
  <c r="D87" i="91"/>
  <c r="D85" i="91"/>
  <c r="D84" i="91"/>
  <c r="D82" i="91"/>
  <c r="D81" i="91"/>
  <c r="D79" i="91"/>
  <c r="D78" i="91"/>
  <c r="D73" i="91"/>
  <c r="D72" i="91"/>
  <c r="D67" i="91"/>
  <c r="D66" i="91"/>
  <c r="D64" i="91"/>
  <c r="D63" i="91"/>
  <c r="D61" i="91"/>
  <c r="D60" i="91"/>
  <c r="D58" i="91"/>
  <c r="D57" i="91"/>
  <c r="D49" i="91"/>
  <c r="D48" i="91"/>
  <c r="D46" i="91"/>
  <c r="D45" i="91"/>
  <c r="D43" i="91"/>
  <c r="D42" i="91"/>
  <c r="D37" i="91"/>
  <c r="D36" i="91"/>
  <c r="D31" i="91"/>
  <c r="D30" i="91"/>
  <c r="D28" i="91"/>
  <c r="D27" i="91"/>
  <c r="D22" i="91"/>
  <c r="D21" i="91"/>
  <c r="D13" i="91"/>
  <c r="D12" i="91"/>
  <c r="D76" i="57"/>
  <c r="D75" i="57"/>
  <c r="D58" i="57"/>
  <c r="D57" i="57"/>
  <c r="D25" i="57"/>
  <c r="D24" i="57"/>
  <c r="D22" i="57"/>
  <c r="D21" i="57"/>
  <c r="D72" i="55"/>
  <c r="D73" i="55" l="1"/>
  <c r="M51" i="61"/>
  <c r="I51" i="61"/>
  <c r="M50" i="61"/>
  <c r="I50" i="61"/>
  <c r="M49" i="61"/>
  <c r="I49" i="61"/>
  <c r="M48" i="61"/>
  <c r="I48" i="61"/>
  <c r="M46" i="61"/>
  <c r="I46" i="61"/>
  <c r="M45" i="61"/>
  <c r="I45" i="61"/>
  <c r="M44" i="61"/>
  <c r="I44" i="61"/>
  <c r="M43" i="61"/>
  <c r="I43" i="61"/>
  <c r="M42" i="61"/>
  <c r="I42" i="61"/>
  <c r="M41" i="61"/>
  <c r="I41" i="61"/>
  <c r="M39" i="61"/>
  <c r="I39" i="61"/>
  <c r="M38" i="61"/>
  <c r="I38" i="61"/>
  <c r="M37" i="61"/>
  <c r="I37" i="61"/>
  <c r="M33" i="61"/>
  <c r="I33" i="61"/>
  <c r="M32" i="61"/>
  <c r="I32" i="61"/>
  <c r="M31" i="61"/>
  <c r="I31" i="61"/>
  <c r="M30" i="61"/>
  <c r="I30" i="61"/>
  <c r="M29" i="61"/>
  <c r="I29" i="61"/>
  <c r="M28" i="61"/>
  <c r="I28" i="61"/>
  <c r="M27" i="61"/>
  <c r="I27" i="61"/>
  <c r="M23" i="61"/>
  <c r="I23" i="61"/>
  <c r="M22" i="61"/>
  <c r="I22" i="61"/>
  <c r="M21" i="61"/>
  <c r="I21" i="61"/>
  <c r="M20" i="61"/>
  <c r="I20" i="61"/>
  <c r="M16" i="61"/>
  <c r="I16" i="61"/>
  <c r="M15" i="61"/>
  <c r="I15" i="61"/>
  <c r="M14" i="61"/>
  <c r="I14" i="61"/>
  <c r="M13" i="61"/>
  <c r="I13" i="61"/>
  <c r="M12" i="61"/>
  <c r="I12" i="61"/>
  <c r="M11" i="61"/>
  <c r="I11" i="61"/>
  <c r="M51" i="60"/>
  <c r="I51" i="60"/>
  <c r="M50" i="60"/>
  <c r="I50" i="60"/>
  <c r="M49" i="60"/>
  <c r="I49" i="60"/>
  <c r="M48" i="60"/>
  <c r="I48" i="60"/>
  <c r="M46" i="60"/>
  <c r="I46" i="60"/>
  <c r="M45" i="60"/>
  <c r="I45" i="60"/>
  <c r="M44" i="60"/>
  <c r="I44" i="60"/>
  <c r="M43" i="60"/>
  <c r="I43" i="60"/>
  <c r="M42" i="60"/>
  <c r="I42" i="60"/>
  <c r="M41" i="60"/>
  <c r="I41" i="60"/>
  <c r="M39" i="60"/>
  <c r="I39" i="60"/>
  <c r="M38" i="60"/>
  <c r="I38" i="60"/>
  <c r="M37" i="60"/>
  <c r="I37" i="60"/>
  <c r="O51" i="52"/>
  <c r="K51" i="52"/>
  <c r="O50" i="52"/>
  <c r="K50" i="52"/>
  <c r="O49" i="52"/>
  <c r="K49" i="52"/>
  <c r="O48" i="52"/>
  <c r="K48" i="52"/>
  <c r="O46" i="52"/>
  <c r="K46" i="52"/>
  <c r="O45" i="52"/>
  <c r="K45" i="52"/>
  <c r="O44" i="52"/>
  <c r="K44" i="52"/>
  <c r="O43" i="52"/>
  <c r="K43" i="52"/>
  <c r="O42" i="52"/>
  <c r="K42" i="52"/>
  <c r="O41" i="52"/>
  <c r="K41" i="52"/>
  <c r="O39" i="52"/>
  <c r="K39" i="52"/>
  <c r="O38" i="52"/>
  <c r="K38" i="52"/>
  <c r="O37" i="52"/>
  <c r="K37" i="52"/>
  <c r="I33" i="60"/>
  <c r="I32" i="60"/>
  <c r="I31" i="60"/>
  <c r="I30" i="60"/>
  <c r="I29" i="60"/>
  <c r="I28" i="60"/>
  <c r="I27" i="60"/>
  <c r="I23" i="60"/>
  <c r="I22" i="60"/>
  <c r="I21" i="60"/>
  <c r="I20" i="60"/>
  <c r="I16" i="60"/>
  <c r="I15" i="60"/>
  <c r="I14" i="60"/>
  <c r="I13" i="60"/>
  <c r="I12" i="60"/>
  <c r="I11" i="60"/>
  <c r="M33" i="60"/>
  <c r="M32" i="60"/>
  <c r="M31" i="60"/>
  <c r="M30" i="60"/>
  <c r="M29" i="60"/>
  <c r="M28" i="60"/>
  <c r="M27" i="60"/>
  <c r="M23" i="60"/>
  <c r="M22" i="60"/>
  <c r="M21" i="60"/>
  <c r="M20" i="60"/>
  <c r="M16" i="60"/>
  <c r="M15" i="60"/>
  <c r="M14" i="60"/>
  <c r="M13" i="60"/>
  <c r="M12" i="60"/>
  <c r="M11" i="60"/>
  <c r="K33" i="52"/>
  <c r="K32" i="52"/>
  <c r="K31" i="52"/>
  <c r="K30" i="52"/>
  <c r="K29" i="52"/>
  <c r="K28" i="52"/>
  <c r="K27" i="52"/>
  <c r="K23" i="52"/>
  <c r="K22" i="52"/>
  <c r="K21" i="52"/>
  <c r="K20" i="52"/>
  <c r="K16" i="52"/>
  <c r="K15" i="52"/>
  <c r="K14" i="52"/>
  <c r="K13" i="52"/>
  <c r="K12" i="52"/>
  <c r="K11" i="52"/>
  <c r="O33" i="52"/>
  <c r="O32" i="52"/>
  <c r="O31" i="52"/>
  <c r="O30" i="52"/>
  <c r="O29" i="52"/>
  <c r="O28" i="52"/>
  <c r="O27" i="52"/>
  <c r="O23" i="52"/>
  <c r="O22" i="52"/>
  <c r="O21" i="52"/>
  <c r="O20" i="52"/>
  <c r="O16" i="52"/>
  <c r="O15" i="52"/>
  <c r="O14" i="52"/>
  <c r="O13" i="52"/>
  <c r="O12" i="52"/>
  <c r="O11" i="52"/>
  <c r="F33" i="90" l="1"/>
  <c r="U47" i="62" l="1"/>
  <c r="T47" i="62"/>
  <c r="S47" i="62"/>
  <c r="R47" i="62"/>
  <c r="Q47" i="62"/>
  <c r="P47" i="62"/>
  <c r="U40" i="62"/>
  <c r="T40" i="62"/>
  <c r="S40" i="62"/>
  <c r="R40" i="62"/>
  <c r="Q40" i="62"/>
  <c r="P40" i="62"/>
  <c r="F21" i="90" l="1"/>
  <c r="F14" i="90"/>
  <c r="D47" i="89"/>
  <c r="D19" i="89"/>
  <c r="L49" i="88"/>
  <c r="H52" i="88"/>
  <c r="H34" i="88"/>
  <c r="H24" i="88"/>
  <c r="X17" i="88"/>
  <c r="W17" i="88"/>
  <c r="V17" i="88"/>
  <c r="U17" i="88"/>
  <c r="T17" i="88"/>
  <c r="S17" i="88"/>
  <c r="R17" i="88"/>
  <c r="Q17" i="88"/>
  <c r="P17" i="88"/>
  <c r="H17" i="88"/>
  <c r="A12" i="88"/>
  <c r="A13" i="88" s="1"/>
  <c r="A14" i="88" s="1"/>
  <c r="A15" i="88" s="1"/>
  <c r="A16" i="88" s="1"/>
  <c r="A17" i="88" s="1"/>
  <c r="A20" i="88" s="1"/>
  <c r="A21" i="88" s="1"/>
  <c r="A22" i="88" s="1"/>
  <c r="A23" i="88" s="1"/>
  <c r="A24" i="88" s="1"/>
  <c r="A27" i="88" s="1"/>
  <c r="A28" i="88" s="1"/>
  <c r="A29" i="88" s="1"/>
  <c r="A30" i="88" s="1"/>
  <c r="A31" i="88" s="1"/>
  <c r="A32" i="88" s="1"/>
  <c r="A33" i="88" s="1"/>
  <c r="A34" i="88" s="1"/>
  <c r="A37" i="88" s="1"/>
  <c r="A38" i="88" s="1"/>
  <c r="A39" i="88" s="1"/>
  <c r="A41" i="88" s="1"/>
  <c r="A42" i="88" s="1"/>
  <c r="A43" i="88" s="1"/>
  <c r="A44" i="88" s="1"/>
  <c r="A45" i="88" s="1"/>
  <c r="A46" i="88" s="1"/>
  <c r="A48" i="88" s="1"/>
  <c r="A49" i="88" s="1"/>
  <c r="A50" i="88" s="1"/>
  <c r="A51" i="88" s="1"/>
  <c r="A52" i="88" s="1"/>
  <c r="A54" i="88" s="1"/>
  <c r="A12" i="90"/>
  <c r="A13" i="90" s="1"/>
  <c r="A14" i="90" s="1"/>
  <c r="A15" i="90" s="1"/>
  <c r="A16" i="90" s="1"/>
  <c r="A17" i="90" s="1"/>
  <c r="A20" i="90" s="1"/>
  <c r="A21" i="90" s="1"/>
  <c r="A22" i="90" s="1"/>
  <c r="A23" i="90" s="1"/>
  <c r="A24" i="90" s="1"/>
  <c r="A27" i="90" s="1"/>
  <c r="A28" i="90" s="1"/>
  <c r="A29" i="90" s="1"/>
  <c r="A30" i="90" s="1"/>
  <c r="A31" i="90" s="1"/>
  <c r="A32" i="90" s="1"/>
  <c r="A33" i="90" s="1"/>
  <c r="A34" i="90" s="1"/>
  <c r="A37" i="90" s="1"/>
  <c r="A38" i="90" s="1"/>
  <c r="A39" i="90" s="1"/>
  <c r="A41" i="90" s="1"/>
  <c r="A42" i="90" s="1"/>
  <c r="A43" i="90" s="1"/>
  <c r="A44" i="90" s="1"/>
  <c r="A45" i="90" s="1"/>
  <c r="A46" i="90" s="1"/>
  <c r="A48" i="90" s="1"/>
  <c r="A49" i="90" s="1"/>
  <c r="A50" i="90" s="1"/>
  <c r="A51" i="90" s="1"/>
  <c r="A52" i="90" s="1"/>
  <c r="A54" i="90" s="1"/>
  <c r="F52" i="89"/>
  <c r="F34" i="89"/>
  <c r="F24" i="89"/>
  <c r="F17" i="89"/>
  <c r="F54" i="89" s="1"/>
  <c r="A12" i="89"/>
  <c r="A13" i="89" s="1"/>
  <c r="A14" i="89" s="1"/>
  <c r="A15" i="89" s="1"/>
  <c r="A16" i="89" s="1"/>
  <c r="A17" i="89" s="1"/>
  <c r="A20" i="89" s="1"/>
  <c r="A21" i="89" s="1"/>
  <c r="A22" i="89" s="1"/>
  <c r="A23" i="89" s="1"/>
  <c r="A24" i="89" s="1"/>
  <c r="A27" i="89" s="1"/>
  <c r="A28" i="89" s="1"/>
  <c r="A29" i="89" s="1"/>
  <c r="A30" i="89" s="1"/>
  <c r="A31" i="89" s="1"/>
  <c r="A32" i="89" s="1"/>
  <c r="A33" i="89" s="1"/>
  <c r="A34" i="89" s="1"/>
  <c r="A37" i="89" s="1"/>
  <c r="A38" i="89" s="1"/>
  <c r="A39" i="89" s="1"/>
  <c r="A41" i="89" s="1"/>
  <c r="A42" i="89" s="1"/>
  <c r="A43" i="89" s="1"/>
  <c r="A44" i="89" s="1"/>
  <c r="A45" i="89" s="1"/>
  <c r="A46" i="89" s="1"/>
  <c r="A48" i="89" s="1"/>
  <c r="A49" i="89" s="1"/>
  <c r="A50" i="89" s="1"/>
  <c r="A51" i="89" s="1"/>
  <c r="A52" i="89" s="1"/>
  <c r="A54" i="89" s="1"/>
  <c r="H49" i="86"/>
  <c r="H52" i="86" s="1"/>
  <c r="H33" i="86"/>
  <c r="H34" i="86" s="1"/>
  <c r="H21" i="86"/>
  <c r="H24" i="86" s="1"/>
  <c r="H14" i="86"/>
  <c r="H17" i="86" s="1"/>
  <c r="H52" i="87"/>
  <c r="H34" i="87"/>
  <c r="H24" i="87"/>
  <c r="H17" i="87"/>
  <c r="A12" i="87"/>
  <c r="A13" i="87" s="1"/>
  <c r="A14" i="87" s="1"/>
  <c r="A15" i="87" s="1"/>
  <c r="A16" i="87" s="1"/>
  <c r="A17" i="87" s="1"/>
  <c r="A20" i="87" s="1"/>
  <c r="A21" i="87" s="1"/>
  <c r="A22" i="87" s="1"/>
  <c r="A23" i="87" s="1"/>
  <c r="A24" i="87" s="1"/>
  <c r="A27" i="87" s="1"/>
  <c r="A28" i="87" s="1"/>
  <c r="A29" i="87" s="1"/>
  <c r="A30" i="87" s="1"/>
  <c r="A31" i="87" s="1"/>
  <c r="A32" i="87" s="1"/>
  <c r="A33" i="87" s="1"/>
  <c r="A34" i="87" s="1"/>
  <c r="A37" i="87" s="1"/>
  <c r="A38" i="87" s="1"/>
  <c r="A39" i="87" s="1"/>
  <c r="A41" i="87" s="1"/>
  <c r="A42" i="87" s="1"/>
  <c r="A43" i="87" s="1"/>
  <c r="A44" i="87" s="1"/>
  <c r="A45" i="87" s="1"/>
  <c r="A46" i="87" s="1"/>
  <c r="A48" i="87" s="1"/>
  <c r="A49" i="87" s="1"/>
  <c r="A50" i="87" s="1"/>
  <c r="A51" i="87" s="1"/>
  <c r="A52" i="87" s="1"/>
  <c r="A54" i="87" s="1"/>
  <c r="A12" i="86"/>
  <c r="A13" i="86" s="1"/>
  <c r="A14" i="86" s="1"/>
  <c r="A15" i="86" s="1"/>
  <c r="A16" i="86" s="1"/>
  <c r="A17" i="86" s="1"/>
  <c r="A20" i="86" s="1"/>
  <c r="A21" i="86" s="1"/>
  <c r="A22" i="86" s="1"/>
  <c r="A23" i="86" s="1"/>
  <c r="A24" i="86" s="1"/>
  <c r="A27" i="86" s="1"/>
  <c r="A28" i="86" s="1"/>
  <c r="A29" i="86" s="1"/>
  <c r="A30" i="86" s="1"/>
  <c r="A31" i="86" s="1"/>
  <c r="A32" i="86" s="1"/>
  <c r="A33" i="86" s="1"/>
  <c r="A34" i="86" s="1"/>
  <c r="A37" i="86" s="1"/>
  <c r="A38" i="86" s="1"/>
  <c r="A39" i="86" s="1"/>
  <c r="A41" i="86" s="1"/>
  <c r="A42" i="86" s="1"/>
  <c r="A43" i="86" s="1"/>
  <c r="A44" i="86" s="1"/>
  <c r="A45" i="86" s="1"/>
  <c r="A46" i="86" s="1"/>
  <c r="A48" i="86" s="1"/>
  <c r="A49" i="86" s="1"/>
  <c r="A50" i="86" s="1"/>
  <c r="A51" i="86" s="1"/>
  <c r="A52" i="86" s="1"/>
  <c r="A54" i="86" s="1"/>
  <c r="F49" i="84"/>
  <c r="F52" i="84" s="1"/>
  <c r="F21" i="84"/>
  <c r="F24" i="84" s="1"/>
  <c r="F14" i="84"/>
  <c r="F17" i="84" s="1"/>
  <c r="A12" i="84"/>
  <c r="A13" i="84" s="1"/>
  <c r="A14" i="84" s="1"/>
  <c r="A15" i="84" s="1"/>
  <c r="A16" i="84" s="1"/>
  <c r="A17" i="84" s="1"/>
  <c r="A20" i="84" s="1"/>
  <c r="A21" i="84" s="1"/>
  <c r="A22" i="84" s="1"/>
  <c r="A23" i="84" s="1"/>
  <c r="A24" i="84" s="1"/>
  <c r="A27" i="84" s="1"/>
  <c r="A28" i="84" s="1"/>
  <c r="A29" i="84" s="1"/>
  <c r="A30" i="84" s="1"/>
  <c r="A31" i="84" s="1"/>
  <c r="A32" i="84" s="1"/>
  <c r="A33" i="84" s="1"/>
  <c r="A34" i="84" s="1"/>
  <c r="A37" i="84" s="1"/>
  <c r="A38" i="84" s="1"/>
  <c r="A39" i="84" s="1"/>
  <c r="A41" i="84" s="1"/>
  <c r="A42" i="84" s="1"/>
  <c r="A43" i="84" s="1"/>
  <c r="A44" i="84" s="1"/>
  <c r="A45" i="84" s="1"/>
  <c r="A46" i="84" s="1"/>
  <c r="A48" i="84" s="1"/>
  <c r="A49" i="84" s="1"/>
  <c r="A50" i="84" s="1"/>
  <c r="A51" i="84" s="1"/>
  <c r="A52" i="84" s="1"/>
  <c r="A54" i="84" s="1"/>
  <c r="F52" i="83"/>
  <c r="F24" i="83"/>
  <c r="F17" i="83"/>
  <c r="A15" i="83"/>
  <c r="A16" i="83" s="1"/>
  <c r="A17" i="83" s="1"/>
  <c r="A20" i="83" s="1"/>
  <c r="A21" i="83" s="1"/>
  <c r="A22" i="83" s="1"/>
  <c r="A23" i="83" s="1"/>
  <c r="A24" i="83" s="1"/>
  <c r="A27" i="83" s="1"/>
  <c r="A28" i="83" s="1"/>
  <c r="A29" i="83" s="1"/>
  <c r="A30" i="83" s="1"/>
  <c r="A31" i="83" s="1"/>
  <c r="A32" i="83" s="1"/>
  <c r="A33" i="83" s="1"/>
  <c r="A34" i="83" s="1"/>
  <c r="A37" i="83" s="1"/>
  <c r="A38" i="83" s="1"/>
  <c r="A39" i="83" s="1"/>
  <c r="A41" i="83" s="1"/>
  <c r="A42" i="83" s="1"/>
  <c r="A43" i="83" s="1"/>
  <c r="A44" i="83" s="1"/>
  <c r="A45" i="83" s="1"/>
  <c r="A46" i="83" s="1"/>
  <c r="A48" i="83" s="1"/>
  <c r="A49" i="83" s="1"/>
  <c r="A50" i="83" s="1"/>
  <c r="A51" i="83" s="1"/>
  <c r="A52" i="83" s="1"/>
  <c r="A54" i="83" s="1"/>
  <c r="A12" i="83"/>
  <c r="A13" i="83" s="1"/>
  <c r="A14" i="83" s="1"/>
  <c r="F49" i="82"/>
  <c r="F52" i="82" s="1"/>
  <c r="F21" i="82"/>
  <c r="F14" i="82"/>
  <c r="D47" i="81"/>
  <c r="D47" i="82" s="1"/>
  <c r="D40" i="81"/>
  <c r="D40" i="82" s="1"/>
  <c r="A12" i="82"/>
  <c r="A13" i="82" s="1"/>
  <c r="A14" i="82" s="1"/>
  <c r="A15" i="82" s="1"/>
  <c r="A16" i="82" s="1"/>
  <c r="A17" i="82" s="1"/>
  <c r="A20" i="82" s="1"/>
  <c r="A21" i="82" s="1"/>
  <c r="A22" i="82" s="1"/>
  <c r="A23" i="82" s="1"/>
  <c r="A24" i="82" s="1"/>
  <c r="A27" i="82" s="1"/>
  <c r="A28" i="82" s="1"/>
  <c r="A29" i="82" s="1"/>
  <c r="A30" i="82" s="1"/>
  <c r="A31" i="82" s="1"/>
  <c r="A32" i="82" s="1"/>
  <c r="A33" i="82" s="1"/>
  <c r="A34" i="82" s="1"/>
  <c r="A37" i="82" s="1"/>
  <c r="A38" i="82" s="1"/>
  <c r="A39" i="82" s="1"/>
  <c r="A41" i="82" s="1"/>
  <c r="A42" i="82" s="1"/>
  <c r="A43" i="82" s="1"/>
  <c r="A44" i="82" s="1"/>
  <c r="A45" i="82" s="1"/>
  <c r="A46" i="82" s="1"/>
  <c r="A48" i="82" s="1"/>
  <c r="A49" i="82" s="1"/>
  <c r="A50" i="82" s="1"/>
  <c r="A51" i="82" s="1"/>
  <c r="A52" i="82" s="1"/>
  <c r="A54" i="82" s="1"/>
  <c r="F52" i="81"/>
  <c r="F24" i="81"/>
  <c r="F17" i="81"/>
  <c r="A12" i="81"/>
  <c r="A13" i="81" s="1"/>
  <c r="A14" i="81" s="1"/>
  <c r="A15" i="81" s="1"/>
  <c r="A16" i="81" s="1"/>
  <c r="A17" i="81" s="1"/>
  <c r="A20" i="81" s="1"/>
  <c r="A21" i="81" s="1"/>
  <c r="A22" i="81" s="1"/>
  <c r="A23" i="81" s="1"/>
  <c r="A24" i="81" s="1"/>
  <c r="A27" i="81" s="1"/>
  <c r="A28" i="81" s="1"/>
  <c r="A29" i="81" s="1"/>
  <c r="A30" i="81" s="1"/>
  <c r="A31" i="81" s="1"/>
  <c r="A32" i="81" s="1"/>
  <c r="A33" i="81" s="1"/>
  <c r="A34" i="81" s="1"/>
  <c r="A37" i="81" s="1"/>
  <c r="A38" i="81" s="1"/>
  <c r="A39" i="81" s="1"/>
  <c r="A41" i="81" s="1"/>
  <c r="A42" i="81" s="1"/>
  <c r="A43" i="81" s="1"/>
  <c r="A44" i="81" s="1"/>
  <c r="A45" i="81" s="1"/>
  <c r="A46" i="81" s="1"/>
  <c r="A48" i="81" s="1"/>
  <c r="A49" i="81" s="1"/>
  <c r="A50" i="81" s="1"/>
  <c r="A51" i="81" s="1"/>
  <c r="A52" i="81" s="1"/>
  <c r="A54" i="81" s="1"/>
  <c r="D51" i="91" l="1"/>
  <c r="I52" i="91" s="1"/>
  <c r="D24" i="91"/>
  <c r="K25" i="91" s="1"/>
  <c r="H54" i="86"/>
  <c r="F17" i="82"/>
  <c r="F24" i="82"/>
  <c r="D15" i="91"/>
  <c r="K16" i="91" s="1"/>
  <c r="U49" i="88" s="1"/>
  <c r="D75" i="91"/>
  <c r="G76" i="91" s="1"/>
  <c r="D39" i="91"/>
  <c r="L40" i="91" s="1"/>
  <c r="D54" i="91"/>
  <c r="K55" i="91" s="1"/>
  <c r="D33" i="91"/>
  <c r="J34" i="91" s="1"/>
  <c r="D99" i="91"/>
  <c r="N100" i="91" s="1"/>
  <c r="D18" i="91"/>
  <c r="M19" i="91" s="1"/>
  <c r="H54" i="88"/>
  <c r="H54" i="87"/>
  <c r="G25" i="91" l="1"/>
  <c r="J25" i="91"/>
  <c r="I25" i="91"/>
  <c r="H25" i="91"/>
  <c r="N25" i="91"/>
  <c r="M25" i="91"/>
  <c r="F25" i="91"/>
  <c r="L25" i="91"/>
  <c r="G34" i="91"/>
  <c r="F55" i="91"/>
  <c r="I55" i="91"/>
  <c r="J55" i="91"/>
  <c r="F16" i="91"/>
  <c r="P49" i="88" s="1"/>
  <c r="L52" i="91"/>
  <c r="F52" i="91"/>
  <c r="M52" i="91"/>
  <c r="K52" i="91"/>
  <c r="N52" i="91"/>
  <c r="J52" i="91"/>
  <c r="J16" i="91"/>
  <c r="T49" i="88" s="1"/>
  <c r="G52" i="91"/>
  <c r="H52" i="91"/>
  <c r="L16" i="91"/>
  <c r="V49" i="88" s="1"/>
  <c r="N40" i="91"/>
  <c r="F40" i="91"/>
  <c r="I100" i="91"/>
  <c r="M100" i="91"/>
  <c r="H40" i="91"/>
  <c r="J100" i="91"/>
  <c r="I16" i="91"/>
  <c r="S49" i="88" s="1"/>
  <c r="H76" i="91"/>
  <c r="M76" i="91"/>
  <c r="J76" i="91"/>
  <c r="N76" i="91"/>
  <c r="F76" i="91"/>
  <c r="L76" i="91"/>
  <c r="F100" i="91"/>
  <c r="G100" i="91"/>
  <c r="I76" i="91"/>
  <c r="N34" i="91"/>
  <c r="K34" i="91"/>
  <c r="I34" i="91"/>
  <c r="L100" i="91"/>
  <c r="H100" i="91"/>
  <c r="K76" i="91"/>
  <c r="M34" i="91"/>
  <c r="L55" i="91"/>
  <c r="H34" i="91"/>
  <c r="K100" i="91"/>
  <c r="G40" i="91"/>
  <c r="M40" i="91"/>
  <c r="G16" i="91"/>
  <c r="Q49" i="88" s="1"/>
  <c r="K40" i="91"/>
  <c r="N55" i="91"/>
  <c r="M55" i="91"/>
  <c r="M16" i="91"/>
  <c r="W49" i="88" s="1"/>
  <c r="J40" i="91"/>
  <c r="L34" i="91"/>
  <c r="G55" i="91"/>
  <c r="F34" i="91"/>
  <c r="I40" i="91"/>
  <c r="N16" i="91"/>
  <c r="X49" i="88" s="1"/>
  <c r="H55" i="91"/>
  <c r="H16" i="91"/>
  <c r="R49" i="88" s="1"/>
  <c r="J19" i="91"/>
  <c r="N19" i="91"/>
  <c r="H19" i="91"/>
  <c r="G19" i="91"/>
  <c r="L19" i="91"/>
  <c r="I19" i="91"/>
  <c r="K19" i="91"/>
  <c r="F19" i="91"/>
  <c r="D52" i="91" l="1"/>
  <c r="D25" i="91"/>
  <c r="D76" i="91"/>
  <c r="D100" i="91"/>
  <c r="D34" i="91"/>
  <c r="D16" i="91"/>
  <c r="D55" i="91"/>
  <c r="D40" i="91"/>
  <c r="D19" i="91"/>
  <c r="H52" i="62" l="1"/>
  <c r="H34" i="62"/>
  <c r="H24" i="62"/>
  <c r="H17" i="62"/>
  <c r="A12" i="62"/>
  <c r="A13" i="62" s="1"/>
  <c r="A14" i="62" s="1"/>
  <c r="A15" i="62" s="1"/>
  <c r="A16" i="62" s="1"/>
  <c r="A17" i="62" s="1"/>
  <c r="A20" i="62" s="1"/>
  <c r="A21" i="62" s="1"/>
  <c r="A22" i="62" s="1"/>
  <c r="A23" i="62" s="1"/>
  <c r="A24" i="62" s="1"/>
  <c r="A27" i="62" s="1"/>
  <c r="A28" i="62" s="1"/>
  <c r="A29" i="62" s="1"/>
  <c r="A30" i="62" s="1"/>
  <c r="A31" i="62" s="1"/>
  <c r="A32" i="62" s="1"/>
  <c r="A33" i="62" s="1"/>
  <c r="A34" i="62" s="1"/>
  <c r="A37" i="62" s="1"/>
  <c r="A38" i="62" s="1"/>
  <c r="A39" i="62" s="1"/>
  <c r="A41" i="62" s="1"/>
  <c r="A42" i="62" s="1"/>
  <c r="A43" i="62" s="1"/>
  <c r="A44" i="62" s="1"/>
  <c r="A45" i="62" s="1"/>
  <c r="A46" i="62" s="1"/>
  <c r="A48" i="62" s="1"/>
  <c r="A49" i="62" s="1"/>
  <c r="A50" i="62" s="1"/>
  <c r="A51" i="62" s="1"/>
  <c r="A52" i="62" s="1"/>
  <c r="A54" i="62" s="1"/>
  <c r="G30" i="55"/>
  <c r="F30" i="55"/>
  <c r="P76" i="63" l="1"/>
  <c r="Z40" i="63"/>
  <c r="H30" i="55"/>
  <c r="O30" i="55"/>
  <c r="M30" i="57"/>
  <c r="F30" i="63"/>
  <c r="J30" i="55"/>
  <c r="H30" i="57"/>
  <c r="P30" i="57"/>
  <c r="N30" i="57"/>
  <c r="K30" i="55"/>
  <c r="O30" i="57"/>
  <c r="I30" i="57"/>
  <c r="Q30" i="57"/>
  <c r="I30" i="55"/>
  <c r="J30" i="57"/>
  <c r="R30" i="57"/>
  <c r="I30" i="63"/>
  <c r="M30" i="55"/>
  <c r="K30" i="57"/>
  <c r="S30" i="57"/>
  <c r="N30" i="55"/>
  <c r="L30" i="57"/>
  <c r="K30" i="63"/>
  <c r="Q40" i="63"/>
  <c r="W100" i="63"/>
  <c r="X22" i="63"/>
  <c r="D12" i="57"/>
  <c r="G13" i="57" s="1"/>
  <c r="D39" i="55"/>
  <c r="F40" i="55" s="1"/>
  <c r="Y82" i="63"/>
  <c r="R34" i="63"/>
  <c r="W19" i="63"/>
  <c r="Q58" i="63"/>
  <c r="U34" i="63"/>
  <c r="S97" i="63"/>
  <c r="D81" i="55"/>
  <c r="J82" i="55" s="1"/>
  <c r="D12" i="63"/>
  <c r="G13" i="63" s="1"/>
  <c r="N34" i="63"/>
  <c r="N67" i="63"/>
  <c r="W67" i="63"/>
  <c r="S100" i="63"/>
  <c r="D18" i="57"/>
  <c r="L19" i="57" s="1"/>
  <c r="P22" i="63"/>
  <c r="Y22" i="63"/>
  <c r="Z58" i="63"/>
  <c r="P82" i="63"/>
  <c r="S19" i="63"/>
  <c r="D27" i="55"/>
  <c r="O28" i="55" s="1"/>
  <c r="D45" i="63"/>
  <c r="F46" i="63" s="1"/>
  <c r="D36" i="57"/>
  <c r="I37" i="57" s="1"/>
  <c r="D15" i="57"/>
  <c r="G16" i="57" s="1"/>
  <c r="D15" i="55"/>
  <c r="O16" i="55" s="1"/>
  <c r="S88" i="63"/>
  <c r="D63" i="55"/>
  <c r="O64" i="55" s="1"/>
  <c r="W88" i="63"/>
  <c r="D51" i="55"/>
  <c r="O52" i="55" s="1"/>
  <c r="D78" i="55"/>
  <c r="W34" i="63"/>
  <c r="D27" i="57"/>
  <c r="O28" i="57" s="1"/>
  <c r="D39" i="57"/>
  <c r="K40" i="57" s="1"/>
  <c r="X88" i="63"/>
  <c r="D54" i="55"/>
  <c r="D18" i="55"/>
  <c r="H19" i="55" s="1"/>
  <c r="D42" i="55"/>
  <c r="M43" i="55" s="1"/>
  <c r="P40" i="63"/>
  <c r="D81" i="63"/>
  <c r="I82" i="63" s="1"/>
  <c r="D99" i="55"/>
  <c r="N22" i="63"/>
  <c r="W22" i="63"/>
  <c r="O40" i="63"/>
  <c r="X40" i="63"/>
  <c r="U67" i="63"/>
  <c r="V94" i="63"/>
  <c r="D66" i="55"/>
  <c r="H67" i="55" s="1"/>
  <c r="D72" i="57"/>
  <c r="P73" i="57" s="1"/>
  <c r="R13" i="63"/>
  <c r="R19" i="63"/>
  <c r="S34" i="63"/>
  <c r="V67" i="63"/>
  <c r="Q76" i="63"/>
  <c r="Z76" i="63"/>
  <c r="S82" i="63"/>
  <c r="X82" i="63"/>
  <c r="V85" i="63"/>
  <c r="V88" i="63"/>
  <c r="U97" i="63"/>
  <c r="U13" i="63"/>
  <c r="D21" i="63"/>
  <c r="H22" i="63" s="1"/>
  <c r="Q22" i="63"/>
  <c r="Z22" i="63"/>
  <c r="V34" i="63"/>
  <c r="N58" i="63"/>
  <c r="W58" i="63"/>
  <c r="O67" i="63"/>
  <c r="X67" i="63"/>
  <c r="Q82" i="63"/>
  <c r="Z82" i="63"/>
  <c r="D93" i="63"/>
  <c r="J94" i="63" s="1"/>
  <c r="P94" i="63"/>
  <c r="Y94" i="63"/>
  <c r="N97" i="63"/>
  <c r="W97" i="63"/>
  <c r="U100" i="63"/>
  <c r="D45" i="55"/>
  <c r="J46" i="55" s="1"/>
  <c r="Z13" i="63"/>
  <c r="V19" i="63"/>
  <c r="O58" i="63"/>
  <c r="X58" i="63"/>
  <c r="D66" i="63"/>
  <c r="F67" i="63" s="1"/>
  <c r="U76" i="63"/>
  <c r="R82" i="63"/>
  <c r="D84" i="63"/>
  <c r="J85" i="63" s="1"/>
  <c r="P85" i="63"/>
  <c r="U85" i="63"/>
  <c r="Y88" i="63"/>
  <c r="Q94" i="63"/>
  <c r="Z94" i="63"/>
  <c r="V100" i="63"/>
  <c r="D57" i="55"/>
  <c r="J58" i="55" s="1"/>
  <c r="D48" i="57"/>
  <c r="F49" i="57" s="1"/>
  <c r="S22" i="63"/>
  <c r="O34" i="63"/>
  <c r="X34" i="63"/>
  <c r="U40" i="63"/>
  <c r="P58" i="63"/>
  <c r="Y58" i="63"/>
  <c r="V76" i="63"/>
  <c r="Q85" i="63"/>
  <c r="Z85" i="63"/>
  <c r="N88" i="63"/>
  <c r="R94" i="63"/>
  <c r="D51" i="57"/>
  <c r="K52" i="57" s="1"/>
  <c r="Q13" i="63"/>
  <c r="X13" i="63"/>
  <c r="O19" i="63"/>
  <c r="X19" i="63"/>
  <c r="U22" i="63"/>
  <c r="D33" i="63"/>
  <c r="G34" i="63" s="1"/>
  <c r="P34" i="63"/>
  <c r="Y34" i="63"/>
  <c r="V40" i="63"/>
  <c r="R67" i="63"/>
  <c r="N76" i="63"/>
  <c r="W76" i="63"/>
  <c r="U82" i="63"/>
  <c r="R85" i="63"/>
  <c r="S94" i="63"/>
  <c r="D96" i="63"/>
  <c r="H97" i="63" s="1"/>
  <c r="Q97" i="63"/>
  <c r="V97" i="63"/>
  <c r="O100" i="63"/>
  <c r="X100" i="63"/>
  <c r="D84" i="55"/>
  <c r="F85" i="55" s="1"/>
  <c r="D93" i="55"/>
  <c r="P13" i="63"/>
  <c r="Y13" i="63"/>
  <c r="D18" i="63"/>
  <c r="G19" i="63" s="1"/>
  <c r="P19" i="63"/>
  <c r="Y19" i="63"/>
  <c r="N40" i="63"/>
  <c r="W40" i="63"/>
  <c r="R58" i="63"/>
  <c r="S67" i="63"/>
  <c r="O76" i="63"/>
  <c r="X76" i="63"/>
  <c r="S85" i="63"/>
  <c r="D87" i="63"/>
  <c r="J88" i="63" s="1"/>
  <c r="O88" i="63"/>
  <c r="R97" i="63"/>
  <c r="D99" i="63"/>
  <c r="I100" i="63" s="1"/>
  <c r="D60" i="63"/>
  <c r="J61" i="63" s="1"/>
  <c r="P88" i="63"/>
  <c r="N19" i="63"/>
  <c r="O22" i="63"/>
  <c r="Y40" i="63"/>
  <c r="V13" i="63"/>
  <c r="R40" i="63"/>
  <c r="D42" i="63"/>
  <c r="D57" i="63"/>
  <c r="H58" i="63" s="1"/>
  <c r="S58" i="63"/>
  <c r="P67" i="63"/>
  <c r="Y67" i="63"/>
  <c r="R76" i="63"/>
  <c r="D78" i="63"/>
  <c r="K79" i="63" s="1"/>
  <c r="V82" i="63"/>
  <c r="N85" i="63"/>
  <c r="W85" i="63"/>
  <c r="Q88" i="63"/>
  <c r="Z88" i="63"/>
  <c r="N94" i="63"/>
  <c r="W94" i="63"/>
  <c r="O97" i="63"/>
  <c r="X97" i="63"/>
  <c r="P100" i="63"/>
  <c r="Y100" i="63"/>
  <c r="Y76" i="63"/>
  <c r="U94" i="63"/>
  <c r="N13" i="63"/>
  <c r="W13" i="63"/>
  <c r="Q19" i="63"/>
  <c r="Z19" i="63"/>
  <c r="R22" i="63"/>
  <c r="D27" i="63"/>
  <c r="H28" i="63" s="1"/>
  <c r="Q34" i="63"/>
  <c r="Z34" i="63"/>
  <c r="D39" i="63"/>
  <c r="S40" i="63"/>
  <c r="U58" i="63"/>
  <c r="Q67" i="63"/>
  <c r="Z67" i="63"/>
  <c r="D75" i="63"/>
  <c r="S76" i="63"/>
  <c r="N82" i="63"/>
  <c r="W82" i="63"/>
  <c r="O85" i="63"/>
  <c r="X85" i="63"/>
  <c r="R88" i="63"/>
  <c r="D90" i="63"/>
  <c r="O94" i="63"/>
  <c r="X94" i="63"/>
  <c r="P97" i="63"/>
  <c r="Y97" i="63"/>
  <c r="Q100" i="63"/>
  <c r="Z100" i="63"/>
  <c r="O13" i="63"/>
  <c r="J30" i="63"/>
  <c r="AA34" i="63"/>
  <c r="D51" i="63"/>
  <c r="I52" i="63" s="1"/>
  <c r="V58" i="63"/>
  <c r="O82" i="63"/>
  <c r="Y85" i="63"/>
  <c r="Z97" i="63"/>
  <c r="R100" i="63"/>
  <c r="S13" i="63"/>
  <c r="N100" i="63"/>
  <c r="D36" i="63"/>
  <c r="F37" i="63" s="1"/>
  <c r="U88" i="63"/>
  <c r="U19" i="63"/>
  <c r="V22" i="63"/>
  <c r="D48" i="63"/>
  <c r="I49" i="63" s="1"/>
  <c r="D15" i="63"/>
  <c r="I16" i="63" s="1"/>
  <c r="D63" i="63"/>
  <c r="F64" i="63" s="1"/>
  <c r="H54" i="62"/>
  <c r="D54" i="57"/>
  <c r="G55" i="57" s="1"/>
  <c r="D42" i="57"/>
  <c r="R43" i="57" s="1"/>
  <c r="D66" i="57"/>
  <c r="I67" i="57" s="1"/>
  <c r="D33" i="57"/>
  <c r="Q34" i="57" s="1"/>
  <c r="D78" i="57"/>
  <c r="Q79" i="57" s="1"/>
  <c r="D81" i="57"/>
  <c r="D84" i="57"/>
  <c r="N85" i="57" s="1"/>
  <c r="D87" i="57"/>
  <c r="G88" i="57" s="1"/>
  <c r="D90" i="57"/>
  <c r="J91" i="57" s="1"/>
  <c r="D93" i="57"/>
  <c r="Q94" i="57" s="1"/>
  <c r="D96" i="57"/>
  <c r="F97" i="57" s="1"/>
  <c r="D99" i="57"/>
  <c r="R100" i="57" s="1"/>
  <c r="D45" i="57"/>
  <c r="R46" i="57" s="1"/>
  <c r="D60" i="57"/>
  <c r="M61" i="57" s="1"/>
  <c r="D63" i="57"/>
  <c r="P64" i="57" s="1"/>
  <c r="D12" i="55"/>
  <c r="G13" i="55" s="1"/>
  <c r="D24" i="55"/>
  <c r="D36" i="55"/>
  <c r="F37" i="55" s="1"/>
  <c r="D48" i="55"/>
  <c r="J49" i="55" s="1"/>
  <c r="D60" i="55"/>
  <c r="D75" i="55"/>
  <c r="D87" i="55"/>
  <c r="F88" i="55" s="1"/>
  <c r="D96" i="55"/>
  <c r="N97" i="55" s="1"/>
  <c r="L30" i="55"/>
  <c r="D21" i="55"/>
  <c r="H22" i="55" s="1"/>
  <c r="D33" i="55"/>
  <c r="M34" i="55" s="1"/>
  <c r="D90" i="55"/>
  <c r="K91" i="55" s="1"/>
  <c r="K82" i="55" l="1"/>
  <c r="G82" i="55"/>
  <c r="I82" i="55"/>
  <c r="O82" i="55"/>
  <c r="H82" i="55"/>
  <c r="I13" i="57"/>
  <c r="K13" i="63"/>
  <c r="I19" i="57"/>
  <c r="F67" i="55"/>
  <c r="O40" i="55"/>
  <c r="L82" i="55"/>
  <c r="N64" i="55"/>
  <c r="F28" i="55"/>
  <c r="F82" i="55"/>
  <c r="H13" i="63"/>
  <c r="H40" i="55"/>
  <c r="N40" i="55"/>
  <c r="M82" i="55"/>
  <c r="L40" i="55"/>
  <c r="J13" i="63"/>
  <c r="M16" i="55"/>
  <c r="M67" i="55"/>
  <c r="Q13" i="57"/>
  <c r="N13" i="57"/>
  <c r="J13" i="57"/>
  <c r="R13" i="57"/>
  <c r="M13" i="57"/>
  <c r="O13" i="57"/>
  <c r="N82" i="55"/>
  <c r="P13" i="57"/>
  <c r="H13" i="57"/>
  <c r="K13" i="57"/>
  <c r="F64" i="55"/>
  <c r="D30" i="57"/>
  <c r="R31" i="57" s="1"/>
  <c r="O16" i="57"/>
  <c r="G64" i="55"/>
  <c r="D30" i="55"/>
  <c r="G31" i="55" s="1"/>
  <c r="M64" i="55"/>
  <c r="F13" i="57"/>
  <c r="S13" i="57"/>
  <c r="L13" i="57"/>
  <c r="I40" i="55"/>
  <c r="F13" i="63"/>
  <c r="G40" i="55"/>
  <c r="G16" i="55"/>
  <c r="M40" i="55"/>
  <c r="I13" i="63"/>
  <c r="K40" i="55"/>
  <c r="J40" i="55"/>
  <c r="N28" i="55"/>
  <c r="N19" i="55"/>
  <c r="G19" i="55"/>
  <c r="K19" i="55"/>
  <c r="L19" i="55"/>
  <c r="O19" i="55"/>
  <c r="M19" i="55"/>
  <c r="M28" i="55"/>
  <c r="J19" i="55"/>
  <c r="F19" i="55"/>
  <c r="H67" i="63"/>
  <c r="P19" i="57"/>
  <c r="G67" i="63"/>
  <c r="I67" i="63"/>
  <c r="H28" i="55"/>
  <c r="K82" i="63"/>
  <c r="J55" i="55"/>
  <c r="G28" i="55"/>
  <c r="K100" i="55"/>
  <c r="N100" i="55"/>
  <c r="F55" i="55"/>
  <c r="H55" i="55"/>
  <c r="M55" i="55"/>
  <c r="O55" i="55"/>
  <c r="H100" i="55"/>
  <c r="G55" i="55"/>
  <c r="K55" i="55"/>
  <c r="L55" i="55"/>
  <c r="K28" i="55"/>
  <c r="I16" i="55"/>
  <c r="Q37" i="57"/>
  <c r="N37" i="57"/>
  <c r="H16" i="55"/>
  <c r="L43" i="55"/>
  <c r="N16" i="55"/>
  <c r="L37" i="57"/>
  <c r="F16" i="55"/>
  <c r="I40" i="57"/>
  <c r="K100" i="63"/>
  <c r="I64" i="55"/>
  <c r="L100" i="55"/>
  <c r="J100" i="63"/>
  <c r="N19" i="57"/>
  <c r="J100" i="55"/>
  <c r="G100" i="55"/>
  <c r="R19" i="57"/>
  <c r="F22" i="63"/>
  <c r="M100" i="55"/>
  <c r="I100" i="55"/>
  <c r="J19" i="57"/>
  <c r="I34" i="63"/>
  <c r="F100" i="55"/>
  <c r="F19" i="63"/>
  <c r="J19" i="63"/>
  <c r="I55" i="55"/>
  <c r="K16" i="57"/>
  <c r="R37" i="57"/>
  <c r="I28" i="55"/>
  <c r="L64" i="55"/>
  <c r="K22" i="63"/>
  <c r="I22" i="63"/>
  <c r="L79" i="55"/>
  <c r="J34" i="63"/>
  <c r="Q19" i="57"/>
  <c r="M19" i="57"/>
  <c r="K19" i="57"/>
  <c r="F19" i="57"/>
  <c r="F97" i="63"/>
  <c r="H34" i="63"/>
  <c r="G19" i="57"/>
  <c r="S19" i="57"/>
  <c r="N94" i="55"/>
  <c r="O19" i="57"/>
  <c r="H19" i="57"/>
  <c r="K94" i="55"/>
  <c r="F34" i="63"/>
  <c r="K34" i="63"/>
  <c r="F100" i="63"/>
  <c r="J94" i="55"/>
  <c r="J22" i="63"/>
  <c r="N79" i="55"/>
  <c r="G94" i="55"/>
  <c r="G22" i="63"/>
  <c r="G100" i="63"/>
  <c r="G46" i="63"/>
  <c r="H79" i="55"/>
  <c r="L28" i="55"/>
  <c r="F58" i="55"/>
  <c r="H94" i="55"/>
  <c r="L28" i="57"/>
  <c r="L58" i="55"/>
  <c r="O58" i="55"/>
  <c r="J67" i="63"/>
  <c r="J16" i="55"/>
  <c r="K58" i="55"/>
  <c r="K67" i="63"/>
  <c r="N55" i="55"/>
  <c r="J28" i="55"/>
  <c r="I94" i="55"/>
  <c r="H100" i="63"/>
  <c r="I94" i="63"/>
  <c r="M94" i="55"/>
  <c r="K16" i="55"/>
  <c r="K64" i="55"/>
  <c r="L31" i="57"/>
  <c r="L16" i="55"/>
  <c r="H16" i="57"/>
  <c r="N16" i="57"/>
  <c r="R91" i="57"/>
  <c r="F16" i="57"/>
  <c r="P16" i="57"/>
  <c r="Q16" i="57"/>
  <c r="M16" i="57"/>
  <c r="S16" i="57"/>
  <c r="I16" i="57"/>
  <c r="J16" i="57"/>
  <c r="L16" i="57"/>
  <c r="Q91" i="57"/>
  <c r="R16" i="57"/>
  <c r="O79" i="55"/>
  <c r="J37" i="57"/>
  <c r="F37" i="57"/>
  <c r="I28" i="57"/>
  <c r="M37" i="57"/>
  <c r="K79" i="55"/>
  <c r="J64" i="55"/>
  <c r="O37" i="57"/>
  <c r="G37" i="57"/>
  <c r="R28" i="57"/>
  <c r="H28" i="57"/>
  <c r="H37" i="57"/>
  <c r="K28" i="57"/>
  <c r="N28" i="57"/>
  <c r="M79" i="55"/>
  <c r="P37" i="57"/>
  <c r="F79" i="55"/>
  <c r="I79" i="55"/>
  <c r="G79" i="55"/>
  <c r="K37" i="57"/>
  <c r="J28" i="57"/>
  <c r="S37" i="57"/>
  <c r="J79" i="55"/>
  <c r="G49" i="57"/>
  <c r="L91" i="55"/>
  <c r="K85" i="57"/>
  <c r="P40" i="57"/>
  <c r="O31" i="57"/>
  <c r="N40" i="57"/>
  <c r="G40" i="57"/>
  <c r="H52" i="57"/>
  <c r="M40" i="57"/>
  <c r="S40" i="57"/>
  <c r="L40" i="57"/>
  <c r="H46" i="63"/>
  <c r="H88" i="63"/>
  <c r="I52" i="55"/>
  <c r="G91" i="57"/>
  <c r="F40" i="57"/>
  <c r="S91" i="57"/>
  <c r="L49" i="57"/>
  <c r="Q49" i="57"/>
  <c r="R40" i="57"/>
  <c r="O73" i="57"/>
  <c r="O40" i="57"/>
  <c r="K46" i="63"/>
  <c r="H40" i="57"/>
  <c r="R61" i="57"/>
  <c r="I46" i="63"/>
  <c r="P49" i="57"/>
  <c r="Q40" i="57"/>
  <c r="J46" i="63"/>
  <c r="G88" i="63"/>
  <c r="K64" i="63"/>
  <c r="J40" i="57"/>
  <c r="M88" i="55"/>
  <c r="K43" i="55"/>
  <c r="K46" i="55"/>
  <c r="S34" i="57"/>
  <c r="J61" i="57"/>
  <c r="G61" i="57"/>
  <c r="S31" i="57"/>
  <c r="O43" i="55"/>
  <c r="G46" i="55"/>
  <c r="F43" i="55"/>
  <c r="J88" i="55"/>
  <c r="M85" i="57"/>
  <c r="O64" i="57"/>
  <c r="J85" i="57"/>
  <c r="J43" i="55"/>
  <c r="H43" i="55"/>
  <c r="O46" i="55"/>
  <c r="S46" i="57"/>
  <c r="K88" i="63"/>
  <c r="H31" i="57"/>
  <c r="G85" i="63"/>
  <c r="M46" i="55"/>
  <c r="G37" i="55"/>
  <c r="M91" i="57"/>
  <c r="O34" i="57"/>
  <c r="R73" i="57"/>
  <c r="I88" i="63"/>
  <c r="F88" i="63"/>
  <c r="F46" i="55"/>
  <c r="L46" i="55"/>
  <c r="H46" i="55"/>
  <c r="N46" i="55"/>
  <c r="P31" i="57"/>
  <c r="N88" i="55"/>
  <c r="I43" i="55"/>
  <c r="N43" i="55"/>
  <c r="I46" i="55"/>
  <c r="K61" i="57"/>
  <c r="I85" i="57"/>
  <c r="N31" i="57"/>
  <c r="I49" i="57"/>
  <c r="G43" i="55"/>
  <c r="N91" i="57"/>
  <c r="J46" i="57"/>
  <c r="S55" i="57"/>
  <c r="H64" i="55"/>
  <c r="F79" i="57"/>
  <c r="L55" i="57"/>
  <c r="F97" i="55"/>
  <c r="J13" i="55"/>
  <c r="L67" i="55"/>
  <c r="K76" i="55"/>
  <c r="J67" i="55"/>
  <c r="K37" i="55"/>
  <c r="R79" i="57"/>
  <c r="P79" i="57"/>
  <c r="Q46" i="57"/>
  <c r="O55" i="57"/>
  <c r="K73" i="57"/>
  <c r="F55" i="57"/>
  <c r="N55" i="57"/>
  <c r="G94" i="63"/>
  <c r="J97" i="63"/>
  <c r="K97" i="63"/>
  <c r="S49" i="57"/>
  <c r="L85" i="55"/>
  <c r="J49" i="57"/>
  <c r="M58" i="55"/>
  <c r="N73" i="57"/>
  <c r="N67" i="55"/>
  <c r="O85" i="55"/>
  <c r="I79" i="57"/>
  <c r="K94" i="57"/>
  <c r="S52" i="57"/>
  <c r="J94" i="57"/>
  <c r="G67" i="55"/>
  <c r="L34" i="55"/>
  <c r="Q52" i="57"/>
  <c r="P100" i="57"/>
  <c r="L73" i="57"/>
  <c r="O79" i="57"/>
  <c r="G52" i="57"/>
  <c r="L52" i="57"/>
  <c r="Q100" i="57"/>
  <c r="G49" i="63"/>
  <c r="M52" i="57"/>
  <c r="N49" i="57"/>
  <c r="N85" i="55"/>
  <c r="K67" i="55"/>
  <c r="L49" i="55"/>
  <c r="I67" i="55"/>
  <c r="J52" i="57"/>
  <c r="S94" i="57"/>
  <c r="M73" i="57"/>
  <c r="H73" i="57"/>
  <c r="P46" i="57"/>
  <c r="N52" i="57"/>
  <c r="G85" i="57"/>
  <c r="F46" i="57"/>
  <c r="F91" i="57"/>
  <c r="F85" i="57"/>
  <c r="H55" i="57"/>
  <c r="G97" i="63"/>
  <c r="K52" i="63"/>
  <c r="I97" i="63"/>
  <c r="F28" i="57"/>
  <c r="F94" i="55"/>
  <c r="Q73" i="57"/>
  <c r="K85" i="63"/>
  <c r="J52" i="55"/>
  <c r="F82" i="63"/>
  <c r="I19" i="55"/>
  <c r="G85" i="55"/>
  <c r="G97" i="55"/>
  <c r="O76" i="55"/>
  <c r="I85" i="55"/>
  <c r="N58" i="55"/>
  <c r="J73" i="57"/>
  <c r="K100" i="57"/>
  <c r="R64" i="57"/>
  <c r="G73" i="57"/>
  <c r="Q64" i="57"/>
  <c r="S28" i="57"/>
  <c r="M94" i="57"/>
  <c r="F52" i="57"/>
  <c r="S73" i="57"/>
  <c r="J79" i="57"/>
  <c r="S79" i="57"/>
  <c r="F94" i="63"/>
  <c r="H79" i="63"/>
  <c r="I79" i="63"/>
  <c r="K94" i="63"/>
  <c r="H85" i="63"/>
  <c r="K49" i="57"/>
  <c r="R49" i="57"/>
  <c r="H82" i="63"/>
  <c r="H85" i="55"/>
  <c r="F31" i="57"/>
  <c r="G31" i="57"/>
  <c r="K52" i="55"/>
  <c r="H52" i="55"/>
  <c r="O49" i="57"/>
  <c r="O100" i="55"/>
  <c r="I31" i="57"/>
  <c r="G58" i="55"/>
  <c r="N52" i="55"/>
  <c r="M52" i="55"/>
  <c r="O67" i="55"/>
  <c r="J37" i="55"/>
  <c r="L88" i="55"/>
  <c r="G49" i="55"/>
  <c r="J85" i="55"/>
  <c r="H58" i="55"/>
  <c r="I58" i="55"/>
  <c r="L46" i="57"/>
  <c r="S85" i="57"/>
  <c r="I73" i="57"/>
  <c r="F73" i="57"/>
  <c r="F64" i="57"/>
  <c r="K46" i="57"/>
  <c r="K19" i="63"/>
  <c r="J28" i="63"/>
  <c r="I85" i="63"/>
  <c r="M85" i="55"/>
  <c r="L94" i="55"/>
  <c r="P52" i="57"/>
  <c r="G82" i="63"/>
  <c r="M28" i="57"/>
  <c r="Q31" i="57"/>
  <c r="H49" i="57"/>
  <c r="O94" i="55"/>
  <c r="G52" i="55"/>
  <c r="F52" i="55"/>
  <c r="G34" i="55"/>
  <c r="N76" i="55"/>
  <c r="F76" i="55"/>
  <c r="L76" i="55"/>
  <c r="K85" i="55"/>
  <c r="F49" i="55"/>
  <c r="H67" i="57"/>
  <c r="F88" i="57"/>
  <c r="G28" i="57"/>
  <c r="O52" i="57"/>
  <c r="O85" i="57"/>
  <c r="N94" i="57"/>
  <c r="I88" i="57"/>
  <c r="G64" i="57"/>
  <c r="P28" i="57"/>
  <c r="F85" i="63"/>
  <c r="I19" i="63"/>
  <c r="H19" i="63"/>
  <c r="M49" i="57"/>
  <c r="J82" i="63"/>
  <c r="R52" i="57"/>
  <c r="H94" i="63"/>
  <c r="I52" i="57"/>
  <c r="L52" i="55"/>
  <c r="M31" i="57"/>
  <c r="Q28" i="57"/>
  <c r="J31" i="57"/>
  <c r="K31" i="57"/>
  <c r="I91" i="63"/>
  <c r="G91" i="63"/>
  <c r="F91" i="63"/>
  <c r="K91" i="63"/>
  <c r="G64" i="63"/>
  <c r="J64" i="63"/>
  <c r="I64" i="63"/>
  <c r="J43" i="63"/>
  <c r="H43" i="63"/>
  <c r="G43" i="63"/>
  <c r="F43" i="63"/>
  <c r="H37" i="63"/>
  <c r="H16" i="63"/>
  <c r="K43" i="63"/>
  <c r="K37" i="63"/>
  <c r="F40" i="63"/>
  <c r="I40" i="63"/>
  <c r="H40" i="63"/>
  <c r="J91" i="63"/>
  <c r="I43" i="63"/>
  <c r="I76" i="63"/>
  <c r="F76" i="63"/>
  <c r="H76" i="63"/>
  <c r="J37" i="63"/>
  <c r="G40" i="63"/>
  <c r="H91" i="63"/>
  <c r="I37" i="63"/>
  <c r="G37" i="63"/>
  <c r="F49" i="63"/>
  <c r="K49" i="63"/>
  <c r="H49" i="63"/>
  <c r="J49" i="63"/>
  <c r="I28" i="63"/>
  <c r="K28" i="63"/>
  <c r="G28" i="63"/>
  <c r="F28" i="63"/>
  <c r="K76" i="63"/>
  <c r="F16" i="63"/>
  <c r="J76" i="63"/>
  <c r="G76" i="63"/>
  <c r="H64" i="63"/>
  <c r="H52" i="63"/>
  <c r="J52" i="63"/>
  <c r="F52" i="63"/>
  <c r="J58" i="63"/>
  <c r="G58" i="63"/>
  <c r="I58" i="63"/>
  <c r="K61" i="63"/>
  <c r="I61" i="63"/>
  <c r="H61" i="63"/>
  <c r="G61" i="63"/>
  <c r="F58" i="63"/>
  <c r="F61" i="63"/>
  <c r="K16" i="63"/>
  <c r="J16" i="63"/>
  <c r="G16" i="63"/>
  <c r="J79" i="63"/>
  <c r="G79" i="63"/>
  <c r="F79" i="63"/>
  <c r="D30" i="63"/>
  <c r="J31" i="63" s="1"/>
  <c r="J40" i="63"/>
  <c r="K58" i="63"/>
  <c r="G52" i="63"/>
  <c r="K40" i="63"/>
  <c r="F67" i="57"/>
  <c r="Q97" i="57"/>
  <c r="N88" i="57"/>
  <c r="P34" i="57"/>
  <c r="I34" i="57"/>
  <c r="N34" i="57"/>
  <c r="F34" i="57"/>
  <c r="L34" i="57"/>
  <c r="R34" i="57"/>
  <c r="K34" i="57"/>
  <c r="M34" i="57"/>
  <c r="G94" i="57"/>
  <c r="Q82" i="57"/>
  <c r="Q67" i="57"/>
  <c r="F94" i="57"/>
  <c r="P82" i="57"/>
  <c r="J64" i="57"/>
  <c r="I46" i="57"/>
  <c r="H85" i="57"/>
  <c r="O82" i="57"/>
  <c r="Q61" i="57"/>
  <c r="N82" i="57"/>
  <c r="N46" i="57"/>
  <c r="R82" i="57"/>
  <c r="M82" i="57"/>
  <c r="G34" i="57"/>
  <c r="K67" i="57"/>
  <c r="J97" i="57"/>
  <c r="J67" i="57"/>
  <c r="Q43" i="57"/>
  <c r="G82" i="57"/>
  <c r="H82" i="57"/>
  <c r="P94" i="57"/>
  <c r="L67" i="57"/>
  <c r="M43" i="57"/>
  <c r="H94" i="57"/>
  <c r="J43" i="57"/>
  <c r="P91" i="57"/>
  <c r="M79" i="57"/>
  <c r="O61" i="57"/>
  <c r="S100" i="57"/>
  <c r="O91" i="57"/>
  <c r="L79" i="57"/>
  <c r="O94" i="57"/>
  <c r="S43" i="57"/>
  <c r="P61" i="57"/>
  <c r="I94" i="57"/>
  <c r="S82" i="57"/>
  <c r="M64" i="57"/>
  <c r="K64" i="57"/>
  <c r="P88" i="57"/>
  <c r="O100" i="57"/>
  <c r="L91" i="57"/>
  <c r="H79" i="57"/>
  <c r="K91" i="57"/>
  <c r="G79" i="57"/>
  <c r="M100" i="57"/>
  <c r="I91" i="57"/>
  <c r="H61" i="57"/>
  <c r="G43" i="57"/>
  <c r="R67" i="57"/>
  <c r="L100" i="57"/>
  <c r="H91" i="57"/>
  <c r="M46" i="57"/>
  <c r="L43" i="57"/>
  <c r="I61" i="57"/>
  <c r="I43" i="57"/>
  <c r="S67" i="57"/>
  <c r="J82" i="57"/>
  <c r="L82" i="57"/>
  <c r="N61" i="57"/>
  <c r="I100" i="57"/>
  <c r="S88" i="57"/>
  <c r="S61" i="57"/>
  <c r="N100" i="57"/>
  <c r="G46" i="57"/>
  <c r="H100" i="57"/>
  <c r="R88" i="57"/>
  <c r="G67" i="57"/>
  <c r="G100" i="57"/>
  <c r="Q88" i="57"/>
  <c r="O46" i="57"/>
  <c r="S97" i="57"/>
  <c r="O88" i="57"/>
  <c r="M55" i="57"/>
  <c r="J55" i="57"/>
  <c r="R55" i="57"/>
  <c r="K55" i="57"/>
  <c r="Q55" i="57"/>
  <c r="P55" i="57"/>
  <c r="I55" i="57"/>
  <c r="J100" i="57"/>
  <c r="L64" i="57"/>
  <c r="R97" i="57"/>
  <c r="N43" i="57"/>
  <c r="M88" i="57"/>
  <c r="P97" i="57"/>
  <c r="I82" i="57"/>
  <c r="F82" i="57"/>
  <c r="K43" i="57"/>
  <c r="F61" i="57"/>
  <c r="K82" i="57"/>
  <c r="O97" i="57"/>
  <c r="L88" i="57"/>
  <c r="L61" i="57"/>
  <c r="F100" i="57"/>
  <c r="O43" i="57"/>
  <c r="K88" i="57"/>
  <c r="L94" i="57"/>
  <c r="H64" i="57"/>
  <c r="N97" i="57"/>
  <c r="J88" i="57"/>
  <c r="H46" i="57"/>
  <c r="L97" i="57"/>
  <c r="H88" i="57"/>
  <c r="I97" i="57"/>
  <c r="K97" i="57"/>
  <c r="M67" i="57"/>
  <c r="F43" i="57"/>
  <c r="L85" i="57"/>
  <c r="P67" i="57"/>
  <c r="I64" i="57"/>
  <c r="K79" i="57"/>
  <c r="S64" i="57"/>
  <c r="H97" i="57"/>
  <c r="R85" i="57"/>
  <c r="M97" i="57"/>
  <c r="N79" i="57"/>
  <c r="H43" i="57"/>
  <c r="G97" i="57"/>
  <c r="Q85" i="57"/>
  <c r="J34" i="57"/>
  <c r="P85" i="57"/>
  <c r="O67" i="57"/>
  <c r="P43" i="57"/>
  <c r="R94" i="57"/>
  <c r="N67" i="57"/>
  <c r="H34" i="57"/>
  <c r="N64" i="57"/>
  <c r="H61" i="55"/>
  <c r="O61" i="55"/>
  <c r="I61" i="55"/>
  <c r="G88" i="55"/>
  <c r="I91" i="55"/>
  <c r="G76" i="55"/>
  <c r="M76" i="55"/>
  <c r="N49" i="55"/>
  <c r="N37" i="55"/>
  <c r="J76" i="55"/>
  <c r="H34" i="55"/>
  <c r="O34" i="55"/>
  <c r="I25" i="55"/>
  <c r="H25" i="55"/>
  <c r="O25" i="55"/>
  <c r="J25" i="55"/>
  <c r="L25" i="55"/>
  <c r="O91" i="55"/>
  <c r="N91" i="55"/>
  <c r="G91" i="55"/>
  <c r="N22" i="55"/>
  <c r="L22" i="55"/>
  <c r="M61" i="55"/>
  <c r="M37" i="55"/>
  <c r="N13" i="55"/>
  <c r="K34" i="55"/>
  <c r="J34" i="55"/>
  <c r="I34" i="55"/>
  <c r="I97" i="55"/>
  <c r="K97" i="55"/>
  <c r="J97" i="55"/>
  <c r="H97" i="55"/>
  <c r="H49" i="55"/>
  <c r="O49" i="55"/>
  <c r="I49" i="55"/>
  <c r="G22" i="55"/>
  <c r="F34" i="55"/>
  <c r="F61" i="55"/>
  <c r="L61" i="55"/>
  <c r="M91" i="55"/>
  <c r="K49" i="55"/>
  <c r="K25" i="55"/>
  <c r="K22" i="55"/>
  <c r="J22" i="55"/>
  <c r="I22" i="55"/>
  <c r="I88" i="55"/>
  <c r="H88" i="55"/>
  <c r="O88" i="55"/>
  <c r="I13" i="55"/>
  <c r="H13" i="55"/>
  <c r="O13" i="55"/>
  <c r="L97" i="55"/>
  <c r="N25" i="55"/>
  <c r="F91" i="55"/>
  <c r="K61" i="55"/>
  <c r="M25" i="55"/>
  <c r="M13" i="55"/>
  <c r="O22" i="55"/>
  <c r="I76" i="55"/>
  <c r="H76" i="55"/>
  <c r="K13" i="55"/>
  <c r="M22" i="55"/>
  <c r="N61" i="55"/>
  <c r="G25" i="55"/>
  <c r="F25" i="55"/>
  <c r="F13" i="55"/>
  <c r="H37" i="55"/>
  <c r="O37" i="55"/>
  <c r="I37" i="55"/>
  <c r="J91" i="55"/>
  <c r="N34" i="55"/>
  <c r="M97" i="55"/>
  <c r="F22" i="55"/>
  <c r="H91" i="55"/>
  <c r="G61" i="55"/>
  <c r="K88" i="55"/>
  <c r="M49" i="55"/>
  <c r="J61" i="55"/>
  <c r="L37" i="55"/>
  <c r="O97" i="55"/>
  <c r="L13" i="55"/>
  <c r="D13" i="63" l="1"/>
  <c r="D82" i="55"/>
  <c r="N31" i="55"/>
  <c r="D13" i="57"/>
  <c r="D40" i="55"/>
  <c r="H31" i="55"/>
  <c r="M31" i="55"/>
  <c r="K31" i="55"/>
  <c r="O31" i="55"/>
  <c r="I31" i="55"/>
  <c r="J31" i="55"/>
  <c r="F31" i="55"/>
  <c r="L31" i="55"/>
  <c r="D19" i="55"/>
  <c r="D55" i="55"/>
  <c r="D34" i="63"/>
  <c r="D28" i="55"/>
  <c r="D100" i="55"/>
  <c r="D22" i="63"/>
  <c r="D19" i="63"/>
  <c r="D19" i="57"/>
  <c r="D22" i="55"/>
  <c r="D100" i="63"/>
  <c r="D16" i="55"/>
  <c r="D67" i="55"/>
  <c r="D67" i="63"/>
  <c r="D64" i="55"/>
  <c r="D94" i="63"/>
  <c r="D97" i="63"/>
  <c r="D76" i="55"/>
  <c r="D94" i="55"/>
  <c r="D79" i="55"/>
  <c r="D16" i="57"/>
  <c r="D40" i="57"/>
  <c r="D37" i="57"/>
  <c r="D43" i="55"/>
  <c r="D88" i="63"/>
  <c r="D46" i="55"/>
  <c r="D46" i="63"/>
  <c r="D37" i="63"/>
  <c r="D49" i="55"/>
  <c r="D73" i="57"/>
  <c r="D52" i="55"/>
  <c r="D49" i="57"/>
  <c r="D52" i="57"/>
  <c r="D64" i="57"/>
  <c r="D64" i="63"/>
  <c r="D34" i="57"/>
  <c r="D28" i="63"/>
  <c r="D28" i="57"/>
  <c r="D58" i="55"/>
  <c r="D85" i="57"/>
  <c r="D85" i="63"/>
  <c r="D37" i="55"/>
  <c r="D31" i="57"/>
  <c r="D97" i="57"/>
  <c r="D79" i="57"/>
  <c r="D88" i="57"/>
  <c r="D55" i="57"/>
  <c r="D91" i="57"/>
  <c r="D85" i="55"/>
  <c r="D97" i="55"/>
  <c r="D88" i="55"/>
  <c r="D46" i="57"/>
  <c r="D82" i="63"/>
  <c r="D49" i="63"/>
  <c r="G31" i="63"/>
  <c r="K31" i="63"/>
  <c r="H31" i="63"/>
  <c r="F31" i="63"/>
  <c r="I31" i="63"/>
  <c r="D79" i="63"/>
  <c r="D61" i="63"/>
  <c r="D40" i="63"/>
  <c r="D43" i="63"/>
  <c r="D91" i="63"/>
  <c r="D58" i="63"/>
  <c r="D52" i="63"/>
  <c r="D76" i="63"/>
  <c r="D16" i="63"/>
  <c r="D82" i="57"/>
  <c r="D61" i="57"/>
  <c r="D67" i="57"/>
  <c r="D43" i="57"/>
  <c r="D100" i="57"/>
  <c r="D94" i="57"/>
  <c r="D13" i="55"/>
  <c r="D91" i="55"/>
  <c r="D61" i="55"/>
  <c r="D25" i="55"/>
  <c r="D34" i="55"/>
  <c r="D31" i="55" l="1"/>
  <c r="D31" i="63"/>
  <c r="L52" i="80" l="1"/>
  <c r="D33" i="51"/>
  <c r="H34" i="51" s="1"/>
  <c r="D15" i="51"/>
  <c r="F16" i="51" s="1"/>
  <c r="D12" i="51"/>
  <c r="H13" i="51" s="1"/>
  <c r="D73" i="12"/>
  <c r="T74" i="12" s="1"/>
  <c r="T49" i="12"/>
  <c r="D34" i="12"/>
  <c r="V35" i="12" s="1"/>
  <c r="D31" i="12"/>
  <c r="N32" i="12" s="1"/>
  <c r="D28" i="12"/>
  <c r="V29" i="12" s="1"/>
  <c r="D25" i="12"/>
  <c r="N26" i="12" s="1"/>
  <c r="D22" i="12"/>
  <c r="V23" i="12" s="1"/>
  <c r="D19" i="12"/>
  <c r="N20" i="12" s="1"/>
  <c r="J74" i="12" l="1"/>
  <c r="V74" i="12"/>
  <c r="L74" i="12"/>
  <c r="H16" i="51"/>
  <c r="J16" i="51"/>
  <c r="T26" i="12"/>
  <c r="T32" i="12"/>
  <c r="T20" i="12"/>
  <c r="H23" i="12"/>
  <c r="H29" i="12"/>
  <c r="H35" i="12"/>
  <c r="L23" i="12"/>
  <c r="L29" i="12"/>
  <c r="L35" i="12"/>
  <c r="X23" i="12"/>
  <c r="X29" i="12"/>
  <c r="X35" i="12"/>
  <c r="J20" i="12"/>
  <c r="J26" i="12"/>
  <c r="J32" i="12"/>
  <c r="P20" i="12"/>
  <c r="P26" i="12"/>
  <c r="P32" i="12"/>
  <c r="F74" i="12"/>
  <c r="F34" i="51"/>
  <c r="D34" i="51" s="1"/>
  <c r="J34" i="51"/>
  <c r="F13" i="51"/>
  <c r="J13" i="51"/>
  <c r="R20" i="12"/>
  <c r="J23" i="12"/>
  <c r="R26" i="12"/>
  <c r="J29" i="12"/>
  <c r="R32" i="12"/>
  <c r="J35" i="12"/>
  <c r="H74" i="12"/>
  <c r="X74" i="12"/>
  <c r="F20" i="12"/>
  <c r="V20" i="12"/>
  <c r="N23" i="12"/>
  <c r="F26" i="12"/>
  <c r="V26" i="12"/>
  <c r="N29" i="12"/>
  <c r="F32" i="12"/>
  <c r="V32" i="12"/>
  <c r="N35" i="12"/>
  <c r="H20" i="12"/>
  <c r="X20" i="12"/>
  <c r="P23" i="12"/>
  <c r="H26" i="12"/>
  <c r="X26" i="12"/>
  <c r="P29" i="12"/>
  <c r="H32" i="12"/>
  <c r="X32" i="12"/>
  <c r="P35" i="12"/>
  <c r="N74" i="12"/>
  <c r="P74" i="12"/>
  <c r="R23" i="12"/>
  <c r="R29" i="12"/>
  <c r="L20" i="12"/>
  <c r="T23" i="12"/>
  <c r="L26" i="12"/>
  <c r="T29" i="12"/>
  <c r="L32" i="12"/>
  <c r="T35" i="12"/>
  <c r="R74" i="12"/>
  <c r="R35" i="12"/>
  <c r="F23" i="12"/>
  <c r="F29" i="12"/>
  <c r="F35" i="12"/>
  <c r="D16" i="51" l="1"/>
  <c r="D35" i="12"/>
  <c r="D29" i="12"/>
  <c r="D74" i="12"/>
  <c r="D13" i="51"/>
  <c r="D32" i="12"/>
  <c r="D26" i="12"/>
  <c r="D23" i="12"/>
  <c r="D20" i="12"/>
  <c r="A12" i="52" l="1"/>
  <c r="A13" i="52" s="1"/>
  <c r="A14" i="52" s="1"/>
  <c r="A15" i="52" s="1"/>
  <c r="A16" i="52" s="1"/>
  <c r="A17" i="52" s="1"/>
  <c r="A20" i="52" s="1"/>
  <c r="A21" i="52" s="1"/>
  <c r="A22" i="52" s="1"/>
  <c r="A23" i="52" s="1"/>
  <c r="A24" i="52" s="1"/>
  <c r="A27" i="52" s="1"/>
  <c r="A28" i="52" s="1"/>
  <c r="A29" i="52" s="1"/>
  <c r="A30" i="52" s="1"/>
  <c r="A31" i="52" s="1"/>
  <c r="A32" i="52" s="1"/>
  <c r="A33" i="52" s="1"/>
  <c r="A34" i="52" s="1"/>
  <c r="F50" i="61" l="1"/>
  <c r="F48" i="61"/>
  <c r="F46" i="61"/>
  <c r="F45" i="61"/>
  <c r="F44" i="61"/>
  <c r="F43" i="61"/>
  <c r="F42" i="61"/>
  <c r="F41" i="61"/>
  <c r="F39" i="61"/>
  <c r="F38" i="61"/>
  <c r="F37" i="61"/>
  <c r="F32" i="61"/>
  <c r="F31" i="61"/>
  <c r="F30" i="61"/>
  <c r="F29" i="61"/>
  <c r="F28" i="61"/>
  <c r="F27" i="61"/>
  <c r="F23" i="61"/>
  <c r="F22" i="61"/>
  <c r="F20" i="61"/>
  <c r="F16" i="61"/>
  <c r="F15" i="61"/>
  <c r="F13" i="61"/>
  <c r="F12" i="61"/>
  <c r="F11" i="61"/>
  <c r="Q26" i="61"/>
  <c r="Q25" i="61"/>
  <c r="Q19" i="61"/>
  <c r="Q18" i="61"/>
  <c r="A12" i="61"/>
  <c r="A13" i="61" s="1"/>
  <c r="A14" i="61" s="1"/>
  <c r="A15" i="61" s="1"/>
  <c r="A16" i="61" s="1"/>
  <c r="A17" i="61" s="1"/>
  <c r="A20" i="61" s="1"/>
  <c r="A21" i="61" s="1"/>
  <c r="A22" i="61" s="1"/>
  <c r="A23" i="61" s="1"/>
  <c r="A24" i="61" s="1"/>
  <c r="A27" i="61" s="1"/>
  <c r="A28" i="61" s="1"/>
  <c r="A29" i="61" s="1"/>
  <c r="A30" i="61" s="1"/>
  <c r="A31" i="61" s="1"/>
  <c r="A32" i="61" s="1"/>
  <c r="A33" i="61" s="1"/>
  <c r="A34" i="61" s="1"/>
  <c r="A37" i="61" s="1"/>
  <c r="A38" i="61" s="1"/>
  <c r="A39" i="61" s="1"/>
  <c r="A41" i="61" s="1"/>
  <c r="A42" i="61" s="1"/>
  <c r="A43" i="61" s="1"/>
  <c r="A44" i="61" s="1"/>
  <c r="A45" i="61" s="1"/>
  <c r="A46" i="61" s="1"/>
  <c r="A48" i="61" s="1"/>
  <c r="A49" i="61" s="1"/>
  <c r="A50" i="61" s="1"/>
  <c r="A51" i="61" s="1"/>
  <c r="A52" i="61" s="1"/>
  <c r="A54" i="61" s="1"/>
  <c r="F52" i="60"/>
  <c r="Q26" i="60"/>
  <c r="Q25" i="60"/>
  <c r="F24" i="60"/>
  <c r="Q19" i="60"/>
  <c r="Q18" i="60"/>
  <c r="F17" i="60"/>
  <c r="A12" i="60"/>
  <c r="A13" i="60" s="1"/>
  <c r="A14" i="60" s="1"/>
  <c r="A15" i="60" s="1"/>
  <c r="A16" i="60" s="1"/>
  <c r="A17" i="60" s="1"/>
  <c r="A20" i="60" s="1"/>
  <c r="A21" i="60" s="1"/>
  <c r="A22" i="60" s="1"/>
  <c r="A23" i="60" s="1"/>
  <c r="A24" i="60" s="1"/>
  <c r="A27" i="60" s="1"/>
  <c r="A28" i="60" s="1"/>
  <c r="A29" i="60" s="1"/>
  <c r="A30" i="60" s="1"/>
  <c r="A31" i="60" s="1"/>
  <c r="A32" i="60" s="1"/>
  <c r="A33" i="60" s="1"/>
  <c r="A34" i="60" s="1"/>
  <c r="A37" i="60" s="1"/>
  <c r="A38" i="60" s="1"/>
  <c r="A39" i="60" s="1"/>
  <c r="A41" i="60" s="1"/>
  <c r="A42" i="60" s="1"/>
  <c r="A43" i="60" s="1"/>
  <c r="A44" i="60" s="1"/>
  <c r="A45" i="60" s="1"/>
  <c r="A46" i="60" s="1"/>
  <c r="A48" i="60" s="1"/>
  <c r="A49" i="60" s="1"/>
  <c r="A50" i="60" s="1"/>
  <c r="A51" i="60" s="1"/>
  <c r="A52" i="60" s="1"/>
  <c r="A54" i="60" s="1"/>
  <c r="O176" i="50"/>
  <c r="K176" i="50"/>
  <c r="O175" i="50"/>
  <c r="K175" i="50"/>
  <c r="O174" i="50"/>
  <c r="K174" i="50"/>
  <c r="O173" i="50"/>
  <c r="K173" i="50"/>
  <c r="O172" i="50"/>
  <c r="K172" i="50"/>
  <c r="O171" i="50"/>
  <c r="K171" i="50"/>
  <c r="O170" i="50"/>
  <c r="K170" i="50"/>
  <c r="O160" i="50"/>
  <c r="K160" i="50"/>
  <c r="O159" i="50"/>
  <c r="K159" i="50"/>
  <c r="O157" i="50"/>
  <c r="K157" i="50"/>
  <c r="O156" i="50"/>
  <c r="K156" i="50"/>
  <c r="O155" i="50"/>
  <c r="K155" i="50"/>
  <c r="O154" i="50"/>
  <c r="K154" i="50"/>
  <c r="O153" i="50"/>
  <c r="K153" i="50"/>
  <c r="O152" i="50"/>
  <c r="K152" i="50"/>
  <c r="O151" i="50"/>
  <c r="K151" i="50"/>
  <c r="O149" i="50"/>
  <c r="K149" i="50"/>
  <c r="O148" i="50"/>
  <c r="K148" i="50"/>
  <c r="O147" i="50"/>
  <c r="K147" i="50"/>
  <c r="O145" i="50"/>
  <c r="K145" i="50"/>
  <c r="O143" i="50"/>
  <c r="K143" i="50"/>
  <c r="O142" i="50"/>
  <c r="K142" i="50"/>
  <c r="O141" i="50"/>
  <c r="K141" i="50"/>
  <c r="O140" i="50"/>
  <c r="K140" i="50"/>
  <c r="O139" i="50"/>
  <c r="K139" i="50"/>
  <c r="O138" i="50"/>
  <c r="K138" i="50"/>
  <c r="O136" i="50"/>
  <c r="K136" i="50"/>
  <c r="O135" i="50"/>
  <c r="K135" i="50"/>
  <c r="O134" i="50"/>
  <c r="K134" i="50"/>
  <c r="O133" i="50"/>
  <c r="V133" i="50" s="1"/>
  <c r="O131" i="50"/>
  <c r="K131" i="50"/>
  <c r="O130" i="50"/>
  <c r="K130" i="50"/>
  <c r="O129" i="50"/>
  <c r="K129" i="50"/>
  <c r="O128" i="50"/>
  <c r="K128" i="50"/>
  <c r="O127" i="50"/>
  <c r="K127" i="50"/>
  <c r="O126" i="50"/>
  <c r="K126" i="50"/>
  <c r="O125" i="50"/>
  <c r="K125" i="50"/>
  <c r="O124" i="50"/>
  <c r="K124" i="50"/>
  <c r="O122" i="50"/>
  <c r="K122" i="50"/>
  <c r="O121" i="50"/>
  <c r="K121" i="50"/>
  <c r="O120" i="50"/>
  <c r="K120" i="50"/>
  <c r="O119" i="50"/>
  <c r="K119" i="50"/>
  <c r="O118" i="50"/>
  <c r="K118" i="50"/>
  <c r="O116" i="50"/>
  <c r="K116" i="50"/>
  <c r="O109" i="50"/>
  <c r="K109" i="50"/>
  <c r="O108" i="50"/>
  <c r="K108" i="50"/>
  <c r="O103" i="50"/>
  <c r="K103" i="50"/>
  <c r="O102" i="50"/>
  <c r="K102" i="50"/>
  <c r="O88" i="50"/>
  <c r="K88" i="50"/>
  <c r="O87" i="50"/>
  <c r="K87" i="50"/>
  <c r="O86" i="50"/>
  <c r="K86" i="50"/>
  <c r="O85" i="50"/>
  <c r="K85" i="50"/>
  <c r="O84" i="50"/>
  <c r="K84" i="50"/>
  <c r="O77" i="50"/>
  <c r="K77" i="50"/>
  <c r="O74" i="50"/>
  <c r="K74" i="50"/>
  <c r="O73" i="50"/>
  <c r="K73" i="50"/>
  <c r="O72" i="50"/>
  <c r="K72" i="50"/>
  <c r="O71" i="50"/>
  <c r="K71" i="50"/>
  <c r="O70" i="50"/>
  <c r="K70" i="50"/>
  <c r="O69" i="50"/>
  <c r="K69" i="50"/>
  <c r="O68" i="50"/>
  <c r="K68" i="50"/>
  <c r="O67" i="50"/>
  <c r="K67" i="50"/>
  <c r="O66" i="50"/>
  <c r="K66" i="50"/>
  <c r="O65" i="50"/>
  <c r="K65" i="50"/>
  <c r="O64" i="50"/>
  <c r="K64" i="50"/>
  <c r="O63" i="50"/>
  <c r="K63" i="50"/>
  <c r="O62" i="50"/>
  <c r="K62" i="50"/>
  <c r="O55" i="50"/>
  <c r="K55" i="50"/>
  <c r="O52" i="50"/>
  <c r="K52" i="50"/>
  <c r="O51" i="50"/>
  <c r="K51" i="50"/>
  <c r="O50" i="50"/>
  <c r="K50" i="50"/>
  <c r="O49" i="50"/>
  <c r="K49" i="50"/>
  <c r="O48" i="50"/>
  <c r="K48" i="50"/>
  <c r="O47" i="50"/>
  <c r="K47" i="50"/>
  <c r="O46" i="50"/>
  <c r="K46" i="50"/>
  <c r="O45" i="50"/>
  <c r="K45" i="50"/>
  <c r="O44" i="50"/>
  <c r="K44" i="50"/>
  <c r="O43" i="50"/>
  <c r="K43" i="50"/>
  <c r="O42" i="50"/>
  <c r="K42" i="50"/>
  <c r="O41" i="50"/>
  <c r="K41" i="50"/>
  <c r="O40" i="50"/>
  <c r="K40" i="50"/>
  <c r="O33" i="50"/>
  <c r="K33" i="50"/>
  <c r="O30" i="50"/>
  <c r="K30" i="50"/>
  <c r="O29" i="50"/>
  <c r="K29" i="50"/>
  <c r="O28" i="50"/>
  <c r="K28" i="50"/>
  <c r="O27" i="50"/>
  <c r="K27" i="50"/>
  <c r="O26" i="50"/>
  <c r="K26" i="50"/>
  <c r="O25" i="50"/>
  <c r="K25" i="50"/>
  <c r="O24" i="50"/>
  <c r="K24" i="50"/>
  <c r="O23" i="50"/>
  <c r="K23" i="50"/>
  <c r="O22" i="50"/>
  <c r="K22" i="50"/>
  <c r="O21" i="50"/>
  <c r="K21" i="50"/>
  <c r="O20" i="50"/>
  <c r="K20" i="50"/>
  <c r="O19" i="50"/>
  <c r="K19" i="50"/>
  <c r="O18" i="50"/>
  <c r="K18" i="50"/>
  <c r="O117" i="50"/>
  <c r="K117" i="50"/>
  <c r="P133" i="50" l="1"/>
  <c r="R133" i="50"/>
  <c r="T133" i="50"/>
  <c r="F34" i="56" l="1"/>
  <c r="F24" i="56"/>
  <c r="F17" i="56"/>
  <c r="A12" i="56"/>
  <c r="A13" i="56" s="1"/>
  <c r="A14" i="56" s="1"/>
  <c r="A15" i="56" s="1"/>
  <c r="A16" i="56" s="1"/>
  <c r="A17" i="56" s="1"/>
  <c r="A20" i="56" s="1"/>
  <c r="A21" i="56" s="1"/>
  <c r="A22" i="56" s="1"/>
  <c r="A23" i="56" s="1"/>
  <c r="A24" i="56" s="1"/>
  <c r="A27" i="56" s="1"/>
  <c r="A28" i="56" s="1"/>
  <c r="A29" i="56" s="1"/>
  <c r="A30" i="56" s="1"/>
  <c r="A31" i="56" s="1"/>
  <c r="A32" i="56" s="1"/>
  <c r="A33" i="56" s="1"/>
  <c r="A34" i="56" s="1"/>
  <c r="A37" i="56" s="1"/>
  <c r="A38" i="56" s="1"/>
  <c r="A39" i="56" s="1"/>
  <c r="A41" i="56" s="1"/>
  <c r="A42" i="56" s="1"/>
  <c r="A43" i="56" s="1"/>
  <c r="A44" i="56" s="1"/>
  <c r="A45" i="56" s="1"/>
  <c r="A46" i="56" s="1"/>
  <c r="A48" i="56" s="1"/>
  <c r="A49" i="56" s="1"/>
  <c r="A50" i="56" s="1"/>
  <c r="A51" i="56" s="1"/>
  <c r="A52" i="56" s="1"/>
  <c r="A54" i="56" s="1"/>
  <c r="F34" i="54" l="1"/>
  <c r="F24" i="54"/>
  <c r="F17" i="54"/>
  <c r="A12" i="54"/>
  <c r="A13" i="54" s="1"/>
  <c r="A14" i="54" s="1"/>
  <c r="A15" i="54" s="1"/>
  <c r="A16" i="54" s="1"/>
  <c r="A17" i="54" s="1"/>
  <c r="A20" i="54" s="1"/>
  <c r="A21" i="54" s="1"/>
  <c r="A22" i="54" s="1"/>
  <c r="A23" i="54" s="1"/>
  <c r="A24" i="54" s="1"/>
  <c r="A27" i="54" s="1"/>
  <c r="A28" i="54" s="1"/>
  <c r="A29" i="54" s="1"/>
  <c r="A30" i="54" s="1"/>
  <c r="A31" i="54" s="1"/>
  <c r="A32" i="54" s="1"/>
  <c r="A33" i="54" s="1"/>
  <c r="A34" i="54" s="1"/>
  <c r="A37" i="54" s="1"/>
  <c r="A38" i="54" s="1"/>
  <c r="A39" i="54" s="1"/>
  <c r="A41" i="54" s="1"/>
  <c r="A42" i="54" s="1"/>
  <c r="A43" i="54" s="1"/>
  <c r="A44" i="54" s="1"/>
  <c r="A45" i="54" s="1"/>
  <c r="A46" i="54" s="1"/>
  <c r="A48" i="54" s="1"/>
  <c r="A49" i="54" s="1"/>
  <c r="A50" i="54" s="1"/>
  <c r="A51" i="54" s="1"/>
  <c r="A52" i="54" s="1"/>
  <c r="A54" i="54" s="1"/>
  <c r="A37" i="52" l="1"/>
  <c r="A38" i="52" s="1"/>
  <c r="A39" i="52" s="1"/>
  <c r="A41" i="52" s="1"/>
  <c r="A42" i="52" s="1"/>
  <c r="A43" i="52" s="1"/>
  <c r="A44" i="52" s="1"/>
  <c r="A45" i="52" s="1"/>
  <c r="A46" i="52" s="1"/>
  <c r="A48" i="52" s="1"/>
  <c r="A49" i="52" s="1"/>
  <c r="A50" i="52" s="1"/>
  <c r="A51" i="52" s="1"/>
  <c r="A52" i="52" s="1"/>
  <c r="A54" i="52" s="1"/>
  <c r="Z159" i="50" l="1"/>
  <c r="F133" i="50"/>
  <c r="H178" i="50"/>
  <c r="AI158" i="50"/>
  <c r="AG158" i="50"/>
  <c r="AE158" i="50"/>
  <c r="AC158" i="50"/>
  <c r="AI150" i="50"/>
  <c r="AG150" i="50"/>
  <c r="AE150" i="50"/>
  <c r="AC150" i="50"/>
  <c r="AI146" i="50"/>
  <c r="AG146" i="50"/>
  <c r="AE146" i="50"/>
  <c r="AC146" i="50"/>
  <c r="AI144" i="50"/>
  <c r="AG144" i="50"/>
  <c r="AE144" i="50"/>
  <c r="AC144" i="50"/>
  <c r="AI137" i="50"/>
  <c r="AG137" i="50"/>
  <c r="AE137" i="50"/>
  <c r="AC137" i="50"/>
  <c r="AI132" i="50"/>
  <c r="AG132" i="50"/>
  <c r="AE132" i="50"/>
  <c r="AC132" i="50"/>
  <c r="AI123" i="50"/>
  <c r="AG123" i="50"/>
  <c r="AE123" i="50"/>
  <c r="AC123" i="50"/>
  <c r="H110" i="50"/>
  <c r="H104" i="50"/>
  <c r="H89" i="50"/>
  <c r="H79" i="50"/>
  <c r="H57" i="50"/>
  <c r="H35" i="50"/>
  <c r="B19" i="50"/>
  <c r="B20" i="50" s="1"/>
  <c r="B21" i="50" s="1"/>
  <c r="B22" i="50" s="1"/>
  <c r="B23" i="50" s="1"/>
  <c r="B24" i="50" s="1"/>
  <c r="B25" i="50" s="1"/>
  <c r="B26" i="50" s="1"/>
  <c r="B27" i="50" s="1"/>
  <c r="B28" i="50" s="1"/>
  <c r="B29" i="50" s="1"/>
  <c r="B30" i="50" s="1"/>
  <c r="B31" i="50" s="1"/>
  <c r="B33" i="50" s="1"/>
  <c r="B35" i="50" s="1"/>
  <c r="B40" i="50" s="1"/>
  <c r="B41" i="50" s="1"/>
  <c r="B42" i="50" s="1"/>
  <c r="B43" i="50" s="1"/>
  <c r="B44" i="50" s="1"/>
  <c r="B45" i="50" s="1"/>
  <c r="B46" i="50" s="1"/>
  <c r="B47" i="50" s="1"/>
  <c r="B48" i="50" s="1"/>
  <c r="B49" i="50" s="1"/>
  <c r="B50" i="50" s="1"/>
  <c r="B51" i="50" s="1"/>
  <c r="B52" i="50" s="1"/>
  <c r="B53" i="50" s="1"/>
  <c r="B55" i="50" s="1"/>
  <c r="B57" i="50" s="1"/>
  <c r="B62" i="50" s="1"/>
  <c r="B63" i="50" s="1"/>
  <c r="B64" i="50" s="1"/>
  <c r="B65" i="50" s="1"/>
  <c r="B66" i="50" s="1"/>
  <c r="B67" i="50" s="1"/>
  <c r="B68" i="50" s="1"/>
  <c r="B69" i="50" s="1"/>
  <c r="B70" i="50" s="1"/>
  <c r="B71" i="50" s="1"/>
  <c r="B72" i="50" s="1"/>
  <c r="B73" i="50" s="1"/>
  <c r="B74" i="50" s="1"/>
  <c r="B75" i="50" s="1"/>
  <c r="B77" i="50" s="1"/>
  <c r="B79" i="50" s="1"/>
  <c r="B84" i="50" s="1"/>
  <c r="B85" i="50" s="1"/>
  <c r="B86" i="50" s="1"/>
  <c r="B87" i="50" s="1"/>
  <c r="B88" i="50" s="1"/>
  <c r="B89" i="50" s="1"/>
  <c r="B92" i="50" s="1"/>
  <c r="B95" i="50" s="1"/>
  <c r="B97" i="50" s="1"/>
  <c r="B102" i="50" s="1"/>
  <c r="B103" i="50" s="1"/>
  <c r="B104" i="50" s="1"/>
  <c r="B108" i="50" s="1"/>
  <c r="B109" i="50" s="1"/>
  <c r="B110" i="50" s="1"/>
  <c r="B116" i="50" s="1"/>
  <c r="B117" i="50" s="1"/>
  <c r="B118" i="50" s="1"/>
  <c r="B119" i="50" s="1"/>
  <c r="B120" i="50" s="1"/>
  <c r="B121" i="50" s="1"/>
  <c r="B122" i="50" s="1"/>
  <c r="B124" i="50" s="1"/>
  <c r="B125" i="50" s="1"/>
  <c r="B126" i="50" s="1"/>
  <c r="B127" i="50" s="1"/>
  <c r="B128" i="50" s="1"/>
  <c r="B129" i="50" s="1"/>
  <c r="B130" i="50" s="1"/>
  <c r="B131" i="50" s="1"/>
  <c r="B133" i="50" s="1"/>
  <c r="B134" i="50" s="1"/>
  <c r="B135" i="50" s="1"/>
  <c r="B136" i="50" s="1"/>
  <c r="B138" i="50" s="1"/>
  <c r="B139" i="50" s="1"/>
  <c r="B140" i="50" s="1"/>
  <c r="B141" i="50" s="1"/>
  <c r="B142" i="50" s="1"/>
  <c r="B143" i="50" s="1"/>
  <c r="B145" i="50" s="1"/>
  <c r="B147" i="50" s="1"/>
  <c r="B148" i="50" s="1"/>
  <c r="B149" i="50" s="1"/>
  <c r="B151" i="50" s="1"/>
  <c r="B152" i="50" s="1"/>
  <c r="B153" i="50" s="1"/>
  <c r="B154" i="50" s="1"/>
  <c r="B155" i="50" s="1"/>
  <c r="B156" i="50" s="1"/>
  <c r="B157" i="50" s="1"/>
  <c r="B159" i="50" s="1"/>
  <c r="B160" i="50" s="1"/>
  <c r="B162" i="50" s="1"/>
  <c r="B164" i="50" s="1"/>
  <c r="B170" i="50" s="1"/>
  <c r="B171" i="50" s="1"/>
  <c r="B172" i="50" s="1"/>
  <c r="B173" i="50" s="1"/>
  <c r="B174" i="50" s="1"/>
  <c r="B175" i="50" s="1"/>
  <c r="B176" i="50" s="1"/>
  <c r="B178" i="50" s="1"/>
  <c r="B180" i="50" s="1"/>
  <c r="H92" i="50" l="1"/>
  <c r="D22" i="11" l="1"/>
  <c r="P23" i="11" s="1"/>
  <c r="P20" i="11"/>
  <c r="F20" i="11"/>
  <c r="D19" i="11"/>
  <c r="R20" i="11" s="1"/>
  <c r="H17" i="11"/>
  <c r="F17" i="11"/>
  <c r="D16" i="11"/>
  <c r="R17" i="11" s="1"/>
  <c r="D13" i="11" l="1"/>
  <c r="H14" i="11" s="1"/>
  <c r="D49" i="11"/>
  <c r="H50" i="11" s="1"/>
  <c r="D58" i="11"/>
  <c r="N59" i="11" s="1"/>
  <c r="D46" i="11"/>
  <c r="J47" i="11" s="1"/>
  <c r="D31" i="11"/>
  <c r="J32" i="11" s="1"/>
  <c r="D55" i="11"/>
  <c r="L56" i="11" s="1"/>
  <c r="D70" i="11"/>
  <c r="F71" i="11" s="1"/>
  <c r="D61" i="11"/>
  <c r="L62" i="11" s="1"/>
  <c r="D43" i="11"/>
  <c r="L44" i="11" s="1"/>
  <c r="D28" i="11"/>
  <c r="H29" i="11" s="1"/>
  <c r="D40" i="11"/>
  <c r="J41" i="11" s="1"/>
  <c r="D52" i="11"/>
  <c r="L53" i="11" s="1"/>
  <c r="D79" i="11"/>
  <c r="R80" i="11" s="1"/>
  <c r="D76" i="11"/>
  <c r="R77" i="11" s="1"/>
  <c r="D25" i="11"/>
  <c r="J26" i="11" s="1"/>
  <c r="J17" i="11"/>
  <c r="H20" i="11"/>
  <c r="D20" i="11" s="1"/>
  <c r="F23" i="11"/>
  <c r="L17" i="11"/>
  <c r="D17" i="11" s="1"/>
  <c r="J20" i="11"/>
  <c r="H23" i="11"/>
  <c r="N17" i="11"/>
  <c r="L20" i="11"/>
  <c r="J23" i="11"/>
  <c r="P17" i="11"/>
  <c r="N20" i="11"/>
  <c r="L23" i="11"/>
  <c r="R23" i="11"/>
  <c r="N23" i="11"/>
  <c r="H62" i="11" l="1"/>
  <c r="R59" i="11"/>
  <c r="H26" i="11"/>
  <c r="F50" i="11"/>
  <c r="J59" i="11"/>
  <c r="R47" i="11"/>
  <c r="F59" i="11"/>
  <c r="P80" i="11"/>
  <c r="R56" i="11"/>
  <c r="J56" i="11"/>
  <c r="L59" i="11"/>
  <c r="R26" i="11"/>
  <c r="H47" i="11"/>
  <c r="L50" i="11"/>
  <c r="F26" i="11"/>
  <c r="N50" i="11"/>
  <c r="F32" i="11"/>
  <c r="R71" i="11"/>
  <c r="P56" i="11"/>
  <c r="P26" i="11"/>
  <c r="L47" i="11"/>
  <c r="F47" i="11"/>
  <c r="L26" i="11"/>
  <c r="J50" i="11"/>
  <c r="P59" i="11"/>
  <c r="P47" i="11"/>
  <c r="H59" i="11"/>
  <c r="R50" i="11"/>
  <c r="N26" i="11"/>
  <c r="R44" i="11"/>
  <c r="N77" i="11"/>
  <c r="J62" i="11"/>
  <c r="N47" i="11"/>
  <c r="P50" i="11"/>
  <c r="P62" i="11"/>
  <c r="N62" i="11"/>
  <c r="P29" i="11"/>
  <c r="N29" i="11"/>
  <c r="F14" i="11"/>
  <c r="J14" i="11"/>
  <c r="J29" i="11"/>
  <c r="P14" i="11"/>
  <c r="F29" i="11"/>
  <c r="R14" i="11"/>
  <c r="L14" i="11"/>
  <c r="N44" i="11"/>
  <c r="L29" i="11"/>
  <c r="R62" i="11"/>
  <c r="N14" i="11"/>
  <c r="F44" i="11"/>
  <c r="H56" i="11"/>
  <c r="F62" i="11"/>
  <c r="N56" i="11"/>
  <c r="J71" i="11"/>
  <c r="L32" i="11"/>
  <c r="P32" i="11"/>
  <c r="N32" i="11"/>
  <c r="R32" i="11"/>
  <c r="N53" i="11"/>
  <c r="H32" i="11"/>
  <c r="J80" i="11"/>
  <c r="L71" i="11"/>
  <c r="P71" i="11"/>
  <c r="L80" i="11"/>
  <c r="N80" i="11"/>
  <c r="F80" i="11"/>
  <c r="H80" i="11"/>
  <c r="N71" i="11"/>
  <c r="H71" i="11"/>
  <c r="J77" i="11"/>
  <c r="P77" i="11"/>
  <c r="F77" i="11"/>
  <c r="H77" i="11"/>
  <c r="F56" i="11"/>
  <c r="L77" i="11"/>
  <c r="R29" i="11"/>
  <c r="F53" i="11"/>
  <c r="J53" i="11"/>
  <c r="N41" i="11"/>
  <c r="R53" i="11"/>
  <c r="P41" i="11"/>
  <c r="H41" i="11"/>
  <c r="J44" i="11"/>
  <c r="P53" i="11"/>
  <c r="F41" i="11"/>
  <c r="H53" i="11"/>
  <c r="P44" i="11"/>
  <c r="R41" i="11"/>
  <c r="L41" i="11"/>
  <c r="H44" i="11"/>
  <c r="D23" i="11"/>
  <c r="D26" i="11" l="1"/>
  <c r="D47" i="11"/>
  <c r="D59" i="11"/>
  <c r="D50" i="11"/>
  <c r="D56" i="11"/>
  <c r="D62" i="11"/>
  <c r="D71" i="11"/>
  <c r="D32" i="11"/>
  <c r="D29" i="11"/>
  <c r="D14" i="11"/>
  <c r="D77" i="11"/>
  <c r="D80" i="11"/>
  <c r="D53" i="11"/>
  <c r="D44" i="11"/>
  <c r="D41" i="11"/>
  <c r="AC159" i="4" l="1"/>
  <c r="L51" i="10"/>
  <c r="J51" i="10"/>
  <c r="D50" i="10"/>
  <c r="H51" i="10" s="1"/>
  <c r="L39" i="10"/>
  <c r="J39" i="10"/>
  <c r="D38" i="10"/>
  <c r="H39" i="10" s="1"/>
  <c r="Z179" i="4"/>
  <c r="H178" i="4"/>
  <c r="Z177" i="4"/>
  <c r="Z169" i="4"/>
  <c r="Z168" i="4"/>
  <c r="Z167" i="4"/>
  <c r="Z166" i="4"/>
  <c r="Z165" i="4"/>
  <c r="Z163" i="4"/>
  <c r="Z161" i="4"/>
  <c r="AL158" i="4"/>
  <c r="AK158" i="4"/>
  <c r="AJ158" i="4"/>
  <c r="AH158" i="4"/>
  <c r="AF158" i="4"/>
  <c r="AN158" i="4" s="1"/>
  <c r="Z158" i="4"/>
  <c r="AL150" i="4"/>
  <c r="AK150" i="4"/>
  <c r="AJ150" i="4"/>
  <c r="AH150" i="4"/>
  <c r="AF150" i="4"/>
  <c r="Z150" i="4"/>
  <c r="AL146" i="4"/>
  <c r="AK146" i="4"/>
  <c r="AJ146" i="4"/>
  <c r="AH146" i="4"/>
  <c r="AF146" i="4"/>
  <c r="Z146" i="4"/>
  <c r="AL144" i="4"/>
  <c r="AK144" i="4"/>
  <c r="AJ144" i="4"/>
  <c r="AH144" i="4"/>
  <c r="AF144" i="4"/>
  <c r="AN144" i="4" s="1"/>
  <c r="Z144" i="4"/>
  <c r="AL137" i="4"/>
  <c r="AK137" i="4"/>
  <c r="AJ137" i="4"/>
  <c r="AH137" i="4"/>
  <c r="AF137" i="4"/>
  <c r="AN137" i="4" s="1"/>
  <c r="Z137" i="4"/>
  <c r="AL132" i="4"/>
  <c r="AK132" i="4"/>
  <c r="AJ132" i="4"/>
  <c r="AN132" i="4" s="1"/>
  <c r="AH132" i="4"/>
  <c r="AF132" i="4"/>
  <c r="Z132" i="4"/>
  <c r="Z123" i="4"/>
  <c r="V121" i="4"/>
  <c r="Z115" i="4"/>
  <c r="Z114" i="4"/>
  <c r="Z113" i="4"/>
  <c r="Z112" i="4"/>
  <c r="Z111" i="4"/>
  <c r="Z107" i="4"/>
  <c r="Z106" i="4"/>
  <c r="Z105" i="4"/>
  <c r="Z101" i="4"/>
  <c r="Z100" i="4"/>
  <c r="Z99" i="4"/>
  <c r="Z98" i="4"/>
  <c r="Z96" i="4"/>
  <c r="Z94" i="4"/>
  <c r="Z93" i="4"/>
  <c r="Z91" i="4"/>
  <c r="Z90" i="4"/>
  <c r="H89" i="4"/>
  <c r="Z83" i="4"/>
  <c r="Z82" i="4"/>
  <c r="Z81" i="4"/>
  <c r="Z80" i="4"/>
  <c r="Z78" i="4"/>
  <c r="Z76" i="4"/>
  <c r="Z59" i="4"/>
  <c r="Z58" i="4"/>
  <c r="Z56" i="4"/>
  <c r="Z54" i="4"/>
  <c r="Z37" i="4"/>
  <c r="Z36" i="4"/>
  <c r="Z34" i="4"/>
  <c r="Z32" i="4"/>
  <c r="B20" i="4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3" i="4" s="1"/>
  <c r="B35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5" i="4" s="1"/>
  <c r="B57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7" i="4" s="1"/>
  <c r="B79" i="4" s="1"/>
  <c r="B84" i="4" s="1"/>
  <c r="B85" i="4" s="1"/>
  <c r="B86" i="4" s="1"/>
  <c r="B87" i="4" s="1"/>
  <c r="B88" i="4" s="1"/>
  <c r="B89" i="4" s="1"/>
  <c r="B92" i="4" s="1"/>
  <c r="B95" i="4" s="1"/>
  <c r="B97" i="4" s="1"/>
  <c r="B102" i="4" s="1"/>
  <c r="B103" i="4" s="1"/>
  <c r="B104" i="4" s="1"/>
  <c r="B108" i="4" s="1"/>
  <c r="B109" i="4" s="1"/>
  <c r="B110" i="4" s="1"/>
  <c r="B116" i="4" s="1"/>
  <c r="B117" i="4" s="1"/>
  <c r="B118" i="4" s="1"/>
  <c r="B119" i="4" s="1"/>
  <c r="B120" i="4" s="1"/>
  <c r="B121" i="4" s="1"/>
  <c r="B122" i="4" s="1"/>
  <c r="B124" i="4" s="1"/>
  <c r="B125" i="4" s="1"/>
  <c r="B126" i="4" s="1"/>
  <c r="B127" i="4" s="1"/>
  <c r="B128" i="4" s="1"/>
  <c r="B129" i="4" s="1"/>
  <c r="B130" i="4" s="1"/>
  <c r="B131" i="4" s="1"/>
  <c r="B133" i="4" s="1"/>
  <c r="B134" i="4" s="1"/>
  <c r="B135" i="4" s="1"/>
  <c r="B136" i="4" s="1"/>
  <c r="B138" i="4" s="1"/>
  <c r="B139" i="4" s="1"/>
  <c r="B140" i="4" s="1"/>
  <c r="B141" i="4" s="1"/>
  <c r="B142" i="4" s="1"/>
  <c r="B143" i="4" s="1"/>
  <c r="B145" i="4" s="1"/>
  <c r="B147" i="4" s="1"/>
  <c r="B148" i="4" s="1"/>
  <c r="B149" i="4" s="1"/>
  <c r="B151" i="4" s="1"/>
  <c r="B152" i="4" s="1"/>
  <c r="B153" i="4" s="1"/>
  <c r="B154" i="4" s="1"/>
  <c r="B155" i="4" s="1"/>
  <c r="B156" i="4" s="1"/>
  <c r="B157" i="4" s="1"/>
  <c r="B159" i="4" s="1"/>
  <c r="B160" i="4" s="1"/>
  <c r="B162" i="4" s="1"/>
  <c r="B164" i="4" s="1"/>
  <c r="B170" i="4" s="1"/>
  <c r="B171" i="4" s="1"/>
  <c r="B172" i="4" s="1"/>
  <c r="B173" i="4" s="1"/>
  <c r="B174" i="4" s="1"/>
  <c r="B175" i="4" s="1"/>
  <c r="B176" i="4" s="1"/>
  <c r="B178" i="4" s="1"/>
  <c r="B180" i="4" s="1"/>
  <c r="B19" i="4"/>
  <c r="L14" i="14"/>
  <c r="J14" i="14"/>
  <c r="H14" i="14"/>
  <c r="F14" i="14"/>
  <c r="D13" i="14"/>
  <c r="N14" i="14" s="1"/>
  <c r="AD179" i="13"/>
  <c r="H178" i="13"/>
  <c r="AD177" i="13"/>
  <c r="AD169" i="13"/>
  <c r="AD168" i="13"/>
  <c r="AD167" i="13"/>
  <c r="AD165" i="13"/>
  <c r="AD163" i="13"/>
  <c r="H162" i="13"/>
  <c r="AD161" i="13"/>
  <c r="AD158" i="13"/>
  <c r="AD150" i="13"/>
  <c r="AD146" i="13"/>
  <c r="AD144" i="13"/>
  <c r="AD137" i="13"/>
  <c r="AD132" i="13"/>
  <c r="AD123" i="13"/>
  <c r="AD115" i="13"/>
  <c r="AD114" i="13"/>
  <c r="AD113" i="13"/>
  <c r="AD112" i="13"/>
  <c r="AD111" i="13"/>
  <c r="H110" i="13"/>
  <c r="AD107" i="13"/>
  <c r="AD106" i="13"/>
  <c r="AD105" i="13"/>
  <c r="H104" i="13"/>
  <c r="AD101" i="13"/>
  <c r="AD100" i="13"/>
  <c r="AD99" i="13"/>
  <c r="AD98" i="13"/>
  <c r="AD96" i="13"/>
  <c r="AD94" i="13"/>
  <c r="AD93" i="13"/>
  <c r="AD91" i="13"/>
  <c r="AD90" i="13"/>
  <c r="H89" i="13"/>
  <c r="AD83" i="13"/>
  <c r="AD82" i="13"/>
  <c r="AD81" i="13"/>
  <c r="AD80" i="13"/>
  <c r="H79" i="13"/>
  <c r="H92" i="13" s="1"/>
  <c r="AD78" i="13"/>
  <c r="AD76" i="13"/>
  <c r="H75" i="13"/>
  <c r="H57" i="13"/>
  <c r="AD56" i="13"/>
  <c r="AD54" i="13"/>
  <c r="H53" i="13"/>
  <c r="AD34" i="13"/>
  <c r="AD32" i="13"/>
  <c r="H31" i="13"/>
  <c r="H35" i="13" s="1"/>
  <c r="B20" i="13"/>
  <c r="B21" i="13" s="1"/>
  <c r="B22" i="13" s="1"/>
  <c r="B23" i="13" s="1"/>
  <c r="B24" i="13" s="1"/>
  <c r="B25" i="13" s="1"/>
  <c r="B26" i="13" s="1"/>
  <c r="B27" i="13" s="1"/>
  <c r="B28" i="13" s="1"/>
  <c r="B29" i="13" s="1"/>
  <c r="B30" i="13" s="1"/>
  <c r="B31" i="13" s="1"/>
  <c r="B33" i="13" s="1"/>
  <c r="B35" i="13" s="1"/>
  <c r="B40" i="13" s="1"/>
  <c r="B41" i="13" s="1"/>
  <c r="B42" i="13" s="1"/>
  <c r="B43" i="13" s="1"/>
  <c r="B44" i="13" s="1"/>
  <c r="B45" i="13" s="1"/>
  <c r="B46" i="13" s="1"/>
  <c r="B47" i="13" s="1"/>
  <c r="B48" i="13" s="1"/>
  <c r="B49" i="13" s="1"/>
  <c r="B50" i="13" s="1"/>
  <c r="B51" i="13" s="1"/>
  <c r="B52" i="13" s="1"/>
  <c r="B53" i="13" s="1"/>
  <c r="B55" i="13" s="1"/>
  <c r="B57" i="13" s="1"/>
  <c r="B62" i="13" s="1"/>
  <c r="B63" i="13" s="1"/>
  <c r="B64" i="13" s="1"/>
  <c r="B65" i="13" s="1"/>
  <c r="B66" i="13" s="1"/>
  <c r="B67" i="13" s="1"/>
  <c r="B68" i="13" s="1"/>
  <c r="B69" i="13" s="1"/>
  <c r="B70" i="13" s="1"/>
  <c r="B71" i="13" s="1"/>
  <c r="B72" i="13" s="1"/>
  <c r="B73" i="13" s="1"/>
  <c r="B74" i="13" s="1"/>
  <c r="B75" i="13" s="1"/>
  <c r="B77" i="13" s="1"/>
  <c r="B79" i="13" s="1"/>
  <c r="B84" i="13" s="1"/>
  <c r="B85" i="13" s="1"/>
  <c r="B86" i="13" s="1"/>
  <c r="B87" i="13" s="1"/>
  <c r="B88" i="13" s="1"/>
  <c r="B89" i="13" s="1"/>
  <c r="B92" i="13" s="1"/>
  <c r="B95" i="13" s="1"/>
  <c r="B97" i="13" s="1"/>
  <c r="B102" i="13" s="1"/>
  <c r="B103" i="13" s="1"/>
  <c r="B104" i="13" s="1"/>
  <c r="B108" i="13" s="1"/>
  <c r="B109" i="13" s="1"/>
  <c r="B110" i="13" s="1"/>
  <c r="B116" i="13" s="1"/>
  <c r="B117" i="13" s="1"/>
  <c r="B118" i="13" s="1"/>
  <c r="B119" i="13" s="1"/>
  <c r="B120" i="13" s="1"/>
  <c r="B121" i="13" s="1"/>
  <c r="B122" i="13" s="1"/>
  <c r="B124" i="13" s="1"/>
  <c r="B125" i="13" s="1"/>
  <c r="B126" i="13" s="1"/>
  <c r="B127" i="13" s="1"/>
  <c r="B128" i="13" s="1"/>
  <c r="B129" i="13" s="1"/>
  <c r="B130" i="13" s="1"/>
  <c r="B131" i="13" s="1"/>
  <c r="B133" i="13" s="1"/>
  <c r="B134" i="13" s="1"/>
  <c r="B135" i="13" s="1"/>
  <c r="B136" i="13" s="1"/>
  <c r="B138" i="13" s="1"/>
  <c r="B139" i="13" s="1"/>
  <c r="B140" i="13" s="1"/>
  <c r="B141" i="13" s="1"/>
  <c r="B142" i="13" s="1"/>
  <c r="B143" i="13" s="1"/>
  <c r="B145" i="13" s="1"/>
  <c r="B147" i="13" s="1"/>
  <c r="B148" i="13" s="1"/>
  <c r="B149" i="13" s="1"/>
  <c r="B151" i="13" s="1"/>
  <c r="B152" i="13" s="1"/>
  <c r="B153" i="13" s="1"/>
  <c r="B154" i="13" s="1"/>
  <c r="B155" i="13" s="1"/>
  <c r="B156" i="13" s="1"/>
  <c r="B157" i="13" s="1"/>
  <c r="B159" i="13" s="1"/>
  <c r="B160" i="13" s="1"/>
  <c r="B162" i="13" s="1"/>
  <c r="B164" i="13" s="1"/>
  <c r="B170" i="13" s="1"/>
  <c r="B171" i="13" s="1"/>
  <c r="B172" i="13" s="1"/>
  <c r="B173" i="13" s="1"/>
  <c r="B174" i="13" s="1"/>
  <c r="B175" i="13" s="1"/>
  <c r="B176" i="13" s="1"/>
  <c r="B178" i="13" s="1"/>
  <c r="B180" i="13" s="1"/>
  <c r="B19" i="13"/>
  <c r="J116" i="2"/>
  <c r="F116" i="2"/>
  <c r="D115" i="2"/>
  <c r="L116" i="2" s="1"/>
  <c r="J107" i="2"/>
  <c r="F107" i="2"/>
  <c r="D106" i="2"/>
  <c r="L107" i="2" s="1"/>
  <c r="L47" i="2"/>
  <c r="H47" i="2"/>
  <c r="D46" i="2"/>
  <c r="F47" i="2" s="1"/>
  <c r="L44" i="2"/>
  <c r="H44" i="2"/>
  <c r="D43" i="2"/>
  <c r="F44" i="2" s="1"/>
  <c r="A14" i="2"/>
  <c r="A16" i="2" s="1"/>
  <c r="A17" i="2" s="1"/>
  <c r="A19" i="2" s="1"/>
  <c r="A20" i="2" s="1"/>
  <c r="A22" i="2" s="1"/>
  <c r="A23" i="2" s="1"/>
  <c r="A25" i="2" s="1"/>
  <c r="A26" i="2" s="1"/>
  <c r="A28" i="2" s="1"/>
  <c r="A29" i="2" s="1"/>
  <c r="A31" i="2" s="1"/>
  <c r="A32" i="2" s="1"/>
  <c r="A34" i="2" s="1"/>
  <c r="A35" i="2" s="1"/>
  <c r="A37" i="2" s="1"/>
  <c r="A38" i="2" s="1"/>
  <c r="A40" i="2" s="1"/>
  <c r="A41" i="2" s="1"/>
  <c r="A43" i="2" s="1"/>
  <c r="A44" i="2" s="1"/>
  <c r="A46" i="2" s="1"/>
  <c r="A47" i="2" s="1"/>
  <c r="A49" i="2" s="1"/>
  <c r="A50" i="2" s="1"/>
  <c r="A52" i="2" s="1"/>
  <c r="A53" i="2" s="1"/>
  <c r="Z179" i="1"/>
  <c r="H178" i="1"/>
  <c r="Z177" i="1"/>
  <c r="L176" i="1"/>
  <c r="L175" i="1"/>
  <c r="L173" i="1"/>
  <c r="L172" i="1"/>
  <c r="L171" i="1"/>
  <c r="L170" i="1"/>
  <c r="Z169" i="1"/>
  <c r="Z168" i="1"/>
  <c r="Z167" i="1"/>
  <c r="Z166" i="1"/>
  <c r="Z165" i="1"/>
  <c r="Z163" i="1"/>
  <c r="Z161" i="1"/>
  <c r="Z158" i="1"/>
  <c r="L156" i="1"/>
  <c r="L155" i="1"/>
  <c r="L153" i="1"/>
  <c r="L152" i="1"/>
  <c r="Z150" i="1"/>
  <c r="L149" i="1"/>
  <c r="L148" i="1"/>
  <c r="L147" i="1"/>
  <c r="Z146" i="1"/>
  <c r="Z144" i="1"/>
  <c r="L143" i="1"/>
  <c r="L141" i="1"/>
  <c r="L140" i="1"/>
  <c r="L139" i="1"/>
  <c r="Z137" i="1"/>
  <c r="L136" i="1"/>
  <c r="L135" i="1"/>
  <c r="L134" i="1"/>
  <c r="Z132" i="1"/>
  <c r="L131" i="1"/>
  <c r="L130" i="1"/>
  <c r="L128" i="1"/>
  <c r="L127" i="1"/>
  <c r="L126" i="1"/>
  <c r="L124" i="1"/>
  <c r="Z123" i="1"/>
  <c r="L122" i="1"/>
  <c r="L121" i="1"/>
  <c r="AD120" i="1"/>
  <c r="AD119" i="1"/>
  <c r="L118" i="1"/>
  <c r="AD117" i="1"/>
  <c r="AD116" i="1"/>
  <c r="Z115" i="1"/>
  <c r="Z114" i="1"/>
  <c r="Z113" i="1"/>
  <c r="Z112" i="1"/>
  <c r="Z111" i="1"/>
  <c r="H110" i="1"/>
  <c r="L109" i="1"/>
  <c r="L108" i="1"/>
  <c r="Z107" i="1"/>
  <c r="Z106" i="1"/>
  <c r="Z105" i="1"/>
  <c r="H104" i="1"/>
  <c r="L103" i="1"/>
  <c r="Z101" i="1"/>
  <c r="Z100" i="1"/>
  <c r="Z99" i="1"/>
  <c r="Z98" i="1"/>
  <c r="Z96" i="1"/>
  <c r="Z94" i="1"/>
  <c r="Z93" i="1"/>
  <c r="Z91" i="1"/>
  <c r="Z90" i="1"/>
  <c r="H89" i="1"/>
  <c r="L87" i="1"/>
  <c r="L85" i="1"/>
  <c r="L84" i="1"/>
  <c r="Z83" i="1"/>
  <c r="Z82" i="1"/>
  <c r="Z81" i="1"/>
  <c r="Z80" i="1"/>
  <c r="Z78" i="1"/>
  <c r="Z76" i="1"/>
  <c r="H75" i="1"/>
  <c r="H79" i="1" s="1"/>
  <c r="H92" i="1" s="1"/>
  <c r="Z61" i="1"/>
  <c r="Z60" i="1"/>
  <c r="Z59" i="1"/>
  <c r="Z58" i="1"/>
  <c r="H57" i="1"/>
  <c r="Z56" i="1"/>
  <c r="L55" i="1"/>
  <c r="Z54" i="1"/>
  <c r="H53" i="1"/>
  <c r="L52" i="1"/>
  <c r="L51" i="1"/>
  <c r="L50" i="1"/>
  <c r="L49" i="1"/>
  <c r="L48" i="1"/>
  <c r="L47" i="1"/>
  <c r="L46" i="1"/>
  <c r="L45" i="1"/>
  <c r="L44" i="1"/>
  <c r="L42" i="1"/>
  <c r="L41" i="1"/>
  <c r="L40" i="1"/>
  <c r="Z39" i="1"/>
  <c r="Z38" i="1"/>
  <c r="Z37" i="1"/>
  <c r="Z36" i="1"/>
  <c r="H35" i="1"/>
  <c r="Z34" i="1"/>
  <c r="L33" i="1"/>
  <c r="Z32" i="1"/>
  <c r="H31" i="1"/>
  <c r="L25" i="1"/>
  <c r="L22" i="1"/>
  <c r="B19" i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3" i="1" s="1"/>
  <c r="B35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5" i="1" s="1"/>
  <c r="B57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7" i="1" s="1"/>
  <c r="B79" i="1" s="1"/>
  <c r="B84" i="1" s="1"/>
  <c r="B85" i="1" s="1"/>
  <c r="B86" i="1" s="1"/>
  <c r="B87" i="1" s="1"/>
  <c r="B88" i="1" s="1"/>
  <c r="B89" i="1" s="1"/>
  <c r="B92" i="1" s="1"/>
  <c r="B95" i="1" s="1"/>
  <c r="B97" i="1" s="1"/>
  <c r="B102" i="1" s="1"/>
  <c r="B103" i="1" s="1"/>
  <c r="B104" i="1" s="1"/>
  <c r="B108" i="1" s="1"/>
  <c r="B109" i="1" s="1"/>
  <c r="B110" i="1" s="1"/>
  <c r="B116" i="1" s="1"/>
  <c r="B117" i="1" s="1"/>
  <c r="B118" i="1" s="1"/>
  <c r="B119" i="1" s="1"/>
  <c r="B120" i="1" s="1"/>
  <c r="B121" i="1" s="1"/>
  <c r="B122" i="1" s="1"/>
  <c r="B124" i="1" s="1"/>
  <c r="B125" i="1" s="1"/>
  <c r="B126" i="1" s="1"/>
  <c r="B127" i="1" s="1"/>
  <c r="B128" i="1" s="1"/>
  <c r="B129" i="1" s="1"/>
  <c r="B130" i="1" s="1"/>
  <c r="B131" i="1" s="1"/>
  <c r="B133" i="1" s="1"/>
  <c r="B134" i="1" s="1"/>
  <c r="B135" i="1" s="1"/>
  <c r="B136" i="1" s="1"/>
  <c r="B138" i="1" s="1"/>
  <c r="B139" i="1" s="1"/>
  <c r="B140" i="1" s="1"/>
  <c r="B141" i="1" s="1"/>
  <c r="B142" i="1" s="1"/>
  <c r="B143" i="1" s="1"/>
  <c r="B145" i="1" s="1"/>
  <c r="B147" i="1" s="1"/>
  <c r="B148" i="1" s="1"/>
  <c r="B149" i="1" s="1"/>
  <c r="B151" i="1" s="1"/>
  <c r="B152" i="1" s="1"/>
  <c r="B153" i="1" s="1"/>
  <c r="B154" i="1" s="1"/>
  <c r="B155" i="1" s="1"/>
  <c r="B156" i="1" s="1"/>
  <c r="B157" i="1" s="1"/>
  <c r="B159" i="1" s="1"/>
  <c r="B160" i="1" s="1"/>
  <c r="B162" i="1" s="1"/>
  <c r="B164" i="1" s="1"/>
  <c r="B170" i="1" s="1"/>
  <c r="B171" i="1" s="1"/>
  <c r="B172" i="1" s="1"/>
  <c r="B173" i="1" s="1"/>
  <c r="B174" i="1" s="1"/>
  <c r="B175" i="1" s="1"/>
  <c r="B176" i="1" s="1"/>
  <c r="B178" i="1" s="1"/>
  <c r="B180" i="1" s="1"/>
  <c r="Z17" i="1"/>
  <c r="Z16" i="1"/>
  <c r="Z15" i="1"/>
  <c r="Z14" i="1"/>
  <c r="A58" i="2" l="1"/>
  <c r="A59" i="2" s="1"/>
  <c r="A61" i="2" s="1"/>
  <c r="A62" i="2" s="1"/>
  <c r="A64" i="2" s="1"/>
  <c r="A65" i="2" s="1"/>
  <c r="A67" i="2" s="1"/>
  <c r="A68" i="2" s="1"/>
  <c r="A70" i="2" s="1"/>
  <c r="A71" i="2" s="1"/>
  <c r="A73" i="2" s="1"/>
  <c r="A74" i="2" s="1"/>
  <c r="A76" i="2" s="1"/>
  <c r="A77" i="2" s="1"/>
  <c r="A79" i="2" s="1"/>
  <c r="A80" i="2" s="1"/>
  <c r="A82" i="2" s="1"/>
  <c r="A83" i="2" s="1"/>
  <c r="A85" i="2" s="1"/>
  <c r="A86" i="2" s="1"/>
  <c r="A88" i="2" s="1"/>
  <c r="A89" i="2" s="1"/>
  <c r="A91" i="2" s="1"/>
  <c r="A92" i="2" s="1"/>
  <c r="A94" i="2" s="1"/>
  <c r="A95" i="2" s="1"/>
  <c r="A97" i="2" s="1"/>
  <c r="A98" i="2" s="1"/>
  <c r="A100" i="2" s="1"/>
  <c r="A101" i="2" s="1"/>
  <c r="A103" i="2" s="1"/>
  <c r="A104" i="2" s="1"/>
  <c r="A106" i="2" s="1"/>
  <c r="A107" i="2" s="1"/>
  <c r="A109" i="2" s="1"/>
  <c r="A110" i="2" s="1"/>
  <c r="A112" i="2" s="1"/>
  <c r="A113" i="2" s="1"/>
  <c r="A115" i="2" s="1"/>
  <c r="A116" i="2" s="1"/>
  <c r="A118" i="2" s="1"/>
  <c r="A119" i="2" s="1"/>
  <c r="T171" i="1"/>
  <c r="F65" i="1"/>
  <c r="L65" i="1" s="1"/>
  <c r="V46" i="1"/>
  <c r="T141" i="1"/>
  <c r="T25" i="1"/>
  <c r="T49" i="1"/>
  <c r="T124" i="1"/>
  <c r="H47" i="10"/>
  <c r="P121" i="4"/>
  <c r="T95" i="1"/>
  <c r="F95" i="50"/>
  <c r="R121" i="4"/>
  <c r="T121" i="4"/>
  <c r="D68" i="10"/>
  <c r="J69" i="10" s="1"/>
  <c r="AD141" i="1"/>
  <c r="AD152" i="1"/>
  <c r="T121" i="1"/>
  <c r="D73" i="2"/>
  <c r="L74" i="2" s="1"/>
  <c r="T152" i="1"/>
  <c r="V170" i="1"/>
  <c r="AD126" i="1"/>
  <c r="AD124" i="1"/>
  <c r="AD139" i="1"/>
  <c r="AD148" i="1"/>
  <c r="AD156" i="1"/>
  <c r="AD125" i="1"/>
  <c r="AD131" i="1"/>
  <c r="AD140" i="1"/>
  <c r="AD149" i="1"/>
  <c r="AD157" i="1"/>
  <c r="F70" i="1"/>
  <c r="L70" i="1" s="1"/>
  <c r="AD133" i="1"/>
  <c r="AD159" i="1"/>
  <c r="AD118" i="1"/>
  <c r="AD134" i="1"/>
  <c r="AD127" i="1"/>
  <c r="AD142" i="1"/>
  <c r="AD128" i="1"/>
  <c r="AD135" i="1"/>
  <c r="AD143" i="1"/>
  <c r="AD153" i="1"/>
  <c r="AD121" i="1"/>
  <c r="AD129" i="1"/>
  <c r="AD136" i="1"/>
  <c r="AD154" i="1"/>
  <c r="AD122" i="1"/>
  <c r="AD130" i="1"/>
  <c r="AD138" i="1"/>
  <c r="AD147" i="1"/>
  <c r="AD155" i="1"/>
  <c r="AC162" i="1"/>
  <c r="T156" i="1"/>
  <c r="D28" i="2"/>
  <c r="L29" i="2" s="1"/>
  <c r="T47" i="1"/>
  <c r="T139" i="1"/>
  <c r="D22" i="2"/>
  <c r="L23" i="2" s="1"/>
  <c r="V50" i="1"/>
  <c r="V87" i="1"/>
  <c r="V130" i="1"/>
  <c r="T136" i="1"/>
  <c r="T175" i="1"/>
  <c r="D85" i="2"/>
  <c r="H86" i="2" s="1"/>
  <c r="V48" i="1"/>
  <c r="V149" i="1"/>
  <c r="V155" i="1"/>
  <c r="T173" i="1"/>
  <c r="T51" i="1"/>
  <c r="V126" i="1"/>
  <c r="V176" i="1"/>
  <c r="V140" i="1"/>
  <c r="T143" i="1"/>
  <c r="V147" i="1"/>
  <c r="T147" i="1"/>
  <c r="R147" i="1"/>
  <c r="F147" i="4" s="1"/>
  <c r="P147" i="1"/>
  <c r="F147" i="13" s="1"/>
  <c r="V153" i="1"/>
  <c r="T153" i="1"/>
  <c r="R153" i="1"/>
  <c r="F153" i="4" s="1"/>
  <c r="P153" i="1"/>
  <c r="F153" i="13" s="1"/>
  <c r="V135" i="1"/>
  <c r="T135" i="1"/>
  <c r="R135" i="1"/>
  <c r="F135" i="4" s="1"/>
  <c r="P135" i="1"/>
  <c r="F135" i="13" s="1"/>
  <c r="V52" i="1"/>
  <c r="T52" i="1"/>
  <c r="R52" i="1"/>
  <c r="F52" i="4" s="1"/>
  <c r="P52" i="1"/>
  <c r="F52" i="13" s="1"/>
  <c r="T148" i="1"/>
  <c r="R148" i="1"/>
  <c r="F148" i="4" s="1"/>
  <c r="P148" i="1"/>
  <c r="F148" i="13" s="1"/>
  <c r="V148" i="1"/>
  <c r="V172" i="1"/>
  <c r="T172" i="1"/>
  <c r="R172" i="1"/>
  <c r="F172" i="4" s="1"/>
  <c r="P172" i="1"/>
  <c r="F172" i="13" s="1"/>
  <c r="T131" i="1"/>
  <c r="R131" i="1"/>
  <c r="F131" i="4" s="1"/>
  <c r="P131" i="1"/>
  <c r="F131" i="13" s="1"/>
  <c r="V131" i="1"/>
  <c r="V128" i="1"/>
  <c r="T128" i="1"/>
  <c r="R128" i="1"/>
  <c r="F128" i="4" s="1"/>
  <c r="P128" i="1"/>
  <c r="F128" i="13" s="1"/>
  <c r="T134" i="1"/>
  <c r="R134" i="1"/>
  <c r="F134" i="4" s="1"/>
  <c r="P134" i="1"/>
  <c r="F134" i="13" s="1"/>
  <c r="V134" i="1"/>
  <c r="R25" i="1"/>
  <c r="F25" i="4" s="1"/>
  <c r="V47" i="1"/>
  <c r="V49" i="1"/>
  <c r="V51" i="1"/>
  <c r="P87" i="1"/>
  <c r="F87" i="13" s="1"/>
  <c r="V121" i="1"/>
  <c r="V124" i="1"/>
  <c r="V136" i="1"/>
  <c r="V139" i="1"/>
  <c r="V141" i="1"/>
  <c r="V143" i="1"/>
  <c r="V152" i="1"/>
  <c r="V156" i="1"/>
  <c r="V171" i="1"/>
  <c r="V173" i="1"/>
  <c r="V175" i="1"/>
  <c r="F62" i="1"/>
  <c r="L62" i="1" s="1"/>
  <c r="F72" i="1"/>
  <c r="L72" i="1" s="1"/>
  <c r="D34" i="2"/>
  <c r="L35" i="2" s="1"/>
  <c r="V45" i="1" s="1"/>
  <c r="P46" i="1"/>
  <c r="F46" i="13" s="1"/>
  <c r="P48" i="1"/>
  <c r="F48" i="13" s="1"/>
  <c r="P50" i="1"/>
  <c r="F50" i="13" s="1"/>
  <c r="P126" i="1"/>
  <c r="F126" i="13" s="1"/>
  <c r="P130" i="1"/>
  <c r="F130" i="13" s="1"/>
  <c r="P140" i="1"/>
  <c r="F140" i="13" s="1"/>
  <c r="P149" i="1"/>
  <c r="F149" i="13" s="1"/>
  <c r="P155" i="1"/>
  <c r="F155" i="13" s="1"/>
  <c r="P170" i="1"/>
  <c r="F170" i="13" s="1"/>
  <c r="P176" i="1"/>
  <c r="F176" i="13" s="1"/>
  <c r="L110" i="1"/>
  <c r="D40" i="2"/>
  <c r="F41" i="2" s="1"/>
  <c r="D67" i="2"/>
  <c r="H68" i="2" s="1"/>
  <c r="V25" i="1"/>
  <c r="R46" i="1"/>
  <c r="F46" i="4" s="1"/>
  <c r="R48" i="1"/>
  <c r="F48" i="4" s="1"/>
  <c r="R50" i="1"/>
  <c r="F50" i="4" s="1"/>
  <c r="R126" i="1"/>
  <c r="F126" i="4" s="1"/>
  <c r="R130" i="1"/>
  <c r="F130" i="4" s="1"/>
  <c r="R140" i="1"/>
  <c r="F140" i="4" s="1"/>
  <c r="R149" i="1"/>
  <c r="F149" i="4" s="1"/>
  <c r="R155" i="1"/>
  <c r="F155" i="4" s="1"/>
  <c r="R170" i="1"/>
  <c r="F170" i="4" s="1"/>
  <c r="R176" i="1"/>
  <c r="F176" i="4" s="1"/>
  <c r="P25" i="1"/>
  <c r="F25" i="13" s="1"/>
  <c r="T46" i="1"/>
  <c r="T48" i="1"/>
  <c r="T50" i="1"/>
  <c r="T126" i="1"/>
  <c r="T130" i="1"/>
  <c r="T140" i="1"/>
  <c r="T149" i="1"/>
  <c r="T155" i="1"/>
  <c r="T170" i="1"/>
  <c r="T176" i="1"/>
  <c r="F73" i="1"/>
  <c r="L73" i="1" s="1"/>
  <c r="D32" i="10"/>
  <c r="F33" i="10" s="1"/>
  <c r="F63" i="1"/>
  <c r="L63" i="1" s="1"/>
  <c r="P47" i="1"/>
  <c r="F47" i="13" s="1"/>
  <c r="P49" i="1"/>
  <c r="F49" i="13" s="1"/>
  <c r="P51" i="1"/>
  <c r="F51" i="13" s="1"/>
  <c r="R87" i="1"/>
  <c r="F87" i="4" s="1"/>
  <c r="P121" i="1"/>
  <c r="F121" i="13" s="1"/>
  <c r="P124" i="1"/>
  <c r="F124" i="13" s="1"/>
  <c r="P136" i="1"/>
  <c r="F136" i="13" s="1"/>
  <c r="P139" i="1"/>
  <c r="F139" i="13" s="1"/>
  <c r="P141" i="1"/>
  <c r="F141" i="13" s="1"/>
  <c r="P143" i="1"/>
  <c r="F143" i="13" s="1"/>
  <c r="P152" i="1"/>
  <c r="F152" i="13" s="1"/>
  <c r="P156" i="1"/>
  <c r="F156" i="13" s="1"/>
  <c r="P171" i="1"/>
  <c r="F171" i="13" s="1"/>
  <c r="P173" i="1"/>
  <c r="F173" i="13" s="1"/>
  <c r="P175" i="1"/>
  <c r="F175" i="13" s="1"/>
  <c r="F66" i="1"/>
  <c r="L66" i="1" s="1"/>
  <c r="F71" i="1"/>
  <c r="L71" i="1" s="1"/>
  <c r="D41" i="10"/>
  <c r="H42" i="10" s="1"/>
  <c r="R47" i="1"/>
  <c r="F47" i="4" s="1"/>
  <c r="R49" i="1"/>
  <c r="F49" i="4" s="1"/>
  <c r="R51" i="1"/>
  <c r="F51" i="4" s="1"/>
  <c r="T87" i="1"/>
  <c r="R121" i="1"/>
  <c r="F121" i="4" s="1"/>
  <c r="R124" i="1"/>
  <c r="F124" i="4" s="1"/>
  <c r="R136" i="1"/>
  <c r="F136" i="4" s="1"/>
  <c r="R139" i="1"/>
  <c r="F139" i="4" s="1"/>
  <c r="R141" i="1"/>
  <c r="F141" i="4" s="1"/>
  <c r="R143" i="1"/>
  <c r="F143" i="4" s="1"/>
  <c r="R152" i="1"/>
  <c r="F152" i="4" s="1"/>
  <c r="R156" i="1"/>
  <c r="F156" i="4" s="1"/>
  <c r="R171" i="1"/>
  <c r="F171" i="4" s="1"/>
  <c r="R173" i="1"/>
  <c r="F173" i="4" s="1"/>
  <c r="R175" i="1"/>
  <c r="F175" i="4" s="1"/>
  <c r="F74" i="1"/>
  <c r="L74" i="1" s="1"/>
  <c r="D16" i="2"/>
  <c r="H17" i="2" s="1"/>
  <c r="L27" i="1"/>
  <c r="V95" i="1"/>
  <c r="D97" i="2"/>
  <c r="J98" i="2" s="1"/>
  <c r="T109" i="1" s="1"/>
  <c r="L30" i="1"/>
  <c r="D20" i="10"/>
  <c r="D118" i="2"/>
  <c r="H119" i="2" s="1"/>
  <c r="R118" i="1" s="1"/>
  <c r="F118" i="4" s="1"/>
  <c r="F68" i="1"/>
  <c r="L68" i="1" s="1"/>
  <c r="D112" i="2"/>
  <c r="H113" i="2" s="1"/>
  <c r="R42" i="1" s="1"/>
  <c r="F42" i="4" s="1"/>
  <c r="D17" i="10"/>
  <c r="L19" i="1"/>
  <c r="D58" i="2"/>
  <c r="J59" i="2" s="1"/>
  <c r="T122" i="1" s="1"/>
  <c r="D16" i="14"/>
  <c r="P17" i="14" s="1"/>
  <c r="D26" i="10"/>
  <c r="F27" i="10" s="1"/>
  <c r="D79" i="2"/>
  <c r="L80" i="2" s="1"/>
  <c r="V44" i="1" s="1"/>
  <c r="D29" i="10"/>
  <c r="F39" i="10"/>
  <c r="D39" i="10" s="1"/>
  <c r="J47" i="10"/>
  <c r="F51" i="10"/>
  <c r="D51" i="10" s="1"/>
  <c r="D14" i="10"/>
  <c r="H24" i="4" s="1"/>
  <c r="D35" i="10"/>
  <c r="AC31" i="4"/>
  <c r="AN146" i="4"/>
  <c r="AN150" i="4"/>
  <c r="D14" i="14"/>
  <c r="P14" i="14"/>
  <c r="D47" i="2"/>
  <c r="D107" i="2"/>
  <c r="J44" i="2"/>
  <c r="D44" i="2" s="1"/>
  <c r="J47" i="2"/>
  <c r="H107" i="2"/>
  <c r="H116" i="2"/>
  <c r="D116" i="2" s="1"/>
  <c r="D13" i="2"/>
  <c r="F14" i="2" s="1"/>
  <c r="D19" i="2"/>
  <c r="J20" i="2" s="1"/>
  <c r="D25" i="2"/>
  <c r="D31" i="2"/>
  <c r="F32" i="2" s="1"/>
  <c r="D37" i="2"/>
  <c r="F38" i="2" s="1"/>
  <c r="P127" i="1" s="1"/>
  <c r="F127" i="13" s="1"/>
  <c r="D49" i="2"/>
  <c r="F50" i="2" s="1"/>
  <c r="D94" i="2"/>
  <c r="L95" i="2" s="1"/>
  <c r="D109" i="2"/>
  <c r="H110" i="2" s="1"/>
  <c r="D64" i="2"/>
  <c r="D70" i="2"/>
  <c r="J71" i="2" s="1"/>
  <c r="T41" i="1" s="1"/>
  <c r="D76" i="2"/>
  <c r="H77" i="2" s="1"/>
  <c r="R22" i="1" s="1"/>
  <c r="F22" i="4" s="1"/>
  <c r="D82" i="2"/>
  <c r="J83" i="2" s="1"/>
  <c r="F64" i="1"/>
  <c r="L20" i="1"/>
  <c r="F31" i="1"/>
  <c r="L28" i="1"/>
  <c r="L23" i="1"/>
  <c r="L86" i="1"/>
  <c r="F89" i="1"/>
  <c r="L18" i="1"/>
  <c r="L21" i="1"/>
  <c r="L29" i="1"/>
  <c r="F53" i="1"/>
  <c r="F77" i="1"/>
  <c r="L26" i="1"/>
  <c r="L24" i="1"/>
  <c r="L88" i="1"/>
  <c r="F104" i="1"/>
  <c r="L102" i="1"/>
  <c r="F67" i="1"/>
  <c r="F69" i="1"/>
  <c r="L43" i="1"/>
  <c r="F162" i="1"/>
  <c r="L116" i="1"/>
  <c r="X95" i="1"/>
  <c r="Z95" i="1" s="1"/>
  <c r="L129" i="1"/>
  <c r="L174" i="1"/>
  <c r="L95" i="1"/>
  <c r="P95" i="1"/>
  <c r="F95" i="13" s="1"/>
  <c r="T95" i="13" s="1"/>
  <c r="L119" i="1"/>
  <c r="L125" i="1"/>
  <c r="R95" i="1"/>
  <c r="F95" i="4" s="1"/>
  <c r="R95" i="4" s="1"/>
  <c r="AC90" i="4" s="1"/>
  <c r="F110" i="1"/>
  <c r="L120" i="1"/>
  <c r="L154" i="1"/>
  <c r="L117" i="1"/>
  <c r="L133" i="1"/>
  <c r="F178" i="1"/>
  <c r="L138" i="1"/>
  <c r="L142" i="1"/>
  <c r="B19" i="7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3" i="7" s="1"/>
  <c r="B35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5" i="7" s="1"/>
  <c r="B57" i="7" s="1"/>
  <c r="B62" i="7" s="1"/>
  <c r="B63" i="7" s="1"/>
  <c r="B64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77" i="7" s="1"/>
  <c r="B79" i="7" s="1"/>
  <c r="B84" i="7" s="1"/>
  <c r="B85" i="7" s="1"/>
  <c r="B86" i="7" s="1"/>
  <c r="B87" i="7" s="1"/>
  <c r="B88" i="7" s="1"/>
  <c r="B89" i="7" s="1"/>
  <c r="B92" i="7" s="1"/>
  <c r="B95" i="7" s="1"/>
  <c r="B97" i="7" s="1"/>
  <c r="B102" i="7" s="1"/>
  <c r="B103" i="7" s="1"/>
  <c r="B104" i="7" s="1"/>
  <c r="B108" i="7" s="1"/>
  <c r="B109" i="7" s="1"/>
  <c r="B110" i="7" s="1"/>
  <c r="B116" i="7" s="1"/>
  <c r="B117" i="7" s="1"/>
  <c r="B118" i="7" s="1"/>
  <c r="B119" i="7" s="1"/>
  <c r="B120" i="7" s="1"/>
  <c r="B121" i="7" s="1"/>
  <c r="B122" i="7" s="1"/>
  <c r="B124" i="7" s="1"/>
  <c r="B125" i="7" s="1"/>
  <c r="B126" i="7" s="1"/>
  <c r="B127" i="7" s="1"/>
  <c r="B128" i="7" s="1"/>
  <c r="B129" i="7" s="1"/>
  <c r="B130" i="7" s="1"/>
  <c r="B131" i="7" s="1"/>
  <c r="B133" i="7" s="1"/>
  <c r="B134" i="7" s="1"/>
  <c r="B135" i="7" s="1"/>
  <c r="B136" i="7" s="1"/>
  <c r="B138" i="7" s="1"/>
  <c r="B139" i="7" s="1"/>
  <c r="B140" i="7" s="1"/>
  <c r="B141" i="7" s="1"/>
  <c r="B142" i="7" s="1"/>
  <c r="B143" i="7" s="1"/>
  <c r="B145" i="7" s="1"/>
  <c r="B147" i="7" s="1"/>
  <c r="B148" i="7" s="1"/>
  <c r="B149" i="7" s="1"/>
  <c r="B151" i="7" s="1"/>
  <c r="B152" i="7" s="1"/>
  <c r="B153" i="7" s="1"/>
  <c r="B154" i="7" s="1"/>
  <c r="B155" i="7" s="1"/>
  <c r="B156" i="7" s="1"/>
  <c r="B157" i="7" s="1"/>
  <c r="B159" i="7" s="1"/>
  <c r="B160" i="7" s="1"/>
  <c r="B162" i="7" s="1"/>
  <c r="B164" i="7" s="1"/>
  <c r="B170" i="7" s="1"/>
  <c r="B171" i="7" s="1"/>
  <c r="B172" i="7" s="1"/>
  <c r="B173" i="7" s="1"/>
  <c r="B174" i="7" s="1"/>
  <c r="B175" i="7" s="1"/>
  <c r="B176" i="7" s="1"/>
  <c r="B178" i="7" s="1"/>
  <c r="B180" i="7" s="1"/>
  <c r="B19" i="5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3" i="5" s="1"/>
  <c r="B35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B50" i="5" s="1"/>
  <c r="B51" i="5" s="1"/>
  <c r="B52" i="5" s="1"/>
  <c r="B53" i="5" s="1"/>
  <c r="B55" i="5" s="1"/>
  <c r="B57" i="5" s="1"/>
  <c r="B62" i="5" s="1"/>
  <c r="B63" i="5" s="1"/>
  <c r="B64" i="5" s="1"/>
  <c r="B65" i="5" s="1"/>
  <c r="B66" i="5" s="1"/>
  <c r="B67" i="5" s="1"/>
  <c r="B68" i="5" s="1"/>
  <c r="B69" i="5" s="1"/>
  <c r="B70" i="5" s="1"/>
  <c r="B71" i="5" s="1"/>
  <c r="B72" i="5" s="1"/>
  <c r="B73" i="5" s="1"/>
  <c r="B74" i="5" s="1"/>
  <c r="B75" i="5" s="1"/>
  <c r="B77" i="5" s="1"/>
  <c r="B79" i="5" s="1"/>
  <c r="B84" i="5" s="1"/>
  <c r="B85" i="5" s="1"/>
  <c r="B86" i="5" s="1"/>
  <c r="B87" i="5" s="1"/>
  <c r="B88" i="5" s="1"/>
  <c r="B89" i="5" s="1"/>
  <c r="B92" i="5" s="1"/>
  <c r="B95" i="5" s="1"/>
  <c r="B97" i="5" s="1"/>
  <c r="B102" i="5" s="1"/>
  <c r="B103" i="5" s="1"/>
  <c r="B104" i="5" s="1"/>
  <c r="B108" i="5" s="1"/>
  <c r="B109" i="5" s="1"/>
  <c r="B110" i="5" s="1"/>
  <c r="B116" i="5" s="1"/>
  <c r="B117" i="5" s="1"/>
  <c r="B118" i="5" s="1"/>
  <c r="B119" i="5" s="1"/>
  <c r="B120" i="5" s="1"/>
  <c r="B121" i="5" s="1"/>
  <c r="B122" i="5" s="1"/>
  <c r="B124" i="5" s="1"/>
  <c r="B125" i="5" s="1"/>
  <c r="B126" i="5" s="1"/>
  <c r="B127" i="5" s="1"/>
  <c r="B128" i="5" s="1"/>
  <c r="B129" i="5" s="1"/>
  <c r="B130" i="5" s="1"/>
  <c r="B131" i="5" s="1"/>
  <c r="B133" i="5" s="1"/>
  <c r="B134" i="5" s="1"/>
  <c r="B135" i="5" s="1"/>
  <c r="B136" i="5" s="1"/>
  <c r="B138" i="5" s="1"/>
  <c r="B139" i="5" s="1"/>
  <c r="B140" i="5" s="1"/>
  <c r="B141" i="5" s="1"/>
  <c r="B142" i="5" s="1"/>
  <c r="B143" i="5" s="1"/>
  <c r="B145" i="5" s="1"/>
  <c r="B147" i="5" s="1"/>
  <c r="B148" i="5" s="1"/>
  <c r="B149" i="5" s="1"/>
  <c r="B151" i="5" s="1"/>
  <c r="B152" i="5" s="1"/>
  <c r="B153" i="5" s="1"/>
  <c r="B154" i="5" s="1"/>
  <c r="B155" i="5" s="1"/>
  <c r="B156" i="5" s="1"/>
  <c r="B157" i="5" s="1"/>
  <c r="B159" i="5" s="1"/>
  <c r="B160" i="5" s="1"/>
  <c r="B162" i="5" s="1"/>
  <c r="B164" i="5" s="1"/>
  <c r="B170" i="5" s="1"/>
  <c r="B171" i="5" s="1"/>
  <c r="B172" i="5" s="1"/>
  <c r="B173" i="5" s="1"/>
  <c r="B174" i="5" s="1"/>
  <c r="B175" i="5" s="1"/>
  <c r="B176" i="5" s="1"/>
  <c r="B178" i="5" s="1"/>
  <c r="B180" i="5" s="1"/>
  <c r="F74" i="2" l="1"/>
  <c r="V30" i="1"/>
  <c r="V74" i="1" s="1"/>
  <c r="H159" i="1"/>
  <c r="H160" i="1"/>
  <c r="F69" i="10"/>
  <c r="AJ155" i="1"/>
  <c r="AJ122" i="1"/>
  <c r="R43" i="1"/>
  <c r="F43" i="4" s="1"/>
  <c r="AL128" i="1"/>
  <c r="AL124" i="1"/>
  <c r="AJ130" i="1"/>
  <c r="AL139" i="1"/>
  <c r="AJ135" i="1"/>
  <c r="J17" i="2"/>
  <c r="AJ149" i="1"/>
  <c r="AL126" i="1"/>
  <c r="V117" i="1"/>
  <c r="AL117" i="1" s="1"/>
  <c r="AJ126" i="1"/>
  <c r="J29" i="2"/>
  <c r="T117" i="1" s="1"/>
  <c r="AJ117" i="1" s="1"/>
  <c r="H29" i="2"/>
  <c r="R117" i="1" s="1"/>
  <c r="F29" i="2"/>
  <c r="P117" i="1" s="1"/>
  <c r="H69" i="10"/>
  <c r="AL152" i="1"/>
  <c r="AL135" i="1"/>
  <c r="AL140" i="1"/>
  <c r="L33" i="10"/>
  <c r="AL147" i="1"/>
  <c r="AJ148" i="1"/>
  <c r="L69" i="10"/>
  <c r="AL148" i="1"/>
  <c r="F17" i="2"/>
  <c r="AL136" i="1"/>
  <c r="AL134" i="1"/>
  <c r="AL131" i="1"/>
  <c r="AJ134" i="1"/>
  <c r="AJ131" i="1"/>
  <c r="AL155" i="1"/>
  <c r="AL149" i="1"/>
  <c r="T69" i="1"/>
  <c r="AJ141" i="1"/>
  <c r="H74" i="2"/>
  <c r="R30" i="1" s="1"/>
  <c r="H27" i="10"/>
  <c r="AL121" i="1"/>
  <c r="F23" i="2"/>
  <c r="AL156" i="1"/>
  <c r="AJ147" i="1"/>
  <c r="D47" i="10"/>
  <c r="H48" i="10" s="1"/>
  <c r="J23" i="2"/>
  <c r="J74" i="2"/>
  <c r="T30" i="1" s="1"/>
  <c r="T74" i="1" s="1"/>
  <c r="AL141" i="1"/>
  <c r="AJ128" i="1"/>
  <c r="AJ139" i="1"/>
  <c r="AJ153" i="1"/>
  <c r="AL153" i="1"/>
  <c r="AJ124" i="1"/>
  <c r="AJ156" i="1"/>
  <c r="T95" i="4"/>
  <c r="F119" i="2"/>
  <c r="P118" i="1" s="1"/>
  <c r="F118" i="13" s="1"/>
  <c r="AJ121" i="1"/>
  <c r="AJ152" i="1"/>
  <c r="AL143" i="1"/>
  <c r="L86" i="2"/>
  <c r="V43" i="1" s="1"/>
  <c r="AJ140" i="1"/>
  <c r="L68" i="2"/>
  <c r="J68" i="2"/>
  <c r="T19" i="1" s="1"/>
  <c r="T63" i="1" s="1"/>
  <c r="AJ143" i="1"/>
  <c r="R95" i="50"/>
  <c r="T95" i="50"/>
  <c r="V95" i="50"/>
  <c r="P95" i="50"/>
  <c r="J42" i="10"/>
  <c r="L17" i="14"/>
  <c r="F68" i="2"/>
  <c r="P19" i="1" s="1"/>
  <c r="F19" i="13" s="1"/>
  <c r="L41" i="2"/>
  <c r="V102" i="1" s="1"/>
  <c r="AJ136" i="1"/>
  <c r="F42" i="10"/>
  <c r="J41" i="2"/>
  <c r="T102" i="1" s="1"/>
  <c r="F86" i="2"/>
  <c r="P43" i="1" s="1"/>
  <c r="AL130" i="1"/>
  <c r="L133" i="50"/>
  <c r="J35" i="2"/>
  <c r="T45" i="1" s="1"/>
  <c r="P95" i="4"/>
  <c r="V95" i="4"/>
  <c r="X95" i="4" s="1"/>
  <c r="Z95" i="4" s="1"/>
  <c r="L26" i="2"/>
  <c r="H157" i="1"/>
  <c r="L157" i="1" s="1"/>
  <c r="H98" i="2"/>
  <c r="R109" i="1" s="1"/>
  <c r="F109" i="4" s="1"/>
  <c r="F35" i="2"/>
  <c r="P45" i="1" s="1"/>
  <c r="F45" i="13" s="1"/>
  <c r="L17" i="2"/>
  <c r="H151" i="1"/>
  <c r="L151" i="1" s="1"/>
  <c r="AD151" i="1" s="1"/>
  <c r="L30" i="10"/>
  <c r="H42" i="4"/>
  <c r="H80" i="2"/>
  <c r="R44" i="1" s="1"/>
  <c r="L119" i="2"/>
  <c r="V118" i="1" s="1"/>
  <c r="AL118" i="1" s="1"/>
  <c r="L42" i="10"/>
  <c r="J86" i="2"/>
  <c r="T43" i="1" s="1"/>
  <c r="H41" i="2"/>
  <c r="R102" i="1" s="1"/>
  <c r="F102" i="4" s="1"/>
  <c r="AB95" i="13"/>
  <c r="AD95" i="13" s="1"/>
  <c r="J27" i="10"/>
  <c r="H20" i="4"/>
  <c r="J18" i="10"/>
  <c r="H46" i="4"/>
  <c r="H68" i="4" s="1"/>
  <c r="F21" i="10"/>
  <c r="H18" i="4"/>
  <c r="H62" i="4" s="1"/>
  <c r="H35" i="2"/>
  <c r="R45" i="1" s="1"/>
  <c r="F45" i="4" s="1"/>
  <c r="J33" i="10"/>
  <c r="H120" i="4"/>
  <c r="J119" i="2"/>
  <c r="T118" i="1" s="1"/>
  <c r="AJ118" i="1" s="1"/>
  <c r="J77" i="2"/>
  <c r="T22" i="1" s="1"/>
  <c r="F15" i="10"/>
  <c r="H23" i="2"/>
  <c r="AF126" i="1"/>
  <c r="AH149" i="1"/>
  <c r="AC149" i="4" s="1"/>
  <c r="AH141" i="1"/>
  <c r="AC141" i="4" s="1"/>
  <c r="AH126" i="1"/>
  <c r="AF136" i="1"/>
  <c r="AH148" i="1"/>
  <c r="AC148" i="4" s="1"/>
  <c r="AH147" i="1"/>
  <c r="AC147" i="4" s="1"/>
  <c r="AH130" i="1"/>
  <c r="AC130" i="4" s="1"/>
  <c r="AF153" i="1"/>
  <c r="AH135" i="1"/>
  <c r="AC135" i="4" s="1"/>
  <c r="AF135" i="1"/>
  <c r="AH131" i="1"/>
  <c r="AC131" i="4" s="1"/>
  <c r="AF149" i="1"/>
  <c r="AH136" i="1"/>
  <c r="AC136" i="4" s="1"/>
  <c r="AH153" i="1"/>
  <c r="AC153" i="4" s="1"/>
  <c r="AF128" i="1"/>
  <c r="AF121" i="1"/>
  <c r="AF139" i="1"/>
  <c r="AH118" i="1"/>
  <c r="AC118" i="4" s="1"/>
  <c r="AF156" i="1"/>
  <c r="AH139" i="1"/>
  <c r="AC139" i="4" s="1"/>
  <c r="AF127" i="1"/>
  <c r="AH121" i="1"/>
  <c r="AC121" i="4" s="1"/>
  <c r="AF152" i="1"/>
  <c r="AF140" i="1"/>
  <c r="AH156" i="1"/>
  <c r="AC156" i="4" s="1"/>
  <c r="AF155" i="1"/>
  <c r="AF124" i="1"/>
  <c r="AF141" i="1"/>
  <c r="AH134" i="1"/>
  <c r="AC134" i="4" s="1"/>
  <c r="AH140" i="1"/>
  <c r="AC140" i="4" s="1"/>
  <c r="AH155" i="1"/>
  <c r="AC155" i="4" s="1"/>
  <c r="AH143" i="1"/>
  <c r="AC143" i="4" s="1"/>
  <c r="AH128" i="1"/>
  <c r="AC128" i="4" s="1"/>
  <c r="AH152" i="1"/>
  <c r="AC152" i="4" s="1"/>
  <c r="AF131" i="1"/>
  <c r="AF134" i="1"/>
  <c r="AF148" i="1"/>
  <c r="AH124" i="1"/>
  <c r="AC124" i="4" s="1"/>
  <c r="AF147" i="1"/>
  <c r="AF130" i="1"/>
  <c r="AF143" i="1"/>
  <c r="T21" i="1"/>
  <c r="H33" i="10"/>
  <c r="P30" i="1"/>
  <c r="P74" i="1" s="1"/>
  <c r="F74" i="13" s="1"/>
  <c r="J110" i="2"/>
  <c r="T20" i="1" s="1"/>
  <c r="X95" i="13"/>
  <c r="H145" i="1"/>
  <c r="L145" i="1" s="1"/>
  <c r="V69" i="1"/>
  <c r="R69" i="1"/>
  <c r="P69" i="1"/>
  <c r="F69" i="13" s="1"/>
  <c r="X172" i="1"/>
  <c r="Z172" i="1" s="1"/>
  <c r="P29" i="1"/>
  <c r="P73" i="1" s="1"/>
  <c r="V29" i="1"/>
  <c r="V73" i="1" s="1"/>
  <c r="R29" i="1"/>
  <c r="T29" i="1"/>
  <c r="T73" i="1" s="1"/>
  <c r="V138" i="1"/>
  <c r="AL138" i="1" s="1"/>
  <c r="T138" i="1"/>
  <c r="AJ138" i="1" s="1"/>
  <c r="R138" i="1"/>
  <c r="P138" i="1"/>
  <c r="T24" i="1"/>
  <c r="T68" i="1" s="1"/>
  <c r="P24" i="1"/>
  <c r="P68" i="1" s="1"/>
  <c r="V24" i="1"/>
  <c r="V68" i="1" s="1"/>
  <c r="R24" i="1"/>
  <c r="P95" i="13"/>
  <c r="R95" i="13"/>
  <c r="R26" i="1"/>
  <c r="T26" i="1"/>
  <c r="T70" i="1" s="1"/>
  <c r="P26" i="1"/>
  <c r="P70" i="1" s="1"/>
  <c r="V26" i="1"/>
  <c r="V70" i="1" s="1"/>
  <c r="H59" i="2"/>
  <c r="R122" i="1" s="1"/>
  <c r="F113" i="2"/>
  <c r="P42" i="1" s="1"/>
  <c r="F42" i="13" s="1"/>
  <c r="Z95" i="13"/>
  <c r="L27" i="10"/>
  <c r="J80" i="2"/>
  <c r="T44" i="1" s="1"/>
  <c r="F59" i="2"/>
  <c r="P122" i="1" s="1"/>
  <c r="J113" i="2"/>
  <c r="T42" i="1" s="1"/>
  <c r="L21" i="10"/>
  <c r="P102" i="1"/>
  <c r="F102" i="13" s="1"/>
  <c r="R27" i="1"/>
  <c r="T27" i="1"/>
  <c r="T71" i="1" s="1"/>
  <c r="P27" i="1"/>
  <c r="V27" i="1"/>
  <c r="V71" i="1" s="1"/>
  <c r="R20" i="1"/>
  <c r="V116" i="1"/>
  <c r="AL116" i="1" s="1"/>
  <c r="T116" i="1"/>
  <c r="AJ116" i="1" s="1"/>
  <c r="R116" i="1"/>
  <c r="P116" i="1"/>
  <c r="P23" i="1"/>
  <c r="L98" i="2"/>
  <c r="V109" i="1" s="1"/>
  <c r="F98" i="2"/>
  <c r="P109" i="1" s="1"/>
  <c r="F109" i="13" s="1"/>
  <c r="L178" i="1"/>
  <c r="V174" i="1"/>
  <c r="V178" i="1" s="1"/>
  <c r="T174" i="1"/>
  <c r="T178" i="1" s="1"/>
  <c r="R174" i="1"/>
  <c r="P174" i="1"/>
  <c r="F174" i="13" s="1"/>
  <c r="J21" i="10"/>
  <c r="V133" i="1"/>
  <c r="AL133" i="1" s="1"/>
  <c r="T133" i="1"/>
  <c r="AJ133" i="1" s="1"/>
  <c r="R133" i="1"/>
  <c r="P133" i="1"/>
  <c r="T154" i="1"/>
  <c r="AJ154" i="1" s="1"/>
  <c r="R154" i="1"/>
  <c r="P154" i="1"/>
  <c r="V154" i="1"/>
  <c r="AL154" i="1" s="1"/>
  <c r="V28" i="1"/>
  <c r="V72" i="1" s="1"/>
  <c r="R28" i="1"/>
  <c r="T28" i="1"/>
  <c r="T72" i="1" s="1"/>
  <c r="P28" i="1"/>
  <c r="P72" i="1" s="1"/>
  <c r="H17" i="14"/>
  <c r="V120" i="1"/>
  <c r="AL120" i="1" s="1"/>
  <c r="T120" i="1"/>
  <c r="AJ120" i="1" s="1"/>
  <c r="R120" i="1"/>
  <c r="P120" i="1"/>
  <c r="H21" i="10"/>
  <c r="V119" i="1"/>
  <c r="AL119" i="1" s="1"/>
  <c r="V142" i="1"/>
  <c r="AL142" i="1" s="1"/>
  <c r="T142" i="1"/>
  <c r="AJ142" i="1" s="1"/>
  <c r="R142" i="1"/>
  <c r="P142" i="1"/>
  <c r="T129" i="1"/>
  <c r="AJ129" i="1" s="1"/>
  <c r="R129" i="1"/>
  <c r="P129" i="1"/>
  <c r="V129" i="1"/>
  <c r="AL129" i="1" s="1"/>
  <c r="L110" i="2"/>
  <c r="V20" i="1" s="1"/>
  <c r="F17" i="14"/>
  <c r="L113" i="2"/>
  <c r="V42" i="1" s="1"/>
  <c r="V95" i="13"/>
  <c r="F30" i="10"/>
  <c r="F80" i="2"/>
  <c r="P44" i="1" s="1"/>
  <c r="F44" i="13" s="1"/>
  <c r="R19" i="1"/>
  <c r="F19" i="4" s="1"/>
  <c r="X147" i="1"/>
  <c r="Z147" i="1" s="1"/>
  <c r="X155" i="1"/>
  <c r="Z155" i="1" s="1"/>
  <c r="X134" i="1"/>
  <c r="Z134" i="1" s="1"/>
  <c r="H30" i="10"/>
  <c r="N17" i="14"/>
  <c r="F110" i="2"/>
  <c r="P20" i="1" s="1"/>
  <c r="J95" i="2"/>
  <c r="T119" i="1" s="1"/>
  <c r="AJ119" i="1" s="1"/>
  <c r="F26" i="2"/>
  <c r="F18" i="10"/>
  <c r="H18" i="10"/>
  <c r="L59" i="2"/>
  <c r="L32" i="2"/>
  <c r="V23" i="1" s="1"/>
  <c r="V67" i="1" s="1"/>
  <c r="J17" i="14"/>
  <c r="L18" i="10"/>
  <c r="H36" i="10"/>
  <c r="F36" i="10"/>
  <c r="J15" i="10"/>
  <c r="L15" i="10"/>
  <c r="H15" i="10"/>
  <c r="J36" i="10"/>
  <c r="J30" i="10"/>
  <c r="L36" i="10"/>
  <c r="X170" i="1"/>
  <c r="Z170" i="1" s="1"/>
  <c r="X171" i="1"/>
  <c r="Z171" i="1" s="1"/>
  <c r="F71" i="2"/>
  <c r="P41" i="1" s="1"/>
  <c r="F41" i="13" s="1"/>
  <c r="L71" i="2"/>
  <c r="V41" i="1" s="1"/>
  <c r="H20" i="2"/>
  <c r="J14" i="2"/>
  <c r="H14" i="2"/>
  <c r="F65" i="2"/>
  <c r="L65" i="2"/>
  <c r="L14" i="2"/>
  <c r="F77" i="2"/>
  <c r="P22" i="1" s="1"/>
  <c r="L77" i="2"/>
  <c r="V22" i="1" s="1"/>
  <c r="V66" i="1" s="1"/>
  <c r="J50" i="2"/>
  <c r="H50" i="2"/>
  <c r="L50" i="2"/>
  <c r="F83" i="2"/>
  <c r="P21" i="1" s="1"/>
  <c r="L83" i="2"/>
  <c r="V21" i="1" s="1"/>
  <c r="X131" i="1"/>
  <c r="Z131" i="1" s="1"/>
  <c r="J38" i="2"/>
  <c r="T127" i="1" s="1"/>
  <c r="AJ127" i="1" s="1"/>
  <c r="H38" i="2"/>
  <c r="R127" i="1" s="1"/>
  <c r="H71" i="2"/>
  <c r="R41" i="1" s="1"/>
  <c r="F41" i="4" s="1"/>
  <c r="H65" i="2"/>
  <c r="L38" i="2"/>
  <c r="V127" i="1" s="1"/>
  <c r="AL127" i="1" s="1"/>
  <c r="L20" i="2"/>
  <c r="H95" i="2"/>
  <c r="R119" i="1" s="1"/>
  <c r="F95" i="2"/>
  <c r="P119" i="1" s="1"/>
  <c r="J32" i="2"/>
  <c r="T23" i="1" s="1"/>
  <c r="H32" i="2"/>
  <c r="J65" i="2"/>
  <c r="F20" i="2"/>
  <c r="J26" i="2"/>
  <c r="H26" i="2"/>
  <c r="H83" i="2"/>
  <c r="R21" i="1" s="1"/>
  <c r="X130" i="1"/>
  <c r="Z130" i="1" s="1"/>
  <c r="X49" i="1"/>
  <c r="Z49" i="1" s="1"/>
  <c r="X51" i="1"/>
  <c r="Z51" i="1" s="1"/>
  <c r="X139" i="1"/>
  <c r="Z139" i="1" s="1"/>
  <c r="X128" i="1"/>
  <c r="Z128" i="1" s="1"/>
  <c r="X173" i="1"/>
  <c r="Z173" i="1" s="1"/>
  <c r="X52" i="1"/>
  <c r="Z52" i="1" s="1"/>
  <c r="X136" i="1"/>
  <c r="Z136" i="1" s="1"/>
  <c r="X87" i="1"/>
  <c r="Z87" i="1" s="1"/>
  <c r="X176" i="1"/>
  <c r="Z176" i="1" s="1"/>
  <c r="X50" i="1"/>
  <c r="Z50" i="1" s="1"/>
  <c r="X175" i="1"/>
  <c r="Z175" i="1" s="1"/>
  <c r="L31" i="1"/>
  <c r="L35" i="1" s="1"/>
  <c r="X48" i="1"/>
  <c r="Z48" i="1" s="1"/>
  <c r="X135" i="1"/>
  <c r="Z135" i="1" s="1"/>
  <c r="L77" i="1"/>
  <c r="X46" i="1"/>
  <c r="Z46" i="1" s="1"/>
  <c r="X47" i="1"/>
  <c r="Z47" i="1" s="1"/>
  <c r="F35" i="1"/>
  <c r="X153" i="1"/>
  <c r="Z153" i="1" s="1"/>
  <c r="L89" i="1"/>
  <c r="L53" i="1"/>
  <c r="L57" i="1" s="1"/>
  <c r="X124" i="1"/>
  <c r="Z124" i="1" s="1"/>
  <c r="L64" i="1"/>
  <c r="X156" i="1"/>
  <c r="Z156" i="1" s="1"/>
  <c r="F57" i="1"/>
  <c r="X141" i="1"/>
  <c r="Z141" i="1" s="1"/>
  <c r="X149" i="1"/>
  <c r="Z149" i="1" s="1"/>
  <c r="X143" i="1"/>
  <c r="Z143" i="1" s="1"/>
  <c r="X140" i="1"/>
  <c r="Z140" i="1" s="1"/>
  <c r="X126" i="1"/>
  <c r="Z126" i="1" s="1"/>
  <c r="L69" i="1"/>
  <c r="L104" i="1"/>
  <c r="X121" i="1"/>
  <c r="Z121" i="1" s="1"/>
  <c r="X148" i="1"/>
  <c r="Z148" i="1" s="1"/>
  <c r="X152" i="1"/>
  <c r="Z152" i="1" s="1"/>
  <c r="X25" i="1"/>
  <c r="Z25" i="1" s="1"/>
  <c r="L67" i="1"/>
  <c r="F75" i="1"/>
  <c r="D29" i="2" l="1"/>
  <c r="D69" i="10"/>
  <c r="D23" i="2"/>
  <c r="J48" i="10"/>
  <c r="D17" i="2"/>
  <c r="D42" i="10"/>
  <c r="D68" i="2"/>
  <c r="V157" i="1"/>
  <c r="AL157" i="1" s="1"/>
  <c r="D27" i="10"/>
  <c r="V19" i="1"/>
  <c r="V63" i="1" s="1"/>
  <c r="D74" i="2"/>
  <c r="D41" i="2"/>
  <c r="D119" i="2"/>
  <c r="D86" i="2"/>
  <c r="F48" i="10"/>
  <c r="L48" i="10"/>
  <c r="AF118" i="1"/>
  <c r="AN118" i="1" s="1"/>
  <c r="D33" i="10"/>
  <c r="D17" i="14"/>
  <c r="D35" i="2"/>
  <c r="R151" i="1"/>
  <c r="F151" i="4" s="1"/>
  <c r="V151" i="1"/>
  <c r="T151" i="1"/>
  <c r="P151" i="1"/>
  <c r="X118" i="1"/>
  <c r="Z118" i="1" s="1"/>
  <c r="X45" i="1"/>
  <c r="Z45" i="1" s="1"/>
  <c r="T67" i="1"/>
  <c r="T66" i="1"/>
  <c r="T157" i="1"/>
  <c r="AJ157" i="1" s="1"/>
  <c r="H53" i="4"/>
  <c r="H57" i="4" s="1"/>
  <c r="P157" i="1"/>
  <c r="AF157" i="1" s="1"/>
  <c r="AN149" i="1"/>
  <c r="D113" i="2"/>
  <c r="D98" i="2"/>
  <c r="AN141" i="1"/>
  <c r="AN126" i="1"/>
  <c r="AC126" i="4"/>
  <c r="AN143" i="1"/>
  <c r="AN148" i="1"/>
  <c r="AN156" i="1"/>
  <c r="AN136" i="1"/>
  <c r="AN135" i="1"/>
  <c r="AN147" i="1"/>
  <c r="AN152" i="1"/>
  <c r="AN128" i="1"/>
  <c r="AN153" i="1"/>
  <c r="F116" i="13"/>
  <c r="AF116" i="1"/>
  <c r="F120" i="13"/>
  <c r="AF120" i="1"/>
  <c r="F119" i="4"/>
  <c r="AH119" i="1"/>
  <c r="AC119" i="4" s="1"/>
  <c r="F122" i="4"/>
  <c r="AH122" i="1"/>
  <c r="AC122" i="4" s="1"/>
  <c r="F133" i="13"/>
  <c r="AF133" i="1"/>
  <c r="F129" i="4"/>
  <c r="AH129" i="1"/>
  <c r="AC129" i="4" s="1"/>
  <c r="F133" i="4"/>
  <c r="AH133" i="1"/>
  <c r="AC133" i="4" s="1"/>
  <c r="F116" i="4"/>
  <c r="AH116" i="1"/>
  <c r="AC116" i="4" s="1"/>
  <c r="F122" i="13"/>
  <c r="AF122" i="1"/>
  <c r="F120" i="4"/>
  <c r="AH120" i="1"/>
  <c r="AC120" i="4" s="1"/>
  <c r="F117" i="13"/>
  <c r="AF117" i="1"/>
  <c r="F138" i="13"/>
  <c r="AF138" i="1"/>
  <c r="AN134" i="1"/>
  <c r="AN139" i="1"/>
  <c r="F142" i="13"/>
  <c r="AF142" i="1"/>
  <c r="F138" i="4"/>
  <c r="AH138" i="1"/>
  <c r="AC138" i="4" s="1"/>
  <c r="F127" i="4"/>
  <c r="AH127" i="1"/>
  <c r="AC127" i="4" s="1"/>
  <c r="F117" i="4"/>
  <c r="AH117" i="1"/>
  <c r="AC117" i="4" s="1"/>
  <c r="F154" i="13"/>
  <c r="AF154" i="1"/>
  <c r="P145" i="1"/>
  <c r="F145" i="13" s="1"/>
  <c r="AD145" i="1"/>
  <c r="AN131" i="1"/>
  <c r="AN124" i="1"/>
  <c r="AN121" i="1"/>
  <c r="F142" i="4"/>
  <c r="AH142" i="1"/>
  <c r="AC142" i="4" s="1"/>
  <c r="F119" i="13"/>
  <c r="AF119" i="1"/>
  <c r="F154" i="4"/>
  <c r="AH154" i="1"/>
  <c r="AC154" i="4" s="1"/>
  <c r="AN155" i="1"/>
  <c r="F129" i="13"/>
  <c r="AF129" i="1"/>
  <c r="AN130" i="1"/>
  <c r="AN140" i="1"/>
  <c r="R178" i="1"/>
  <c r="F174" i="4"/>
  <c r="R66" i="1"/>
  <c r="F44" i="4"/>
  <c r="P65" i="1"/>
  <c r="F65" i="13" s="1"/>
  <c r="X30" i="1"/>
  <c r="Z30" i="1" s="1"/>
  <c r="F30" i="13"/>
  <c r="T65" i="1"/>
  <c r="X109" i="1"/>
  <c r="Z109" i="1" s="1"/>
  <c r="T145" i="1"/>
  <c r="V145" i="1"/>
  <c r="T64" i="1"/>
  <c r="D30" i="10"/>
  <c r="L75" i="1"/>
  <c r="L79" i="1" s="1"/>
  <c r="L92" i="1" s="1"/>
  <c r="L97" i="1" s="1"/>
  <c r="D26" i="2"/>
  <c r="D110" i="2"/>
  <c r="F26" i="13"/>
  <c r="F24" i="13"/>
  <c r="P64" i="1"/>
  <c r="X44" i="1"/>
  <c r="Z44" i="1" s="1"/>
  <c r="V65" i="1"/>
  <c r="F28" i="13"/>
  <c r="R71" i="1"/>
  <c r="F27" i="4"/>
  <c r="R73" i="1"/>
  <c r="F29" i="4"/>
  <c r="R65" i="1"/>
  <c r="F21" i="4"/>
  <c r="R72" i="1"/>
  <c r="F28" i="4"/>
  <c r="R64" i="1"/>
  <c r="F20" i="4"/>
  <c r="R68" i="1"/>
  <c r="F24" i="4"/>
  <c r="R74" i="1"/>
  <c r="X74" i="1" s="1"/>
  <c r="Z74" i="1" s="1"/>
  <c r="F30" i="4"/>
  <c r="R70" i="1"/>
  <c r="F26" i="4"/>
  <c r="X42" i="1"/>
  <c r="Z42" i="1" s="1"/>
  <c r="P71" i="1"/>
  <c r="F71" i="13" s="1"/>
  <c r="F27" i="13"/>
  <c r="X27" i="1"/>
  <c r="Z27" i="1" s="1"/>
  <c r="F29" i="13"/>
  <c r="X41" i="1"/>
  <c r="Z41" i="1" s="1"/>
  <c r="X127" i="1"/>
  <c r="Z127" i="1" s="1"/>
  <c r="F22" i="13"/>
  <c r="P66" i="1"/>
  <c r="F66" i="13" s="1"/>
  <c r="D21" i="10"/>
  <c r="H31" i="4"/>
  <c r="H35" i="4" s="1"/>
  <c r="H64" i="4"/>
  <c r="H75" i="4" s="1"/>
  <c r="H79" i="4" s="1"/>
  <c r="H92" i="4" s="1"/>
  <c r="D80" i="2"/>
  <c r="R40" i="1"/>
  <c r="R18" i="1"/>
  <c r="F18" i="4" s="1"/>
  <c r="V40" i="1"/>
  <c r="V53" i="1" s="1"/>
  <c r="V18" i="1"/>
  <c r="R157" i="1"/>
  <c r="AH157" i="1" s="1"/>
  <c r="AC157" i="4" s="1"/>
  <c r="F20" i="13"/>
  <c r="F21" i="13"/>
  <c r="T18" i="1"/>
  <c r="T31" i="1" s="1"/>
  <c r="T40" i="1"/>
  <c r="T53" i="1" s="1"/>
  <c r="D65" i="2"/>
  <c r="P18" i="1"/>
  <c r="P31" i="1" s="1"/>
  <c r="P40" i="1"/>
  <c r="P53" i="1" s="1"/>
  <c r="X22" i="1"/>
  <c r="Z22" i="1" s="1"/>
  <c r="D32" i="2"/>
  <c r="R23" i="1"/>
  <c r="F23" i="4" s="1"/>
  <c r="D50" i="2"/>
  <c r="D59" i="2"/>
  <c r="V122" i="1"/>
  <c r="R145" i="1"/>
  <c r="F145" i="4" s="1"/>
  <c r="R63" i="1"/>
  <c r="V64" i="1"/>
  <c r="F23" i="13"/>
  <c r="P67" i="1"/>
  <c r="F67" i="13" s="1"/>
  <c r="P63" i="1"/>
  <c r="F63" i="13" s="1"/>
  <c r="F43" i="13"/>
  <c r="F72" i="13"/>
  <c r="X28" i="1"/>
  <c r="Z28" i="1" s="1"/>
  <c r="D18" i="10"/>
  <c r="D20" i="2"/>
  <c r="D14" i="2"/>
  <c r="D15" i="10"/>
  <c r="D95" i="2"/>
  <c r="D38" i="2"/>
  <c r="D36" i="10"/>
  <c r="X120" i="1"/>
  <c r="Z120" i="1" s="1"/>
  <c r="D71" i="2"/>
  <c r="D77" i="2"/>
  <c r="X119" i="1"/>
  <c r="X43" i="1"/>
  <c r="Z43" i="1" s="1"/>
  <c r="D83" i="2"/>
  <c r="X69" i="1"/>
  <c r="Z69" i="1" s="1"/>
  <c r="X129" i="1"/>
  <c r="Z129" i="1" s="1"/>
  <c r="X26" i="1"/>
  <c r="Z26" i="1" s="1"/>
  <c r="X117" i="1"/>
  <c r="Z117" i="1" s="1"/>
  <c r="X21" i="1"/>
  <c r="Z21" i="1" s="1"/>
  <c r="X174" i="1"/>
  <c r="X154" i="1"/>
  <c r="Z154" i="1" s="1"/>
  <c r="F79" i="1"/>
  <c r="X142" i="1"/>
  <c r="Z142" i="1" s="1"/>
  <c r="X116" i="1"/>
  <c r="X133" i="1"/>
  <c r="Z133" i="1" s="1"/>
  <c r="X24" i="1"/>
  <c r="Z24" i="1" s="1"/>
  <c r="X138" i="1"/>
  <c r="Z138" i="1" s="1"/>
  <c r="X20" i="1"/>
  <c r="Z20" i="1" s="1"/>
  <c r="X29" i="1"/>
  <c r="Z29" i="1" s="1"/>
  <c r="X102" i="1"/>
  <c r="P178" i="1"/>
  <c r="D48" i="10" l="1"/>
  <c r="V31" i="1"/>
  <c r="X19" i="1"/>
  <c r="Z19" i="1" s="1"/>
  <c r="X151" i="1"/>
  <c r="Z151" i="1" s="1"/>
  <c r="F151" i="13"/>
  <c r="F157" i="13"/>
  <c r="AN127" i="1"/>
  <c r="AN133" i="1"/>
  <c r="AN119" i="1"/>
  <c r="AN120" i="1"/>
  <c r="X122" i="1"/>
  <c r="Z122" i="1" s="1"/>
  <c r="AL122" i="1"/>
  <c r="AN122" i="1" s="1"/>
  <c r="AN138" i="1"/>
  <c r="AN116" i="1"/>
  <c r="AN117" i="1"/>
  <c r="AN157" i="1"/>
  <c r="AN129" i="1"/>
  <c r="AN154" i="1"/>
  <c r="AN142" i="1"/>
  <c r="X157" i="1"/>
  <c r="Z157" i="1" s="1"/>
  <c r="F157" i="4"/>
  <c r="R53" i="1"/>
  <c r="F40" i="4"/>
  <c r="X145" i="1"/>
  <c r="Z145" i="1" s="1"/>
  <c r="R31" i="1"/>
  <c r="X66" i="1"/>
  <c r="Z66" i="1" s="1"/>
  <c r="X63" i="1"/>
  <c r="Z63" i="1" s="1"/>
  <c r="X71" i="1"/>
  <c r="Z71" i="1" s="1"/>
  <c r="X18" i="1"/>
  <c r="Z18" i="1" s="1"/>
  <c r="V62" i="1"/>
  <c r="V75" i="1" s="1"/>
  <c r="P62" i="1"/>
  <c r="F62" i="13" s="1"/>
  <c r="F18" i="13"/>
  <c r="R67" i="1"/>
  <c r="X67" i="1" s="1"/>
  <c r="Z67" i="1" s="1"/>
  <c r="X23" i="1"/>
  <c r="Z23" i="1" s="1"/>
  <c r="T62" i="1"/>
  <c r="T75" i="1" s="1"/>
  <c r="R62" i="1"/>
  <c r="F40" i="13"/>
  <c r="X40" i="1"/>
  <c r="Z40" i="1" s="1"/>
  <c r="X72" i="1"/>
  <c r="Z72" i="1" s="1"/>
  <c r="X73" i="1"/>
  <c r="Z73" i="1" s="1"/>
  <c r="F73" i="13"/>
  <c r="X70" i="1"/>
  <c r="Z70" i="1" s="1"/>
  <c r="F70" i="13"/>
  <c r="X68" i="1"/>
  <c r="Z68" i="1" s="1"/>
  <c r="F68" i="13"/>
  <c r="X64" i="1"/>
  <c r="Z64" i="1" s="1"/>
  <c r="F64" i="13"/>
  <c r="X65" i="1"/>
  <c r="Z65" i="1" s="1"/>
  <c r="Z174" i="1"/>
  <c r="X178" i="1"/>
  <c r="Z178" i="1" s="1"/>
  <c r="F92" i="1"/>
  <c r="Z102" i="1"/>
  <c r="Z116" i="1"/>
  <c r="P75" i="1" l="1"/>
  <c r="R75" i="1"/>
  <c r="X31" i="1"/>
  <c r="Z31" i="1" s="1"/>
  <c r="X62" i="1"/>
  <c r="X75" i="1" s="1"/>
  <c r="X53" i="1"/>
  <c r="Z53" i="1" s="1"/>
  <c r="F97" i="1"/>
  <c r="Z62" i="1" l="1"/>
  <c r="Z75" i="1"/>
  <c r="F164" i="1"/>
  <c r="F180" i="1" l="1"/>
  <c r="AF81" i="5" l="1"/>
  <c r="AF83" i="5"/>
  <c r="K171" i="7"/>
  <c r="K172" i="7"/>
  <c r="K173" i="7"/>
  <c r="K174" i="7"/>
  <c r="K175" i="7"/>
  <c r="K176" i="7"/>
  <c r="K170" i="7"/>
  <c r="O171" i="7"/>
  <c r="O172" i="7"/>
  <c r="O173" i="7"/>
  <c r="O174" i="7"/>
  <c r="O175" i="7"/>
  <c r="O176" i="7"/>
  <c r="O170" i="7"/>
  <c r="O160" i="7"/>
  <c r="O159" i="7"/>
  <c r="O152" i="7"/>
  <c r="O153" i="7"/>
  <c r="O154" i="7"/>
  <c r="O155" i="7"/>
  <c r="O156" i="7"/>
  <c r="O157" i="7"/>
  <c r="O151" i="7"/>
  <c r="O148" i="7"/>
  <c r="O149" i="7"/>
  <c r="O147" i="7"/>
  <c r="O145" i="7"/>
  <c r="O139" i="7"/>
  <c r="O140" i="7"/>
  <c r="O141" i="7"/>
  <c r="O142" i="7"/>
  <c r="O143" i="7"/>
  <c r="O138" i="7"/>
  <c r="O135" i="7"/>
  <c r="O136" i="7"/>
  <c r="O134" i="7"/>
  <c r="O117" i="7"/>
  <c r="O118" i="7"/>
  <c r="O119" i="7"/>
  <c r="O120" i="7"/>
  <c r="O121" i="7"/>
  <c r="O122" i="7"/>
  <c r="O124" i="7"/>
  <c r="O125" i="7"/>
  <c r="O126" i="7"/>
  <c r="O127" i="7"/>
  <c r="O128" i="7"/>
  <c r="O129" i="7"/>
  <c r="O130" i="7"/>
  <c r="O131" i="7"/>
  <c r="O116" i="7"/>
  <c r="O109" i="7"/>
  <c r="O108" i="7"/>
  <c r="O103" i="7"/>
  <c r="O102" i="7"/>
  <c r="O84" i="7"/>
  <c r="O85" i="7"/>
  <c r="O86" i="7"/>
  <c r="O87" i="7"/>
  <c r="O88" i="7"/>
  <c r="O77" i="7"/>
  <c r="O63" i="7"/>
  <c r="O64" i="7"/>
  <c r="O65" i="7"/>
  <c r="O66" i="7"/>
  <c r="O67" i="7"/>
  <c r="O68" i="7"/>
  <c r="O69" i="7"/>
  <c r="O70" i="7"/>
  <c r="O71" i="7"/>
  <c r="O72" i="7"/>
  <c r="O73" i="7"/>
  <c r="O74" i="7"/>
  <c r="O62" i="7"/>
  <c r="O55" i="7"/>
  <c r="O41" i="7"/>
  <c r="O42" i="7"/>
  <c r="O43" i="7"/>
  <c r="O44" i="7"/>
  <c r="O45" i="7"/>
  <c r="O46" i="7"/>
  <c r="O47" i="7"/>
  <c r="O48" i="7"/>
  <c r="O49" i="7"/>
  <c r="O50" i="7"/>
  <c r="O51" i="7"/>
  <c r="O52" i="7"/>
  <c r="O40" i="7"/>
  <c r="O33" i="7"/>
  <c r="O19" i="7"/>
  <c r="O20" i="7"/>
  <c r="O21" i="7"/>
  <c r="O22" i="7"/>
  <c r="O23" i="7"/>
  <c r="O24" i="7"/>
  <c r="O25" i="7"/>
  <c r="O26" i="7"/>
  <c r="O27" i="7"/>
  <c r="O28" i="7"/>
  <c r="O29" i="7"/>
  <c r="O30" i="7"/>
  <c r="O18" i="7"/>
  <c r="K160" i="7"/>
  <c r="K159" i="7"/>
  <c r="K152" i="7"/>
  <c r="K153" i="7"/>
  <c r="K154" i="7"/>
  <c r="K155" i="7"/>
  <c r="K156" i="7"/>
  <c r="K157" i="7"/>
  <c r="K151" i="7"/>
  <c r="K148" i="7"/>
  <c r="K149" i="7"/>
  <c r="K147" i="7"/>
  <c r="K145" i="7"/>
  <c r="K139" i="7"/>
  <c r="K140" i="7"/>
  <c r="K141" i="7"/>
  <c r="K142" i="7"/>
  <c r="K143" i="7"/>
  <c r="K138" i="7"/>
  <c r="K135" i="7"/>
  <c r="K136" i="7"/>
  <c r="K134" i="7"/>
  <c r="K125" i="7"/>
  <c r="K126" i="7"/>
  <c r="K127" i="7"/>
  <c r="K128" i="7"/>
  <c r="K129" i="7"/>
  <c r="K130" i="7"/>
  <c r="K131" i="7"/>
  <c r="K124" i="7"/>
  <c r="K117" i="7"/>
  <c r="K118" i="7"/>
  <c r="K119" i="7"/>
  <c r="K120" i="7"/>
  <c r="K121" i="7"/>
  <c r="K122" i="7"/>
  <c r="K116" i="7"/>
  <c r="K109" i="7"/>
  <c r="K108" i="7"/>
  <c r="K103" i="7"/>
  <c r="K102" i="7"/>
  <c r="K84" i="7"/>
  <c r="K85" i="7"/>
  <c r="K86" i="7"/>
  <c r="K87" i="7"/>
  <c r="K88" i="7"/>
  <c r="K77" i="7"/>
  <c r="K63" i="7"/>
  <c r="K64" i="7"/>
  <c r="K65" i="7"/>
  <c r="K66" i="7"/>
  <c r="K67" i="7"/>
  <c r="K68" i="7"/>
  <c r="K69" i="7"/>
  <c r="K70" i="7"/>
  <c r="K71" i="7"/>
  <c r="K72" i="7"/>
  <c r="K73" i="7"/>
  <c r="K74" i="7"/>
  <c r="K62" i="7"/>
  <c r="K55" i="7"/>
  <c r="K41" i="7"/>
  <c r="K42" i="7"/>
  <c r="K43" i="7"/>
  <c r="K44" i="7"/>
  <c r="K45" i="7"/>
  <c r="K46" i="7"/>
  <c r="K47" i="7"/>
  <c r="K48" i="7"/>
  <c r="K49" i="7"/>
  <c r="K50" i="7"/>
  <c r="K51" i="7"/>
  <c r="K52" i="7"/>
  <c r="K40" i="7"/>
  <c r="K33" i="7"/>
  <c r="K19" i="7"/>
  <c r="K20" i="7"/>
  <c r="K21" i="7"/>
  <c r="K22" i="7"/>
  <c r="K23" i="7"/>
  <c r="K24" i="7"/>
  <c r="K25" i="7"/>
  <c r="K26" i="7"/>
  <c r="K27" i="7"/>
  <c r="K28" i="7"/>
  <c r="K29" i="7"/>
  <c r="K30" i="7"/>
  <c r="K18" i="7"/>
  <c r="R125" i="7" l="1"/>
  <c r="AF125" i="7"/>
  <c r="F125" i="50" s="1"/>
  <c r="AH125" i="7"/>
  <c r="T121" i="7"/>
  <c r="V121" i="7"/>
  <c r="X121" i="7"/>
  <c r="T125" i="7"/>
  <c r="Z121" i="7"/>
  <c r="V125" i="7"/>
  <c r="AB121" i="7"/>
  <c r="X125" i="7"/>
  <c r="AD121" i="7"/>
  <c r="Z125" i="7"/>
  <c r="P121" i="7"/>
  <c r="AF121" i="7"/>
  <c r="F121" i="50" s="1"/>
  <c r="AB125" i="7"/>
  <c r="R121" i="7"/>
  <c r="AH121" i="7"/>
  <c r="AD125" i="7"/>
  <c r="P125" i="7"/>
  <c r="L125" i="50" l="1"/>
  <c r="L121" i="50"/>
  <c r="O171" i="5"/>
  <c r="O172" i="5"/>
  <c r="O173" i="5"/>
  <c r="O174" i="5"/>
  <c r="O175" i="5"/>
  <c r="O176" i="5"/>
  <c r="O170" i="5"/>
  <c r="O140" i="5"/>
  <c r="O141" i="5"/>
  <c r="O142" i="5"/>
  <c r="O143" i="5"/>
  <c r="O145" i="5"/>
  <c r="O147" i="5"/>
  <c r="O148" i="5"/>
  <c r="O149" i="5"/>
  <c r="O151" i="5"/>
  <c r="O152" i="5"/>
  <c r="O153" i="5"/>
  <c r="O154" i="5"/>
  <c r="O155" i="5"/>
  <c r="O156" i="5"/>
  <c r="O157" i="5"/>
  <c r="O159" i="5"/>
  <c r="O160" i="5"/>
  <c r="O139" i="5"/>
  <c r="O117" i="5"/>
  <c r="O118" i="5"/>
  <c r="O119" i="5"/>
  <c r="O120" i="5"/>
  <c r="O121" i="5"/>
  <c r="O122" i="5"/>
  <c r="O124" i="5"/>
  <c r="O125" i="5"/>
  <c r="O126" i="5"/>
  <c r="O127" i="5"/>
  <c r="O128" i="5"/>
  <c r="O129" i="5"/>
  <c r="O130" i="5"/>
  <c r="O131" i="5"/>
  <c r="O133" i="5"/>
  <c r="O134" i="5"/>
  <c r="O135" i="5"/>
  <c r="O136" i="5"/>
  <c r="O116" i="5"/>
  <c r="O109" i="5"/>
  <c r="O108" i="5"/>
  <c r="O103" i="5"/>
  <c r="O102" i="5"/>
  <c r="O84" i="5"/>
  <c r="O85" i="5"/>
  <c r="O86" i="5"/>
  <c r="O87" i="5"/>
  <c r="O88" i="5"/>
  <c r="O63" i="5"/>
  <c r="O64" i="5"/>
  <c r="O65" i="5"/>
  <c r="O66" i="5"/>
  <c r="O67" i="5"/>
  <c r="O68" i="5"/>
  <c r="O69" i="5"/>
  <c r="O70" i="5"/>
  <c r="O71" i="5"/>
  <c r="O72" i="5"/>
  <c r="O73" i="5"/>
  <c r="O74" i="5"/>
  <c r="O77" i="5"/>
  <c r="O62" i="5"/>
  <c r="O41" i="5"/>
  <c r="O42" i="5"/>
  <c r="O43" i="5"/>
  <c r="O44" i="5"/>
  <c r="O45" i="5"/>
  <c r="O46" i="5"/>
  <c r="O47" i="5"/>
  <c r="O48" i="5"/>
  <c r="O49" i="5"/>
  <c r="O50" i="5"/>
  <c r="O51" i="5"/>
  <c r="O52" i="5"/>
  <c r="O55" i="5"/>
  <c r="O40" i="5"/>
  <c r="O19" i="5"/>
  <c r="O20" i="5"/>
  <c r="O21" i="5"/>
  <c r="O22" i="5"/>
  <c r="O23" i="5"/>
  <c r="O24" i="5"/>
  <c r="O25" i="5"/>
  <c r="O26" i="5"/>
  <c r="O27" i="5"/>
  <c r="O28" i="5"/>
  <c r="O29" i="5"/>
  <c r="O30" i="5"/>
  <c r="O33" i="5"/>
  <c r="O18" i="5"/>
  <c r="K145" i="5"/>
  <c r="K147" i="5"/>
  <c r="K148" i="5"/>
  <c r="K149" i="5"/>
  <c r="K151" i="5"/>
  <c r="K152" i="5"/>
  <c r="K153" i="5"/>
  <c r="K154" i="5"/>
  <c r="K155" i="5"/>
  <c r="K156" i="5"/>
  <c r="K157" i="5"/>
  <c r="K159" i="5"/>
  <c r="K160" i="5"/>
  <c r="K139" i="5"/>
  <c r="K140" i="5"/>
  <c r="K141" i="5"/>
  <c r="K142" i="5"/>
  <c r="K143" i="5"/>
  <c r="K133" i="5"/>
  <c r="K134" i="5"/>
  <c r="K135" i="5"/>
  <c r="K136" i="5"/>
  <c r="K117" i="5"/>
  <c r="K118" i="5"/>
  <c r="K119" i="5"/>
  <c r="K120" i="5"/>
  <c r="K121" i="5"/>
  <c r="K122" i="5"/>
  <c r="K124" i="5"/>
  <c r="K125" i="5"/>
  <c r="K126" i="5"/>
  <c r="K127" i="5"/>
  <c r="K128" i="5"/>
  <c r="K129" i="5"/>
  <c r="K130" i="5"/>
  <c r="K131" i="5"/>
  <c r="K116" i="5"/>
  <c r="K109" i="5"/>
  <c r="K108" i="5"/>
  <c r="K103" i="5"/>
  <c r="K102" i="5"/>
  <c r="K84" i="5"/>
  <c r="K85" i="5"/>
  <c r="K86" i="5"/>
  <c r="K87" i="5"/>
  <c r="K88" i="5"/>
  <c r="K77" i="5"/>
  <c r="K63" i="5"/>
  <c r="K64" i="5"/>
  <c r="K65" i="5"/>
  <c r="K66" i="5"/>
  <c r="K67" i="5"/>
  <c r="K68" i="5"/>
  <c r="K69" i="5"/>
  <c r="K70" i="5"/>
  <c r="K71" i="5"/>
  <c r="K72" i="5"/>
  <c r="K73" i="5"/>
  <c r="K74" i="5"/>
  <c r="K62" i="5"/>
  <c r="K55" i="5"/>
  <c r="K41" i="5"/>
  <c r="K42" i="5"/>
  <c r="K43" i="5"/>
  <c r="K44" i="5"/>
  <c r="K45" i="5"/>
  <c r="K46" i="5"/>
  <c r="K47" i="5"/>
  <c r="K48" i="5"/>
  <c r="K49" i="5"/>
  <c r="K50" i="5"/>
  <c r="K51" i="5"/>
  <c r="K52" i="5"/>
  <c r="K40" i="5"/>
  <c r="K33" i="5"/>
  <c r="K19" i="5"/>
  <c r="K20" i="5"/>
  <c r="K21" i="5"/>
  <c r="K22" i="5"/>
  <c r="K23" i="5"/>
  <c r="K24" i="5"/>
  <c r="K25" i="5"/>
  <c r="K26" i="5"/>
  <c r="K27" i="5"/>
  <c r="K28" i="5"/>
  <c r="K29" i="5"/>
  <c r="K30" i="5"/>
  <c r="K18" i="5"/>
  <c r="T121" i="50" l="1"/>
  <c r="R121" i="50"/>
  <c r="P121" i="50"/>
  <c r="V121" i="50"/>
  <c r="V125" i="50"/>
  <c r="T125" i="50"/>
  <c r="P125" i="50"/>
  <c r="R125" i="50"/>
  <c r="H178" i="5"/>
  <c r="H110" i="7" l="1"/>
  <c r="AL37" i="7"/>
  <c r="AL36" i="7"/>
  <c r="AL34" i="7"/>
  <c r="AL32" i="7"/>
  <c r="AL17" i="7"/>
  <c r="AL59" i="7"/>
  <c r="AL58" i="7"/>
  <c r="AL56" i="7"/>
  <c r="AL54" i="7"/>
  <c r="AL39" i="7"/>
  <c r="H110" i="5"/>
  <c r="AF37" i="5"/>
  <c r="AF36" i="5"/>
  <c r="AF34" i="5"/>
  <c r="AF32" i="5"/>
  <c r="AY31" i="5"/>
  <c r="H31" i="5"/>
  <c r="H35" i="5" s="1"/>
  <c r="AF17" i="5"/>
  <c r="AF59" i="5"/>
  <c r="AF58" i="5"/>
  <c r="AF56" i="5"/>
  <c r="AF54" i="5"/>
  <c r="H53" i="5"/>
  <c r="H57" i="5" s="1"/>
  <c r="AF39" i="5"/>
  <c r="H89" i="7"/>
  <c r="H75" i="7"/>
  <c r="H79" i="7" s="1"/>
  <c r="H104" i="5"/>
  <c r="H95" i="5"/>
  <c r="H89" i="5"/>
  <c r="H75" i="5"/>
  <c r="H79" i="5" s="1"/>
  <c r="H92" i="7" l="1"/>
  <c r="H92" i="5"/>
  <c r="H97" i="5" s="1"/>
  <c r="K171" i="5" l="1"/>
  <c r="K172" i="5"/>
  <c r="K173" i="5"/>
  <c r="K174" i="5"/>
  <c r="K175" i="5"/>
  <c r="K176" i="5"/>
  <c r="K170" i="5"/>
  <c r="AH158" i="7" l="1"/>
  <c r="AF158" i="7"/>
  <c r="AD158" i="7"/>
  <c r="AJ177" i="7" l="1"/>
  <c r="AJ123" i="7"/>
  <c r="AJ125" i="7"/>
  <c r="AJ132" i="7"/>
  <c r="AJ133" i="7"/>
  <c r="AJ137" i="7"/>
  <c r="AJ146" i="7"/>
  <c r="AJ150" i="7"/>
  <c r="AJ161" i="7"/>
  <c r="AJ121" i="7"/>
  <c r="AR123" i="7" l="1"/>
  <c r="AT123" i="7"/>
  <c r="AV123" i="7"/>
  <c r="AX123" i="7"/>
  <c r="AZ123" i="7"/>
  <c r="BB123" i="7"/>
  <c r="BD123" i="7"/>
  <c r="BF123" i="7"/>
  <c r="BH123" i="7"/>
  <c r="BJ123" i="7"/>
  <c r="AR132" i="7"/>
  <c r="AT132" i="7"/>
  <c r="AV132" i="7"/>
  <c r="AX132" i="7"/>
  <c r="AZ132" i="7"/>
  <c r="BB132" i="7"/>
  <c r="BD132" i="7"/>
  <c r="BF132" i="7"/>
  <c r="BH132" i="7"/>
  <c r="BJ132" i="7"/>
  <c r="AR137" i="7"/>
  <c r="AT137" i="7"/>
  <c r="AV137" i="7"/>
  <c r="AX137" i="7"/>
  <c r="AZ137" i="7"/>
  <c r="BB137" i="7"/>
  <c r="BD137" i="7"/>
  <c r="BF137" i="7"/>
  <c r="BH137" i="7"/>
  <c r="BJ137" i="7"/>
  <c r="AR144" i="7"/>
  <c r="AT144" i="7"/>
  <c r="AV144" i="7"/>
  <c r="AX144" i="7"/>
  <c r="AZ144" i="7"/>
  <c r="BB144" i="7"/>
  <c r="BD144" i="7"/>
  <c r="BF144" i="7"/>
  <c r="BH144" i="7"/>
  <c r="BJ144" i="7"/>
  <c r="AR146" i="7"/>
  <c r="AT146" i="7"/>
  <c r="AV146" i="7"/>
  <c r="AX146" i="7"/>
  <c r="AZ146" i="7"/>
  <c r="BB146" i="7"/>
  <c r="BD146" i="7"/>
  <c r="BF146" i="7"/>
  <c r="BH146" i="7"/>
  <c r="BJ146" i="7"/>
  <c r="AR150" i="7"/>
  <c r="AT150" i="7"/>
  <c r="AV150" i="7"/>
  <c r="AX150" i="7"/>
  <c r="AZ150" i="7"/>
  <c r="BB150" i="7"/>
  <c r="BD150" i="7"/>
  <c r="BF150" i="7"/>
  <c r="BH150" i="7"/>
  <c r="BJ150" i="7"/>
  <c r="AR158" i="7"/>
  <c r="AT158" i="7"/>
  <c r="AV158" i="7"/>
  <c r="AX158" i="7"/>
  <c r="AZ158" i="7"/>
  <c r="BB158" i="7"/>
  <c r="BD158" i="7"/>
  <c r="BL132" i="7" l="1"/>
  <c r="BL144" i="7"/>
  <c r="BL146" i="7"/>
  <c r="BL150" i="7"/>
  <c r="BL137" i="7"/>
  <c r="BL123" i="7"/>
  <c r="AL132" i="7" l="1"/>
  <c r="AL146" i="7"/>
  <c r="AL150" i="7"/>
  <c r="AL76" i="7"/>
  <c r="AL78" i="7"/>
  <c r="AL80" i="7"/>
  <c r="AL90" i="7"/>
  <c r="AL91" i="7"/>
  <c r="AL93" i="7"/>
  <c r="AL94" i="7"/>
  <c r="AL96" i="7"/>
  <c r="AL98" i="7"/>
  <c r="AL99" i="7"/>
  <c r="AL106" i="7"/>
  <c r="AL107" i="7"/>
  <c r="AL111" i="7"/>
  <c r="AL100" i="7"/>
  <c r="AL101" i="7"/>
  <c r="AL105" i="7"/>
  <c r="AL112" i="7"/>
  <c r="AL113" i="7"/>
  <c r="AL114" i="7"/>
  <c r="AL115" i="7"/>
  <c r="AL123" i="7"/>
  <c r="AL137" i="7"/>
  <c r="AL144" i="7"/>
  <c r="AL161" i="7"/>
  <c r="AL163" i="7"/>
  <c r="AL165" i="7"/>
  <c r="AL166" i="7"/>
  <c r="AL167" i="7"/>
  <c r="AL168" i="7"/>
  <c r="AL177" i="7"/>
  <c r="AL179" i="7"/>
  <c r="AL61" i="7"/>
  <c r="AF76" i="5"/>
  <c r="AF78" i="5"/>
  <c r="AF80" i="5"/>
  <c r="AF90" i="5"/>
  <c r="AF91" i="5"/>
  <c r="AF93" i="5"/>
  <c r="AF94" i="5"/>
  <c r="AF96" i="5"/>
  <c r="AF106" i="5"/>
  <c r="AF107" i="5"/>
  <c r="AF111" i="5"/>
  <c r="AF100" i="5"/>
  <c r="AF101" i="5"/>
  <c r="AF105" i="5"/>
  <c r="AF112" i="5"/>
  <c r="AF113" i="5"/>
  <c r="AF114" i="5"/>
  <c r="AF115" i="5"/>
  <c r="AF123" i="5"/>
  <c r="AF132" i="5"/>
  <c r="AF137" i="5"/>
  <c r="AF138" i="5"/>
  <c r="AF144" i="5"/>
  <c r="AF146" i="5"/>
  <c r="AF150" i="5"/>
  <c r="AF158" i="5"/>
  <c r="AF161" i="5"/>
  <c r="AF163" i="5"/>
  <c r="AF165" i="5"/>
  <c r="AF166" i="5"/>
  <c r="AF167" i="5"/>
  <c r="AF168" i="5"/>
  <c r="AF177" i="5"/>
  <c r="AF179" i="5"/>
  <c r="AF61" i="5"/>
  <c r="BH158" i="7" l="1"/>
  <c r="BJ158" i="7"/>
  <c r="BF158" i="7" l="1"/>
  <c r="BL158" i="7" s="1"/>
  <c r="AJ158" i="7"/>
  <c r="AL158" i="7" s="1"/>
  <c r="H162" i="5" l="1"/>
  <c r="H164" i="5" s="1"/>
  <c r="H180" i="5" l="1"/>
  <c r="AD98" i="5" l="1"/>
  <c r="AF98" i="5" s="1"/>
  <c r="AD99" i="5"/>
  <c r="AF99" i="5" s="1"/>
  <c r="AF169" i="5" l="1"/>
  <c r="AL169" i="7" l="1"/>
  <c r="AO31" i="5" l="1"/>
  <c r="AW31" i="5"/>
  <c r="AU31" i="5"/>
  <c r="AQ31" i="5"/>
  <c r="AS31" i="5"/>
  <c r="AM31" i="5"/>
  <c r="F48" i="5" l="1"/>
  <c r="L48" i="5" s="1"/>
  <c r="F48" i="7"/>
  <c r="L48" i="7" s="1"/>
  <c r="AD48" i="7" l="1"/>
  <c r="AB48" i="7"/>
  <c r="Z48" i="7"/>
  <c r="AF48" i="7"/>
  <c r="F48" i="50" s="1"/>
  <c r="L48" i="50" s="1"/>
  <c r="V48" i="7"/>
  <c r="T48" i="7"/>
  <c r="AH48" i="7"/>
  <c r="X48" i="7"/>
  <c r="R48" i="7"/>
  <c r="P48" i="7"/>
  <c r="AB48" i="5"/>
  <c r="Z48" i="5"/>
  <c r="X48" i="5"/>
  <c r="T48" i="5"/>
  <c r="R48" i="5"/>
  <c r="V48" i="5"/>
  <c r="P48" i="5"/>
  <c r="R48" i="50" l="1"/>
  <c r="P48" i="50"/>
  <c r="V48" i="50"/>
  <c r="T48" i="50"/>
  <c r="AD48" i="5"/>
  <c r="AF48" i="5" s="1"/>
  <c r="AJ48" i="7"/>
  <c r="AL48" i="7" s="1"/>
  <c r="F40" i="5" l="1"/>
  <c r="F40" i="7"/>
  <c r="L40" i="7" s="1"/>
  <c r="L40" i="5" l="1"/>
  <c r="AB40" i="5" l="1"/>
  <c r="X40" i="5"/>
  <c r="Z40" i="5"/>
  <c r="T40" i="5"/>
  <c r="R40" i="5"/>
  <c r="P40" i="5"/>
  <c r="V40" i="5"/>
  <c r="AD40" i="5" l="1"/>
  <c r="AF40" i="5" s="1"/>
  <c r="F52" i="7" l="1"/>
  <c r="F52" i="5"/>
  <c r="L52" i="7" l="1"/>
  <c r="L52" i="5"/>
  <c r="T52" i="5" l="1"/>
  <c r="R52" i="5"/>
  <c r="P52" i="5"/>
  <c r="AB52" i="5"/>
  <c r="Z52" i="5"/>
  <c r="X52" i="5"/>
  <c r="V52" i="5"/>
  <c r="AD52" i="5" l="1"/>
  <c r="AF52" i="5" s="1"/>
  <c r="H104" i="7" l="1"/>
  <c r="F140" i="5" l="1"/>
  <c r="L140" i="5" s="1"/>
  <c r="F140" i="7"/>
  <c r="L140" i="7" s="1"/>
  <c r="AH140" i="7" l="1"/>
  <c r="R140" i="7"/>
  <c r="AF140" i="7"/>
  <c r="F140" i="50" s="1"/>
  <c r="P140" i="7"/>
  <c r="AD140" i="7"/>
  <c r="T140" i="7"/>
  <c r="X140" i="7"/>
  <c r="V140" i="7"/>
  <c r="AB140" i="7"/>
  <c r="Z140" i="7"/>
  <c r="AB140" i="5"/>
  <c r="Z140" i="5"/>
  <c r="X140" i="5"/>
  <c r="V140" i="5"/>
  <c r="T140" i="5"/>
  <c r="R140" i="5"/>
  <c r="P140" i="5"/>
  <c r="AO140" i="7"/>
  <c r="AP140" i="7" s="1"/>
  <c r="AI140" i="5"/>
  <c r="AJ140" i="5" s="1"/>
  <c r="L140" i="50" l="1"/>
  <c r="AD140" i="5"/>
  <c r="AF140" i="5" s="1"/>
  <c r="AL140" i="5"/>
  <c r="AR140" i="5"/>
  <c r="AT140" i="5"/>
  <c r="AN140" i="5"/>
  <c r="AV140" i="5"/>
  <c r="AP140" i="5"/>
  <c r="AX140" i="5"/>
  <c r="P140" i="50" l="1"/>
  <c r="V140" i="50"/>
  <c r="T140" i="50"/>
  <c r="R140" i="50"/>
  <c r="AZ140" i="5"/>
  <c r="F87" i="7" l="1"/>
  <c r="F87" i="5"/>
  <c r="F46" i="5" l="1"/>
  <c r="L46" i="5" s="1"/>
  <c r="F46" i="7"/>
  <c r="L46" i="7" s="1"/>
  <c r="F51" i="5"/>
  <c r="L51" i="5" s="1"/>
  <c r="F51" i="7"/>
  <c r="L51" i="7" s="1"/>
  <c r="F50" i="5" l="1"/>
  <c r="L50" i="5" s="1"/>
  <c r="F50" i="7"/>
  <c r="L50" i="7" s="1"/>
  <c r="F47" i="5"/>
  <c r="L47" i="5" s="1"/>
  <c r="F47" i="7"/>
  <c r="L47" i="7" s="1"/>
  <c r="F49" i="5"/>
  <c r="L49" i="5" s="1"/>
  <c r="F49" i="7"/>
  <c r="L49" i="7" s="1"/>
  <c r="AH51" i="7"/>
  <c r="R51" i="7"/>
  <c r="AF51" i="7"/>
  <c r="F51" i="50" s="1"/>
  <c r="L51" i="50" s="1"/>
  <c r="P51" i="7"/>
  <c r="AD51" i="7"/>
  <c r="V51" i="7"/>
  <c r="Z51" i="7"/>
  <c r="X51" i="7"/>
  <c r="T51" i="7"/>
  <c r="AB51" i="7"/>
  <c r="V46" i="7"/>
  <c r="T46" i="7"/>
  <c r="AH46" i="7"/>
  <c r="R46" i="7"/>
  <c r="P46" i="7"/>
  <c r="AF46" i="7"/>
  <c r="F46" i="50" s="1"/>
  <c r="L46" i="50" s="1"/>
  <c r="AD46" i="7"/>
  <c r="AB46" i="7"/>
  <c r="Z46" i="7"/>
  <c r="X46" i="7"/>
  <c r="R51" i="5"/>
  <c r="P51" i="5"/>
  <c r="Z51" i="5"/>
  <c r="X51" i="5"/>
  <c r="AB51" i="5"/>
  <c r="V51" i="5"/>
  <c r="T51" i="5"/>
  <c r="X46" i="5"/>
  <c r="V46" i="5"/>
  <c r="T46" i="5"/>
  <c r="P46" i="5"/>
  <c r="Z46" i="5"/>
  <c r="AB46" i="5"/>
  <c r="R46" i="5"/>
  <c r="V46" i="50" l="1"/>
  <c r="P46" i="50"/>
  <c r="T46" i="50"/>
  <c r="R46" i="50"/>
  <c r="T51" i="50"/>
  <c r="P51" i="50"/>
  <c r="V51" i="50"/>
  <c r="R51" i="50"/>
  <c r="V50" i="7"/>
  <c r="T50" i="7"/>
  <c r="AH50" i="7"/>
  <c r="R50" i="7"/>
  <c r="AF50" i="7"/>
  <c r="F50" i="50" s="1"/>
  <c r="L50" i="50" s="1"/>
  <c r="AD50" i="7"/>
  <c r="AB50" i="7"/>
  <c r="Z50" i="7"/>
  <c r="X50" i="7"/>
  <c r="P50" i="7"/>
  <c r="Z49" i="7"/>
  <c r="X49" i="7"/>
  <c r="V49" i="7"/>
  <c r="AH49" i="7"/>
  <c r="AD49" i="7"/>
  <c r="AB49" i="7"/>
  <c r="T49" i="7"/>
  <c r="R49" i="7"/>
  <c r="P49" i="7"/>
  <c r="AF49" i="7"/>
  <c r="F49" i="50" s="1"/>
  <c r="L49" i="50" s="1"/>
  <c r="AH47" i="7"/>
  <c r="R47" i="7"/>
  <c r="AF47" i="7"/>
  <c r="F47" i="50" s="1"/>
  <c r="L47" i="50" s="1"/>
  <c r="P47" i="7"/>
  <c r="AD47" i="7"/>
  <c r="X47" i="7"/>
  <c r="T47" i="7"/>
  <c r="Z47" i="7"/>
  <c r="V47" i="7"/>
  <c r="AB47" i="7"/>
  <c r="Z47" i="5"/>
  <c r="V47" i="5"/>
  <c r="X47" i="5"/>
  <c r="R47" i="5"/>
  <c r="P47" i="5"/>
  <c r="AB47" i="5"/>
  <c r="T47" i="5"/>
  <c r="AB49" i="5"/>
  <c r="Z49" i="5"/>
  <c r="V49" i="5"/>
  <c r="T49" i="5"/>
  <c r="P49" i="5"/>
  <c r="R49" i="5"/>
  <c r="X49" i="5"/>
  <c r="P50" i="5"/>
  <c r="AB50" i="5"/>
  <c r="X50" i="5"/>
  <c r="V50" i="5"/>
  <c r="Z50" i="5"/>
  <c r="T50" i="5"/>
  <c r="R50" i="5"/>
  <c r="AD51" i="5"/>
  <c r="AF51" i="5" s="1"/>
  <c r="AJ46" i="7"/>
  <c r="AL46" i="7" s="1"/>
  <c r="AD46" i="5"/>
  <c r="AF46" i="5" s="1"/>
  <c r="T47" i="50" l="1"/>
  <c r="P47" i="50"/>
  <c r="R47" i="50"/>
  <c r="V47" i="50"/>
  <c r="V50" i="50"/>
  <c r="P50" i="50"/>
  <c r="T50" i="50"/>
  <c r="R50" i="50"/>
  <c r="V49" i="50"/>
  <c r="T49" i="50"/>
  <c r="R49" i="50"/>
  <c r="P49" i="50"/>
  <c r="F29" i="7"/>
  <c r="L29" i="7" s="1"/>
  <c r="F73" i="7"/>
  <c r="L73" i="7" s="1"/>
  <c r="AJ47" i="7"/>
  <c r="AL47" i="7" s="1"/>
  <c r="AD49" i="5"/>
  <c r="AF49" i="5" s="1"/>
  <c r="F29" i="5"/>
  <c r="L29" i="5" s="1"/>
  <c r="F73" i="5"/>
  <c r="L73" i="5" s="1"/>
  <c r="AD47" i="5"/>
  <c r="AF47" i="5" s="1"/>
  <c r="AD50" i="5"/>
  <c r="AF50" i="5" s="1"/>
  <c r="X29" i="7" l="1"/>
  <c r="T29" i="7"/>
  <c r="AH29" i="7"/>
  <c r="R29" i="7"/>
  <c r="AB29" i="7"/>
  <c r="Z29" i="7"/>
  <c r="V29" i="7"/>
  <c r="AD29" i="7"/>
  <c r="P29" i="7"/>
  <c r="AF29" i="7"/>
  <c r="F29" i="50" s="1"/>
  <c r="L29" i="50" s="1"/>
  <c r="V29" i="5"/>
  <c r="T29" i="5"/>
  <c r="R29" i="5"/>
  <c r="AB29" i="5"/>
  <c r="Z29" i="5"/>
  <c r="X29" i="5"/>
  <c r="P29" i="5"/>
  <c r="F71" i="5"/>
  <c r="L71" i="5" s="1"/>
  <c r="F27" i="5"/>
  <c r="L27" i="5" s="1"/>
  <c r="F26" i="7"/>
  <c r="L26" i="7" s="1"/>
  <c r="F70" i="7"/>
  <c r="L70" i="7" s="1"/>
  <c r="F69" i="7"/>
  <c r="L69" i="7" s="1"/>
  <c r="F25" i="7"/>
  <c r="L25" i="7" s="1"/>
  <c r="F68" i="7"/>
  <c r="L68" i="7" s="1"/>
  <c r="F24" i="7"/>
  <c r="L24" i="7" s="1"/>
  <c r="F69" i="5"/>
  <c r="L69" i="5" s="1"/>
  <c r="F25" i="5"/>
  <c r="L25" i="5" s="1"/>
  <c r="F27" i="7"/>
  <c r="L27" i="7" s="1"/>
  <c r="F71" i="7"/>
  <c r="L71" i="7" s="1"/>
  <c r="F68" i="5"/>
  <c r="L68" i="5" s="1"/>
  <c r="F24" i="5"/>
  <c r="L24" i="5" s="1"/>
  <c r="F26" i="5"/>
  <c r="L26" i="5" s="1"/>
  <c r="F70" i="5"/>
  <c r="L70" i="5" s="1"/>
  <c r="V29" i="50" l="1"/>
  <c r="V73" i="50" s="1"/>
  <c r="T29" i="50"/>
  <c r="T73" i="50" s="1"/>
  <c r="R29" i="50"/>
  <c r="R73" i="50" s="1"/>
  <c r="P29" i="50"/>
  <c r="P73" i="50" s="1"/>
  <c r="T26" i="7"/>
  <c r="AF26" i="7"/>
  <c r="F26" i="50" s="1"/>
  <c r="L26" i="50" s="1"/>
  <c r="P26" i="7"/>
  <c r="AD26" i="7"/>
  <c r="AH26" i="7"/>
  <c r="AB26" i="7"/>
  <c r="Z26" i="7"/>
  <c r="X26" i="7"/>
  <c r="V26" i="7"/>
  <c r="R26" i="7"/>
  <c r="AB24" i="7"/>
  <c r="X24" i="7"/>
  <c r="V24" i="7"/>
  <c r="AD24" i="7"/>
  <c r="Z24" i="7"/>
  <c r="T24" i="7"/>
  <c r="R24" i="7"/>
  <c r="P24" i="7"/>
  <c r="AH24" i="7"/>
  <c r="AF24" i="7"/>
  <c r="F24" i="50" s="1"/>
  <c r="L24" i="50" s="1"/>
  <c r="AF27" i="7"/>
  <c r="F27" i="50" s="1"/>
  <c r="L27" i="50" s="1"/>
  <c r="P27" i="7"/>
  <c r="AB27" i="7"/>
  <c r="Z27" i="7"/>
  <c r="R27" i="7"/>
  <c r="AH27" i="7"/>
  <c r="AD27" i="7"/>
  <c r="T27" i="7"/>
  <c r="X27" i="7"/>
  <c r="V27" i="7"/>
  <c r="X25" i="7"/>
  <c r="T25" i="7"/>
  <c r="AH25" i="7"/>
  <c r="R25" i="7"/>
  <c r="AD25" i="7"/>
  <c r="Z25" i="7"/>
  <c r="AF25" i="7"/>
  <c r="F25" i="50" s="1"/>
  <c r="L25" i="50" s="1"/>
  <c r="AB25" i="7"/>
  <c r="V25" i="7"/>
  <c r="P25" i="7"/>
  <c r="AB25" i="5"/>
  <c r="V25" i="5"/>
  <c r="T25" i="5"/>
  <c r="Z25" i="5"/>
  <c r="X25" i="5"/>
  <c r="P25" i="5"/>
  <c r="R25" i="5"/>
  <c r="R27" i="5"/>
  <c r="P27" i="5"/>
  <c r="Z27" i="5"/>
  <c r="X27" i="5"/>
  <c r="AB27" i="5"/>
  <c r="V27" i="5"/>
  <c r="T27" i="5"/>
  <c r="P26" i="5"/>
  <c r="AB26" i="5"/>
  <c r="X26" i="5"/>
  <c r="V26" i="5"/>
  <c r="Z26" i="5"/>
  <c r="T26" i="5"/>
  <c r="R26" i="5"/>
  <c r="AB24" i="5"/>
  <c r="Z24" i="5"/>
  <c r="T24" i="5"/>
  <c r="R24" i="5"/>
  <c r="X24" i="5"/>
  <c r="P24" i="5"/>
  <c r="V24" i="5"/>
  <c r="X73" i="5"/>
  <c r="R73" i="5"/>
  <c r="V73" i="5"/>
  <c r="AB73" i="5"/>
  <c r="F28" i="7"/>
  <c r="L28" i="7" s="1"/>
  <c r="F72" i="7"/>
  <c r="L72" i="7" s="1"/>
  <c r="AD29" i="5"/>
  <c r="AF29" i="5" s="1"/>
  <c r="P73" i="5"/>
  <c r="Z73" i="5"/>
  <c r="F28" i="5"/>
  <c r="L28" i="5" s="1"/>
  <c r="F72" i="5"/>
  <c r="L72" i="5" s="1"/>
  <c r="T73" i="5"/>
  <c r="V25" i="50" l="1"/>
  <c r="V69" i="50" s="1"/>
  <c r="T25" i="50"/>
  <c r="T69" i="50" s="1"/>
  <c r="R25" i="50"/>
  <c r="R69" i="50" s="1"/>
  <c r="P25" i="50"/>
  <c r="P69" i="50" s="1"/>
  <c r="T27" i="50"/>
  <c r="T71" i="50" s="1"/>
  <c r="R27" i="50"/>
  <c r="R71" i="50" s="1"/>
  <c r="P27" i="50"/>
  <c r="P71" i="50" s="1"/>
  <c r="V27" i="50"/>
  <c r="V71" i="50" s="1"/>
  <c r="R24" i="50"/>
  <c r="R68" i="50" s="1"/>
  <c r="P24" i="50"/>
  <c r="P68" i="50" s="1"/>
  <c r="V24" i="50"/>
  <c r="V68" i="50" s="1"/>
  <c r="T24" i="50"/>
  <c r="T68" i="50" s="1"/>
  <c r="V26" i="50"/>
  <c r="V70" i="50" s="1"/>
  <c r="P26" i="50"/>
  <c r="P70" i="50" s="1"/>
  <c r="T26" i="50"/>
  <c r="T70" i="50" s="1"/>
  <c r="R26" i="50"/>
  <c r="R70" i="50" s="1"/>
  <c r="AB28" i="7"/>
  <c r="X28" i="7"/>
  <c r="V28" i="7"/>
  <c r="Z28" i="7"/>
  <c r="T28" i="7"/>
  <c r="P28" i="7"/>
  <c r="R28" i="7"/>
  <c r="AH28" i="7"/>
  <c r="AF28" i="7"/>
  <c r="F28" i="50" s="1"/>
  <c r="L28" i="50" s="1"/>
  <c r="AD28" i="7"/>
  <c r="T28" i="5"/>
  <c r="P28" i="5"/>
  <c r="R28" i="5"/>
  <c r="AB28" i="5"/>
  <c r="Z28" i="5"/>
  <c r="X28" i="5"/>
  <c r="V28" i="5"/>
  <c r="AP29" i="5"/>
  <c r="AV29" i="5"/>
  <c r="Z70" i="7"/>
  <c r="AH70" i="7"/>
  <c r="AD25" i="5"/>
  <c r="AF25" i="5" s="1"/>
  <c r="P69" i="5"/>
  <c r="T69" i="7"/>
  <c r="Z69" i="7"/>
  <c r="V68" i="5"/>
  <c r="V71" i="5"/>
  <c r="V68" i="7"/>
  <c r="AD70" i="7"/>
  <c r="Z69" i="5"/>
  <c r="AB70" i="5"/>
  <c r="R69" i="7"/>
  <c r="AD69" i="7"/>
  <c r="P68" i="5"/>
  <c r="AD24" i="5"/>
  <c r="AF24" i="5" s="1"/>
  <c r="R71" i="5"/>
  <c r="AD68" i="7"/>
  <c r="AR29" i="5"/>
  <c r="AF70" i="7"/>
  <c r="F70" i="50" s="1"/>
  <c r="L70" i="50" s="1"/>
  <c r="V69" i="5"/>
  <c r="T70" i="5"/>
  <c r="AH69" i="7"/>
  <c r="X68" i="5"/>
  <c r="AB71" i="5"/>
  <c r="X68" i="7"/>
  <c r="AB70" i="7"/>
  <c r="T69" i="5"/>
  <c r="V70" i="5"/>
  <c r="AF69" i="7"/>
  <c r="F69" i="50" s="1"/>
  <c r="L69" i="50" s="1"/>
  <c r="R68" i="5"/>
  <c r="T71" i="5"/>
  <c r="R68" i="7"/>
  <c r="X70" i="7"/>
  <c r="R69" i="5"/>
  <c r="AD26" i="5"/>
  <c r="AF26" i="5" s="1"/>
  <c r="P70" i="5"/>
  <c r="V69" i="7"/>
  <c r="Z68" i="5"/>
  <c r="X71" i="5"/>
  <c r="T68" i="7"/>
  <c r="AN29" i="5"/>
  <c r="V70" i="7"/>
  <c r="AB69" i="5"/>
  <c r="AL29" i="5"/>
  <c r="Z70" i="5"/>
  <c r="AJ25" i="7"/>
  <c r="AL25" i="7" s="1"/>
  <c r="P69" i="7"/>
  <c r="AB68" i="5"/>
  <c r="AX29" i="5"/>
  <c r="AB68" i="7"/>
  <c r="P68" i="7"/>
  <c r="AJ24" i="7"/>
  <c r="AL24" i="7" s="1"/>
  <c r="AT29" i="5"/>
  <c r="P70" i="7"/>
  <c r="AJ26" i="7"/>
  <c r="AL26" i="7" s="1"/>
  <c r="X69" i="5"/>
  <c r="AD73" i="5"/>
  <c r="AF73" i="5" s="1"/>
  <c r="R70" i="5"/>
  <c r="AB69" i="7"/>
  <c r="T68" i="5"/>
  <c r="Z71" i="5"/>
  <c r="AH68" i="7"/>
  <c r="AF68" i="7"/>
  <c r="F68" i="50" s="1"/>
  <c r="L68" i="50" s="1"/>
  <c r="T70" i="7"/>
  <c r="R70" i="7"/>
  <c r="X70" i="5"/>
  <c r="X69" i="7"/>
  <c r="AD27" i="5"/>
  <c r="AF27" i="5" s="1"/>
  <c r="P71" i="5"/>
  <c r="Z68" i="7"/>
  <c r="R28" i="50" l="1"/>
  <c r="R72" i="50" s="1"/>
  <c r="P28" i="50"/>
  <c r="P72" i="50" s="1"/>
  <c r="V28" i="50"/>
  <c r="V72" i="50" s="1"/>
  <c r="T28" i="50"/>
  <c r="T72" i="50" s="1"/>
  <c r="BD25" i="7"/>
  <c r="AT26" i="7"/>
  <c r="AV26" i="7"/>
  <c r="AZ25" i="7"/>
  <c r="AR24" i="7"/>
  <c r="BH24" i="7"/>
  <c r="BD24" i="7"/>
  <c r="AR25" i="7"/>
  <c r="BB24" i="7"/>
  <c r="BJ24" i="7"/>
  <c r="AJ70" i="7"/>
  <c r="AL70" i="7" s="1"/>
  <c r="AT24" i="7"/>
  <c r="X72" i="5"/>
  <c r="BB25" i="7"/>
  <c r="AZ29" i="5"/>
  <c r="AX26" i="7"/>
  <c r="AX25" i="7"/>
  <c r="AZ24" i="7"/>
  <c r="BF24" i="7"/>
  <c r="R72" i="5"/>
  <c r="AV27" i="5"/>
  <c r="AT25" i="7"/>
  <c r="T72" i="5"/>
  <c r="BF26" i="7"/>
  <c r="BJ26" i="7"/>
  <c r="AV24" i="7"/>
  <c r="AB72" i="5"/>
  <c r="AX24" i="7"/>
  <c r="AV25" i="7"/>
  <c r="AL27" i="5"/>
  <c r="AJ69" i="7"/>
  <c r="AL69" i="7" s="1"/>
  <c r="AN27" i="5"/>
  <c r="V72" i="5"/>
  <c r="AD71" i="5"/>
  <c r="AF71" i="5" s="1"/>
  <c r="AR26" i="7"/>
  <c r="AZ26" i="7"/>
  <c r="AP27" i="5"/>
  <c r="Z72" i="5"/>
  <c r="AD69" i="5"/>
  <c r="AF69" i="5" s="1"/>
  <c r="AT27" i="5"/>
  <c r="AD70" i="5"/>
  <c r="AF70" i="5" s="1"/>
  <c r="BD26" i="7"/>
  <c r="AX27" i="5"/>
  <c r="BJ25" i="7"/>
  <c r="AD68" i="5"/>
  <c r="AF68" i="5" s="1"/>
  <c r="AD28" i="5"/>
  <c r="AF28" i="5" s="1"/>
  <c r="P72" i="5"/>
  <c r="AR27" i="5"/>
  <c r="BB26" i="7"/>
  <c r="AJ68" i="7"/>
  <c r="AL68" i="7" s="1"/>
  <c r="BH25" i="7"/>
  <c r="BH26" i="7"/>
  <c r="BF25" i="7"/>
  <c r="AV28" i="5" l="1"/>
  <c r="BL24" i="7"/>
  <c r="AL28" i="5"/>
  <c r="AD72" i="5"/>
  <c r="AF72" i="5" s="1"/>
  <c r="BL25" i="7"/>
  <c r="AT28" i="5"/>
  <c r="AX28" i="5"/>
  <c r="AN28" i="5"/>
  <c r="AZ27" i="5"/>
  <c r="AP28" i="5"/>
  <c r="BL26" i="7"/>
  <c r="AR28" i="5"/>
  <c r="AZ28" i="5" l="1"/>
  <c r="AT24" i="5" l="1"/>
  <c r="AP24" i="5"/>
  <c r="AV24" i="5"/>
  <c r="AN24" i="5"/>
  <c r="AL24" i="5"/>
  <c r="AX24" i="5"/>
  <c r="AR24" i="5"/>
  <c r="AZ24" i="5" l="1"/>
  <c r="AV26" i="5" l="1"/>
  <c r="AN26" i="5"/>
  <c r="AT26" i="5"/>
  <c r="AL26" i="5"/>
  <c r="AX26" i="5"/>
  <c r="AP26" i="5"/>
  <c r="AR26" i="5"/>
  <c r="AT25" i="5"/>
  <c r="AL25" i="5"/>
  <c r="AV25" i="5"/>
  <c r="AR25" i="5"/>
  <c r="AP25" i="5"/>
  <c r="AN25" i="5"/>
  <c r="AX25" i="5"/>
  <c r="AZ26" i="5" l="1"/>
  <c r="AZ25" i="5"/>
  <c r="H53" i="7" l="1"/>
  <c r="H57" i="7" s="1"/>
  <c r="H31" i="7"/>
  <c r="H35" i="7" s="1"/>
  <c r="H159" i="7" l="1"/>
  <c r="H160" i="7"/>
  <c r="H151" i="7"/>
  <c r="H145" i="7"/>
  <c r="H162" i="7" l="1"/>
  <c r="F172" i="5"/>
  <c r="L172" i="5" s="1"/>
  <c r="F172" i="7"/>
  <c r="L172" i="7" s="1"/>
  <c r="V172" i="7" l="1"/>
  <c r="T172" i="7"/>
  <c r="AH172" i="7"/>
  <c r="R172" i="7"/>
  <c r="AB172" i="7"/>
  <c r="Z172" i="7"/>
  <c r="X172" i="7"/>
  <c r="P172" i="7"/>
  <c r="AF172" i="7"/>
  <c r="F172" i="50" s="1"/>
  <c r="L172" i="50" s="1"/>
  <c r="AD172" i="7"/>
  <c r="R172" i="5"/>
  <c r="P172" i="5"/>
  <c r="AB172" i="5"/>
  <c r="Z172" i="5"/>
  <c r="X172" i="5"/>
  <c r="V172" i="5"/>
  <c r="T172" i="5"/>
  <c r="P172" i="50" l="1"/>
  <c r="R172" i="50"/>
  <c r="T172" i="50"/>
  <c r="V172" i="50"/>
  <c r="AJ172" i="7"/>
  <c r="AL172" i="7" s="1"/>
  <c r="AD172" i="5"/>
  <c r="AF172" i="5" s="1"/>
  <c r="F174" i="5" l="1"/>
  <c r="L174" i="5" s="1"/>
  <c r="F174" i="7"/>
  <c r="L174" i="7" s="1"/>
  <c r="F171" i="5"/>
  <c r="L171" i="5" s="1"/>
  <c r="F171" i="7"/>
  <c r="L171" i="7" s="1"/>
  <c r="F173" i="5"/>
  <c r="L173" i="5" s="1"/>
  <c r="F173" i="7"/>
  <c r="L173" i="7" s="1"/>
  <c r="F175" i="5"/>
  <c r="L175" i="5" s="1"/>
  <c r="F175" i="7"/>
  <c r="L175" i="7" s="1"/>
  <c r="Z171" i="7" l="1"/>
  <c r="X171" i="7"/>
  <c r="V171" i="7"/>
  <c r="T171" i="7"/>
  <c r="R171" i="7"/>
  <c r="P171" i="7"/>
  <c r="AH171" i="7"/>
  <c r="AF171" i="7"/>
  <c r="F171" i="50" s="1"/>
  <c r="L171" i="50" s="1"/>
  <c r="AD171" i="7"/>
  <c r="AB171" i="7"/>
  <c r="Z174" i="7"/>
  <c r="X174" i="7"/>
  <c r="V174" i="7"/>
  <c r="R174" i="7"/>
  <c r="P174" i="7"/>
  <c r="AH174" i="7"/>
  <c r="AF174" i="7"/>
  <c r="F174" i="50" s="1"/>
  <c r="L174" i="50" s="1"/>
  <c r="AB174" i="7"/>
  <c r="AD174" i="7"/>
  <c r="T174" i="7"/>
  <c r="AH173" i="7"/>
  <c r="R173" i="7"/>
  <c r="AF173" i="7"/>
  <c r="F173" i="50" s="1"/>
  <c r="L173" i="50" s="1"/>
  <c r="P173" i="7"/>
  <c r="AD173" i="7"/>
  <c r="AB173" i="7"/>
  <c r="Z173" i="7"/>
  <c r="X173" i="7"/>
  <c r="V173" i="7"/>
  <c r="T173" i="7"/>
  <c r="V175" i="7"/>
  <c r="T175" i="7"/>
  <c r="AH175" i="7"/>
  <c r="R175" i="7"/>
  <c r="Z175" i="7"/>
  <c r="X175" i="7"/>
  <c r="P175" i="7"/>
  <c r="AF175" i="7"/>
  <c r="F175" i="50" s="1"/>
  <c r="L175" i="50" s="1"/>
  <c r="AD175" i="7"/>
  <c r="AB175" i="7"/>
  <c r="X174" i="5"/>
  <c r="V174" i="5"/>
  <c r="T174" i="5"/>
  <c r="R174" i="5"/>
  <c r="P174" i="5"/>
  <c r="Z174" i="5"/>
  <c r="AB174" i="5"/>
  <c r="P171" i="5"/>
  <c r="AB171" i="5"/>
  <c r="Z171" i="5"/>
  <c r="X171" i="5"/>
  <c r="V171" i="5"/>
  <c r="T171" i="5"/>
  <c r="R171" i="5"/>
  <c r="Z175" i="5"/>
  <c r="X175" i="5"/>
  <c r="V175" i="5"/>
  <c r="T175" i="5"/>
  <c r="R175" i="5"/>
  <c r="P175" i="5"/>
  <c r="AB175" i="5"/>
  <c r="T173" i="5"/>
  <c r="R173" i="5"/>
  <c r="P173" i="5"/>
  <c r="AB173" i="5"/>
  <c r="Z173" i="5"/>
  <c r="X173" i="5"/>
  <c r="V173" i="5"/>
  <c r="P171" i="50" l="1"/>
  <c r="R171" i="50"/>
  <c r="T171" i="50"/>
  <c r="V171" i="50"/>
  <c r="P173" i="50"/>
  <c r="T173" i="50"/>
  <c r="V173" i="50"/>
  <c r="R173" i="50"/>
  <c r="P175" i="50"/>
  <c r="T175" i="50"/>
  <c r="V175" i="50"/>
  <c r="R175" i="50"/>
  <c r="R174" i="50"/>
  <c r="P174" i="50"/>
  <c r="T174" i="50"/>
  <c r="V174" i="50"/>
  <c r="F170" i="7"/>
  <c r="AD171" i="5"/>
  <c r="AF171" i="5" s="1"/>
  <c r="AD173" i="5"/>
  <c r="AF173" i="5" s="1"/>
  <c r="AJ171" i="7"/>
  <c r="AL171" i="7" s="1"/>
  <c r="AJ174" i="7"/>
  <c r="AL174" i="7" s="1"/>
  <c r="AD175" i="5"/>
  <c r="AF175" i="5" s="1"/>
  <c r="AD174" i="5"/>
  <c r="AF174" i="5" s="1"/>
  <c r="F170" i="5"/>
  <c r="AJ175" i="7"/>
  <c r="AL175" i="7" s="1"/>
  <c r="AJ173" i="7"/>
  <c r="AL173" i="7" s="1"/>
  <c r="L170" i="5" l="1"/>
  <c r="L170" i="7"/>
  <c r="AD170" i="7" l="1"/>
  <c r="AB170" i="7"/>
  <c r="Z170" i="7"/>
  <c r="R170" i="7"/>
  <c r="P170" i="7"/>
  <c r="AH170" i="7"/>
  <c r="AF170" i="7"/>
  <c r="F170" i="50" s="1"/>
  <c r="L170" i="50" s="1"/>
  <c r="X170" i="7"/>
  <c r="V170" i="7"/>
  <c r="T170" i="7"/>
  <c r="AB170" i="5"/>
  <c r="Z170" i="5"/>
  <c r="X170" i="5"/>
  <c r="V170" i="5"/>
  <c r="T170" i="5"/>
  <c r="P170" i="5"/>
  <c r="R170" i="5"/>
  <c r="V170" i="50" l="1"/>
  <c r="R170" i="50"/>
  <c r="P170" i="50"/>
  <c r="T170" i="50"/>
  <c r="AJ170" i="7"/>
  <c r="AL170" i="7" s="1"/>
  <c r="AD170" i="5"/>
  <c r="AF170" i="5" l="1"/>
  <c r="F109" i="5" l="1"/>
  <c r="L109" i="5" s="1"/>
  <c r="P109" i="5" l="1"/>
  <c r="F109" i="7"/>
  <c r="L109" i="7" s="1"/>
  <c r="R109" i="5"/>
  <c r="AB109" i="5"/>
  <c r="Z109" i="5"/>
  <c r="T109" i="5"/>
  <c r="X109" i="5"/>
  <c r="V109" i="5"/>
  <c r="AD109" i="5" l="1"/>
  <c r="AF109" i="5" s="1"/>
  <c r="AI31" i="5" l="1"/>
  <c r="F45" i="5" l="1"/>
  <c r="L45" i="5" s="1"/>
  <c r="F43" i="5"/>
  <c r="L43" i="5" s="1"/>
  <c r="F43" i="7"/>
  <c r="L43" i="7" s="1"/>
  <c r="R43" i="5" l="1"/>
  <c r="P43" i="5"/>
  <c r="Z43" i="5"/>
  <c r="X43" i="5"/>
  <c r="AB43" i="5"/>
  <c r="V43" i="5"/>
  <c r="T43" i="5"/>
  <c r="V45" i="5"/>
  <c r="T45" i="5"/>
  <c r="R45" i="5"/>
  <c r="AB45" i="5"/>
  <c r="Z45" i="5"/>
  <c r="X45" i="5"/>
  <c r="P45" i="5"/>
  <c r="F21" i="5"/>
  <c r="F65" i="5"/>
  <c r="L65" i="5" s="1"/>
  <c r="F41" i="5"/>
  <c r="F42" i="7"/>
  <c r="L42" i="7" s="1"/>
  <c r="F42" i="5"/>
  <c r="L42" i="5" s="1"/>
  <c r="F45" i="7"/>
  <c r="L45" i="7" s="1"/>
  <c r="F22" i="7"/>
  <c r="L22" i="7" s="1"/>
  <c r="F67" i="5"/>
  <c r="L67" i="5" s="1"/>
  <c r="F23" i="5"/>
  <c r="L23" i="5" s="1"/>
  <c r="F22" i="5"/>
  <c r="L22" i="5" s="1"/>
  <c r="Z45" i="7" l="1"/>
  <c r="X45" i="7"/>
  <c r="V45" i="7"/>
  <c r="AF45" i="7"/>
  <c r="F45" i="50" s="1"/>
  <c r="L45" i="50" s="1"/>
  <c r="AD45" i="7"/>
  <c r="T45" i="7"/>
  <c r="R45" i="7"/>
  <c r="P45" i="7"/>
  <c r="AH45" i="7"/>
  <c r="AB45" i="7"/>
  <c r="Z23" i="5"/>
  <c r="X23" i="5"/>
  <c r="R23" i="5"/>
  <c r="P23" i="5"/>
  <c r="V23" i="5"/>
  <c r="AB23" i="5"/>
  <c r="T23" i="5"/>
  <c r="X22" i="5"/>
  <c r="V22" i="5"/>
  <c r="P22" i="5"/>
  <c r="T22" i="5"/>
  <c r="R22" i="5"/>
  <c r="AB22" i="5"/>
  <c r="Z22" i="5"/>
  <c r="P42" i="5"/>
  <c r="AB42" i="5"/>
  <c r="X42" i="5"/>
  <c r="V42" i="5"/>
  <c r="Z42" i="5"/>
  <c r="T42" i="5"/>
  <c r="R42" i="5"/>
  <c r="F18" i="5"/>
  <c r="F65" i="7"/>
  <c r="L65" i="7" s="1"/>
  <c r="F21" i="7"/>
  <c r="L21" i="7" s="1"/>
  <c r="F20" i="5"/>
  <c r="L20" i="5" s="1"/>
  <c r="F64" i="5"/>
  <c r="L64" i="5" s="1"/>
  <c r="F19" i="7"/>
  <c r="F63" i="7"/>
  <c r="L63" i="7" s="1"/>
  <c r="AD43" i="5"/>
  <c r="AF43" i="5" s="1"/>
  <c r="L21" i="5"/>
  <c r="F67" i="7"/>
  <c r="L67" i="7" s="1"/>
  <c r="F23" i="7"/>
  <c r="L23" i="7" s="1"/>
  <c r="AD45" i="5"/>
  <c r="AF45" i="5" s="1"/>
  <c r="L41" i="5"/>
  <c r="F19" i="5"/>
  <c r="L19" i="5" s="1"/>
  <c r="F63" i="5"/>
  <c r="L63" i="5" s="1"/>
  <c r="F41" i="7"/>
  <c r="V45" i="50" l="1"/>
  <c r="T45" i="50"/>
  <c r="R45" i="50"/>
  <c r="P45" i="50"/>
  <c r="AF23" i="7"/>
  <c r="F23" i="50" s="1"/>
  <c r="L23" i="50" s="1"/>
  <c r="P23" i="7"/>
  <c r="AB23" i="7"/>
  <c r="Z23" i="7"/>
  <c r="T23" i="7"/>
  <c r="R23" i="7"/>
  <c r="AH23" i="7"/>
  <c r="AD23" i="7"/>
  <c r="X23" i="7"/>
  <c r="V23" i="7"/>
  <c r="V21" i="5"/>
  <c r="T21" i="5"/>
  <c r="AB21" i="5"/>
  <c r="R21" i="5"/>
  <c r="P21" i="5"/>
  <c r="Z21" i="5"/>
  <c r="X21" i="5"/>
  <c r="T20" i="5"/>
  <c r="R20" i="5"/>
  <c r="AB20" i="5"/>
  <c r="Z20" i="5"/>
  <c r="V20" i="5"/>
  <c r="X20" i="5"/>
  <c r="P20" i="5"/>
  <c r="AB41" i="5"/>
  <c r="Z41" i="5"/>
  <c r="V41" i="5"/>
  <c r="T41" i="5"/>
  <c r="P41" i="5"/>
  <c r="X41" i="5"/>
  <c r="R41" i="5"/>
  <c r="R19" i="5"/>
  <c r="P19" i="5"/>
  <c r="Z19" i="5"/>
  <c r="X19" i="5"/>
  <c r="AB19" i="5"/>
  <c r="V19" i="5"/>
  <c r="T19" i="5"/>
  <c r="F18" i="7"/>
  <c r="F64" i="7"/>
  <c r="L64" i="7" s="1"/>
  <c r="F20" i="7"/>
  <c r="AD42" i="5"/>
  <c r="AF42" i="5" s="1"/>
  <c r="L19" i="7"/>
  <c r="L18" i="5"/>
  <c r="L41" i="7"/>
  <c r="AD22" i="5"/>
  <c r="AF22" i="5" s="1"/>
  <c r="F62" i="5"/>
  <c r="T23" i="50" l="1"/>
  <c r="T67" i="50" s="1"/>
  <c r="P23" i="50"/>
  <c r="P67" i="50" s="1"/>
  <c r="R23" i="50"/>
  <c r="R67" i="50" s="1"/>
  <c r="V23" i="50"/>
  <c r="V67" i="50" s="1"/>
  <c r="P18" i="5"/>
  <c r="X18" i="5"/>
  <c r="V18" i="5"/>
  <c r="AB18" i="5"/>
  <c r="Z18" i="5"/>
  <c r="T18" i="5"/>
  <c r="R18" i="5"/>
  <c r="X63" i="5"/>
  <c r="L62" i="5"/>
  <c r="AR22" i="5"/>
  <c r="Z64" i="5"/>
  <c r="T65" i="5"/>
  <c r="T63" i="5"/>
  <c r="AX22" i="5"/>
  <c r="Z65" i="5"/>
  <c r="P65" i="5"/>
  <c r="AD21" i="5"/>
  <c r="AT21" i="5" s="1"/>
  <c r="AB63" i="5"/>
  <c r="V64" i="5"/>
  <c r="AV22" i="5"/>
  <c r="L20" i="7"/>
  <c r="F62" i="7"/>
  <c r="AD20" i="5"/>
  <c r="AF20" i="5" s="1"/>
  <c r="P64" i="5"/>
  <c r="AB64" i="5"/>
  <c r="AD19" i="5"/>
  <c r="AF19" i="5" s="1"/>
  <c r="P63" i="5"/>
  <c r="AP22" i="5"/>
  <c r="V65" i="5"/>
  <c r="AT22" i="5"/>
  <c r="L18" i="7"/>
  <c r="Z63" i="5"/>
  <c r="R64" i="5"/>
  <c r="T64" i="5"/>
  <c r="X65" i="5"/>
  <c r="AN22" i="5"/>
  <c r="R63" i="5"/>
  <c r="AB65" i="5"/>
  <c r="AL22" i="5"/>
  <c r="X64" i="5"/>
  <c r="R65" i="5"/>
  <c r="AD41" i="5"/>
  <c r="V63" i="5"/>
  <c r="AR19" i="5" l="1"/>
  <c r="AP20" i="5"/>
  <c r="AT20" i="5"/>
  <c r="AN19" i="5"/>
  <c r="AN20" i="5"/>
  <c r="AV19" i="5"/>
  <c r="AX20" i="5"/>
  <c r="AR21" i="5"/>
  <c r="AN21" i="5"/>
  <c r="AZ22" i="5"/>
  <c r="AL20" i="5"/>
  <c r="AD64" i="5"/>
  <c r="AF64" i="5" s="1"/>
  <c r="AX21" i="5"/>
  <c r="AF21" i="5"/>
  <c r="AB62" i="5"/>
  <c r="AP21" i="5"/>
  <c r="AT19" i="5"/>
  <c r="AD18" i="5"/>
  <c r="AX18" i="5" s="1"/>
  <c r="P62" i="5"/>
  <c r="AD65" i="5"/>
  <c r="AF65" i="5" s="1"/>
  <c r="AL19" i="5"/>
  <c r="L62" i="7"/>
  <c r="T62" i="5"/>
  <c r="AP19" i="5"/>
  <c r="AV20" i="5"/>
  <c r="AD63" i="5"/>
  <c r="AF63" i="5" s="1"/>
  <c r="Z62" i="5"/>
  <c r="AV21" i="5"/>
  <c r="AF41" i="5"/>
  <c r="V62" i="5"/>
  <c r="AX19" i="5"/>
  <c r="X62" i="5"/>
  <c r="AR20" i="5"/>
  <c r="AL21" i="5"/>
  <c r="R62" i="5"/>
  <c r="AZ20" i="5" l="1"/>
  <c r="AT18" i="5"/>
  <c r="AZ21" i="5"/>
  <c r="AZ19" i="5"/>
  <c r="AD62" i="5"/>
  <c r="AV18" i="5"/>
  <c r="AN18" i="5"/>
  <c r="AP18" i="5"/>
  <c r="AF18" i="5"/>
  <c r="AR18" i="5"/>
  <c r="AL18" i="5"/>
  <c r="AF62" i="5" l="1"/>
  <c r="AZ18" i="5"/>
  <c r="F44" i="5" l="1"/>
  <c r="F44" i="7" l="1"/>
  <c r="F66" i="5"/>
  <c r="L44" i="5"/>
  <c r="F53" i="5"/>
  <c r="T44" i="5" l="1"/>
  <c r="P44" i="5"/>
  <c r="R44" i="5"/>
  <c r="AB44" i="5"/>
  <c r="Z44" i="5"/>
  <c r="X44" i="5"/>
  <c r="V44" i="5"/>
  <c r="L66" i="5"/>
  <c r="F66" i="7"/>
  <c r="L44" i="7"/>
  <c r="F53" i="7"/>
  <c r="L53" i="5"/>
  <c r="V66" i="5" l="1"/>
  <c r="V53" i="5"/>
  <c r="AB66" i="5"/>
  <c r="AB53" i="5"/>
  <c r="L53" i="7"/>
  <c r="T66" i="5"/>
  <c r="T53" i="5"/>
  <c r="L66" i="7"/>
  <c r="R66" i="5"/>
  <c r="R53" i="5"/>
  <c r="AD44" i="5"/>
  <c r="P66" i="5"/>
  <c r="P53" i="5"/>
  <c r="Z66" i="5"/>
  <c r="Z53" i="5"/>
  <c r="X66" i="5"/>
  <c r="X53" i="5"/>
  <c r="AD66" i="5" l="1"/>
  <c r="AD53" i="5"/>
  <c r="AF53" i="5" s="1"/>
  <c r="AF44" i="5"/>
  <c r="AF66" i="5" l="1"/>
  <c r="AO31" i="7" l="1"/>
  <c r="F30" i="7" l="1"/>
  <c r="F30" i="5"/>
  <c r="F74" i="5" l="1"/>
  <c r="L30" i="5"/>
  <c r="F31" i="5"/>
  <c r="L30" i="7"/>
  <c r="F31" i="7"/>
  <c r="F74" i="7"/>
  <c r="X30" i="5" l="1"/>
  <c r="V30" i="5"/>
  <c r="T30" i="5"/>
  <c r="P30" i="5"/>
  <c r="Z30" i="5"/>
  <c r="R30" i="5"/>
  <c r="AB30" i="5"/>
  <c r="L31" i="5"/>
  <c r="L74" i="7"/>
  <c r="L75" i="7" s="1"/>
  <c r="F75" i="7"/>
  <c r="L74" i="5"/>
  <c r="L75" i="5" s="1"/>
  <c r="F75" i="5"/>
  <c r="L31" i="7"/>
  <c r="T74" i="5" l="1"/>
  <c r="R74" i="5"/>
  <c r="Z74" i="5"/>
  <c r="AD30" i="5"/>
  <c r="AV30" i="5" s="1"/>
  <c r="P74" i="5"/>
  <c r="AB74" i="5"/>
  <c r="X74" i="5"/>
  <c r="V74" i="5"/>
  <c r="AT30" i="5" l="1"/>
  <c r="AL30" i="5"/>
  <c r="AX30" i="5"/>
  <c r="AR30" i="5"/>
  <c r="AP30" i="5"/>
  <c r="AN30" i="5"/>
  <c r="AD74" i="5"/>
  <c r="AF30" i="5"/>
  <c r="AZ30" i="5" l="1"/>
  <c r="AF74" i="5"/>
  <c r="F102" i="7" l="1"/>
  <c r="F102" i="5"/>
  <c r="L102" i="5" l="1"/>
  <c r="L102" i="7"/>
  <c r="Z102" i="5" l="1"/>
  <c r="X102" i="5"/>
  <c r="V102" i="5"/>
  <c r="R102" i="5"/>
  <c r="P102" i="5"/>
  <c r="AB102" i="5"/>
  <c r="T102" i="5"/>
  <c r="AD102" i="5" l="1"/>
  <c r="AF102" i="5" s="1"/>
  <c r="F152" i="5" l="1"/>
  <c r="L152" i="5" s="1"/>
  <c r="F152" i="7"/>
  <c r="L152" i="7" s="1"/>
  <c r="F136" i="5"/>
  <c r="L136" i="5" s="1"/>
  <c r="F136" i="7"/>
  <c r="L136" i="7" s="1"/>
  <c r="F142" i="5"/>
  <c r="L142" i="5" s="1"/>
  <c r="F142" i="7"/>
  <c r="L142" i="7" s="1"/>
  <c r="F155" i="5"/>
  <c r="L155" i="5" s="1"/>
  <c r="F155" i="7"/>
  <c r="L155" i="7" s="1"/>
  <c r="F131" i="5"/>
  <c r="L131" i="5" s="1"/>
  <c r="F131" i="7"/>
  <c r="L131" i="7" s="1"/>
  <c r="F134" i="7" l="1"/>
  <c r="L134" i="7" s="1"/>
  <c r="F134" i="5"/>
  <c r="L134" i="5" s="1"/>
  <c r="F127" i="7"/>
  <c r="L127" i="7" s="1"/>
  <c r="F127" i="5"/>
  <c r="L127" i="5" s="1"/>
  <c r="F143" i="5"/>
  <c r="L143" i="5" s="1"/>
  <c r="F143" i="7"/>
  <c r="L143" i="7" s="1"/>
  <c r="F154" i="5"/>
  <c r="L154" i="5" s="1"/>
  <c r="F154" i="7"/>
  <c r="L154" i="7" s="1"/>
  <c r="F139" i="5"/>
  <c r="L139" i="5" s="1"/>
  <c r="F139" i="7"/>
  <c r="L139" i="7" s="1"/>
  <c r="F153" i="5"/>
  <c r="L153" i="5" s="1"/>
  <c r="F153" i="7"/>
  <c r="L153" i="7" s="1"/>
  <c r="F141" i="5"/>
  <c r="L141" i="5" s="1"/>
  <c r="F141" i="7"/>
  <c r="L141" i="7" s="1"/>
  <c r="F156" i="5"/>
  <c r="L156" i="5" s="1"/>
  <c r="F156" i="7"/>
  <c r="L156" i="7" s="1"/>
  <c r="F135" i="7"/>
  <c r="L135" i="7" s="1"/>
  <c r="F135" i="5"/>
  <c r="L135" i="5" s="1"/>
  <c r="AD136" i="7"/>
  <c r="AB136" i="7"/>
  <c r="Z136" i="7"/>
  <c r="X136" i="7"/>
  <c r="T136" i="7"/>
  <c r="R136" i="7"/>
  <c r="AH136" i="7"/>
  <c r="AF136" i="7"/>
  <c r="F136" i="50" s="1"/>
  <c r="V136" i="7"/>
  <c r="P136" i="7"/>
  <c r="AD152" i="7"/>
  <c r="AB152" i="7"/>
  <c r="Z152" i="7"/>
  <c r="V152" i="7"/>
  <c r="T152" i="7"/>
  <c r="R152" i="7"/>
  <c r="P152" i="7"/>
  <c r="AF152" i="7"/>
  <c r="F152" i="50" s="1"/>
  <c r="AH152" i="7"/>
  <c r="X152" i="7"/>
  <c r="Z131" i="7"/>
  <c r="X131" i="7"/>
  <c r="V131" i="7"/>
  <c r="AH131" i="7"/>
  <c r="AD131" i="7"/>
  <c r="AB131" i="7"/>
  <c r="R131" i="7"/>
  <c r="P131" i="7"/>
  <c r="AF131" i="7"/>
  <c r="F131" i="50" s="1"/>
  <c r="T131" i="7"/>
  <c r="AH155" i="7"/>
  <c r="R155" i="7"/>
  <c r="AF155" i="7"/>
  <c r="F155" i="50" s="1"/>
  <c r="P155" i="7"/>
  <c r="AD155" i="7"/>
  <c r="AB155" i="7"/>
  <c r="Z155" i="7"/>
  <c r="X155" i="7"/>
  <c r="V155" i="7"/>
  <c r="T155" i="7"/>
  <c r="V136" i="5"/>
  <c r="T136" i="5"/>
  <c r="R136" i="5"/>
  <c r="AB136" i="5"/>
  <c r="X136" i="5"/>
  <c r="P136" i="5"/>
  <c r="Z136" i="5"/>
  <c r="T155" i="5"/>
  <c r="R155" i="5"/>
  <c r="P155" i="5"/>
  <c r="AB155" i="5"/>
  <c r="Z155" i="5"/>
  <c r="V155" i="5"/>
  <c r="X155" i="5"/>
  <c r="AB131" i="5"/>
  <c r="Z131" i="5"/>
  <c r="V131" i="5"/>
  <c r="T131" i="5"/>
  <c r="R131" i="5"/>
  <c r="P131" i="5"/>
  <c r="X131" i="5"/>
  <c r="AB152" i="5"/>
  <c r="Z152" i="5"/>
  <c r="X152" i="5"/>
  <c r="V152" i="5"/>
  <c r="T152" i="5"/>
  <c r="R152" i="5"/>
  <c r="P152" i="5"/>
  <c r="P142" i="5"/>
  <c r="AB142" i="5"/>
  <c r="Z142" i="5"/>
  <c r="X142" i="5"/>
  <c r="V142" i="5"/>
  <c r="T142" i="5"/>
  <c r="R142" i="5"/>
  <c r="AI155" i="5"/>
  <c r="AJ155" i="5" s="1"/>
  <c r="AO155" i="7"/>
  <c r="AP155" i="7" s="1"/>
  <c r="L155" i="50" l="1"/>
  <c r="L152" i="50"/>
  <c r="L136" i="50"/>
  <c r="L131" i="50"/>
  <c r="F126" i="5"/>
  <c r="L126" i="5" s="1"/>
  <c r="F126" i="7"/>
  <c r="L126" i="7" s="1"/>
  <c r="F129" i="7"/>
  <c r="L129" i="7" s="1"/>
  <c r="F129" i="5"/>
  <c r="L129" i="5" s="1"/>
  <c r="F128" i="5"/>
  <c r="L128" i="5" s="1"/>
  <c r="F128" i="7"/>
  <c r="L128" i="7" s="1"/>
  <c r="AO138" i="7"/>
  <c r="F130" i="7"/>
  <c r="L130" i="7" s="1"/>
  <c r="F130" i="5"/>
  <c r="L130" i="5" s="1"/>
  <c r="V139" i="7"/>
  <c r="T139" i="7"/>
  <c r="AH139" i="7"/>
  <c r="R139" i="7"/>
  <c r="AD139" i="7"/>
  <c r="AB139" i="7"/>
  <c r="AF139" i="7"/>
  <c r="F139" i="50" s="1"/>
  <c r="Z139" i="7"/>
  <c r="X139" i="7"/>
  <c r="P139" i="7"/>
  <c r="AD156" i="7"/>
  <c r="AB156" i="7"/>
  <c r="Z156" i="7"/>
  <c r="T156" i="7"/>
  <c r="R156" i="7"/>
  <c r="P156" i="7"/>
  <c r="AH156" i="7"/>
  <c r="AF156" i="7"/>
  <c r="F156" i="50" s="1"/>
  <c r="X156" i="7"/>
  <c r="V156" i="7"/>
  <c r="V134" i="7"/>
  <c r="T134" i="7"/>
  <c r="AH134" i="7"/>
  <c r="R134" i="7"/>
  <c r="AF134" i="7"/>
  <c r="F134" i="50" s="1"/>
  <c r="AD134" i="7"/>
  <c r="AB134" i="7"/>
  <c r="Z134" i="7"/>
  <c r="X134" i="7"/>
  <c r="P134" i="7"/>
  <c r="Z153" i="7"/>
  <c r="X153" i="7"/>
  <c r="V153" i="7"/>
  <c r="AD153" i="7"/>
  <c r="AB153" i="7"/>
  <c r="T153" i="7"/>
  <c r="R153" i="7"/>
  <c r="P153" i="7"/>
  <c r="AH153" i="7"/>
  <c r="AF153" i="7"/>
  <c r="F153" i="50" s="1"/>
  <c r="Z127" i="7"/>
  <c r="X127" i="7"/>
  <c r="V127" i="7"/>
  <c r="AF127" i="7"/>
  <c r="F127" i="50" s="1"/>
  <c r="AD127" i="7"/>
  <c r="R127" i="7"/>
  <c r="P127" i="7"/>
  <c r="AH127" i="7"/>
  <c r="AB127" i="7"/>
  <c r="T127" i="7"/>
  <c r="AH135" i="7"/>
  <c r="R135" i="7"/>
  <c r="AF135" i="7"/>
  <c r="F135" i="50" s="1"/>
  <c r="P135" i="7"/>
  <c r="AD135" i="7"/>
  <c r="V135" i="7"/>
  <c r="X135" i="7"/>
  <c r="T135" i="7"/>
  <c r="AB135" i="7"/>
  <c r="Z135" i="7"/>
  <c r="V154" i="7"/>
  <c r="T154" i="7"/>
  <c r="AH154" i="7"/>
  <c r="R154" i="7"/>
  <c r="AF154" i="7"/>
  <c r="F154" i="50" s="1"/>
  <c r="AD154" i="7"/>
  <c r="AB154" i="7"/>
  <c r="Z154" i="7"/>
  <c r="X154" i="7"/>
  <c r="P154" i="7"/>
  <c r="R143" i="5"/>
  <c r="P143" i="5"/>
  <c r="AB143" i="5"/>
  <c r="Z143" i="5"/>
  <c r="X143" i="5"/>
  <c r="V143" i="5"/>
  <c r="T143" i="5"/>
  <c r="Z139" i="5"/>
  <c r="X139" i="5"/>
  <c r="V139" i="5"/>
  <c r="T139" i="5"/>
  <c r="P139" i="5"/>
  <c r="AB139" i="5"/>
  <c r="R139" i="5"/>
  <c r="V127" i="5"/>
  <c r="T127" i="5"/>
  <c r="R127" i="5"/>
  <c r="AB127" i="5"/>
  <c r="X127" i="5"/>
  <c r="Z127" i="5"/>
  <c r="P127" i="5"/>
  <c r="T135" i="5"/>
  <c r="R135" i="5"/>
  <c r="P135" i="5"/>
  <c r="AB135" i="5"/>
  <c r="Z135" i="5"/>
  <c r="V135" i="5"/>
  <c r="X135" i="5"/>
  <c r="R134" i="5"/>
  <c r="P134" i="5"/>
  <c r="Z134" i="5"/>
  <c r="X134" i="5"/>
  <c r="AB134" i="5"/>
  <c r="V134" i="5"/>
  <c r="T134" i="5"/>
  <c r="R154" i="5"/>
  <c r="P154" i="5"/>
  <c r="AB154" i="5"/>
  <c r="Z154" i="5"/>
  <c r="X154" i="5"/>
  <c r="V154" i="5"/>
  <c r="T154" i="5"/>
  <c r="AB141" i="5"/>
  <c r="Z141" i="5"/>
  <c r="X141" i="5"/>
  <c r="V141" i="5"/>
  <c r="T141" i="5"/>
  <c r="R141" i="5"/>
  <c r="P141" i="5"/>
  <c r="V156" i="5"/>
  <c r="T156" i="5"/>
  <c r="R156" i="5"/>
  <c r="P156" i="5"/>
  <c r="AB156" i="5"/>
  <c r="Z156" i="5"/>
  <c r="X156" i="5"/>
  <c r="P153" i="5"/>
  <c r="AB153" i="5"/>
  <c r="Z153" i="5"/>
  <c r="X153" i="5"/>
  <c r="V153" i="5"/>
  <c r="T153" i="5"/>
  <c r="R153" i="5"/>
  <c r="AD131" i="5"/>
  <c r="AF131" i="5" s="1"/>
  <c r="AR155" i="5"/>
  <c r="AX155" i="5"/>
  <c r="AT155" i="5"/>
  <c r="AN155" i="5"/>
  <c r="AL155" i="5"/>
  <c r="AV155" i="5"/>
  <c r="AP155" i="5"/>
  <c r="F133" i="7"/>
  <c r="AL133" i="7" s="1"/>
  <c r="AD152" i="5"/>
  <c r="AF152" i="5" s="1"/>
  <c r="F133" i="5"/>
  <c r="L133" i="5" s="1"/>
  <c r="F151" i="7"/>
  <c r="L151" i="7" s="1"/>
  <c r="AJ131" i="7"/>
  <c r="AL131" i="7" s="1"/>
  <c r="AD136" i="5"/>
  <c r="AF136" i="5" s="1"/>
  <c r="AD142" i="5"/>
  <c r="AF142" i="5" s="1"/>
  <c r="F147" i="7"/>
  <c r="L147" i="7" s="1"/>
  <c r="F151" i="5"/>
  <c r="L151" i="5" s="1"/>
  <c r="F147" i="5"/>
  <c r="L147" i="5" s="1"/>
  <c r="AJ155" i="7"/>
  <c r="AL155" i="7" s="1"/>
  <c r="AJ152" i="7"/>
  <c r="AL152" i="7" s="1"/>
  <c r="AD155" i="5"/>
  <c r="AF155" i="5" s="1"/>
  <c r="AJ136" i="7"/>
  <c r="AL136" i="7" s="1"/>
  <c r="AV155" i="7"/>
  <c r="BH155" i="7"/>
  <c r="Z155" i="50" s="1"/>
  <c r="AA155" i="50" s="1"/>
  <c r="BB155" i="7"/>
  <c r="AT155" i="7"/>
  <c r="BD155" i="7"/>
  <c r="BJ155" i="7"/>
  <c r="AZ155" i="7"/>
  <c r="AR155" i="7"/>
  <c r="BF155" i="7"/>
  <c r="AX155" i="7"/>
  <c r="R131" i="50" l="1"/>
  <c r="P131" i="50"/>
  <c r="V131" i="50"/>
  <c r="T131" i="50"/>
  <c r="T136" i="50"/>
  <c r="R136" i="50"/>
  <c r="P136" i="50"/>
  <c r="V136" i="50"/>
  <c r="T152" i="50"/>
  <c r="R152" i="50"/>
  <c r="P152" i="50"/>
  <c r="V152" i="50"/>
  <c r="P155" i="50"/>
  <c r="AC155" i="50" s="1"/>
  <c r="V155" i="50"/>
  <c r="AI155" i="50" s="1"/>
  <c r="T155" i="50"/>
  <c r="AG155" i="50" s="1"/>
  <c r="R155" i="50"/>
  <c r="AE155" i="50" s="1"/>
  <c r="L156" i="50"/>
  <c r="L154" i="50"/>
  <c r="L153" i="50"/>
  <c r="L139" i="50"/>
  <c r="L134" i="50"/>
  <c r="L135" i="50"/>
  <c r="L127" i="50"/>
  <c r="AH129" i="7"/>
  <c r="R129" i="7"/>
  <c r="AF129" i="7"/>
  <c r="F129" i="50" s="1"/>
  <c r="P129" i="7"/>
  <c r="AD129" i="7"/>
  <c r="X129" i="7"/>
  <c r="T129" i="7"/>
  <c r="V129" i="7"/>
  <c r="AB129" i="7"/>
  <c r="Z129" i="7"/>
  <c r="AD147" i="7"/>
  <c r="AB147" i="7"/>
  <c r="Z147" i="7"/>
  <c r="X147" i="7"/>
  <c r="V147" i="7"/>
  <c r="T147" i="7"/>
  <c r="P147" i="7"/>
  <c r="R147" i="7"/>
  <c r="AH147" i="7"/>
  <c r="AF147" i="7"/>
  <c r="V128" i="7"/>
  <c r="T128" i="7"/>
  <c r="AH128" i="7"/>
  <c r="R128" i="7"/>
  <c r="P128" i="7"/>
  <c r="AF128" i="7"/>
  <c r="F128" i="50" s="1"/>
  <c r="AD128" i="7"/>
  <c r="AB128" i="7"/>
  <c r="Z128" i="7"/>
  <c r="X128" i="7"/>
  <c r="AD126" i="7"/>
  <c r="AB126" i="7"/>
  <c r="Z126" i="7"/>
  <c r="AH126" i="7"/>
  <c r="X126" i="7"/>
  <c r="V126" i="7"/>
  <c r="AF126" i="7"/>
  <c r="F126" i="50" s="1"/>
  <c r="T126" i="7"/>
  <c r="R126" i="7"/>
  <c r="P126" i="7"/>
  <c r="AD130" i="7"/>
  <c r="AB130" i="7"/>
  <c r="Z130" i="7"/>
  <c r="AF130" i="7"/>
  <c r="F130" i="50" s="1"/>
  <c r="V130" i="7"/>
  <c r="T130" i="7"/>
  <c r="AH130" i="7"/>
  <c r="X130" i="7"/>
  <c r="R130" i="7"/>
  <c r="P130" i="7"/>
  <c r="AH151" i="7"/>
  <c r="R151" i="7"/>
  <c r="AF151" i="7"/>
  <c r="F151" i="50" s="1"/>
  <c r="P151" i="7"/>
  <c r="AD151" i="7"/>
  <c r="T151" i="7"/>
  <c r="AB151" i="7"/>
  <c r="Z151" i="7"/>
  <c r="X151" i="7"/>
  <c r="V151" i="7"/>
  <c r="AB130" i="5"/>
  <c r="Z130" i="5"/>
  <c r="X130" i="5"/>
  <c r="T130" i="5"/>
  <c r="R130" i="5"/>
  <c r="P130" i="5"/>
  <c r="V130" i="5"/>
  <c r="V147" i="5"/>
  <c r="T147" i="5"/>
  <c r="R147" i="5"/>
  <c r="P147" i="5"/>
  <c r="AB147" i="5"/>
  <c r="Z147" i="5"/>
  <c r="X147" i="5"/>
  <c r="X128" i="5"/>
  <c r="V128" i="5"/>
  <c r="T128" i="5"/>
  <c r="P128" i="5"/>
  <c r="AB128" i="5"/>
  <c r="Z128" i="5"/>
  <c r="R128" i="5"/>
  <c r="AB151" i="5"/>
  <c r="Z151" i="5"/>
  <c r="X151" i="5"/>
  <c r="V151" i="5"/>
  <c r="T151" i="5"/>
  <c r="R151" i="5"/>
  <c r="P151" i="5"/>
  <c r="T126" i="5"/>
  <c r="R126" i="5"/>
  <c r="P126" i="5"/>
  <c r="AB126" i="5"/>
  <c r="Z126" i="5"/>
  <c r="V126" i="5"/>
  <c r="X126" i="5"/>
  <c r="Z129" i="5"/>
  <c r="X129" i="5"/>
  <c r="V129" i="5"/>
  <c r="R129" i="5"/>
  <c r="P129" i="5"/>
  <c r="T129" i="5"/>
  <c r="AB129" i="5"/>
  <c r="AO126" i="7"/>
  <c r="AP126" i="7" s="1"/>
  <c r="AO128" i="7"/>
  <c r="AP128" i="7" s="1"/>
  <c r="AI126" i="5"/>
  <c r="AJ126" i="5" s="1"/>
  <c r="AI128" i="5"/>
  <c r="AJ128" i="5" s="1"/>
  <c r="AI129" i="5"/>
  <c r="AJ129" i="5" s="1"/>
  <c r="AJ134" i="7"/>
  <c r="AL134" i="7" s="1"/>
  <c r="AJ156" i="7"/>
  <c r="AL156" i="7" s="1"/>
  <c r="AJ154" i="7"/>
  <c r="AL154" i="7" s="1"/>
  <c r="F124" i="7"/>
  <c r="L124" i="7" s="1"/>
  <c r="AD153" i="5"/>
  <c r="AF153" i="5" s="1"/>
  <c r="F124" i="5"/>
  <c r="L124" i="5" s="1"/>
  <c r="AD134" i="5"/>
  <c r="AF134" i="5" s="1"/>
  <c r="F138" i="7"/>
  <c r="L138" i="7" s="1"/>
  <c r="AO129" i="7"/>
  <c r="AP129" i="7" s="1"/>
  <c r="AO130" i="7"/>
  <c r="AP130" i="7" s="1"/>
  <c r="AD127" i="5"/>
  <c r="AF127" i="5" s="1"/>
  <c r="BL155" i="7"/>
  <c r="AJ153" i="7"/>
  <c r="AL153" i="7" s="1"/>
  <c r="AJ135" i="7"/>
  <c r="AL135" i="7" s="1"/>
  <c r="AD143" i="5"/>
  <c r="AF143" i="5" s="1"/>
  <c r="AD156" i="5"/>
  <c r="AF156" i="5" s="1"/>
  <c r="AD154" i="5"/>
  <c r="AF154" i="5" s="1"/>
  <c r="AZ155" i="5"/>
  <c r="AJ127" i="7"/>
  <c r="AL127" i="7" s="1"/>
  <c r="AD139" i="5"/>
  <c r="AF139" i="5" s="1"/>
  <c r="AD141" i="5"/>
  <c r="AF141" i="5" s="1"/>
  <c r="AI138" i="5"/>
  <c r="AJ138" i="5" s="1"/>
  <c r="AI130" i="5"/>
  <c r="AJ130" i="5" s="1"/>
  <c r="F49" i="61" l="1"/>
  <c r="F52" i="61" s="1"/>
  <c r="R127" i="50"/>
  <c r="P127" i="50"/>
  <c r="V127" i="50"/>
  <c r="T127" i="50"/>
  <c r="V153" i="50"/>
  <c r="T153" i="50"/>
  <c r="R153" i="50"/>
  <c r="P153" i="50"/>
  <c r="V134" i="50"/>
  <c r="R134" i="50"/>
  <c r="P134" i="50"/>
  <c r="T134" i="50"/>
  <c r="T156" i="50"/>
  <c r="R156" i="50"/>
  <c r="P156" i="50"/>
  <c r="V156" i="50"/>
  <c r="V139" i="50"/>
  <c r="R139" i="50"/>
  <c r="P139" i="50"/>
  <c r="T139" i="50"/>
  <c r="P135" i="50"/>
  <c r="V135" i="50"/>
  <c r="T135" i="50"/>
  <c r="R135" i="50"/>
  <c r="V154" i="50"/>
  <c r="R154" i="50"/>
  <c r="P154" i="50"/>
  <c r="T154" i="50"/>
  <c r="F147" i="50"/>
  <c r="L147" i="50" s="1"/>
  <c r="L126" i="50"/>
  <c r="L129" i="50"/>
  <c r="L128" i="50"/>
  <c r="L130" i="50"/>
  <c r="V124" i="7"/>
  <c r="T124" i="7"/>
  <c r="AH124" i="7"/>
  <c r="R124" i="7"/>
  <c r="AD124" i="7"/>
  <c r="AB124" i="7"/>
  <c r="AF124" i="7"/>
  <c r="F124" i="50" s="1"/>
  <c r="Z124" i="7"/>
  <c r="P124" i="7"/>
  <c r="X124" i="7"/>
  <c r="P124" i="5"/>
  <c r="AB124" i="5"/>
  <c r="X124" i="5"/>
  <c r="V124" i="5"/>
  <c r="Z124" i="5"/>
  <c r="R124" i="5"/>
  <c r="T124" i="5"/>
  <c r="AL126" i="5"/>
  <c r="AL129" i="5"/>
  <c r="AR126" i="7"/>
  <c r="AZ126" i="7"/>
  <c r="AN128" i="5"/>
  <c r="AT126" i="7"/>
  <c r="BH126" i="7"/>
  <c r="Z126" i="50" s="1"/>
  <c r="AA126" i="50" s="1"/>
  <c r="AP128" i="5"/>
  <c r="AR128" i="5"/>
  <c r="AT128" i="5"/>
  <c r="AV126" i="7"/>
  <c r="AV128" i="5"/>
  <c r="AX126" i="7"/>
  <c r="AX128" i="5"/>
  <c r="BD126" i="7"/>
  <c r="BF126" i="7"/>
  <c r="AD151" i="5"/>
  <c r="AF151" i="5" s="1"/>
  <c r="AL128" i="5"/>
  <c r="AD128" i="5"/>
  <c r="AF128" i="5" s="1"/>
  <c r="BH128" i="7"/>
  <c r="Z128" i="50" s="1"/>
  <c r="AA128" i="50" s="1"/>
  <c r="AX129" i="5"/>
  <c r="AD147" i="5"/>
  <c r="AF147" i="5" s="1"/>
  <c r="AJ129" i="7"/>
  <c r="AL129" i="7" s="1"/>
  <c r="AN126" i="5"/>
  <c r="BB128" i="7"/>
  <c r="AV129" i="5"/>
  <c r="AR130" i="5"/>
  <c r="AL130" i="5"/>
  <c r="AP130" i="5"/>
  <c r="AX130" i="5"/>
  <c r="AN130" i="5"/>
  <c r="AT130" i="5"/>
  <c r="AV130" i="5"/>
  <c r="AR126" i="5"/>
  <c r="AV129" i="7"/>
  <c r="BH129" i="7"/>
  <c r="Z129" i="50" s="1"/>
  <c r="AA129" i="50" s="1"/>
  <c r="AT129" i="7"/>
  <c r="BD129" i="7"/>
  <c r="AX129" i="7"/>
  <c r="AR129" i="7"/>
  <c r="BJ129" i="7"/>
  <c r="BB129" i="7"/>
  <c r="BF129" i="7"/>
  <c r="AZ129" i="7"/>
  <c r="BF128" i="7"/>
  <c r="AN129" i="5"/>
  <c r="AR130" i="7"/>
  <c r="AJ130" i="7"/>
  <c r="AL130" i="7" s="1"/>
  <c r="AD130" i="5"/>
  <c r="AF130" i="5" s="1"/>
  <c r="BD128" i="7"/>
  <c r="AP129" i="5"/>
  <c r="AX126" i="5"/>
  <c r="AZ128" i="7"/>
  <c r="BB126" i="7"/>
  <c r="AP138" i="7"/>
  <c r="AP126" i="5"/>
  <c r="AR128" i="7"/>
  <c r="AJ128" i="7"/>
  <c r="AL128" i="7" s="1"/>
  <c r="AX130" i="7"/>
  <c r="BB130" i="7"/>
  <c r="BF130" i="7"/>
  <c r="AV130" i="7"/>
  <c r="AT130" i="7"/>
  <c r="BJ130" i="7"/>
  <c r="BH130" i="7"/>
  <c r="Z130" i="50" s="1"/>
  <c r="AA130" i="50" s="1"/>
  <c r="BD130" i="7"/>
  <c r="AZ130" i="7"/>
  <c r="AD129" i="5"/>
  <c r="AF129" i="5" s="1"/>
  <c r="AJ147" i="7"/>
  <c r="AL147" i="7" s="1"/>
  <c r="BJ128" i="7"/>
  <c r="AX128" i="7"/>
  <c r="AJ126" i="7"/>
  <c r="AL126" i="7" s="1"/>
  <c r="AT129" i="5"/>
  <c r="AV126" i="5"/>
  <c r="AJ151" i="7"/>
  <c r="AL151" i="7" s="1"/>
  <c r="AV128" i="7"/>
  <c r="BJ126" i="7"/>
  <c r="AR129" i="5"/>
  <c r="AD126" i="5"/>
  <c r="AF126" i="5" s="1"/>
  <c r="AX138" i="5"/>
  <c r="AN138" i="5"/>
  <c r="AV138" i="5"/>
  <c r="AR138" i="5"/>
  <c r="AP138" i="5"/>
  <c r="AL138" i="5"/>
  <c r="AT138" i="5"/>
  <c r="AT126" i="5"/>
  <c r="AT128" i="7"/>
  <c r="T126" i="50" l="1"/>
  <c r="AG126" i="50" s="1"/>
  <c r="R126" i="50"/>
  <c r="AE126" i="50" s="1"/>
  <c r="V126" i="50"/>
  <c r="AI126" i="50" s="1"/>
  <c r="P126" i="50"/>
  <c r="AC126" i="50" s="1"/>
  <c r="T147" i="50"/>
  <c r="R147" i="50"/>
  <c r="P147" i="50"/>
  <c r="V147" i="50"/>
  <c r="V128" i="50"/>
  <c r="AI128" i="50" s="1"/>
  <c r="T128" i="50"/>
  <c r="AG128" i="50" s="1"/>
  <c r="R128" i="50"/>
  <c r="AE128" i="50" s="1"/>
  <c r="P128" i="50"/>
  <c r="AC128" i="50" s="1"/>
  <c r="V129" i="50"/>
  <c r="AI129" i="50" s="1"/>
  <c r="T129" i="50"/>
  <c r="AG129" i="50" s="1"/>
  <c r="P129" i="50"/>
  <c r="AC129" i="50" s="1"/>
  <c r="R129" i="50"/>
  <c r="AE129" i="50" s="1"/>
  <c r="T130" i="50"/>
  <c r="AG130" i="50" s="1"/>
  <c r="R130" i="50"/>
  <c r="AE130" i="50" s="1"/>
  <c r="P130" i="50"/>
  <c r="AC130" i="50" s="1"/>
  <c r="V130" i="50"/>
  <c r="AI130" i="50" s="1"/>
  <c r="L124" i="50"/>
  <c r="AZ128" i="5"/>
  <c r="BL126" i="7"/>
  <c r="AZ126" i="5"/>
  <c r="AZ129" i="5"/>
  <c r="AI136" i="5"/>
  <c r="AJ136" i="5" s="1"/>
  <c r="AO136" i="7"/>
  <c r="AP136" i="7" s="1"/>
  <c r="BL129" i="7"/>
  <c r="AJ124" i="7"/>
  <c r="AL124" i="7" s="1"/>
  <c r="AZ130" i="5"/>
  <c r="BL130" i="7"/>
  <c r="AI156" i="5"/>
  <c r="AJ156" i="5" s="1"/>
  <c r="AO156" i="7"/>
  <c r="AP156" i="7" s="1"/>
  <c r="BL128" i="7"/>
  <c r="AZ138" i="5"/>
  <c r="AD124" i="5"/>
  <c r="AF124" i="5" s="1"/>
  <c r="V124" i="50" l="1"/>
  <c r="T124" i="50"/>
  <c r="P124" i="50"/>
  <c r="R124" i="50"/>
  <c r="AO153" i="7"/>
  <c r="AP153" i="7" s="1"/>
  <c r="AI153" i="5"/>
  <c r="AJ153" i="5" s="1"/>
  <c r="AI142" i="5"/>
  <c r="AJ142" i="5" s="1"/>
  <c r="AO142" i="7"/>
  <c r="AP142" i="7" s="1"/>
  <c r="AO134" i="7"/>
  <c r="AP134" i="7" s="1"/>
  <c r="AI134" i="5"/>
  <c r="AJ134" i="5" s="1"/>
  <c r="AI139" i="5"/>
  <c r="AJ139" i="5" s="1"/>
  <c r="AO139" i="7"/>
  <c r="AP139" i="7" s="1"/>
  <c r="AI143" i="5"/>
  <c r="AJ143" i="5" s="1"/>
  <c r="AO143" i="7"/>
  <c r="AP143" i="7" s="1"/>
  <c r="AO127" i="7"/>
  <c r="AP127" i="7" s="1"/>
  <c r="AI127" i="5"/>
  <c r="AJ127" i="5" s="1"/>
  <c r="AI131" i="5"/>
  <c r="AJ131" i="5" s="1"/>
  <c r="AO131" i="7"/>
  <c r="AP131" i="7" s="1"/>
  <c r="AI147" i="5"/>
  <c r="AJ147" i="5" s="1"/>
  <c r="AO147" i="7"/>
  <c r="AP147" i="7" s="1"/>
  <c r="AI141" i="5"/>
  <c r="AJ141" i="5" s="1"/>
  <c r="AO141" i="7"/>
  <c r="AP141" i="7" s="1"/>
  <c r="AI133" i="5"/>
  <c r="AJ133" i="5" s="1"/>
  <c r="AO133" i="7"/>
  <c r="AP133" i="7" s="1"/>
  <c r="BF136" i="7"/>
  <c r="BB136" i="7"/>
  <c r="AT136" i="7"/>
  <c r="BJ136" i="7"/>
  <c r="BH136" i="7"/>
  <c r="Z136" i="50" s="1"/>
  <c r="AA136" i="50" s="1"/>
  <c r="AZ136" i="7"/>
  <c r="AV136" i="7"/>
  <c r="AR136" i="7"/>
  <c r="BD136" i="7"/>
  <c r="AX136" i="7"/>
  <c r="AO152" i="7"/>
  <c r="AP152" i="7" s="1"/>
  <c r="AI152" i="5"/>
  <c r="AJ152" i="5" s="1"/>
  <c r="AO135" i="7"/>
  <c r="AP135" i="7" s="1"/>
  <c r="AI135" i="5"/>
  <c r="AJ135" i="5" s="1"/>
  <c r="AI154" i="5"/>
  <c r="AJ154" i="5" s="1"/>
  <c r="AO154" i="7"/>
  <c r="AP154" i="7" s="1"/>
  <c r="AT136" i="5"/>
  <c r="AP136" i="5"/>
  <c r="AL136" i="5"/>
  <c r="AR136" i="5"/>
  <c r="AN136" i="5"/>
  <c r="AX136" i="5"/>
  <c r="AV136" i="5"/>
  <c r="BF156" i="7"/>
  <c r="AV156" i="7"/>
  <c r="BH156" i="7"/>
  <c r="Z156" i="50" s="1"/>
  <c r="AA156" i="50" s="1"/>
  <c r="AR156" i="7"/>
  <c r="AT156" i="7"/>
  <c r="BB156" i="7"/>
  <c r="BD156" i="7"/>
  <c r="AX156" i="7"/>
  <c r="AZ156" i="7"/>
  <c r="BJ156" i="7"/>
  <c r="AP156" i="5"/>
  <c r="AL156" i="5"/>
  <c r="AR156" i="5"/>
  <c r="AX156" i="5"/>
  <c r="AV156" i="5"/>
  <c r="AT156" i="5"/>
  <c r="AN156" i="5"/>
  <c r="AC156" i="50" l="1"/>
  <c r="AI156" i="50"/>
  <c r="AE156" i="50"/>
  <c r="AG156" i="50"/>
  <c r="AC136" i="50"/>
  <c r="AG136" i="50"/>
  <c r="AI136" i="50"/>
  <c r="AE136" i="50"/>
  <c r="BF152" i="7"/>
  <c r="BJ152" i="7"/>
  <c r="AV152" i="7"/>
  <c r="AX152" i="7"/>
  <c r="AT152" i="7"/>
  <c r="AR152" i="7"/>
  <c r="BB152" i="7"/>
  <c r="BH152" i="7"/>
  <c r="Z152" i="50" s="1"/>
  <c r="AA152" i="50" s="1"/>
  <c r="AG152" i="50" s="1"/>
  <c r="AZ152" i="7"/>
  <c r="BD152" i="7"/>
  <c r="AP147" i="5"/>
  <c r="AT147" i="5"/>
  <c r="AX147" i="5"/>
  <c r="AV147" i="5"/>
  <c r="AN147" i="5"/>
  <c r="AR147" i="5"/>
  <c r="AL147" i="5"/>
  <c r="AL143" i="5"/>
  <c r="AN143" i="5"/>
  <c r="AP143" i="5"/>
  <c r="AX143" i="5"/>
  <c r="AR143" i="5"/>
  <c r="AT143" i="5"/>
  <c r="AV143" i="5"/>
  <c r="AR142" i="5"/>
  <c r="AN142" i="5"/>
  <c r="AV142" i="5"/>
  <c r="AX142" i="5"/>
  <c r="AL142" i="5"/>
  <c r="AT142" i="5"/>
  <c r="AP142" i="5"/>
  <c r="AZ136" i="5"/>
  <c r="AR141" i="5"/>
  <c r="AX141" i="5"/>
  <c r="AP141" i="5"/>
  <c r="AV141" i="5"/>
  <c r="AL141" i="5"/>
  <c r="AN141" i="5"/>
  <c r="AT141" i="5"/>
  <c r="AN127" i="5"/>
  <c r="AT127" i="5"/>
  <c r="AX127" i="5"/>
  <c r="AP127" i="5"/>
  <c r="AR127" i="5"/>
  <c r="AV127" i="5"/>
  <c r="AL127" i="5"/>
  <c r="AR134" i="5"/>
  <c r="AX134" i="5"/>
  <c r="AL134" i="5"/>
  <c r="AP134" i="5"/>
  <c r="AV134" i="5"/>
  <c r="AT134" i="5"/>
  <c r="AN134" i="5"/>
  <c r="AL153" i="5"/>
  <c r="AN153" i="5"/>
  <c r="AV153" i="5"/>
  <c r="AP153" i="5"/>
  <c r="AT153" i="5"/>
  <c r="AX153" i="5"/>
  <c r="AR153" i="5"/>
  <c r="AZ135" i="7"/>
  <c r="AV135" i="7"/>
  <c r="AX135" i="7"/>
  <c r="AR135" i="7"/>
  <c r="AT135" i="7"/>
  <c r="BD135" i="7"/>
  <c r="BF135" i="7"/>
  <c r="BJ135" i="7"/>
  <c r="BH135" i="7"/>
  <c r="Z135" i="50" s="1"/>
  <c r="AA135" i="50" s="1"/>
  <c r="BB135" i="7"/>
  <c r="BD133" i="7"/>
  <c r="BH133" i="7"/>
  <c r="Z133" i="50" s="1"/>
  <c r="AA133" i="50" s="1"/>
  <c r="AZ133" i="7"/>
  <c r="AT133" i="7"/>
  <c r="BF133" i="7"/>
  <c r="AR133" i="7"/>
  <c r="BJ133" i="7"/>
  <c r="AV133" i="7"/>
  <c r="AX133" i="7"/>
  <c r="BB133" i="7"/>
  <c r="BL156" i="7"/>
  <c r="AR147" i="7"/>
  <c r="BB147" i="7"/>
  <c r="AT147" i="7"/>
  <c r="BF147" i="7"/>
  <c r="AX147" i="7"/>
  <c r="AZ147" i="7"/>
  <c r="BD147" i="7"/>
  <c r="BJ147" i="7"/>
  <c r="AV147" i="7"/>
  <c r="BH147" i="7"/>
  <c r="Z147" i="50" s="1"/>
  <c r="AA147" i="50" s="1"/>
  <c r="AT131" i="7"/>
  <c r="AX131" i="7"/>
  <c r="AV131" i="7"/>
  <c r="BH131" i="7"/>
  <c r="Z131" i="50" s="1"/>
  <c r="AA131" i="50" s="1"/>
  <c r="BD131" i="7"/>
  <c r="AR131" i="7"/>
  <c r="AZ131" i="7"/>
  <c r="BB131" i="7"/>
  <c r="BJ131" i="7"/>
  <c r="BF131" i="7"/>
  <c r="BF127" i="7"/>
  <c r="BH127" i="7"/>
  <c r="Z127" i="50" s="1"/>
  <c r="AA127" i="50" s="1"/>
  <c r="AV127" i="7"/>
  <c r="AX127" i="7"/>
  <c r="BJ127" i="7"/>
  <c r="BB127" i="7"/>
  <c r="AT127" i="7"/>
  <c r="BD127" i="7"/>
  <c r="AZ127" i="7"/>
  <c r="AR127" i="7"/>
  <c r="BD134" i="7"/>
  <c r="AT134" i="7"/>
  <c r="BH134" i="7"/>
  <c r="Z134" i="50" s="1"/>
  <c r="AA134" i="50" s="1"/>
  <c r="AX134" i="7"/>
  <c r="BF134" i="7"/>
  <c r="BB134" i="7"/>
  <c r="AV134" i="7"/>
  <c r="BJ134" i="7"/>
  <c r="AR134" i="7"/>
  <c r="AZ134" i="7"/>
  <c r="BF153" i="7"/>
  <c r="BD153" i="7"/>
  <c r="AR153" i="7"/>
  <c r="BH153" i="7"/>
  <c r="Z153" i="50" s="1"/>
  <c r="AA153" i="50" s="1"/>
  <c r="BJ153" i="7"/>
  <c r="AX153" i="7"/>
  <c r="BB153" i="7"/>
  <c r="AT153" i="7"/>
  <c r="AV153" i="7"/>
  <c r="AZ153" i="7"/>
  <c r="AZ156" i="5"/>
  <c r="AT154" i="7"/>
  <c r="BH154" i="7"/>
  <c r="Z154" i="50" s="1"/>
  <c r="AA154" i="50" s="1"/>
  <c r="AR154" i="7"/>
  <c r="BD154" i="7"/>
  <c r="BF154" i="7"/>
  <c r="BB154" i="7"/>
  <c r="AX154" i="7"/>
  <c r="BJ154" i="7"/>
  <c r="AV154" i="7"/>
  <c r="AZ154" i="7"/>
  <c r="AT154" i="5"/>
  <c r="AR154" i="5"/>
  <c r="AN154" i="5"/>
  <c r="AV154" i="5"/>
  <c r="AL154" i="5"/>
  <c r="AX154" i="5"/>
  <c r="AP154" i="5"/>
  <c r="AT152" i="5"/>
  <c r="AR152" i="5"/>
  <c r="AN152" i="5"/>
  <c r="AX152" i="5"/>
  <c r="AV152" i="5"/>
  <c r="AL152" i="5"/>
  <c r="AP152" i="5"/>
  <c r="BL136" i="7"/>
  <c r="AN131" i="5"/>
  <c r="AR131" i="5"/>
  <c r="AV131" i="5"/>
  <c r="AL131" i="5"/>
  <c r="AP131" i="5"/>
  <c r="AT131" i="5"/>
  <c r="AX131" i="5"/>
  <c r="AR139" i="5"/>
  <c r="AN139" i="5"/>
  <c r="AT139" i="5"/>
  <c r="AL139" i="5"/>
  <c r="AP139" i="5"/>
  <c r="AX139" i="5"/>
  <c r="AV139" i="5"/>
  <c r="AC152" i="50" l="1"/>
  <c r="AI152" i="50"/>
  <c r="AE152" i="50"/>
  <c r="AE154" i="50"/>
  <c r="AC154" i="50"/>
  <c r="AG154" i="50"/>
  <c r="AI154" i="50"/>
  <c r="AC153" i="50"/>
  <c r="AG153" i="50"/>
  <c r="AI153" i="50"/>
  <c r="AE153" i="50"/>
  <c r="AE147" i="50"/>
  <c r="AC147" i="50"/>
  <c r="AI147" i="50"/>
  <c r="AG147" i="50"/>
  <c r="AE134" i="50"/>
  <c r="AG134" i="50"/>
  <c r="AI134" i="50"/>
  <c r="AC134" i="50"/>
  <c r="AI133" i="50"/>
  <c r="AE133" i="50"/>
  <c r="AG133" i="50"/>
  <c r="AC133" i="50"/>
  <c r="AC135" i="50"/>
  <c r="AG135" i="50"/>
  <c r="AE135" i="50"/>
  <c r="AI135" i="50"/>
  <c r="AC131" i="50"/>
  <c r="AE131" i="50"/>
  <c r="AG131" i="50"/>
  <c r="AI131" i="50"/>
  <c r="AE127" i="50"/>
  <c r="AG127" i="50"/>
  <c r="AI127" i="50"/>
  <c r="AC127" i="50"/>
  <c r="AZ152" i="5"/>
  <c r="AZ154" i="5"/>
  <c r="BL135" i="7"/>
  <c r="AZ134" i="5"/>
  <c r="BL154" i="7"/>
  <c r="BL134" i="7"/>
  <c r="BL147" i="7"/>
  <c r="AZ147" i="5"/>
  <c r="AZ131" i="5"/>
  <c r="AI124" i="5"/>
  <c r="AJ124" i="5" s="1"/>
  <c r="AO124" i="7"/>
  <c r="AP124" i="7" s="1"/>
  <c r="BL131" i="7"/>
  <c r="AZ143" i="5"/>
  <c r="AZ139" i="5"/>
  <c r="BL127" i="7"/>
  <c r="AZ153" i="5"/>
  <c r="AZ127" i="5"/>
  <c r="BL153" i="7"/>
  <c r="AZ142" i="5"/>
  <c r="BL152" i="7"/>
  <c r="BL133" i="7"/>
  <c r="AZ141" i="5"/>
  <c r="BF124" i="7" l="1"/>
  <c r="BH124" i="7"/>
  <c r="Z124" i="50" s="1"/>
  <c r="AA124" i="50" s="1"/>
  <c r="BJ124" i="7"/>
  <c r="BB124" i="7"/>
  <c r="AR124" i="7"/>
  <c r="AZ124" i="7"/>
  <c r="AX124" i="7"/>
  <c r="AT124" i="7"/>
  <c r="AV124" i="7"/>
  <c r="BD124" i="7"/>
  <c r="AP124" i="5"/>
  <c r="AT124" i="5"/>
  <c r="AL124" i="5"/>
  <c r="AR124" i="5"/>
  <c r="AV124" i="5"/>
  <c r="AN124" i="5"/>
  <c r="AX124" i="5"/>
  <c r="AG124" i="50" l="1"/>
  <c r="AE124" i="50"/>
  <c r="AC124" i="50"/>
  <c r="AI124" i="50"/>
  <c r="BL124" i="7"/>
  <c r="AZ124" i="5"/>
  <c r="F157" i="5" l="1"/>
  <c r="L157" i="5" s="1"/>
  <c r="AI157" i="5"/>
  <c r="F157" i="7"/>
  <c r="L157" i="7" s="1"/>
  <c r="AO157" i="7"/>
  <c r="Z157" i="7" l="1"/>
  <c r="X157" i="7"/>
  <c r="V157" i="7"/>
  <c r="AB157" i="7"/>
  <c r="T157" i="7"/>
  <c r="R157" i="7"/>
  <c r="P157" i="7"/>
  <c r="AH157" i="7"/>
  <c r="AF157" i="7"/>
  <c r="F157" i="50" s="1"/>
  <c r="AD157" i="7"/>
  <c r="X157" i="5"/>
  <c r="V157" i="5"/>
  <c r="T157" i="5"/>
  <c r="R157" i="5"/>
  <c r="P157" i="5"/>
  <c r="Z157" i="5"/>
  <c r="AB157" i="5"/>
  <c r="AP157" i="7"/>
  <c r="AJ157" i="5"/>
  <c r="L157" i="50" l="1"/>
  <c r="AN157" i="5"/>
  <c r="AX157" i="7"/>
  <c r="AZ157" i="7"/>
  <c r="BJ157" i="7"/>
  <c r="AL157" i="5"/>
  <c r="AR157" i="7"/>
  <c r="AP157" i="5"/>
  <c r="BH157" i="7"/>
  <c r="Z157" i="50" s="1"/>
  <c r="AA157" i="50" s="1"/>
  <c r="AX157" i="5"/>
  <c r="AT157" i="7"/>
  <c r="AV157" i="5"/>
  <c r="AT157" i="5"/>
  <c r="AV157" i="7"/>
  <c r="AD157" i="5"/>
  <c r="AF157" i="5" s="1"/>
  <c r="AJ157" i="7"/>
  <c r="AL157" i="7" s="1"/>
  <c r="BF157" i="7"/>
  <c r="AR157" i="5"/>
  <c r="BB157" i="7"/>
  <c r="BD157" i="7"/>
  <c r="V157" i="50" l="1"/>
  <c r="AI157" i="50" s="1"/>
  <c r="T157" i="50"/>
  <c r="AG157" i="50" s="1"/>
  <c r="R157" i="50"/>
  <c r="AE157" i="50" s="1"/>
  <c r="P157" i="50"/>
  <c r="AC157" i="50" s="1"/>
  <c r="AZ157" i="5"/>
  <c r="BL157" i="7"/>
  <c r="F145" i="7" l="1"/>
  <c r="L145" i="7" s="1"/>
  <c r="F145" i="5"/>
  <c r="L145" i="5" s="1"/>
  <c r="H178" i="7" l="1"/>
  <c r="AO121" i="7" l="1"/>
  <c r="AP121" i="7" s="1"/>
  <c r="F121" i="5"/>
  <c r="L121" i="5" s="1"/>
  <c r="F176" i="7"/>
  <c r="F176" i="5"/>
  <c r="AB121" i="5" l="1"/>
  <c r="Z121" i="5"/>
  <c r="X121" i="5"/>
  <c r="T121" i="5"/>
  <c r="R121" i="5"/>
  <c r="P121" i="5"/>
  <c r="V121" i="5"/>
  <c r="AI121" i="5"/>
  <c r="AJ121" i="5" s="1"/>
  <c r="L176" i="5"/>
  <c r="F178" i="5"/>
  <c r="L176" i="7"/>
  <c r="F178" i="7"/>
  <c r="AZ121" i="7"/>
  <c r="AX121" i="7"/>
  <c r="AV121" i="7"/>
  <c r="BJ121" i="7"/>
  <c r="BD121" i="7"/>
  <c r="AR121" i="7"/>
  <c r="AT121" i="7"/>
  <c r="BH121" i="7"/>
  <c r="Z121" i="50" s="1"/>
  <c r="AA121" i="50" s="1"/>
  <c r="BB121" i="7"/>
  <c r="BF121" i="7"/>
  <c r="AI121" i="50" l="1"/>
  <c r="AC121" i="50"/>
  <c r="AE121" i="50"/>
  <c r="AG121" i="50"/>
  <c r="L178" i="7"/>
  <c r="AB176" i="5"/>
  <c r="Z176" i="5"/>
  <c r="X176" i="5"/>
  <c r="V176" i="5"/>
  <c r="T176" i="5"/>
  <c r="R176" i="5"/>
  <c r="P176" i="5"/>
  <c r="BL121" i="7"/>
  <c r="L178" i="5"/>
  <c r="X178" i="5" l="1"/>
  <c r="T178" i="5"/>
  <c r="AB178" i="5"/>
  <c r="V178" i="5"/>
  <c r="AD176" i="5"/>
  <c r="P178" i="5"/>
  <c r="R178" i="5"/>
  <c r="Z178" i="5"/>
  <c r="AF176" i="5" l="1"/>
  <c r="AD178" i="5"/>
  <c r="AF178" i="5" s="1"/>
  <c r="F120" i="5" l="1"/>
  <c r="L120" i="5" s="1"/>
  <c r="F120" i="7"/>
  <c r="L120" i="7" s="1"/>
  <c r="AH120" i="7" l="1"/>
  <c r="R120" i="7"/>
  <c r="AF120" i="7"/>
  <c r="F120" i="50" s="1"/>
  <c r="P120" i="7"/>
  <c r="AD120" i="7"/>
  <c r="AB120" i="7"/>
  <c r="X120" i="7"/>
  <c r="V120" i="7"/>
  <c r="Z120" i="7"/>
  <c r="T120" i="7"/>
  <c r="Z120" i="5"/>
  <c r="X120" i="5"/>
  <c r="V120" i="5"/>
  <c r="R120" i="5"/>
  <c r="P120" i="5"/>
  <c r="T120" i="5"/>
  <c r="AB120" i="5"/>
  <c r="AI120" i="5"/>
  <c r="AJ120" i="5" s="1"/>
  <c r="AO120" i="7"/>
  <c r="AP120" i="7" s="1"/>
  <c r="L120" i="50" l="1"/>
  <c r="AD120" i="5"/>
  <c r="AF120" i="5" s="1"/>
  <c r="AL120" i="5"/>
  <c r="AR120" i="5"/>
  <c r="AT120" i="5"/>
  <c r="AN120" i="5"/>
  <c r="AP120" i="5"/>
  <c r="AX120" i="5"/>
  <c r="AV120" i="5"/>
  <c r="BF120" i="7"/>
  <c r="AX120" i="7"/>
  <c r="AV120" i="7"/>
  <c r="BB120" i="7"/>
  <c r="BH120" i="7"/>
  <c r="Z120" i="50" s="1"/>
  <c r="AA120" i="50" s="1"/>
  <c r="BJ120" i="7"/>
  <c r="AZ120" i="7"/>
  <c r="BD120" i="7"/>
  <c r="AT120" i="7"/>
  <c r="AR120" i="7"/>
  <c r="AJ120" i="7"/>
  <c r="AL120" i="7" s="1"/>
  <c r="V120" i="50" l="1"/>
  <c r="AI120" i="50" s="1"/>
  <c r="T120" i="50"/>
  <c r="AG120" i="50" s="1"/>
  <c r="P120" i="50"/>
  <c r="AC120" i="50" s="1"/>
  <c r="R120" i="50"/>
  <c r="AE120" i="50" s="1"/>
  <c r="AZ120" i="5"/>
  <c r="BL120" i="7"/>
  <c r="F117" i="7" l="1"/>
  <c r="L117" i="7" s="1"/>
  <c r="AO117" i="7"/>
  <c r="F117" i="5"/>
  <c r="L117" i="5" s="1"/>
  <c r="AI117" i="5"/>
  <c r="AD117" i="7" l="1"/>
  <c r="AB117" i="7"/>
  <c r="Z117" i="7"/>
  <c r="P117" i="7"/>
  <c r="AH117" i="7"/>
  <c r="AF117" i="7"/>
  <c r="F117" i="50" s="1"/>
  <c r="R117" i="7"/>
  <c r="X117" i="7"/>
  <c r="V117" i="7"/>
  <c r="T117" i="7"/>
  <c r="T117" i="5"/>
  <c r="R117" i="5"/>
  <c r="P117" i="5"/>
  <c r="AB117" i="5"/>
  <c r="H33" i="52" s="1"/>
  <c r="H34" i="52" s="1"/>
  <c r="Z117" i="5"/>
  <c r="X117" i="5"/>
  <c r="V117" i="5"/>
  <c r="AP117" i="7"/>
  <c r="AJ117" i="5"/>
  <c r="F33" i="60" l="1"/>
  <c r="L117" i="50"/>
  <c r="BF117" i="7"/>
  <c r="BD117" i="7"/>
  <c r="AD117" i="5"/>
  <c r="AF117" i="5" s="1"/>
  <c r="AT117" i="7"/>
  <c r="AV117" i="7"/>
  <c r="AP117" i="5"/>
  <c r="AR117" i="5"/>
  <c r="AL117" i="5"/>
  <c r="AT117" i="5"/>
  <c r="AN117" i="5"/>
  <c r="AV117" i="5"/>
  <c r="AX117" i="7"/>
  <c r="AJ117" i="7"/>
  <c r="AL117" i="7" s="1"/>
  <c r="BH117" i="7"/>
  <c r="Z117" i="50" s="1"/>
  <c r="AA117" i="50" s="1"/>
  <c r="AZ117" i="7"/>
  <c r="BB117" i="7"/>
  <c r="BJ117" i="7"/>
  <c r="AX117" i="5"/>
  <c r="AR117" i="7"/>
  <c r="F33" i="61" l="1"/>
  <c r="F34" i="61" s="1"/>
  <c r="T117" i="50"/>
  <c r="AG117" i="50" s="1"/>
  <c r="V117" i="50"/>
  <c r="AI117" i="50" s="1"/>
  <c r="P117" i="50"/>
  <c r="AC117" i="50" s="1"/>
  <c r="R117" i="50"/>
  <c r="AE117" i="50" s="1"/>
  <c r="F119" i="5"/>
  <c r="L119" i="5" s="1"/>
  <c r="F119" i="7"/>
  <c r="L119" i="7" s="1"/>
  <c r="BL117" i="7"/>
  <c r="AZ117" i="5"/>
  <c r="V119" i="7" l="1"/>
  <c r="T119" i="7"/>
  <c r="AH119" i="7"/>
  <c r="R119" i="7"/>
  <c r="Z119" i="7"/>
  <c r="P119" i="7"/>
  <c r="AF119" i="7"/>
  <c r="F119" i="50" s="1"/>
  <c r="AD119" i="7"/>
  <c r="AB119" i="7"/>
  <c r="X119" i="7"/>
  <c r="X119" i="5"/>
  <c r="V119" i="5"/>
  <c r="T119" i="5"/>
  <c r="P119" i="5"/>
  <c r="R119" i="5"/>
  <c r="AB119" i="5"/>
  <c r="Z119" i="5"/>
  <c r="AI119" i="5"/>
  <c r="AJ119" i="5" s="1"/>
  <c r="AO119" i="7"/>
  <c r="AP119" i="7" s="1"/>
  <c r="L119" i="50" l="1"/>
  <c r="AJ119" i="7"/>
  <c r="BF119" i="7"/>
  <c r="BJ119" i="7"/>
  <c r="AZ119" i="7"/>
  <c r="AT119" i="7"/>
  <c r="BB119" i="7"/>
  <c r="AR119" i="7"/>
  <c r="AV119" i="7"/>
  <c r="BD119" i="7"/>
  <c r="AX119" i="7"/>
  <c r="BH119" i="7"/>
  <c r="Z119" i="50" s="1"/>
  <c r="AA119" i="50" s="1"/>
  <c r="AD119" i="5"/>
  <c r="AT119" i="5"/>
  <c r="AP119" i="5"/>
  <c r="AX119" i="5"/>
  <c r="AN119" i="5"/>
  <c r="AV119" i="5"/>
  <c r="AR119" i="5"/>
  <c r="AL119" i="5"/>
  <c r="V119" i="50" l="1"/>
  <c r="AI119" i="50" s="1"/>
  <c r="T119" i="50"/>
  <c r="AG119" i="50" s="1"/>
  <c r="R119" i="50"/>
  <c r="AE119" i="50" s="1"/>
  <c r="P119" i="50"/>
  <c r="AC119" i="50" s="1"/>
  <c r="BL119" i="7"/>
  <c r="AZ119" i="5"/>
  <c r="AI148" i="5" l="1"/>
  <c r="AO148" i="7"/>
  <c r="F149" i="5"/>
  <c r="L149" i="5" s="1"/>
  <c r="F149" i="7"/>
  <c r="L149" i="7" s="1"/>
  <c r="V149" i="7" l="1"/>
  <c r="T149" i="7"/>
  <c r="AH149" i="7"/>
  <c r="R149" i="7"/>
  <c r="AF149" i="7"/>
  <c r="AD149" i="7"/>
  <c r="AB149" i="7"/>
  <c r="Z149" i="7"/>
  <c r="X149" i="7"/>
  <c r="P149" i="7"/>
  <c r="Z149" i="5"/>
  <c r="X149" i="5"/>
  <c r="V149" i="5"/>
  <c r="T149" i="5"/>
  <c r="R149" i="5"/>
  <c r="P149" i="5"/>
  <c r="AB149" i="5"/>
  <c r="AO149" i="7"/>
  <c r="AP149" i="7" s="1"/>
  <c r="F148" i="5"/>
  <c r="L148" i="5" s="1"/>
  <c r="F148" i="7"/>
  <c r="AI149" i="5"/>
  <c r="AJ149" i="5" s="1"/>
  <c r="X148" i="5" l="1"/>
  <c r="V148" i="5"/>
  <c r="T148" i="5"/>
  <c r="R148" i="5"/>
  <c r="P148" i="5"/>
  <c r="AB148" i="5"/>
  <c r="Z148" i="5"/>
  <c r="AJ148" i="5"/>
  <c r="AR149" i="7"/>
  <c r="AX149" i="7"/>
  <c r="AZ149" i="7"/>
  <c r="BB149" i="7"/>
  <c r="AV149" i="7"/>
  <c r="BH149" i="7"/>
  <c r="Z149" i="50" s="1"/>
  <c r="AT149" i="7"/>
  <c r="BJ149" i="7"/>
  <c r="BD149" i="7"/>
  <c r="BF149" i="7"/>
  <c r="L148" i="7"/>
  <c r="AP148" i="7"/>
  <c r="AX149" i="5"/>
  <c r="AN149" i="5"/>
  <c r="AV149" i="5"/>
  <c r="AT149" i="5"/>
  <c r="AL149" i="5"/>
  <c r="AP149" i="5"/>
  <c r="AR149" i="5"/>
  <c r="AD149" i="5"/>
  <c r="AF149" i="5" s="1"/>
  <c r="AJ149" i="7"/>
  <c r="AL149" i="7" s="1"/>
  <c r="AP148" i="5" l="1"/>
  <c r="Z148" i="7"/>
  <c r="BB148" i="7" s="1"/>
  <c r="X148" i="7"/>
  <c r="V148" i="7"/>
  <c r="D41" i="52" s="1"/>
  <c r="AF148" i="7"/>
  <c r="BH148" i="7" s="1"/>
  <c r="Z148" i="50" s="1"/>
  <c r="AD148" i="7"/>
  <c r="BF148" i="7" s="1"/>
  <c r="AB148" i="7"/>
  <c r="BD148" i="7" s="1"/>
  <c r="T148" i="7"/>
  <c r="AV148" i="7" s="1"/>
  <c r="R148" i="7"/>
  <c r="AT148" i="7" s="1"/>
  <c r="P148" i="7"/>
  <c r="AR148" i="7" s="1"/>
  <c r="AH148" i="7"/>
  <c r="BJ148" i="7" s="1"/>
  <c r="AV148" i="5"/>
  <c r="AZ149" i="5"/>
  <c r="AD148" i="5"/>
  <c r="AF148" i="5" s="1"/>
  <c r="AL148" i="5"/>
  <c r="AR148" i="5"/>
  <c r="BL149" i="7"/>
  <c r="AT148" i="5"/>
  <c r="AX148" i="5"/>
  <c r="AN148" i="5"/>
  <c r="F41" i="52" l="1"/>
  <c r="AZ148" i="7"/>
  <c r="AX148" i="7"/>
  <c r="AJ148" i="7"/>
  <c r="AZ148" i="5"/>
  <c r="BL148" i="7" l="1"/>
  <c r="AL148" i="7"/>
  <c r="AO116" i="7" l="1"/>
  <c r="F116" i="7"/>
  <c r="L116" i="7" s="1"/>
  <c r="F116" i="5"/>
  <c r="L116" i="5" s="1"/>
  <c r="AI116" i="5" l="1"/>
  <c r="AJ116" i="5" s="1"/>
  <c r="AH116" i="7"/>
  <c r="R116" i="7"/>
  <c r="AF116" i="7"/>
  <c r="P116" i="7"/>
  <c r="AD116" i="7"/>
  <c r="Z116" i="7"/>
  <c r="X116" i="7"/>
  <c r="AB116" i="7"/>
  <c r="V116" i="7"/>
  <c r="T116" i="7"/>
  <c r="R116" i="5"/>
  <c r="P116" i="5"/>
  <c r="Z116" i="5"/>
  <c r="X116" i="5"/>
  <c r="T116" i="5"/>
  <c r="V116" i="5"/>
  <c r="AB116" i="5"/>
  <c r="AP116" i="7"/>
  <c r="F116" i="50" l="1"/>
  <c r="L116" i="50" s="1"/>
  <c r="AL116" i="5"/>
  <c r="AP116" i="5"/>
  <c r="BF116" i="7"/>
  <c r="BD116" i="7"/>
  <c r="AR116" i="5"/>
  <c r="AX116" i="7"/>
  <c r="AD116" i="5"/>
  <c r="AN116" i="5"/>
  <c r="AV116" i="5"/>
  <c r="AX116" i="5"/>
  <c r="AJ116" i="7"/>
  <c r="AT116" i="7"/>
  <c r="BH116" i="7"/>
  <c r="Z116" i="50" s="1"/>
  <c r="BJ116" i="7"/>
  <c r="AR116" i="7"/>
  <c r="BB116" i="7"/>
  <c r="AZ116" i="7"/>
  <c r="AV116" i="7"/>
  <c r="AT116" i="5"/>
  <c r="AF116" i="5" l="1"/>
  <c r="AL116" i="7"/>
  <c r="AA116" i="50"/>
  <c r="T116" i="50"/>
  <c r="V116" i="50"/>
  <c r="P116" i="50"/>
  <c r="R116" i="50"/>
  <c r="AZ116" i="5"/>
  <c r="BL116" i="7"/>
  <c r="AI116" i="50" l="1"/>
  <c r="AG116" i="50"/>
  <c r="AE116" i="50"/>
  <c r="AC116" i="50"/>
  <c r="F122" i="5"/>
  <c r="L122" i="5" s="1"/>
  <c r="AI122" i="5"/>
  <c r="F122" i="7"/>
  <c r="L122" i="7" s="1"/>
  <c r="AO122" i="7"/>
  <c r="AP122" i="7" l="1"/>
  <c r="Z122" i="7"/>
  <c r="X122" i="7"/>
  <c r="V122" i="7"/>
  <c r="AF122" i="7"/>
  <c r="F122" i="50" s="1"/>
  <c r="AB122" i="7"/>
  <c r="T122" i="7"/>
  <c r="AH122" i="7"/>
  <c r="AD122" i="7"/>
  <c r="R122" i="7"/>
  <c r="P122" i="7"/>
  <c r="AB122" i="5"/>
  <c r="Z122" i="5"/>
  <c r="V122" i="5"/>
  <c r="T122" i="5"/>
  <c r="R122" i="5"/>
  <c r="P122" i="5"/>
  <c r="X122" i="5"/>
  <c r="AJ122" i="5"/>
  <c r="L122" i="50" l="1"/>
  <c r="AT122" i="7"/>
  <c r="BF122" i="7"/>
  <c r="AD122" i="5"/>
  <c r="AF122" i="5" s="1"/>
  <c r="AX122" i="7"/>
  <c r="AJ122" i="7"/>
  <c r="AL122" i="7" s="1"/>
  <c r="AR122" i="7"/>
  <c r="AZ122" i="7"/>
  <c r="BB122" i="7"/>
  <c r="AT122" i="5"/>
  <c r="AP122" i="5"/>
  <c r="AV122" i="5"/>
  <c r="AR122" i="5"/>
  <c r="AX122" i="5"/>
  <c r="AL122" i="5"/>
  <c r="AN122" i="5"/>
  <c r="BH122" i="7"/>
  <c r="Z122" i="50" s="1"/>
  <c r="AA122" i="50" s="1"/>
  <c r="AV122" i="7"/>
  <c r="BJ122" i="7"/>
  <c r="BD122" i="7"/>
  <c r="R122" i="50" l="1"/>
  <c r="AE122" i="50" s="1"/>
  <c r="P122" i="50"/>
  <c r="AC122" i="50" s="1"/>
  <c r="V122" i="50"/>
  <c r="AI122" i="50" s="1"/>
  <c r="T122" i="50"/>
  <c r="AG122" i="50" s="1"/>
  <c r="BL122" i="7"/>
  <c r="AZ122" i="5"/>
  <c r="L95" i="7" l="1"/>
  <c r="H95" i="7"/>
  <c r="H97" i="7" s="1"/>
  <c r="H164" i="7" s="1"/>
  <c r="H180" i="7" s="1"/>
  <c r="F95" i="7"/>
  <c r="F95" i="5"/>
  <c r="X95" i="5" l="1"/>
  <c r="Z95" i="5"/>
  <c r="AB95" i="5"/>
  <c r="P95" i="5"/>
  <c r="T95" i="5"/>
  <c r="V95" i="5"/>
  <c r="R95" i="5"/>
  <c r="L95" i="5"/>
  <c r="P95" i="7"/>
  <c r="R95" i="7"/>
  <c r="AH95" i="7"/>
  <c r="AB95" i="7"/>
  <c r="V95" i="7"/>
  <c r="T95" i="7"/>
  <c r="AF95" i="7"/>
  <c r="Z95" i="7"/>
  <c r="X95" i="7"/>
  <c r="AD95" i="7"/>
  <c r="F118" i="7" l="1"/>
  <c r="L118" i="7" s="1"/>
  <c r="AO118" i="7" l="1"/>
  <c r="AP118" i="7" s="1"/>
  <c r="Z118" i="7"/>
  <c r="D44" i="60" s="1"/>
  <c r="X118" i="7"/>
  <c r="V118" i="7"/>
  <c r="D41" i="60" s="1"/>
  <c r="R118" i="7"/>
  <c r="D38" i="60" s="1"/>
  <c r="AH118" i="7"/>
  <c r="AD118" i="7"/>
  <c r="D46" i="60" s="1"/>
  <c r="T118" i="7"/>
  <c r="D39" i="60" s="1"/>
  <c r="AB118" i="7"/>
  <c r="D45" i="60" s="1"/>
  <c r="AF118" i="7"/>
  <c r="P118" i="7"/>
  <c r="F118" i="5"/>
  <c r="L118" i="5" s="1"/>
  <c r="D51" i="60" l="1"/>
  <c r="D42" i="60"/>
  <c r="D43" i="60"/>
  <c r="D37" i="60"/>
  <c r="F118" i="50"/>
  <c r="L118" i="50" s="1"/>
  <c r="AI118" i="5"/>
  <c r="AJ118" i="5" s="1"/>
  <c r="BJ118" i="7"/>
  <c r="AV118" i="7"/>
  <c r="V118" i="5"/>
  <c r="D30" i="60" s="1"/>
  <c r="T118" i="5"/>
  <c r="D29" i="60" s="1"/>
  <c r="R118" i="5"/>
  <c r="D28" i="60" s="1"/>
  <c r="AB118" i="5"/>
  <c r="D33" i="60" s="1"/>
  <c r="Z118" i="5"/>
  <c r="D32" i="60" s="1"/>
  <c r="X118" i="5"/>
  <c r="D31" i="60" s="1"/>
  <c r="P118" i="5"/>
  <c r="BD118" i="7"/>
  <c r="BH118" i="7"/>
  <c r="Z118" i="50" s="1"/>
  <c r="AZ118" i="7"/>
  <c r="BF118" i="7"/>
  <c r="AT118" i="7"/>
  <c r="AX118" i="7"/>
  <c r="BB118" i="7"/>
  <c r="AJ118" i="7"/>
  <c r="AR118" i="7"/>
  <c r="D27" i="60" l="1"/>
  <c r="AL118" i="7"/>
  <c r="AA118" i="50"/>
  <c r="R118" i="50"/>
  <c r="D49" i="60" s="1"/>
  <c r="P118" i="50"/>
  <c r="V118" i="50"/>
  <c r="T118" i="50"/>
  <c r="D50" i="60" s="1"/>
  <c r="AL118" i="5"/>
  <c r="AT118" i="5"/>
  <c r="AR118" i="5"/>
  <c r="AV118" i="5"/>
  <c r="BL118" i="7"/>
  <c r="AX118" i="5"/>
  <c r="AD118" i="5"/>
  <c r="AP118" i="5"/>
  <c r="AN118" i="5"/>
  <c r="D48" i="60" l="1"/>
  <c r="AF118" i="5"/>
  <c r="D34" i="60"/>
  <c r="J41" i="60"/>
  <c r="AI118" i="50"/>
  <c r="AG118" i="50"/>
  <c r="AE118" i="50"/>
  <c r="AC118" i="50"/>
  <c r="AZ118" i="5"/>
  <c r="D52" i="60" l="1"/>
  <c r="AD23" i="5"/>
  <c r="AR23" i="5" s="1"/>
  <c r="P31" i="5"/>
  <c r="R31" i="5"/>
  <c r="T31" i="5"/>
  <c r="V31" i="5"/>
  <c r="X31" i="5"/>
  <c r="Z31" i="5"/>
  <c r="AB31" i="5"/>
  <c r="P67" i="5"/>
  <c r="R67" i="5"/>
  <c r="R75" i="5" s="1"/>
  <c r="Z38" i="11" s="1"/>
  <c r="T67" i="5"/>
  <c r="T75" i="5" s="1"/>
  <c r="AB38" i="11" s="1"/>
  <c r="V67" i="5"/>
  <c r="V75" i="5" s="1"/>
  <c r="AD38" i="11" s="1"/>
  <c r="X67" i="5"/>
  <c r="X75" i="5" s="1"/>
  <c r="AF38" i="11" s="1"/>
  <c r="Z67" i="5"/>
  <c r="Z75" i="5" s="1"/>
  <c r="AH38" i="11" s="1"/>
  <c r="AB67" i="5"/>
  <c r="AB75" i="5" s="1"/>
  <c r="AJ38" i="11" s="1"/>
  <c r="AD121" i="5"/>
  <c r="AL121" i="5"/>
  <c r="AN121" i="5"/>
  <c r="AP121" i="5"/>
  <c r="AR121" i="5"/>
  <c r="AT121" i="5"/>
  <c r="AV121" i="5"/>
  <c r="AX121" i="5"/>
  <c r="AD135" i="5"/>
  <c r="AF135" i="5" s="1"/>
  <c r="AL135" i="5"/>
  <c r="AN135" i="5"/>
  <c r="AP135" i="5"/>
  <c r="AR135" i="5"/>
  <c r="AT135" i="5"/>
  <c r="AV135" i="5"/>
  <c r="AX135" i="5"/>
  <c r="J48" i="60" l="1"/>
  <c r="J50" i="60"/>
  <c r="J49" i="60"/>
  <c r="AD31" i="5"/>
  <c r="AF31" i="5" s="1"/>
  <c r="AX23" i="5"/>
  <c r="AX31" i="5" s="1"/>
  <c r="AV23" i="5"/>
  <c r="AV31" i="5" s="1"/>
  <c r="AT23" i="5"/>
  <c r="AT31" i="5" s="1"/>
  <c r="AP23" i="5"/>
  <c r="AP31" i="5" s="1"/>
  <c r="AN23" i="5"/>
  <c r="AN31" i="5" s="1"/>
  <c r="AZ135" i="5"/>
  <c r="AL23" i="5"/>
  <c r="AL31" i="5" s="1"/>
  <c r="AZ121" i="5"/>
  <c r="AD67" i="5"/>
  <c r="AD75" i="5" s="1"/>
  <c r="AF23" i="5"/>
  <c r="AR31" i="5"/>
  <c r="P75" i="5"/>
  <c r="X38" i="11" s="1"/>
  <c r="Z39" i="11" l="1"/>
  <c r="AB39" i="11"/>
  <c r="AD39" i="11"/>
  <c r="AJ39" i="11"/>
  <c r="AF39" i="11"/>
  <c r="X39" i="11"/>
  <c r="AH39" i="11"/>
  <c r="AF67" i="5"/>
  <c r="AZ23" i="5"/>
  <c r="AZ31" i="5" s="1"/>
  <c r="AF75" i="5"/>
  <c r="AJ23" i="7" l="1"/>
  <c r="AR23" i="7" s="1"/>
  <c r="AJ27" i="7"/>
  <c r="AR27" i="7" s="1"/>
  <c r="AJ28" i="7"/>
  <c r="AX28" i="7" s="1"/>
  <c r="AJ29" i="7"/>
  <c r="AZ29" i="7" s="1"/>
  <c r="AJ45" i="7"/>
  <c r="AL45" i="7" s="1"/>
  <c r="AJ49" i="7"/>
  <c r="AL49" i="7" s="1"/>
  <c r="AJ50" i="7"/>
  <c r="AL50" i="7" s="1"/>
  <c r="AJ51" i="7"/>
  <c r="AL51" i="7" s="1"/>
  <c r="P67" i="7"/>
  <c r="R67" i="7"/>
  <c r="T67" i="7"/>
  <c r="V67" i="7"/>
  <c r="X67" i="7"/>
  <c r="Z67" i="7"/>
  <c r="AB67" i="7"/>
  <c r="AD67" i="7"/>
  <c r="AF67" i="7"/>
  <c r="F67" i="50" s="1"/>
  <c r="L67" i="50" s="1"/>
  <c r="AH67" i="7"/>
  <c r="P71" i="7"/>
  <c r="R71" i="7"/>
  <c r="T71" i="7"/>
  <c r="V71" i="7"/>
  <c r="X71" i="7"/>
  <c r="Z71" i="7"/>
  <c r="AB71" i="7"/>
  <c r="AD71" i="7"/>
  <c r="AF71" i="7"/>
  <c r="F71" i="50" s="1"/>
  <c r="L71" i="50" s="1"/>
  <c r="AH71" i="7"/>
  <c r="P72" i="7"/>
  <c r="R72" i="7"/>
  <c r="T72" i="7"/>
  <c r="V72" i="7"/>
  <c r="X72" i="7"/>
  <c r="Z72" i="7"/>
  <c r="AB72" i="7"/>
  <c r="AD72" i="7"/>
  <c r="AF72" i="7"/>
  <c r="F72" i="50" s="1"/>
  <c r="L72" i="50" s="1"/>
  <c r="AH72" i="7"/>
  <c r="P73" i="7"/>
  <c r="R73" i="7"/>
  <c r="T73" i="7"/>
  <c r="V73" i="7"/>
  <c r="X73" i="7"/>
  <c r="Z73" i="7"/>
  <c r="AB73" i="7"/>
  <c r="AD73" i="7"/>
  <c r="AF73" i="7"/>
  <c r="F73" i="50" s="1"/>
  <c r="L73" i="50" s="1"/>
  <c r="AH73" i="7"/>
  <c r="AJ139" i="7"/>
  <c r="AL139" i="7" s="1"/>
  <c r="AR139" i="7"/>
  <c r="AT139" i="7"/>
  <c r="AV139" i="7"/>
  <c r="AX139" i="7"/>
  <c r="AZ139" i="7"/>
  <c r="BB139" i="7"/>
  <c r="BD139" i="7"/>
  <c r="BF139" i="7"/>
  <c r="BH139" i="7"/>
  <c r="Z139" i="50" s="1"/>
  <c r="AA139" i="50" s="1"/>
  <c r="BJ139" i="7"/>
  <c r="AJ140" i="7"/>
  <c r="AL140" i="7" s="1"/>
  <c r="AR140" i="7"/>
  <c r="AT140" i="7"/>
  <c r="AV140" i="7"/>
  <c r="AX140" i="7"/>
  <c r="AZ140" i="7"/>
  <c r="BB140" i="7"/>
  <c r="BD140" i="7"/>
  <c r="BF140" i="7"/>
  <c r="BH140" i="7"/>
  <c r="Z140" i="50" s="1"/>
  <c r="AA140" i="50" s="1"/>
  <c r="BJ140" i="7"/>
  <c r="AI139" i="50" l="1"/>
  <c r="AE139" i="50"/>
  <c r="AC139" i="50"/>
  <c r="AG139" i="50"/>
  <c r="AI140" i="50"/>
  <c r="AC140" i="50"/>
  <c r="AE140" i="50"/>
  <c r="AG140" i="50"/>
  <c r="BH29" i="7"/>
  <c r="BF29" i="7"/>
  <c r="BD29" i="7"/>
  <c r="BB29" i="7"/>
  <c r="AL29" i="7"/>
  <c r="BH28" i="7"/>
  <c r="BJ29" i="7"/>
  <c r="AJ67" i="7"/>
  <c r="AL67" i="7" s="1"/>
  <c r="BJ28" i="7"/>
  <c r="BF23" i="7"/>
  <c r="BF27" i="7"/>
  <c r="AJ71" i="7"/>
  <c r="AL71" i="7" s="1"/>
  <c r="AX29" i="7"/>
  <c r="BD27" i="7"/>
  <c r="AV29" i="7"/>
  <c r="BB27" i="7"/>
  <c r="BL140" i="7"/>
  <c r="BH23" i="7"/>
  <c r="AL23" i="7"/>
  <c r="BL139" i="7"/>
  <c r="AJ72" i="7"/>
  <c r="AL72" i="7" s="1"/>
  <c r="BF28" i="7"/>
  <c r="BD23" i="7"/>
  <c r="AJ73" i="7"/>
  <c r="AL73" i="7" s="1"/>
  <c r="BD28" i="7"/>
  <c r="BB23" i="7"/>
  <c r="AT29" i="7"/>
  <c r="BB28" i="7"/>
  <c r="AV27" i="7"/>
  <c r="AZ23" i="7"/>
  <c r="AR29" i="7"/>
  <c r="AV28" i="7"/>
  <c r="AL27" i="7"/>
  <c r="AX23" i="7"/>
  <c r="AR28" i="7"/>
  <c r="AV23" i="7"/>
  <c r="AL28" i="7"/>
  <c r="BJ23" i="7"/>
  <c r="AT23" i="7"/>
  <c r="AT28" i="7"/>
  <c r="AZ27" i="7"/>
  <c r="AX27" i="7"/>
  <c r="AZ28" i="7"/>
  <c r="BJ27" i="7"/>
  <c r="AT27" i="7"/>
  <c r="BH27" i="7"/>
  <c r="BL29" i="7" l="1"/>
  <c r="BL23" i="7"/>
  <c r="BL27" i="7"/>
  <c r="BL28" i="7"/>
  <c r="AL83" i="7" l="1"/>
  <c r="L87" i="7" l="1"/>
  <c r="Z87" i="7" s="1"/>
  <c r="L87" i="5"/>
  <c r="V87" i="7" l="1"/>
  <c r="R87" i="7"/>
  <c r="P87" i="7"/>
  <c r="T87" i="7"/>
  <c r="X87" i="7"/>
  <c r="AH87" i="7"/>
  <c r="AF87" i="7"/>
  <c r="F87" i="50" s="1"/>
  <c r="L87" i="50" s="1"/>
  <c r="AD87" i="7"/>
  <c r="AB87" i="7"/>
  <c r="T87" i="50" l="1"/>
  <c r="R87" i="50"/>
  <c r="P87" i="50"/>
  <c r="V87" i="50"/>
  <c r="AJ87" i="7"/>
  <c r="AL87" i="7" s="1"/>
  <c r="AF82" i="5" l="1"/>
  <c r="P87" i="5" l="1"/>
  <c r="R87" i="5"/>
  <c r="T87" i="5"/>
  <c r="V87" i="5"/>
  <c r="X87" i="5"/>
  <c r="Z87" i="5"/>
  <c r="AB87" i="5"/>
  <c r="AD87" i="5" l="1"/>
  <c r="AF87" i="5" s="1"/>
  <c r="AL81" i="7" l="1"/>
  <c r="AL82" i="7"/>
  <c r="AD121" i="4" l="1"/>
  <c r="L41" i="13"/>
  <c r="L19" i="13"/>
  <c r="P41" i="13" l="1"/>
  <c r="X41" i="13"/>
  <c r="Z41" i="13"/>
  <c r="T41" i="13"/>
  <c r="V41" i="13"/>
  <c r="R41" i="13"/>
  <c r="Z19" i="13"/>
  <c r="X19" i="13"/>
  <c r="V19" i="13"/>
  <c r="T19" i="13"/>
  <c r="R19" i="13"/>
  <c r="P19" i="13"/>
  <c r="AD124" i="4"/>
  <c r="AK124" i="4" s="1"/>
  <c r="L171" i="4"/>
  <c r="L173" i="4"/>
  <c r="L176" i="4"/>
  <c r="L118" i="13"/>
  <c r="L148" i="13"/>
  <c r="L117" i="13"/>
  <c r="L20" i="13"/>
  <c r="L156" i="13"/>
  <c r="L129" i="13"/>
  <c r="L116" i="13"/>
  <c r="L126" i="13"/>
  <c r="L124" i="13"/>
  <c r="L153" i="13"/>
  <c r="L63" i="13"/>
  <c r="P63" i="13" l="1"/>
  <c r="X63" i="13"/>
  <c r="T171" i="4"/>
  <c r="V171" i="4"/>
  <c r="T176" i="4"/>
  <c r="V176" i="4"/>
  <c r="T173" i="4"/>
  <c r="V173" i="4"/>
  <c r="P176" i="4"/>
  <c r="R176" i="4"/>
  <c r="P171" i="4"/>
  <c r="R171" i="4"/>
  <c r="P173" i="4"/>
  <c r="R173" i="4"/>
  <c r="T156" i="13"/>
  <c r="R156" i="13"/>
  <c r="P156" i="13"/>
  <c r="X156" i="13"/>
  <c r="V156" i="13"/>
  <c r="Z156" i="13"/>
  <c r="X153" i="13"/>
  <c r="V153" i="13"/>
  <c r="T153" i="13"/>
  <c r="R153" i="13"/>
  <c r="Z153" i="13"/>
  <c r="P153" i="13"/>
  <c r="P148" i="13"/>
  <c r="T148" i="13"/>
  <c r="Z148" i="13"/>
  <c r="X148" i="13"/>
  <c r="V148" i="13"/>
  <c r="R148" i="13"/>
  <c r="Z63" i="13"/>
  <c r="X124" i="13"/>
  <c r="Z124" i="13"/>
  <c r="T124" i="13"/>
  <c r="R124" i="13"/>
  <c r="P124" i="13"/>
  <c r="V124" i="13"/>
  <c r="R129" i="13"/>
  <c r="P129" i="13"/>
  <c r="X129" i="13"/>
  <c r="T129" i="13"/>
  <c r="Z129" i="13"/>
  <c r="V129" i="13"/>
  <c r="V126" i="13"/>
  <c r="R126" i="13"/>
  <c r="P126" i="13"/>
  <c r="T126" i="13"/>
  <c r="Z126" i="13"/>
  <c r="X126" i="13"/>
  <c r="X118" i="13"/>
  <c r="V118" i="13"/>
  <c r="T118" i="13"/>
  <c r="R118" i="13"/>
  <c r="P118" i="13"/>
  <c r="Z118" i="13"/>
  <c r="T117" i="13"/>
  <c r="R117" i="13"/>
  <c r="P117" i="13"/>
  <c r="V117" i="13"/>
  <c r="Z117" i="13"/>
  <c r="X117" i="13"/>
  <c r="V116" i="13"/>
  <c r="T116" i="13"/>
  <c r="P116" i="13"/>
  <c r="Z116" i="13"/>
  <c r="X116" i="13"/>
  <c r="R116" i="13"/>
  <c r="T63" i="13"/>
  <c r="R63" i="13"/>
  <c r="V63" i="13"/>
  <c r="AD148" i="4"/>
  <c r="AK148" i="4" s="1"/>
  <c r="AD147" i="4"/>
  <c r="AK147" i="4" s="1"/>
  <c r="P20" i="13"/>
  <c r="Z20" i="13"/>
  <c r="V20" i="13"/>
  <c r="T20" i="13"/>
  <c r="R20" i="13"/>
  <c r="X20" i="13"/>
  <c r="AD140" i="4"/>
  <c r="AK140" i="4" s="1"/>
  <c r="AD135" i="4"/>
  <c r="AK135" i="4" s="1"/>
  <c r="L130" i="4"/>
  <c r="L126" i="4"/>
  <c r="L175" i="4"/>
  <c r="L143" i="4"/>
  <c r="L26" i="4"/>
  <c r="L116" i="4"/>
  <c r="L24" i="4"/>
  <c r="L156" i="4"/>
  <c r="L20" i="4"/>
  <c r="F71" i="4"/>
  <c r="L27" i="4"/>
  <c r="AD133" i="4"/>
  <c r="L135" i="4"/>
  <c r="AD116" i="4"/>
  <c r="L149" i="4"/>
  <c r="F70" i="4"/>
  <c r="L133" i="4"/>
  <c r="L41" i="4"/>
  <c r="AD136" i="4"/>
  <c r="AD134" i="4"/>
  <c r="L47" i="4"/>
  <c r="L136" i="4"/>
  <c r="L154" i="4"/>
  <c r="L30" i="4"/>
  <c r="L28" i="4"/>
  <c r="L118" i="4"/>
  <c r="L139" i="4"/>
  <c r="L51" i="4"/>
  <c r="F178" i="4"/>
  <c r="L170" i="4"/>
  <c r="L141" i="4"/>
  <c r="L117" i="4"/>
  <c r="L131" i="4"/>
  <c r="F69" i="4"/>
  <c r="L25" i="4"/>
  <c r="L43" i="4"/>
  <c r="L45" i="4"/>
  <c r="AD118" i="4"/>
  <c r="L157" i="4"/>
  <c r="L147" i="4"/>
  <c r="L174" i="4"/>
  <c r="L148" i="4"/>
  <c r="AD139" i="4"/>
  <c r="L172" i="4"/>
  <c r="L134" i="4"/>
  <c r="L119" i="4"/>
  <c r="L44" i="4"/>
  <c r="AD117" i="4"/>
  <c r="AD141" i="4"/>
  <c r="AD149" i="4"/>
  <c r="L129" i="4"/>
  <c r="L153" i="4"/>
  <c r="L152" i="4"/>
  <c r="AD143" i="4"/>
  <c r="L140" i="4"/>
  <c r="L49" i="4"/>
  <c r="L139" i="13"/>
  <c r="L47" i="13"/>
  <c r="L170" i="13"/>
  <c r="L154" i="13"/>
  <c r="L29" i="13"/>
  <c r="L121" i="13"/>
  <c r="AD133" i="13"/>
  <c r="L133" i="13"/>
  <c r="L140" i="13"/>
  <c r="L152" i="13"/>
  <c r="L171" i="13"/>
  <c r="L174" i="13"/>
  <c r="L147" i="13"/>
  <c r="L134" i="13"/>
  <c r="L157" i="13"/>
  <c r="L27" i="13"/>
  <c r="L155" i="13"/>
  <c r="L24" i="13"/>
  <c r="L141" i="13"/>
  <c r="L175" i="13"/>
  <c r="L26" i="13"/>
  <c r="AB19" i="13"/>
  <c r="L49" i="13"/>
  <c r="L28" i="13"/>
  <c r="L149" i="13"/>
  <c r="L66" i="13"/>
  <c r="L109" i="13"/>
  <c r="L25" i="13"/>
  <c r="L176" i="13"/>
  <c r="L135" i="13"/>
  <c r="AB41" i="13"/>
  <c r="L128" i="13"/>
  <c r="L143" i="13"/>
  <c r="L51" i="13"/>
  <c r="L130" i="13"/>
  <c r="L131" i="13"/>
  <c r="L173" i="13"/>
  <c r="L42" i="13"/>
  <c r="AD129" i="4"/>
  <c r="AD154" i="4"/>
  <c r="F68" i="4"/>
  <c r="AD126" i="4"/>
  <c r="AD156" i="4"/>
  <c r="AD153" i="4"/>
  <c r="AD152" i="4"/>
  <c r="AD131" i="4"/>
  <c r="AD130" i="4"/>
  <c r="AD157" i="4"/>
  <c r="T172" i="4" l="1"/>
  <c r="V172" i="4"/>
  <c r="T175" i="4"/>
  <c r="V175" i="4"/>
  <c r="T174" i="4"/>
  <c r="V174" i="4"/>
  <c r="T170" i="4"/>
  <c r="V170" i="4"/>
  <c r="T152" i="4"/>
  <c r="AJ152" i="4" s="1"/>
  <c r="V152" i="4"/>
  <c r="AL152" i="4" s="1"/>
  <c r="T157" i="4"/>
  <c r="AJ157" i="4" s="1"/>
  <c r="V157" i="4"/>
  <c r="AL157" i="4" s="1"/>
  <c r="T154" i="4"/>
  <c r="AJ154" i="4" s="1"/>
  <c r="V154" i="4"/>
  <c r="AL154" i="4" s="1"/>
  <c r="T153" i="4"/>
  <c r="AJ153" i="4" s="1"/>
  <c r="V153" i="4"/>
  <c r="AL153" i="4" s="1"/>
  <c r="T156" i="4"/>
  <c r="AJ156" i="4" s="1"/>
  <c r="V156" i="4"/>
  <c r="AL156" i="4" s="1"/>
  <c r="T148" i="4"/>
  <c r="AJ148" i="4" s="1"/>
  <c r="V148" i="4"/>
  <c r="AL148" i="4" s="1"/>
  <c r="T147" i="4"/>
  <c r="AJ147" i="4" s="1"/>
  <c r="V147" i="4"/>
  <c r="AL147" i="4" s="1"/>
  <c r="T149" i="4"/>
  <c r="AJ149" i="4" s="1"/>
  <c r="V149" i="4"/>
  <c r="AL149" i="4" s="1"/>
  <c r="T139" i="4"/>
  <c r="AJ139" i="4" s="1"/>
  <c r="V139" i="4"/>
  <c r="AL139" i="4" s="1"/>
  <c r="T143" i="4"/>
  <c r="AJ143" i="4" s="1"/>
  <c r="V143" i="4"/>
  <c r="AL143" i="4" s="1"/>
  <c r="T140" i="4"/>
  <c r="AJ140" i="4" s="1"/>
  <c r="V140" i="4"/>
  <c r="AL140" i="4" s="1"/>
  <c r="T141" i="4"/>
  <c r="AJ141" i="4" s="1"/>
  <c r="V141" i="4"/>
  <c r="AL141" i="4" s="1"/>
  <c r="T133" i="4"/>
  <c r="AJ133" i="4" s="1"/>
  <c r="V133" i="4"/>
  <c r="AL133" i="4" s="1"/>
  <c r="T134" i="4"/>
  <c r="AJ134" i="4" s="1"/>
  <c r="V134" i="4"/>
  <c r="AL134" i="4" s="1"/>
  <c r="T136" i="4"/>
  <c r="AJ136" i="4" s="1"/>
  <c r="V136" i="4"/>
  <c r="AL136" i="4" s="1"/>
  <c r="T135" i="4"/>
  <c r="AJ135" i="4" s="1"/>
  <c r="V135" i="4"/>
  <c r="AL135" i="4" s="1"/>
  <c r="T131" i="4"/>
  <c r="AJ131" i="4" s="1"/>
  <c r="V131" i="4"/>
  <c r="AL131" i="4" s="1"/>
  <c r="T126" i="4"/>
  <c r="AJ126" i="4" s="1"/>
  <c r="V126" i="4"/>
  <c r="T130" i="4"/>
  <c r="AJ130" i="4" s="1"/>
  <c r="V130" i="4"/>
  <c r="AL130" i="4" s="1"/>
  <c r="T129" i="4"/>
  <c r="AJ129" i="4" s="1"/>
  <c r="V129" i="4"/>
  <c r="AL129" i="4" s="1"/>
  <c r="T118" i="4"/>
  <c r="V118" i="4"/>
  <c r="T119" i="4"/>
  <c r="V119" i="4"/>
  <c r="T117" i="4"/>
  <c r="V117" i="4"/>
  <c r="T116" i="4"/>
  <c r="V116" i="4"/>
  <c r="T49" i="4"/>
  <c r="V49" i="4"/>
  <c r="T44" i="4"/>
  <c r="V44" i="4"/>
  <c r="T41" i="4"/>
  <c r="V41" i="4"/>
  <c r="T45" i="4"/>
  <c r="V45" i="4"/>
  <c r="T47" i="4"/>
  <c r="V47" i="4"/>
  <c r="T43" i="4"/>
  <c r="V43" i="4"/>
  <c r="T51" i="4"/>
  <c r="V51" i="4"/>
  <c r="T28" i="4"/>
  <c r="V28" i="4"/>
  <c r="T27" i="4"/>
  <c r="V27" i="4"/>
  <c r="T30" i="4"/>
  <c r="V30" i="4"/>
  <c r="T20" i="4"/>
  <c r="V20" i="4"/>
  <c r="T24" i="4"/>
  <c r="V24" i="4"/>
  <c r="T25" i="4"/>
  <c r="V25" i="4"/>
  <c r="T26" i="4"/>
  <c r="V26" i="4"/>
  <c r="P172" i="4"/>
  <c r="R172" i="4"/>
  <c r="P175" i="4"/>
  <c r="R175" i="4"/>
  <c r="P170" i="4"/>
  <c r="R170" i="4"/>
  <c r="P174" i="4"/>
  <c r="R174" i="4"/>
  <c r="P157" i="4"/>
  <c r="R157" i="4"/>
  <c r="AH157" i="4" s="1"/>
  <c r="P154" i="4"/>
  <c r="AF154" i="4" s="1"/>
  <c r="R154" i="4"/>
  <c r="AH154" i="4" s="1"/>
  <c r="P156" i="4"/>
  <c r="AF156" i="4" s="1"/>
  <c r="R156" i="4"/>
  <c r="AH156" i="4" s="1"/>
  <c r="P152" i="4"/>
  <c r="R152" i="4"/>
  <c r="AH152" i="4" s="1"/>
  <c r="P153" i="4"/>
  <c r="AF153" i="4" s="1"/>
  <c r="R153" i="4"/>
  <c r="AH153" i="4" s="1"/>
  <c r="P149" i="4"/>
  <c r="AF149" i="4" s="1"/>
  <c r="R149" i="4"/>
  <c r="AH149" i="4" s="1"/>
  <c r="P148" i="4"/>
  <c r="R148" i="4"/>
  <c r="AH148" i="4" s="1"/>
  <c r="P147" i="4"/>
  <c r="R147" i="4"/>
  <c r="AH147" i="4" s="1"/>
  <c r="P140" i="4"/>
  <c r="R140" i="4"/>
  <c r="AH140" i="4" s="1"/>
  <c r="P139" i="4"/>
  <c r="AF139" i="4" s="1"/>
  <c r="R139" i="4"/>
  <c r="AH139" i="4" s="1"/>
  <c r="P141" i="4"/>
  <c r="AF141" i="4" s="1"/>
  <c r="R141" i="4"/>
  <c r="AH141" i="4" s="1"/>
  <c r="P143" i="4"/>
  <c r="R143" i="4"/>
  <c r="AH143" i="4" s="1"/>
  <c r="P136" i="4"/>
  <c r="AF136" i="4" s="1"/>
  <c r="R136" i="4"/>
  <c r="AH136" i="4" s="1"/>
  <c r="P133" i="4"/>
  <c r="AF133" i="4" s="1"/>
  <c r="R133" i="4"/>
  <c r="AH133" i="4" s="1"/>
  <c r="P134" i="4"/>
  <c r="AF134" i="4" s="1"/>
  <c r="R134" i="4"/>
  <c r="AH134" i="4" s="1"/>
  <c r="P135" i="4"/>
  <c r="R135" i="4"/>
  <c r="AH135" i="4" s="1"/>
  <c r="P126" i="4"/>
  <c r="R126" i="4"/>
  <c r="AH126" i="4" s="1"/>
  <c r="P130" i="4"/>
  <c r="R130" i="4"/>
  <c r="AH130" i="4" s="1"/>
  <c r="P129" i="4"/>
  <c r="R129" i="4"/>
  <c r="AH129" i="4" s="1"/>
  <c r="P131" i="4"/>
  <c r="R131" i="4"/>
  <c r="AH131" i="4" s="1"/>
  <c r="P119" i="4"/>
  <c r="R119" i="4"/>
  <c r="P118" i="4"/>
  <c r="R118" i="4"/>
  <c r="P116" i="4"/>
  <c r="R116" i="4"/>
  <c r="P117" i="4"/>
  <c r="R117" i="4"/>
  <c r="P41" i="4"/>
  <c r="R41" i="4"/>
  <c r="P49" i="4"/>
  <c r="R49" i="4"/>
  <c r="P44" i="4"/>
  <c r="R44" i="4"/>
  <c r="P45" i="4"/>
  <c r="R45" i="4"/>
  <c r="P47" i="4"/>
  <c r="R47" i="4"/>
  <c r="P43" i="4"/>
  <c r="R43" i="4"/>
  <c r="P51" i="4"/>
  <c r="R51" i="4"/>
  <c r="P20" i="4"/>
  <c r="R20" i="4"/>
  <c r="P25" i="4"/>
  <c r="R25" i="4"/>
  <c r="P24" i="4"/>
  <c r="R24" i="4"/>
  <c r="P28" i="4"/>
  <c r="R28" i="4"/>
  <c r="P26" i="4"/>
  <c r="R26" i="4"/>
  <c r="P30" i="4"/>
  <c r="R30" i="4"/>
  <c r="P27" i="4"/>
  <c r="R27" i="4"/>
  <c r="Z173" i="13"/>
  <c r="X173" i="13"/>
  <c r="V173" i="13"/>
  <c r="T173" i="13"/>
  <c r="P173" i="13"/>
  <c r="R173" i="13"/>
  <c r="V176" i="13"/>
  <c r="T176" i="13"/>
  <c r="R176" i="13"/>
  <c r="P176" i="13"/>
  <c r="Z176" i="13"/>
  <c r="X176" i="13"/>
  <c r="R175" i="13"/>
  <c r="P175" i="13"/>
  <c r="V175" i="13"/>
  <c r="T175" i="13"/>
  <c r="Z175" i="13"/>
  <c r="X175" i="13"/>
  <c r="Z174" i="13"/>
  <c r="X174" i="13"/>
  <c r="T174" i="13"/>
  <c r="P174" i="13"/>
  <c r="V174" i="13"/>
  <c r="R174" i="13"/>
  <c r="R171" i="13"/>
  <c r="P171" i="13"/>
  <c r="T171" i="13"/>
  <c r="Z171" i="13"/>
  <c r="X171" i="13"/>
  <c r="V171" i="13"/>
  <c r="X170" i="13"/>
  <c r="T170" i="13"/>
  <c r="R170" i="13"/>
  <c r="Z170" i="13"/>
  <c r="V170" i="13"/>
  <c r="P170" i="13"/>
  <c r="X157" i="13"/>
  <c r="V157" i="13"/>
  <c r="T157" i="13"/>
  <c r="R157" i="13"/>
  <c r="P157" i="13"/>
  <c r="Z157" i="13"/>
  <c r="Z154" i="13"/>
  <c r="X154" i="13"/>
  <c r="V154" i="13"/>
  <c r="T154" i="13"/>
  <c r="R154" i="13"/>
  <c r="P154" i="13"/>
  <c r="P155" i="13"/>
  <c r="Z155" i="13"/>
  <c r="X155" i="13"/>
  <c r="V155" i="13"/>
  <c r="T155" i="13"/>
  <c r="R155" i="13"/>
  <c r="T152" i="13"/>
  <c r="R152" i="13"/>
  <c r="P152" i="13"/>
  <c r="Z152" i="13"/>
  <c r="X152" i="13"/>
  <c r="V152" i="13"/>
  <c r="Z147" i="13"/>
  <c r="X147" i="13"/>
  <c r="R147" i="13"/>
  <c r="V147" i="13"/>
  <c r="T147" i="13"/>
  <c r="P147" i="13"/>
  <c r="T149" i="13"/>
  <c r="R149" i="13"/>
  <c r="P149" i="13"/>
  <c r="V149" i="13"/>
  <c r="Z149" i="13"/>
  <c r="X149" i="13"/>
  <c r="R141" i="13"/>
  <c r="Z141" i="13"/>
  <c r="X141" i="13"/>
  <c r="P141" i="13"/>
  <c r="V141" i="13"/>
  <c r="T141" i="13"/>
  <c r="Z140" i="13"/>
  <c r="X140" i="13"/>
  <c r="V140" i="13"/>
  <c r="T140" i="13"/>
  <c r="R140" i="13"/>
  <c r="P140" i="13"/>
  <c r="V139" i="13"/>
  <c r="T139" i="13"/>
  <c r="R139" i="13"/>
  <c r="P139" i="13"/>
  <c r="Z139" i="13"/>
  <c r="X139" i="13"/>
  <c r="V143" i="13"/>
  <c r="T143" i="13"/>
  <c r="R143" i="13"/>
  <c r="P143" i="13"/>
  <c r="Z143" i="13"/>
  <c r="X143" i="13"/>
  <c r="X133" i="13"/>
  <c r="V133" i="13"/>
  <c r="T133" i="13"/>
  <c r="Z133" i="13"/>
  <c r="R133" i="13"/>
  <c r="P133" i="13"/>
  <c r="AD142" i="4"/>
  <c r="AK142" i="4" s="1"/>
  <c r="V135" i="13"/>
  <c r="T135" i="13"/>
  <c r="R135" i="13"/>
  <c r="P135" i="13"/>
  <c r="Z135" i="13"/>
  <c r="X135" i="13"/>
  <c r="R134" i="13"/>
  <c r="Z134" i="13"/>
  <c r="X134" i="13"/>
  <c r="T134" i="13"/>
  <c r="P134" i="13"/>
  <c r="V134" i="13"/>
  <c r="Z131" i="13"/>
  <c r="X131" i="13"/>
  <c r="V131" i="13"/>
  <c r="T131" i="13"/>
  <c r="P131" i="13"/>
  <c r="R131" i="13"/>
  <c r="V130" i="13"/>
  <c r="T130" i="13"/>
  <c r="R130" i="13"/>
  <c r="P130" i="13"/>
  <c r="Z130" i="13"/>
  <c r="X130" i="13"/>
  <c r="Z128" i="13"/>
  <c r="X128" i="13"/>
  <c r="V128" i="13"/>
  <c r="T128" i="13"/>
  <c r="P128" i="13"/>
  <c r="R128" i="13"/>
  <c r="T121" i="13"/>
  <c r="R121" i="13"/>
  <c r="P121" i="13"/>
  <c r="Z121" i="13"/>
  <c r="X121" i="13"/>
  <c r="V121" i="13"/>
  <c r="V109" i="13"/>
  <c r="T109" i="13"/>
  <c r="R109" i="13"/>
  <c r="P109" i="13"/>
  <c r="Z109" i="13"/>
  <c r="X109" i="13"/>
  <c r="V51" i="13"/>
  <c r="T51" i="13"/>
  <c r="X51" i="13"/>
  <c r="R51" i="13"/>
  <c r="P51" i="13"/>
  <c r="Z51" i="13"/>
  <c r="R42" i="13"/>
  <c r="R64" i="13" s="1"/>
  <c r="V42" i="13"/>
  <c r="V64" i="13" s="1"/>
  <c r="P42" i="13"/>
  <c r="P64" i="13" s="1"/>
  <c r="T42" i="13"/>
  <c r="T64" i="13" s="1"/>
  <c r="X42" i="13"/>
  <c r="X64" i="13" s="1"/>
  <c r="Z42" i="13"/>
  <c r="Z64" i="13" s="1"/>
  <c r="V47" i="13"/>
  <c r="X47" i="13"/>
  <c r="T47" i="13"/>
  <c r="R47" i="13"/>
  <c r="Z47" i="13"/>
  <c r="P47" i="13"/>
  <c r="Z49" i="13"/>
  <c r="X49" i="13"/>
  <c r="T49" i="13"/>
  <c r="R49" i="13"/>
  <c r="P49" i="13"/>
  <c r="V49" i="13"/>
  <c r="X26" i="13"/>
  <c r="V26" i="13"/>
  <c r="T26" i="13"/>
  <c r="R26" i="13"/>
  <c r="P26" i="13"/>
  <c r="Z26" i="13"/>
  <c r="T29" i="13"/>
  <c r="R29" i="13"/>
  <c r="P29" i="13"/>
  <c r="X29" i="13"/>
  <c r="Z29" i="13"/>
  <c r="V29" i="13"/>
  <c r="T25" i="13"/>
  <c r="R25" i="13"/>
  <c r="P25" i="13"/>
  <c r="Z25" i="13"/>
  <c r="V25" i="13"/>
  <c r="X25" i="13"/>
  <c r="P24" i="13"/>
  <c r="Z24" i="13"/>
  <c r="X24" i="13"/>
  <c r="V24" i="13"/>
  <c r="T24" i="13"/>
  <c r="R24" i="13"/>
  <c r="P28" i="13"/>
  <c r="Z28" i="13"/>
  <c r="V28" i="13"/>
  <c r="R28" i="13"/>
  <c r="X28" i="13"/>
  <c r="T28" i="13"/>
  <c r="Z27" i="13"/>
  <c r="X27" i="13"/>
  <c r="V27" i="13"/>
  <c r="P27" i="13"/>
  <c r="T27" i="13"/>
  <c r="R27" i="13"/>
  <c r="AD119" i="4"/>
  <c r="AD122" i="4"/>
  <c r="AD155" i="4"/>
  <c r="AD128" i="4"/>
  <c r="AK128" i="4" s="1"/>
  <c r="L68" i="4"/>
  <c r="L70" i="4"/>
  <c r="L50" i="4"/>
  <c r="AK153" i="4"/>
  <c r="L29" i="4"/>
  <c r="F73" i="4"/>
  <c r="F67" i="4"/>
  <c r="L23" i="4"/>
  <c r="AK130" i="4"/>
  <c r="AK152" i="4"/>
  <c r="F65" i="4"/>
  <c r="L21" i="4"/>
  <c r="L42" i="4"/>
  <c r="AK131" i="4"/>
  <c r="AK154" i="4"/>
  <c r="L109" i="4"/>
  <c r="AK129" i="4"/>
  <c r="L52" i="4"/>
  <c r="L178" i="4"/>
  <c r="X171" i="4"/>
  <c r="Z171" i="4" s="1"/>
  <c r="L122" i="4"/>
  <c r="L127" i="4"/>
  <c r="AK139" i="4"/>
  <c r="F63" i="4"/>
  <c r="L19" i="4"/>
  <c r="AK134" i="4"/>
  <c r="L128" i="4"/>
  <c r="L46" i="4"/>
  <c r="F66" i="4"/>
  <c r="L22" i="4"/>
  <c r="F72" i="4"/>
  <c r="L142" i="4"/>
  <c r="AK133" i="4"/>
  <c r="AK156" i="4"/>
  <c r="X173" i="4"/>
  <c r="Z173" i="4" s="1"/>
  <c r="L69" i="4"/>
  <c r="F74" i="4"/>
  <c r="L155" i="4"/>
  <c r="L71" i="4"/>
  <c r="L138" i="4"/>
  <c r="L87" i="4"/>
  <c r="AK126" i="4"/>
  <c r="AK143" i="4"/>
  <c r="AK149" i="4"/>
  <c r="L102" i="4"/>
  <c r="L48" i="4"/>
  <c r="AK157" i="4"/>
  <c r="L120" i="4"/>
  <c r="AK141" i="4"/>
  <c r="X176" i="4"/>
  <c r="Z176" i="4" s="1"/>
  <c r="AK136" i="4"/>
  <c r="F64" i="4"/>
  <c r="AB148" i="13"/>
  <c r="AD148" i="13" s="1"/>
  <c r="AB129" i="13"/>
  <c r="AD129" i="13" s="1"/>
  <c r="L45" i="13"/>
  <c r="L23" i="13"/>
  <c r="L46" i="13"/>
  <c r="L102" i="13"/>
  <c r="L69" i="13"/>
  <c r="AB153" i="13"/>
  <c r="AD153" i="13" s="1"/>
  <c r="L64" i="13"/>
  <c r="L50" i="13"/>
  <c r="L122" i="13"/>
  <c r="L151" i="13"/>
  <c r="L22" i="13"/>
  <c r="L142" i="13"/>
  <c r="L52" i="13"/>
  <c r="L120" i="13"/>
  <c r="L87" i="13"/>
  <c r="L71" i="13"/>
  <c r="AB118" i="13"/>
  <c r="AD118" i="13" s="1"/>
  <c r="L21" i="13"/>
  <c r="L172" i="13"/>
  <c r="L44" i="13"/>
  <c r="AB20" i="13"/>
  <c r="AD20" i="13" s="1"/>
  <c r="AB116" i="13"/>
  <c r="AB126" i="13"/>
  <c r="AD126" i="13" s="1"/>
  <c r="AB124" i="13"/>
  <c r="AD124" i="13" s="1"/>
  <c r="L48" i="13"/>
  <c r="F178" i="13"/>
  <c r="L138" i="13"/>
  <c r="AD138" i="13"/>
  <c r="L119" i="13"/>
  <c r="L40" i="13"/>
  <c r="F53" i="13"/>
  <c r="AB156" i="13"/>
  <c r="AD156" i="13" s="1"/>
  <c r="AB117" i="13"/>
  <c r="AD117" i="13" s="1"/>
  <c r="L136" i="13"/>
  <c r="AB63" i="13"/>
  <c r="L43" i="13"/>
  <c r="L73" i="13"/>
  <c r="L30" i="13"/>
  <c r="F31" i="13"/>
  <c r="L18" i="13"/>
  <c r="AD127" i="4"/>
  <c r="AD120" i="4"/>
  <c r="AD138" i="4"/>
  <c r="T155" i="4" l="1"/>
  <c r="AJ155" i="4" s="1"/>
  <c r="V155" i="4"/>
  <c r="AL155" i="4" s="1"/>
  <c r="T138" i="4"/>
  <c r="AJ138" i="4" s="1"/>
  <c r="V138" i="4"/>
  <c r="AL138" i="4" s="1"/>
  <c r="T142" i="4"/>
  <c r="AJ142" i="4" s="1"/>
  <c r="V142" i="4"/>
  <c r="AL142" i="4" s="1"/>
  <c r="T128" i="4"/>
  <c r="AJ128" i="4" s="1"/>
  <c r="V128" i="4"/>
  <c r="AL128" i="4" s="1"/>
  <c r="T127" i="4"/>
  <c r="AJ127" i="4" s="1"/>
  <c r="V127" i="4"/>
  <c r="T122" i="4"/>
  <c r="V122" i="4"/>
  <c r="T109" i="4"/>
  <c r="V109" i="4"/>
  <c r="T87" i="4"/>
  <c r="V87" i="4"/>
  <c r="T50" i="4"/>
  <c r="T72" i="4" s="1"/>
  <c r="V50" i="4"/>
  <c r="V72" i="4" s="1"/>
  <c r="T48" i="4"/>
  <c r="T70" i="4" s="1"/>
  <c r="V48" i="4"/>
  <c r="V70" i="4" s="1"/>
  <c r="T46" i="4"/>
  <c r="T68" i="4" s="1"/>
  <c r="V46" i="4"/>
  <c r="V68" i="4" s="1"/>
  <c r="T42" i="4"/>
  <c r="T64" i="4" s="1"/>
  <c r="V42" i="4"/>
  <c r="V64" i="4" s="1"/>
  <c r="T52" i="4"/>
  <c r="T74" i="4" s="1"/>
  <c r="V52" i="4"/>
  <c r="V74" i="4" s="1"/>
  <c r="T22" i="4"/>
  <c r="V22" i="4"/>
  <c r="T21" i="4"/>
  <c r="V21" i="4"/>
  <c r="T23" i="4"/>
  <c r="V23" i="4"/>
  <c r="T29" i="4"/>
  <c r="V29" i="4"/>
  <c r="T19" i="4"/>
  <c r="V19" i="4"/>
  <c r="P155" i="4"/>
  <c r="AF155" i="4" s="1"/>
  <c r="R155" i="4"/>
  <c r="AH155" i="4" s="1"/>
  <c r="P142" i="4"/>
  <c r="R142" i="4"/>
  <c r="AH142" i="4" s="1"/>
  <c r="P138" i="4"/>
  <c r="AF138" i="4" s="1"/>
  <c r="R138" i="4"/>
  <c r="AH138" i="4" s="1"/>
  <c r="P128" i="4"/>
  <c r="R128" i="4"/>
  <c r="AH128" i="4" s="1"/>
  <c r="P127" i="4"/>
  <c r="R127" i="4"/>
  <c r="AH127" i="4" s="1"/>
  <c r="P122" i="4"/>
  <c r="R122" i="4"/>
  <c r="P109" i="4"/>
  <c r="R109" i="4"/>
  <c r="P87" i="4"/>
  <c r="R87" i="4"/>
  <c r="AC89" i="4" s="1"/>
  <c r="AC91" i="4" s="1"/>
  <c r="P52" i="4"/>
  <c r="P74" i="4" s="1"/>
  <c r="R52" i="4"/>
  <c r="R74" i="4" s="1"/>
  <c r="P50" i="4"/>
  <c r="P72" i="4" s="1"/>
  <c r="R50" i="4"/>
  <c r="R72" i="4" s="1"/>
  <c r="P48" i="4"/>
  <c r="P70" i="4" s="1"/>
  <c r="R48" i="4"/>
  <c r="R70" i="4" s="1"/>
  <c r="P42" i="4"/>
  <c r="P64" i="4" s="1"/>
  <c r="R42" i="4"/>
  <c r="R64" i="4" s="1"/>
  <c r="P46" i="4"/>
  <c r="R46" i="4"/>
  <c r="R68" i="4" s="1"/>
  <c r="P22" i="4"/>
  <c r="R22" i="4"/>
  <c r="P21" i="4"/>
  <c r="R21" i="4"/>
  <c r="P23" i="4"/>
  <c r="R23" i="4"/>
  <c r="P29" i="4"/>
  <c r="R29" i="4"/>
  <c r="P19" i="4"/>
  <c r="R19" i="4"/>
  <c r="L178" i="13"/>
  <c r="P151" i="13"/>
  <c r="Z151" i="13"/>
  <c r="X151" i="13"/>
  <c r="V151" i="13"/>
  <c r="T151" i="13"/>
  <c r="R151" i="13"/>
  <c r="V71" i="13"/>
  <c r="R142" i="13"/>
  <c r="P142" i="13"/>
  <c r="T142" i="13"/>
  <c r="Z142" i="13"/>
  <c r="X142" i="13"/>
  <c r="V142" i="13"/>
  <c r="R138" i="13"/>
  <c r="P138" i="13"/>
  <c r="T138" i="13"/>
  <c r="V138" i="13"/>
  <c r="Z138" i="13"/>
  <c r="X138" i="13"/>
  <c r="Z136" i="13"/>
  <c r="X136" i="13"/>
  <c r="T136" i="13"/>
  <c r="R136" i="13"/>
  <c r="P136" i="13"/>
  <c r="V136" i="13"/>
  <c r="X122" i="13"/>
  <c r="V122" i="13"/>
  <c r="T122" i="13"/>
  <c r="R122" i="13"/>
  <c r="P122" i="13"/>
  <c r="Z122" i="13"/>
  <c r="Z119" i="13"/>
  <c r="X119" i="13"/>
  <c r="V119" i="13"/>
  <c r="T119" i="13"/>
  <c r="P119" i="13"/>
  <c r="R119" i="13"/>
  <c r="R69" i="13"/>
  <c r="P120" i="13"/>
  <c r="Z120" i="13"/>
  <c r="X120" i="13"/>
  <c r="T120" i="13"/>
  <c r="R120" i="13"/>
  <c r="V120" i="13"/>
  <c r="V73" i="13"/>
  <c r="P71" i="13"/>
  <c r="V102" i="13"/>
  <c r="P102" i="13"/>
  <c r="Z102" i="13"/>
  <c r="X102" i="13"/>
  <c r="T102" i="13"/>
  <c r="R102" i="13"/>
  <c r="T71" i="13"/>
  <c r="V87" i="13"/>
  <c r="X87" i="13"/>
  <c r="T87" i="13"/>
  <c r="P87" i="13"/>
  <c r="Z87" i="13"/>
  <c r="R87" i="13"/>
  <c r="X73" i="13"/>
  <c r="V69" i="13"/>
  <c r="P73" i="13"/>
  <c r="R71" i="13"/>
  <c r="X69" i="13"/>
  <c r="Z71" i="13"/>
  <c r="X71" i="13"/>
  <c r="Z69" i="13"/>
  <c r="R73" i="13"/>
  <c r="P69" i="13"/>
  <c r="T73" i="13"/>
  <c r="T69" i="13"/>
  <c r="Z73" i="13"/>
  <c r="R46" i="13"/>
  <c r="R68" i="13" s="1"/>
  <c r="P46" i="13"/>
  <c r="P68" i="13" s="1"/>
  <c r="V46" i="13"/>
  <c r="V68" i="13" s="1"/>
  <c r="X46" i="13"/>
  <c r="X68" i="13" s="1"/>
  <c r="Z46" i="13"/>
  <c r="Z68" i="13" s="1"/>
  <c r="T46" i="13"/>
  <c r="T68" i="13" s="1"/>
  <c r="Z44" i="13"/>
  <c r="P44" i="13"/>
  <c r="X44" i="13"/>
  <c r="V44" i="13"/>
  <c r="T44" i="13"/>
  <c r="R44" i="13"/>
  <c r="Z52" i="13"/>
  <c r="X52" i="13"/>
  <c r="V52" i="13"/>
  <c r="T52" i="13"/>
  <c r="R52" i="13"/>
  <c r="P52" i="13"/>
  <c r="R45" i="13"/>
  <c r="P45" i="13"/>
  <c r="Z45" i="13"/>
  <c r="X45" i="13"/>
  <c r="V45" i="13"/>
  <c r="T45" i="13"/>
  <c r="Z48" i="13"/>
  <c r="Z70" i="13" s="1"/>
  <c r="X48" i="13"/>
  <c r="X70" i="13" s="1"/>
  <c r="P48" i="13"/>
  <c r="P70" i="13" s="1"/>
  <c r="V48" i="13"/>
  <c r="V70" i="13" s="1"/>
  <c r="T48" i="13"/>
  <c r="T70" i="13" s="1"/>
  <c r="R48" i="13"/>
  <c r="R70" i="13" s="1"/>
  <c r="V43" i="13"/>
  <c r="T43" i="13"/>
  <c r="R43" i="13"/>
  <c r="P43" i="13"/>
  <c r="Z43" i="13"/>
  <c r="X43" i="13"/>
  <c r="R50" i="13"/>
  <c r="R72" i="13" s="1"/>
  <c r="X50" i="13"/>
  <c r="X72" i="13" s="1"/>
  <c r="V50" i="13"/>
  <c r="V72" i="13" s="1"/>
  <c r="P50" i="13"/>
  <c r="P72" i="13" s="1"/>
  <c r="T50" i="13"/>
  <c r="T72" i="13" s="1"/>
  <c r="Z50" i="13"/>
  <c r="Z72" i="13" s="1"/>
  <c r="Z40" i="13"/>
  <c r="X40" i="13"/>
  <c r="P40" i="13"/>
  <c r="V40" i="13"/>
  <c r="T40" i="13"/>
  <c r="R40" i="13"/>
  <c r="Z23" i="13"/>
  <c r="X23" i="13"/>
  <c r="V23" i="13"/>
  <c r="R23" i="13"/>
  <c r="P23" i="13"/>
  <c r="T23" i="13"/>
  <c r="X22" i="13"/>
  <c r="V22" i="13"/>
  <c r="T22" i="13"/>
  <c r="R22" i="13"/>
  <c r="Z22" i="13"/>
  <c r="P22" i="13"/>
  <c r="T21" i="13"/>
  <c r="R21" i="13"/>
  <c r="P21" i="13"/>
  <c r="Z21" i="13"/>
  <c r="X21" i="13"/>
  <c r="V21" i="13"/>
  <c r="X30" i="13"/>
  <c r="T30" i="13"/>
  <c r="V30" i="13"/>
  <c r="R30" i="13"/>
  <c r="Z30" i="13"/>
  <c r="P30" i="13"/>
  <c r="X18" i="13"/>
  <c r="Z18" i="13"/>
  <c r="T18" i="13"/>
  <c r="V18" i="13"/>
  <c r="P18" i="13"/>
  <c r="R18" i="13"/>
  <c r="X157" i="4"/>
  <c r="Z157" i="4" s="1"/>
  <c r="X43" i="4"/>
  <c r="Z43" i="4" s="1"/>
  <c r="X143" i="4"/>
  <c r="Z143" i="4" s="1"/>
  <c r="X174" i="4"/>
  <c r="Z174" i="4" s="1"/>
  <c r="X141" i="4"/>
  <c r="Z141" i="4" s="1"/>
  <c r="AF157" i="4"/>
  <c r="AN157" i="4" s="1"/>
  <c r="X156" i="4"/>
  <c r="Z156" i="4" s="1"/>
  <c r="X45" i="4"/>
  <c r="Z45" i="4" s="1"/>
  <c r="AN153" i="4"/>
  <c r="X126" i="4"/>
  <c r="Z126" i="4" s="1"/>
  <c r="AF143" i="4"/>
  <c r="AN143" i="4" s="1"/>
  <c r="AN133" i="4"/>
  <c r="T69" i="4"/>
  <c r="L66" i="4"/>
  <c r="X24" i="4"/>
  <c r="Z24" i="4" s="1"/>
  <c r="R178" i="4"/>
  <c r="AN136" i="4"/>
  <c r="AN141" i="4"/>
  <c r="X51" i="4"/>
  <c r="Z51" i="4" s="1"/>
  <c r="AN149" i="4"/>
  <c r="AL126" i="4"/>
  <c r="L151" i="4"/>
  <c r="V69" i="4"/>
  <c r="AN134" i="4"/>
  <c r="X28" i="4"/>
  <c r="Z28" i="4" s="1"/>
  <c r="X44" i="4"/>
  <c r="Z44" i="4" s="1"/>
  <c r="X172" i="4"/>
  <c r="Z172" i="4" s="1"/>
  <c r="X175" i="4"/>
  <c r="Z175" i="4" s="1"/>
  <c r="L67" i="4"/>
  <c r="X139" i="4"/>
  <c r="Z139" i="4" s="1"/>
  <c r="X131" i="4"/>
  <c r="Z131" i="4" s="1"/>
  <c r="X41" i="4"/>
  <c r="Z41" i="4" s="1"/>
  <c r="X130" i="4"/>
  <c r="Z130" i="4" s="1"/>
  <c r="X47" i="4"/>
  <c r="Z47" i="4" s="1"/>
  <c r="X129" i="4"/>
  <c r="Z129" i="4" s="1"/>
  <c r="X136" i="4"/>
  <c r="Z136" i="4" s="1"/>
  <c r="X49" i="4"/>
  <c r="Z49" i="4" s="1"/>
  <c r="F62" i="4"/>
  <c r="F31" i="4"/>
  <c r="L18" i="4"/>
  <c r="AK127" i="4"/>
  <c r="X135" i="4"/>
  <c r="Z135" i="4" s="1"/>
  <c r="AF135" i="4"/>
  <c r="AN135" i="4" s="1"/>
  <c r="X147" i="4"/>
  <c r="Z147" i="4" s="1"/>
  <c r="AF147" i="4"/>
  <c r="AN147" i="4" s="1"/>
  <c r="X140" i="4"/>
  <c r="Z140" i="4" s="1"/>
  <c r="AF140" i="4"/>
  <c r="AN140" i="4" s="1"/>
  <c r="AN154" i="4"/>
  <c r="AF130" i="4"/>
  <c r="AN130" i="4" s="1"/>
  <c r="L40" i="4"/>
  <c r="F53" i="4"/>
  <c r="L64" i="4"/>
  <c r="P71" i="4"/>
  <c r="X27" i="4"/>
  <c r="Z27" i="4" s="1"/>
  <c r="X30" i="4"/>
  <c r="Z30" i="4" s="1"/>
  <c r="L63" i="4"/>
  <c r="L65" i="4"/>
  <c r="X133" i="4"/>
  <c r="Z133" i="4" s="1"/>
  <c r="X149" i="4"/>
  <c r="Z149" i="4" s="1"/>
  <c r="X152" i="4"/>
  <c r="Z152" i="4" s="1"/>
  <c r="AF126" i="4"/>
  <c r="L74" i="4"/>
  <c r="X119" i="4"/>
  <c r="AN156" i="4"/>
  <c r="V71" i="4"/>
  <c r="L72" i="4"/>
  <c r="AN139" i="4"/>
  <c r="T178" i="4"/>
  <c r="AF131" i="4"/>
  <c r="AN131" i="4" s="1"/>
  <c r="X118" i="4"/>
  <c r="Z118" i="4" s="1"/>
  <c r="AF152" i="4"/>
  <c r="AN152" i="4" s="1"/>
  <c r="X134" i="4"/>
  <c r="Z134" i="4" s="1"/>
  <c r="X20" i="4"/>
  <c r="Z20" i="4" s="1"/>
  <c r="AK155" i="4"/>
  <c r="R71" i="4"/>
  <c r="R69" i="4"/>
  <c r="X154" i="4"/>
  <c r="Z154" i="4" s="1"/>
  <c r="P178" i="4"/>
  <c r="X170" i="4"/>
  <c r="X148" i="4"/>
  <c r="Z148" i="4" s="1"/>
  <c r="AF148" i="4"/>
  <c r="AN148" i="4" s="1"/>
  <c r="L73" i="4"/>
  <c r="AK138" i="4"/>
  <c r="X117" i="4"/>
  <c r="Z117" i="4" s="1"/>
  <c r="X116" i="4"/>
  <c r="T71" i="4"/>
  <c r="P69" i="4"/>
  <c r="X25" i="4"/>
  <c r="Z25" i="4" s="1"/>
  <c r="X26" i="4"/>
  <c r="Z26" i="4" s="1"/>
  <c r="V178" i="4"/>
  <c r="X153" i="4"/>
  <c r="Z153" i="4" s="1"/>
  <c r="AF129" i="4"/>
  <c r="AN129" i="4" s="1"/>
  <c r="AB143" i="13"/>
  <c r="AD143" i="13" s="1"/>
  <c r="AB175" i="13"/>
  <c r="AD175" i="13" s="1"/>
  <c r="AB173" i="13"/>
  <c r="AD173" i="13" s="1"/>
  <c r="L65" i="13"/>
  <c r="AD116" i="13"/>
  <c r="AB141" i="13"/>
  <c r="AD141" i="13" s="1"/>
  <c r="AB171" i="13"/>
  <c r="AD171" i="13" s="1"/>
  <c r="AB149" i="13"/>
  <c r="AD149" i="13" s="1"/>
  <c r="AB29" i="13"/>
  <c r="AD29" i="13" s="1"/>
  <c r="AB140" i="13"/>
  <c r="AD140" i="13" s="1"/>
  <c r="AB147" i="13"/>
  <c r="AD147" i="13" s="1"/>
  <c r="L67" i="13"/>
  <c r="AB131" i="13"/>
  <c r="AD131" i="13" s="1"/>
  <c r="L70" i="13"/>
  <c r="AB170" i="13"/>
  <c r="AB49" i="13"/>
  <c r="AD49" i="13" s="1"/>
  <c r="AB174" i="13"/>
  <c r="AD174" i="13" s="1"/>
  <c r="AB28" i="13"/>
  <c r="AD28" i="13" s="1"/>
  <c r="AB42" i="13"/>
  <c r="AD42" i="13" s="1"/>
  <c r="L74" i="13"/>
  <c r="AB27" i="13"/>
  <c r="AD27" i="13" s="1"/>
  <c r="AB24" i="13"/>
  <c r="AD24" i="13" s="1"/>
  <c r="L31" i="13"/>
  <c r="AB51" i="13"/>
  <c r="AD51" i="13" s="1"/>
  <c r="AB109" i="13"/>
  <c r="AD109" i="13" s="1"/>
  <c r="L72" i="13"/>
  <c r="L68" i="13"/>
  <c r="AB47" i="13"/>
  <c r="AD47" i="13" s="1"/>
  <c r="L127" i="13"/>
  <c r="L53" i="13"/>
  <c r="AB155" i="13"/>
  <c r="AD155" i="13" s="1"/>
  <c r="AB139" i="13"/>
  <c r="AD139" i="13" s="1"/>
  <c r="AB154" i="13"/>
  <c r="AD154" i="13" s="1"/>
  <c r="AB134" i="13"/>
  <c r="AD134" i="13" s="1"/>
  <c r="AB128" i="13"/>
  <c r="AD128" i="13" s="1"/>
  <c r="AB176" i="13"/>
  <c r="AD176" i="13" s="1"/>
  <c r="F75" i="13"/>
  <c r="L62" i="13"/>
  <c r="AB157" i="13"/>
  <c r="AD157" i="13" s="1"/>
  <c r="AB25" i="13"/>
  <c r="AD25" i="13" s="1"/>
  <c r="AB130" i="13"/>
  <c r="AD130" i="13" s="1"/>
  <c r="AB121" i="13"/>
  <c r="AD121" i="13" s="1"/>
  <c r="AB152" i="13"/>
  <c r="AD152" i="13" s="1"/>
  <c r="AB26" i="13"/>
  <c r="AD26" i="13" s="1"/>
  <c r="AB135" i="13"/>
  <c r="AD135" i="13" s="1"/>
  <c r="D14" i="60" l="1"/>
  <c r="D16" i="60"/>
  <c r="D15" i="60"/>
  <c r="D12" i="60"/>
  <c r="D13" i="60"/>
  <c r="D11" i="60"/>
  <c r="P62" i="13"/>
  <c r="T151" i="4"/>
  <c r="V151" i="4"/>
  <c r="T40" i="4"/>
  <c r="T53" i="4" s="1"/>
  <c r="V40" i="4"/>
  <c r="V53" i="4" s="1"/>
  <c r="T18" i="4"/>
  <c r="V18" i="4"/>
  <c r="P151" i="4"/>
  <c r="R151" i="4"/>
  <c r="P40" i="4"/>
  <c r="R40" i="4"/>
  <c r="R53" i="4" s="1"/>
  <c r="P18" i="4"/>
  <c r="R18" i="4"/>
  <c r="Z62" i="13"/>
  <c r="T66" i="13"/>
  <c r="V74" i="13"/>
  <c r="Z127" i="13"/>
  <c r="X127" i="13"/>
  <c r="R127" i="13"/>
  <c r="V127" i="13"/>
  <c r="T127" i="13"/>
  <c r="P127" i="13"/>
  <c r="T67" i="13"/>
  <c r="R66" i="13"/>
  <c r="R74" i="13"/>
  <c r="P74" i="13"/>
  <c r="V66" i="13"/>
  <c r="Z65" i="13"/>
  <c r="X66" i="13"/>
  <c r="R65" i="13"/>
  <c r="P67" i="13"/>
  <c r="P65" i="13"/>
  <c r="T65" i="13"/>
  <c r="T74" i="13"/>
  <c r="P66" i="13"/>
  <c r="R67" i="13"/>
  <c r="Z74" i="13"/>
  <c r="X74" i="13"/>
  <c r="Z66" i="13"/>
  <c r="V67" i="13"/>
  <c r="V65" i="13"/>
  <c r="X67" i="13"/>
  <c r="X65" i="13"/>
  <c r="Z67" i="13"/>
  <c r="V62" i="13"/>
  <c r="X62" i="13"/>
  <c r="R62" i="13"/>
  <c r="T62" i="13"/>
  <c r="AJ24" i="4"/>
  <c r="AH24" i="4"/>
  <c r="AL24" i="4"/>
  <c r="AL28" i="4"/>
  <c r="AF26" i="4"/>
  <c r="AH28" i="4"/>
  <c r="AJ28" i="4"/>
  <c r="AF20" i="4"/>
  <c r="X72" i="4"/>
  <c r="Z72" i="4" s="1"/>
  <c r="AH20" i="4"/>
  <c r="AH27" i="4"/>
  <c r="AL20" i="4"/>
  <c r="AL27" i="4"/>
  <c r="AF25" i="4"/>
  <c r="AF30" i="4"/>
  <c r="AN126" i="4"/>
  <c r="X74" i="4"/>
  <c r="Z74" i="4" s="1"/>
  <c r="AJ27" i="4"/>
  <c r="AH25" i="4"/>
  <c r="AF27" i="4"/>
  <c r="X87" i="4"/>
  <c r="Z87" i="4" s="1"/>
  <c r="V66" i="4"/>
  <c r="X64" i="4"/>
  <c r="Z64" i="4" s="1"/>
  <c r="AJ30" i="4"/>
  <c r="X29" i="4"/>
  <c r="Z29" i="4" s="1"/>
  <c r="P73" i="4"/>
  <c r="X127" i="4"/>
  <c r="Z127" i="4" s="1"/>
  <c r="T66" i="4"/>
  <c r="AN155" i="4"/>
  <c r="V65" i="4"/>
  <c r="L31" i="4"/>
  <c r="AH26" i="4"/>
  <c r="R73" i="4"/>
  <c r="P66" i="4"/>
  <c r="X22" i="4"/>
  <c r="Z22" i="4" s="1"/>
  <c r="T65" i="4"/>
  <c r="R63" i="4"/>
  <c r="V67" i="4"/>
  <c r="L145" i="4"/>
  <c r="AN138" i="4"/>
  <c r="L53" i="4"/>
  <c r="P65" i="4"/>
  <c r="X21" i="4"/>
  <c r="Z21" i="4" s="1"/>
  <c r="P63" i="4"/>
  <c r="X19" i="4"/>
  <c r="Z19" i="4" s="1"/>
  <c r="AF127" i="4"/>
  <c r="L62" i="4"/>
  <c r="L75" i="4" s="1"/>
  <c r="F75" i="4"/>
  <c r="AL25" i="4"/>
  <c r="T67" i="4"/>
  <c r="AJ25" i="4"/>
  <c r="X178" i="4"/>
  <c r="Z178" i="4" s="1"/>
  <c r="Z170" i="4"/>
  <c r="X109" i="4"/>
  <c r="Z109" i="4" s="1"/>
  <c r="X46" i="4"/>
  <c r="Z46" i="4" s="1"/>
  <c r="X138" i="4"/>
  <c r="Z138" i="4" s="1"/>
  <c r="X71" i="4"/>
  <c r="Z71" i="4" s="1"/>
  <c r="R65" i="4"/>
  <c r="T63" i="4"/>
  <c r="AH30" i="4"/>
  <c r="AJ26" i="4"/>
  <c r="X23" i="4"/>
  <c r="Z23" i="4" s="1"/>
  <c r="P67" i="4"/>
  <c r="AF24" i="4"/>
  <c r="X69" i="4"/>
  <c r="Z69" i="4" s="1"/>
  <c r="AJ20" i="4"/>
  <c r="V63" i="4"/>
  <c r="R67" i="4"/>
  <c r="X70" i="4"/>
  <c r="Z70" i="4" s="1"/>
  <c r="X128" i="4"/>
  <c r="Z128" i="4" s="1"/>
  <c r="AF128" i="4"/>
  <c r="AN128" i="4" s="1"/>
  <c r="AF28" i="4"/>
  <c r="AL30" i="4"/>
  <c r="X48" i="4"/>
  <c r="Z48" i="4" s="1"/>
  <c r="T73" i="4"/>
  <c r="P68" i="4"/>
  <c r="X68" i="4" s="1"/>
  <c r="Z68" i="4" s="1"/>
  <c r="X42" i="4"/>
  <c r="Z42" i="4" s="1"/>
  <c r="X122" i="4"/>
  <c r="Z122" i="4" s="1"/>
  <c r="R66" i="4"/>
  <c r="Z116" i="4"/>
  <c r="X155" i="4"/>
  <c r="Z155" i="4" s="1"/>
  <c r="X50" i="4"/>
  <c r="Z50" i="4" s="1"/>
  <c r="AL127" i="4"/>
  <c r="V73" i="4"/>
  <c r="X52" i="4"/>
  <c r="Z52" i="4" s="1"/>
  <c r="AL26" i="4"/>
  <c r="X142" i="4"/>
  <c r="Z142" i="4" s="1"/>
  <c r="AF142" i="4"/>
  <c r="AN142" i="4" s="1"/>
  <c r="T31" i="13"/>
  <c r="AB43" i="13"/>
  <c r="AD43" i="13" s="1"/>
  <c r="V53" i="13"/>
  <c r="AB46" i="13"/>
  <c r="AD46" i="13" s="1"/>
  <c r="L75" i="13"/>
  <c r="AD170" i="13"/>
  <c r="L145" i="13"/>
  <c r="AB119" i="13"/>
  <c r="R31" i="13"/>
  <c r="AB45" i="13"/>
  <c r="AD45" i="13" s="1"/>
  <c r="AB102" i="13"/>
  <c r="AB44" i="13"/>
  <c r="AD44" i="13" s="1"/>
  <c r="V31" i="13"/>
  <c r="AB136" i="13"/>
  <c r="AD136" i="13" s="1"/>
  <c r="AB30" i="13"/>
  <c r="AD30" i="13" s="1"/>
  <c r="X53" i="13"/>
  <c r="AB21" i="13"/>
  <c r="AD21" i="13" s="1"/>
  <c r="X31" i="13"/>
  <c r="AB71" i="13"/>
  <c r="AD71" i="13" s="1"/>
  <c r="AB69" i="13"/>
  <c r="AD69" i="13" s="1"/>
  <c r="AB120" i="13"/>
  <c r="AD120" i="13" s="1"/>
  <c r="AB87" i="13"/>
  <c r="AD87" i="13" s="1"/>
  <c r="Z53" i="13"/>
  <c r="AB122" i="13"/>
  <c r="AD122" i="13" s="1"/>
  <c r="AB142" i="13"/>
  <c r="AD142" i="13" s="1"/>
  <c r="R53" i="13"/>
  <c r="AB64" i="13"/>
  <c r="AD64" i="13" s="1"/>
  <c r="AB50" i="13"/>
  <c r="AD50" i="13" s="1"/>
  <c r="AB48" i="13"/>
  <c r="AD48" i="13" s="1"/>
  <c r="AB52" i="13"/>
  <c r="AD52" i="13" s="1"/>
  <c r="T53" i="13"/>
  <c r="Z31" i="13"/>
  <c r="AB151" i="13"/>
  <c r="AD151" i="13" s="1"/>
  <c r="AB40" i="13"/>
  <c r="P53" i="13"/>
  <c r="P31" i="13"/>
  <c r="AB18" i="13"/>
  <c r="AB23" i="13"/>
  <c r="AD23" i="13" s="1"/>
  <c r="AB22" i="13"/>
  <c r="AD22" i="13" s="1"/>
  <c r="AB73" i="13"/>
  <c r="AD73" i="13" s="1"/>
  <c r="D17" i="60" l="1"/>
  <c r="Z145" i="13"/>
  <c r="V145" i="13"/>
  <c r="T145" i="13"/>
  <c r="R145" i="13"/>
  <c r="P145" i="13"/>
  <c r="X145" i="13"/>
  <c r="AB66" i="13"/>
  <c r="AD66" i="13" s="1"/>
  <c r="AH21" i="4"/>
  <c r="AN24" i="4"/>
  <c r="AN28" i="4"/>
  <c r="AH19" i="4"/>
  <c r="AN25" i="4"/>
  <c r="AN20" i="4"/>
  <c r="AF29" i="4"/>
  <c r="AH29" i="4"/>
  <c r="AL29" i="4"/>
  <c r="AH23" i="4"/>
  <c r="AN27" i="4"/>
  <c r="X67" i="4"/>
  <c r="Z67" i="4" s="1"/>
  <c r="AF23" i="4"/>
  <c r="AF19" i="4"/>
  <c r="AJ23" i="4"/>
  <c r="AJ29" i="4"/>
  <c r="AN26" i="4"/>
  <c r="AN30" i="4"/>
  <c r="AF21" i="4"/>
  <c r="AL19" i="4"/>
  <c r="AJ19" i="4"/>
  <c r="AH22" i="4"/>
  <c r="X63" i="4"/>
  <c r="Z63" i="4" s="1"/>
  <c r="AJ22" i="4"/>
  <c r="R31" i="4"/>
  <c r="R62" i="4"/>
  <c r="R75" i="4" s="1"/>
  <c r="T31" i="4"/>
  <c r="T62" i="4"/>
  <c r="T75" i="4" s="1"/>
  <c r="X65" i="4"/>
  <c r="Z65" i="4" s="1"/>
  <c r="X18" i="4"/>
  <c r="P62" i="4"/>
  <c r="P31" i="4"/>
  <c r="V31" i="4"/>
  <c r="V62" i="4"/>
  <c r="V75" i="4" s="1"/>
  <c r="AL21" i="4"/>
  <c r="AN127" i="4"/>
  <c r="P53" i="4"/>
  <c r="X40" i="4"/>
  <c r="AJ21" i="4"/>
  <c r="AF22" i="4"/>
  <c r="X151" i="4"/>
  <c r="Z151" i="4" s="1"/>
  <c r="X73" i="4"/>
  <c r="Z73" i="4" s="1"/>
  <c r="X66" i="4"/>
  <c r="Z66" i="4" s="1"/>
  <c r="AL22" i="4"/>
  <c r="AL23" i="4"/>
  <c r="AB70" i="13"/>
  <c r="AD70" i="13" s="1"/>
  <c r="AB74" i="13"/>
  <c r="AD74" i="13" s="1"/>
  <c r="V75" i="13"/>
  <c r="X75" i="13"/>
  <c r="AB67" i="13"/>
  <c r="AD67" i="13" s="1"/>
  <c r="AB127" i="13"/>
  <c r="AD127" i="13" s="1"/>
  <c r="Z75" i="13"/>
  <c r="AB72" i="13"/>
  <c r="AD72" i="13" s="1"/>
  <c r="AD102" i="13"/>
  <c r="AB62" i="13"/>
  <c r="P75" i="13"/>
  <c r="AB31" i="13"/>
  <c r="AD18" i="13"/>
  <c r="R75" i="13"/>
  <c r="AB65" i="13"/>
  <c r="AD65" i="13" s="1"/>
  <c r="T75" i="13"/>
  <c r="AD119" i="13"/>
  <c r="AB53" i="13"/>
  <c r="AD40" i="13"/>
  <c r="AB68" i="13"/>
  <c r="AD68" i="13" s="1"/>
  <c r="AN29" i="4" l="1"/>
  <c r="AN19" i="4"/>
  <c r="AN21" i="4"/>
  <c r="AN23" i="4"/>
  <c r="X31" i="4"/>
  <c r="Z18" i="4"/>
  <c r="AN22" i="4"/>
  <c r="AL18" i="4"/>
  <c r="AL31" i="4" s="1"/>
  <c r="L53" i="10" s="1"/>
  <c r="AJ18" i="4"/>
  <c r="AJ31" i="4" s="1"/>
  <c r="J53" i="10" s="1"/>
  <c r="X53" i="4"/>
  <c r="Z40" i="4"/>
  <c r="X62" i="4"/>
  <c r="P75" i="4"/>
  <c r="AH18" i="4"/>
  <c r="AH31" i="4" s="1"/>
  <c r="H53" i="10" s="1"/>
  <c r="AF18" i="4"/>
  <c r="AB145" i="13"/>
  <c r="AD145" i="13" s="1"/>
  <c r="AB75" i="13"/>
  <c r="AD62" i="13"/>
  <c r="AD53" i="13"/>
  <c r="AD31" i="13"/>
  <c r="Z31" i="4" l="1"/>
  <c r="Z53" i="4"/>
  <c r="AF31" i="4"/>
  <c r="F53" i="10" s="1"/>
  <c r="AN18" i="4"/>
  <c r="AN31" i="4" s="1"/>
  <c r="X75" i="4"/>
  <c r="Z62" i="4"/>
  <c r="AD75" i="13"/>
  <c r="Z75" i="4" l="1"/>
  <c r="L41" i="52" l="1"/>
  <c r="D41" i="61"/>
  <c r="J41" i="61" l="1"/>
  <c r="J28" i="60" l="1"/>
  <c r="J45" i="60"/>
  <c r="J43" i="60"/>
  <c r="J37" i="60"/>
  <c r="J31" i="60"/>
  <c r="J46" i="60"/>
  <c r="J27" i="60"/>
  <c r="J30" i="60"/>
  <c r="J39" i="60"/>
  <c r="J32" i="60"/>
  <c r="J44" i="60"/>
  <c r="J38" i="60"/>
  <c r="J51" i="60"/>
  <c r="J29" i="60"/>
  <c r="J42" i="60"/>
  <c r="J52" i="60" l="1"/>
  <c r="J14" i="60"/>
  <c r="J13" i="60"/>
  <c r="J12" i="60"/>
  <c r="J15" i="60"/>
  <c r="J11" i="60"/>
  <c r="J16" i="60"/>
  <c r="J17" i="60" l="1"/>
  <c r="F34" i="60" l="1"/>
  <c r="F54" i="60" s="1"/>
  <c r="J33" i="60"/>
  <c r="J34" i="60" l="1"/>
  <c r="F52" i="54" l="1"/>
  <c r="F54" i="54" s="1"/>
  <c r="F52" i="56" l="1"/>
  <c r="F54" i="56" s="1"/>
  <c r="F17" i="90" l="1"/>
  <c r="F24" i="90"/>
  <c r="F34" i="90"/>
  <c r="L160" i="1" l="1"/>
  <c r="AD160" i="1" l="1"/>
  <c r="L159" i="1"/>
  <c r="H162" i="1"/>
  <c r="H164" i="1" s="1"/>
  <c r="H180" i="1" s="1"/>
  <c r="L162" i="1" l="1"/>
  <c r="L164" i="1" s="1"/>
  <c r="L180" i="1" s="1"/>
  <c r="D64" i="53" l="1"/>
  <c r="H65" i="53" s="1"/>
  <c r="L65" i="53"/>
  <c r="J65" i="53"/>
  <c r="F65" i="53" l="1"/>
  <c r="P15" i="60"/>
  <c r="BE15" i="87" s="1"/>
  <c r="Q15" i="60"/>
  <c r="D15" i="83" s="1"/>
  <c r="J15" i="83" s="1"/>
  <c r="N15" i="60"/>
  <c r="D15" i="81" s="1"/>
  <c r="O15" i="60"/>
  <c r="N65" i="53"/>
  <c r="D65" i="53" s="1"/>
  <c r="J15" i="81" l="1"/>
  <c r="F15" i="87"/>
  <c r="AU15" i="87"/>
  <c r="R15" i="60"/>
  <c r="D15" i="89" s="1"/>
  <c r="J15" i="89" s="1"/>
  <c r="S15" i="83"/>
  <c r="T15" i="83"/>
  <c r="Y15" i="83"/>
  <c r="Z15" i="83"/>
  <c r="O15" i="83"/>
  <c r="N15" i="83"/>
  <c r="AA15" i="83"/>
  <c r="R15" i="83"/>
  <c r="P15" i="83"/>
  <c r="W15" i="83"/>
  <c r="V15" i="83"/>
  <c r="X15" i="83"/>
  <c r="U15" i="83"/>
  <c r="Q15" i="83"/>
  <c r="N15" i="89" l="1"/>
  <c r="O15" i="89"/>
  <c r="R15" i="89"/>
  <c r="U15" i="89"/>
  <c r="S15" i="89"/>
  <c r="T15" i="89"/>
  <c r="V15" i="89"/>
  <c r="P15" i="89"/>
  <c r="Q15" i="89"/>
  <c r="AZ15" i="87"/>
  <c r="BB15" i="87"/>
  <c r="AW15" i="87"/>
  <c r="AY15" i="87"/>
  <c r="BA15" i="87"/>
  <c r="AX15" i="87"/>
  <c r="L15" i="87"/>
  <c r="S15" i="81"/>
  <c r="P15" i="81"/>
  <c r="W15" i="81"/>
  <c r="R15" i="81"/>
  <c r="T15" i="81"/>
  <c r="Q15" i="81"/>
  <c r="N15" i="81"/>
  <c r="U15" i="81"/>
  <c r="V15" i="81"/>
  <c r="O15" i="81"/>
  <c r="D25" i="80" l="1"/>
  <c r="J26" i="80" l="1"/>
  <c r="F26" i="80"/>
  <c r="L26" i="80"/>
  <c r="H26" i="80"/>
  <c r="R41" i="60" l="1"/>
  <c r="D41" i="89" s="1"/>
  <c r="J41" i="89" s="1"/>
  <c r="R41" i="61"/>
  <c r="T41" i="52"/>
  <c r="F41" i="88" s="1"/>
  <c r="N41" i="60"/>
  <c r="D41" i="81" s="1"/>
  <c r="P41" i="52"/>
  <c r="D41" i="54" s="1"/>
  <c r="N41" i="61"/>
  <c r="D26" i="80"/>
  <c r="O41" i="60"/>
  <c r="F41" i="87" s="1"/>
  <c r="L41" i="87" s="1"/>
  <c r="Q41" i="52"/>
  <c r="F41" i="62" s="1"/>
  <c r="O41" i="61"/>
  <c r="S41" i="52"/>
  <c r="D41" i="56" s="1"/>
  <c r="Q41" i="61"/>
  <c r="Q41" i="60"/>
  <c r="D41" i="83" s="1"/>
  <c r="J41" i="83" s="1"/>
  <c r="T41" i="87" l="1"/>
  <c r="R41" i="87"/>
  <c r="P41" i="87"/>
  <c r="Q41" i="87"/>
  <c r="S41" i="87"/>
  <c r="U41" i="87"/>
  <c r="F41" i="86"/>
  <c r="L41" i="86" s="1"/>
  <c r="L41" i="62"/>
  <c r="J41" i="54"/>
  <c r="D41" i="82"/>
  <c r="O41" i="83"/>
  <c r="V41" i="83"/>
  <c r="W41" i="83"/>
  <c r="P41" i="83"/>
  <c r="R41" i="83"/>
  <c r="N41" i="83"/>
  <c r="Z41" i="83"/>
  <c r="T41" i="83"/>
  <c r="X41" i="83"/>
  <c r="AA41" i="83"/>
  <c r="Q41" i="83"/>
  <c r="Y41" i="83"/>
  <c r="S41" i="83"/>
  <c r="U41" i="83"/>
  <c r="J41" i="81"/>
  <c r="J41" i="56"/>
  <c r="D41" i="84"/>
  <c r="J41" i="84" s="1"/>
  <c r="L41" i="88"/>
  <c r="D41" i="90"/>
  <c r="J41" i="90" s="1"/>
  <c r="Q41" i="89"/>
  <c r="N41" i="89"/>
  <c r="T41" i="89"/>
  <c r="U41" i="89"/>
  <c r="V41" i="89"/>
  <c r="S41" i="89"/>
  <c r="P41" i="89"/>
  <c r="R41" i="89"/>
  <c r="O41" i="89"/>
  <c r="Z41" i="56" l="1"/>
  <c r="Z41" i="84" s="1"/>
  <c r="Q41" i="56"/>
  <c r="Q41" i="84" s="1"/>
  <c r="U41" i="56"/>
  <c r="U41" i="84" s="1"/>
  <c r="S41" i="56"/>
  <c r="S41" i="84" s="1"/>
  <c r="R41" i="56"/>
  <c r="R41" i="84" s="1"/>
  <c r="X41" i="56"/>
  <c r="X41" i="84" s="1"/>
  <c r="N41" i="56"/>
  <c r="N41" i="84" s="1"/>
  <c r="P41" i="56"/>
  <c r="P41" i="84" s="1"/>
  <c r="AA41" i="56"/>
  <c r="AA41" i="84" s="1"/>
  <c r="T41" i="56"/>
  <c r="T41" i="84" s="1"/>
  <c r="Y41" i="56"/>
  <c r="Y41" i="84" s="1"/>
  <c r="W41" i="56"/>
  <c r="W41" i="84" s="1"/>
  <c r="O41" i="56"/>
  <c r="O41" i="84" s="1"/>
  <c r="V41" i="56"/>
  <c r="V41" i="84" s="1"/>
  <c r="J41" i="82"/>
  <c r="N41" i="54"/>
  <c r="W41" i="54"/>
  <c r="T41" i="54"/>
  <c r="R41" i="54"/>
  <c r="O41" i="54"/>
  <c r="U41" i="54"/>
  <c r="P41" i="54"/>
  <c r="Q41" i="54"/>
  <c r="V41" i="54"/>
  <c r="S41" i="54"/>
  <c r="S41" i="81"/>
  <c r="U41" i="81"/>
  <c r="O41" i="81"/>
  <c r="R41" i="81"/>
  <c r="N41" i="81"/>
  <c r="P41" i="81"/>
  <c r="T41" i="81"/>
  <c r="V41" i="81"/>
  <c r="Q41" i="81"/>
  <c r="W41" i="81"/>
  <c r="Q41" i="62"/>
  <c r="Q41" i="86" s="1"/>
  <c r="S41" i="62"/>
  <c r="S41" i="86" s="1"/>
  <c r="P41" i="62"/>
  <c r="P41" i="86" s="1"/>
  <c r="T41" i="62"/>
  <c r="T41" i="86" s="1"/>
  <c r="R41" i="62"/>
  <c r="R41" i="86" s="1"/>
  <c r="U41" i="62"/>
  <c r="U41" i="86" s="1"/>
  <c r="O41" i="90"/>
  <c r="N41" i="90"/>
  <c r="T41" i="90"/>
  <c r="S41" i="90"/>
  <c r="R41" i="90"/>
  <c r="Q41" i="90"/>
  <c r="U41" i="90"/>
  <c r="P41" i="90"/>
  <c r="V41" i="90"/>
  <c r="V41" i="82" l="1"/>
  <c r="P41" i="82"/>
  <c r="O41" i="82"/>
  <c r="U41" i="82"/>
  <c r="S41" i="82"/>
  <c r="Q41" i="82"/>
  <c r="R41" i="82"/>
  <c r="T41" i="82"/>
  <c r="W41" i="82"/>
  <c r="N41" i="82"/>
  <c r="F33" i="84" l="1"/>
  <c r="F34" i="84" s="1"/>
  <c r="F54" i="84" s="1"/>
  <c r="F34" i="83"/>
  <c r="F54" i="83" s="1"/>
  <c r="F34" i="81"/>
  <c r="F54" i="81" s="1"/>
  <c r="F33" i="82"/>
  <c r="F34" i="82" s="1"/>
  <c r="F54" i="82" s="1"/>
  <c r="D91" i="12" l="1"/>
  <c r="L92" i="12" s="1"/>
  <c r="F67" i="12"/>
  <c r="T92" i="12"/>
  <c r="R92" i="12"/>
  <c r="J67" i="12"/>
  <c r="J92" i="12"/>
  <c r="N92" i="12"/>
  <c r="H67" i="12"/>
  <c r="F92" i="12" l="1"/>
  <c r="H92" i="12"/>
  <c r="X22" i="7"/>
  <c r="X44" i="7"/>
  <c r="T44" i="7"/>
  <c r="T22" i="7"/>
  <c r="AB22" i="7"/>
  <c r="AB44" i="7"/>
  <c r="AD22" i="7"/>
  <c r="AD44" i="7"/>
  <c r="P22" i="7"/>
  <c r="P44" i="7"/>
  <c r="R22" i="7"/>
  <c r="R44" i="7"/>
  <c r="D67" i="12"/>
  <c r="F68" i="12" s="1"/>
  <c r="V44" i="7"/>
  <c r="V22" i="7"/>
  <c r="P92" i="12"/>
  <c r="V92" i="12"/>
  <c r="X92" i="12"/>
  <c r="D92" i="12" l="1"/>
  <c r="P142" i="7"/>
  <c r="P43" i="7"/>
  <c r="P21" i="7"/>
  <c r="AD66" i="7"/>
  <c r="AH22" i="7"/>
  <c r="AH44" i="7"/>
  <c r="AF22" i="7"/>
  <c r="AF44" i="7"/>
  <c r="F44" i="50" s="1"/>
  <c r="L44" i="50" s="1"/>
  <c r="AB66" i="7"/>
  <c r="P66" i="7"/>
  <c r="Z22" i="7"/>
  <c r="Z44" i="7"/>
  <c r="J68" i="12"/>
  <c r="R66" i="7"/>
  <c r="V66" i="7"/>
  <c r="H68" i="12"/>
  <c r="T66" i="7"/>
  <c r="L68" i="12"/>
  <c r="T68" i="12"/>
  <c r="V68" i="12"/>
  <c r="R68" i="12"/>
  <c r="P68" i="12"/>
  <c r="X68" i="12"/>
  <c r="N68" i="12"/>
  <c r="X66" i="7"/>
  <c r="AJ44" i="7" l="1"/>
  <c r="AL44" i="7" s="1"/>
  <c r="X21" i="7"/>
  <c r="X43" i="7"/>
  <c r="X142" i="7"/>
  <c r="AZ142" i="7" s="1"/>
  <c r="AH66" i="7"/>
  <c r="AH142" i="7"/>
  <c r="BJ142" i="7" s="1"/>
  <c r="AH21" i="7"/>
  <c r="AH43" i="7"/>
  <c r="V44" i="50"/>
  <c r="R44" i="50"/>
  <c r="P44" i="50"/>
  <c r="T44" i="50"/>
  <c r="AF66" i="7"/>
  <c r="F66" i="50" s="1"/>
  <c r="L66" i="50" s="1"/>
  <c r="F22" i="50"/>
  <c r="L22" i="50" s="1"/>
  <c r="Z142" i="7"/>
  <c r="BB142" i="7" s="1"/>
  <c r="Z21" i="7"/>
  <c r="Z43" i="7"/>
  <c r="AB21" i="7"/>
  <c r="AB142" i="7"/>
  <c r="BD142" i="7" s="1"/>
  <c r="AB43" i="7"/>
  <c r="AF43" i="7"/>
  <c r="F43" i="50" s="1"/>
  <c r="L43" i="50" s="1"/>
  <c r="AF21" i="7"/>
  <c r="AF142" i="7"/>
  <c r="T21" i="7"/>
  <c r="T142" i="7"/>
  <c r="AV142" i="7" s="1"/>
  <c r="T43" i="7"/>
  <c r="P65" i="7"/>
  <c r="AD43" i="7"/>
  <c r="AD21" i="7"/>
  <c r="AD142" i="7"/>
  <c r="BF142" i="7" s="1"/>
  <c r="V43" i="7"/>
  <c r="V142" i="7"/>
  <c r="AX142" i="7" s="1"/>
  <c r="V21" i="7"/>
  <c r="Z66" i="7"/>
  <c r="AJ22" i="7"/>
  <c r="BB22" i="7" s="1"/>
  <c r="AR142" i="7"/>
  <c r="R142" i="7"/>
  <c r="AT142" i="7" s="1"/>
  <c r="R21" i="7"/>
  <c r="R43" i="7"/>
  <c r="D68" i="12"/>
  <c r="AJ43" i="7" l="1"/>
  <c r="AL43" i="7" s="1"/>
  <c r="AJ66" i="7"/>
  <c r="AL66" i="7" s="1"/>
  <c r="T65" i="7"/>
  <c r="D88" i="12"/>
  <c r="F89" i="12" s="1"/>
  <c r="F142" i="50"/>
  <c r="L142" i="50" s="1"/>
  <c r="BH142" i="7"/>
  <c r="Z142" i="50" s="1"/>
  <c r="F21" i="50"/>
  <c r="L21" i="50" s="1"/>
  <c r="AF65" i="7"/>
  <c r="F65" i="50" s="1"/>
  <c r="L65" i="50" s="1"/>
  <c r="V65" i="7"/>
  <c r="V43" i="50"/>
  <c r="P43" i="50"/>
  <c r="R43" i="50"/>
  <c r="T43" i="50"/>
  <c r="D85" i="12"/>
  <c r="J86" i="12" s="1"/>
  <c r="T20" i="7" s="1"/>
  <c r="D82" i="12"/>
  <c r="F83" i="12" s="1"/>
  <c r="AH65" i="7"/>
  <c r="V22" i="50"/>
  <c r="V66" i="50" s="1"/>
  <c r="P22" i="50"/>
  <c r="P66" i="50" s="1"/>
  <c r="T22" i="50"/>
  <c r="T66" i="50" s="1"/>
  <c r="R22" i="50"/>
  <c r="R66" i="50" s="1"/>
  <c r="AL22" i="7"/>
  <c r="AX22" i="7"/>
  <c r="AT22" i="7"/>
  <c r="AV22" i="7"/>
  <c r="AR22" i="7"/>
  <c r="BF22" i="7"/>
  <c r="BD22" i="7"/>
  <c r="AZ22" i="7"/>
  <c r="AD65" i="7"/>
  <c r="AB65" i="7"/>
  <c r="BJ22" i="7"/>
  <c r="R65" i="7"/>
  <c r="D79" i="12"/>
  <c r="F80" i="12" s="1"/>
  <c r="Z65" i="7"/>
  <c r="H86" i="12"/>
  <c r="R20" i="7" s="1"/>
  <c r="J89" i="12"/>
  <c r="T42" i="7" s="1"/>
  <c r="H89" i="12"/>
  <c r="R42" i="7" s="1"/>
  <c r="D76" i="12"/>
  <c r="J77" i="12" s="1"/>
  <c r="T18" i="7" s="1"/>
  <c r="AJ142" i="7"/>
  <c r="AL142" i="7" s="1"/>
  <c r="AJ21" i="7"/>
  <c r="BH21" i="7" s="1"/>
  <c r="BH22" i="7"/>
  <c r="X65" i="7"/>
  <c r="H83" i="12" l="1"/>
  <c r="R41" i="7" s="1"/>
  <c r="J83" i="12"/>
  <c r="T41" i="7" s="1"/>
  <c r="F86" i="12"/>
  <c r="AA142" i="50"/>
  <c r="H80" i="12"/>
  <c r="R19" i="7" s="1"/>
  <c r="AT21" i="7"/>
  <c r="AZ21" i="7"/>
  <c r="BL142" i="7"/>
  <c r="AJ65" i="7"/>
  <c r="AL65" i="7" s="1"/>
  <c r="AX21" i="7"/>
  <c r="BF21" i="7"/>
  <c r="BD21" i="7"/>
  <c r="BB21" i="7"/>
  <c r="P19" i="7"/>
  <c r="H77" i="12"/>
  <c r="R18" i="7" s="1"/>
  <c r="T64" i="7"/>
  <c r="BJ21" i="7"/>
  <c r="R64" i="7"/>
  <c r="P41" i="7"/>
  <c r="P21" i="50"/>
  <c r="P65" i="50" s="1"/>
  <c r="R21" i="50"/>
  <c r="R65" i="50" s="1"/>
  <c r="V21" i="50"/>
  <c r="V65" i="50" s="1"/>
  <c r="T21" i="50"/>
  <c r="T65" i="50" s="1"/>
  <c r="L83" i="12"/>
  <c r="V41" i="7" s="1"/>
  <c r="X83" i="12"/>
  <c r="AH41" i="7" s="1"/>
  <c r="T83" i="12"/>
  <c r="AD41" i="7" s="1"/>
  <c r="R83" i="12"/>
  <c r="AB41" i="7" s="1"/>
  <c r="V83" i="12"/>
  <c r="AF41" i="7" s="1"/>
  <c r="F41" i="50" s="1"/>
  <c r="L41" i="50" s="1"/>
  <c r="N83" i="12"/>
  <c r="X41" i="7" s="1"/>
  <c r="P83" i="12"/>
  <c r="Z41" i="7" s="1"/>
  <c r="BL22" i="7"/>
  <c r="V142" i="50"/>
  <c r="R142" i="50"/>
  <c r="T142" i="50"/>
  <c r="P142" i="50"/>
  <c r="P20" i="7"/>
  <c r="P42" i="7"/>
  <c r="L86" i="12"/>
  <c r="V20" i="7" s="1"/>
  <c r="P86" i="12"/>
  <c r="Z20" i="7" s="1"/>
  <c r="N86" i="12"/>
  <c r="X20" i="7" s="1"/>
  <c r="V86" i="12"/>
  <c r="AF20" i="7" s="1"/>
  <c r="T86" i="12"/>
  <c r="AD20" i="7" s="1"/>
  <c r="R86" i="12"/>
  <c r="AB20" i="7" s="1"/>
  <c r="X86" i="12"/>
  <c r="AH20" i="7" s="1"/>
  <c r="L89" i="12"/>
  <c r="V42" i="7" s="1"/>
  <c r="V89" i="12"/>
  <c r="AF42" i="7" s="1"/>
  <c r="F42" i="50" s="1"/>
  <c r="L42" i="50" s="1"/>
  <c r="P89" i="12"/>
  <c r="Z42" i="7" s="1"/>
  <c r="N89" i="12"/>
  <c r="X42" i="7" s="1"/>
  <c r="T89" i="12"/>
  <c r="AD42" i="7" s="1"/>
  <c r="X89" i="12"/>
  <c r="AH42" i="7" s="1"/>
  <c r="R89" i="12"/>
  <c r="AB42" i="7" s="1"/>
  <c r="F77" i="12"/>
  <c r="L77" i="12"/>
  <c r="V18" i="7" s="1"/>
  <c r="P77" i="12"/>
  <c r="Z18" i="7" s="1"/>
  <c r="R77" i="12"/>
  <c r="AB18" i="7" s="1"/>
  <c r="N77" i="12"/>
  <c r="X18" i="7" s="1"/>
  <c r="V77" i="12"/>
  <c r="AF18" i="7" s="1"/>
  <c r="T77" i="12"/>
  <c r="AD18" i="7" s="1"/>
  <c r="X77" i="12"/>
  <c r="AH18" i="7" s="1"/>
  <c r="AV21" i="7"/>
  <c r="AL21" i="7"/>
  <c r="AR21" i="7"/>
  <c r="J80" i="12"/>
  <c r="T19" i="7" s="1"/>
  <c r="L80" i="12"/>
  <c r="V19" i="7" s="1"/>
  <c r="R80" i="12"/>
  <c r="AB19" i="7" s="1"/>
  <c r="N80" i="12"/>
  <c r="X19" i="7" s="1"/>
  <c r="V80" i="12"/>
  <c r="AF19" i="7" s="1"/>
  <c r="T80" i="12"/>
  <c r="AD19" i="7" s="1"/>
  <c r="P80" i="12"/>
  <c r="Z19" i="7" s="1"/>
  <c r="X80" i="12"/>
  <c r="AH19" i="7" s="1"/>
  <c r="R63" i="7" l="1"/>
  <c r="AG142" i="50"/>
  <c r="AE142" i="50"/>
  <c r="AI142" i="50"/>
  <c r="AC142" i="50"/>
  <c r="F19" i="50"/>
  <c r="L19" i="50" s="1"/>
  <c r="AF63" i="7"/>
  <c r="F63" i="50" s="1"/>
  <c r="L63" i="50" s="1"/>
  <c r="X63" i="7"/>
  <c r="AJ42" i="7"/>
  <c r="AL42" i="7" s="1"/>
  <c r="P41" i="50"/>
  <c r="T41" i="50"/>
  <c r="R41" i="50"/>
  <c r="V41" i="50"/>
  <c r="AB63" i="7"/>
  <c r="D86" i="12"/>
  <c r="X64" i="7"/>
  <c r="Z64" i="7"/>
  <c r="V63" i="7"/>
  <c r="P42" i="50"/>
  <c r="T42" i="50"/>
  <c r="V42" i="50"/>
  <c r="R42" i="50"/>
  <c r="P64" i="7"/>
  <c r="AJ20" i="7"/>
  <c r="BD20" i="7" s="1"/>
  <c r="D83" i="12"/>
  <c r="D89" i="12"/>
  <c r="BL21" i="7"/>
  <c r="AH64" i="7"/>
  <c r="F18" i="50"/>
  <c r="AB64" i="7"/>
  <c r="P18" i="7"/>
  <c r="D77" i="12"/>
  <c r="AH63" i="7"/>
  <c r="D80" i="12"/>
  <c r="AD63" i="7"/>
  <c r="V64" i="7"/>
  <c r="AJ41" i="7"/>
  <c r="AL41" i="7" s="1"/>
  <c r="T63" i="7"/>
  <c r="AD64" i="7"/>
  <c r="Z63" i="7"/>
  <c r="AF64" i="7"/>
  <c r="F64" i="50" s="1"/>
  <c r="L64" i="50" s="1"/>
  <c r="F20" i="50"/>
  <c r="L20" i="50" s="1"/>
  <c r="P63" i="7"/>
  <c r="AJ19" i="7"/>
  <c r="BF19" i="7" s="1"/>
  <c r="AJ64" i="7" l="1"/>
  <c r="AL64" i="7" s="1"/>
  <c r="BJ19" i="7"/>
  <c r="AJ63" i="7"/>
  <c r="AL63" i="7" s="1"/>
  <c r="AL20" i="7"/>
  <c r="AT20" i="7"/>
  <c r="AV20" i="7"/>
  <c r="AV19" i="7"/>
  <c r="AX19" i="7"/>
  <c r="BH20" i="7"/>
  <c r="R20" i="50"/>
  <c r="R64" i="50" s="1"/>
  <c r="T20" i="50"/>
  <c r="T64" i="50" s="1"/>
  <c r="V20" i="50"/>
  <c r="V64" i="50" s="1"/>
  <c r="P20" i="50"/>
  <c r="P64" i="50" s="1"/>
  <c r="AZ20" i="7"/>
  <c r="BH19" i="7"/>
  <c r="BF20" i="7"/>
  <c r="AJ18" i="7"/>
  <c r="AR18" i="7" s="1"/>
  <c r="BB20" i="7"/>
  <c r="L18" i="50"/>
  <c r="T19" i="50"/>
  <c r="T63" i="50" s="1"/>
  <c r="V19" i="50"/>
  <c r="V63" i="50" s="1"/>
  <c r="R19" i="50"/>
  <c r="R63" i="50" s="1"/>
  <c r="P19" i="50"/>
  <c r="P63" i="50" s="1"/>
  <c r="AR19" i="7"/>
  <c r="AL19" i="7"/>
  <c r="AT19" i="7"/>
  <c r="AZ19" i="7"/>
  <c r="AX20" i="7"/>
  <c r="BB19" i="7"/>
  <c r="BJ20" i="7"/>
  <c r="AR20" i="7"/>
  <c r="BD19" i="7"/>
  <c r="P18" i="50" l="1"/>
  <c r="V18" i="50"/>
  <c r="R18" i="50"/>
  <c r="T18" i="50"/>
  <c r="BL20" i="7"/>
  <c r="BL19" i="7"/>
  <c r="BB18" i="7"/>
  <c r="AL18" i="7"/>
  <c r="AV18" i="7"/>
  <c r="BD18" i="7"/>
  <c r="BH18" i="7"/>
  <c r="AT18" i="7"/>
  <c r="AX18" i="7"/>
  <c r="BF18" i="7"/>
  <c r="BJ18" i="7"/>
  <c r="AZ18" i="7"/>
  <c r="D46" i="12" l="1"/>
  <c r="P47" i="12" s="1"/>
  <c r="BL18" i="7"/>
  <c r="N47" i="12"/>
  <c r="L47" i="12"/>
  <c r="F47" i="12"/>
  <c r="R47" i="12"/>
  <c r="H47" i="12"/>
  <c r="J47" i="12"/>
  <c r="X47" i="12"/>
  <c r="T47" i="12"/>
  <c r="V47" i="12" l="1"/>
  <c r="AH52" i="7"/>
  <c r="AH30" i="7"/>
  <c r="T52" i="7"/>
  <c r="T30" i="7"/>
  <c r="R30" i="7"/>
  <c r="R52" i="7"/>
  <c r="AB30" i="7"/>
  <c r="AB52" i="7"/>
  <c r="P30" i="7"/>
  <c r="D47" i="12"/>
  <c r="P52" i="7"/>
  <c r="V52" i="7"/>
  <c r="V30" i="7"/>
  <c r="X30" i="7"/>
  <c r="X52" i="7"/>
  <c r="AD30" i="7"/>
  <c r="AD52" i="7"/>
  <c r="AF30" i="7"/>
  <c r="AF52" i="7"/>
  <c r="F52" i="50" s="1"/>
  <c r="L52" i="50" s="1"/>
  <c r="Z52" i="7"/>
  <c r="Z30" i="7"/>
  <c r="AJ52" i="7" l="1"/>
  <c r="AL52" i="7" s="1"/>
  <c r="AB74" i="7"/>
  <c r="AB31" i="7"/>
  <c r="X74" i="7"/>
  <c r="X31" i="7"/>
  <c r="R74" i="7"/>
  <c r="R31" i="7"/>
  <c r="T74" i="7"/>
  <c r="T31" i="7"/>
  <c r="V74" i="7"/>
  <c r="V31" i="7"/>
  <c r="V52" i="50"/>
  <c r="P52" i="50"/>
  <c r="T52" i="50"/>
  <c r="R52" i="50"/>
  <c r="AD74" i="7"/>
  <c r="AD31" i="7"/>
  <c r="AH74" i="7"/>
  <c r="AH31" i="7"/>
  <c r="AJ30" i="7"/>
  <c r="AZ30" i="7" s="1"/>
  <c r="AZ31" i="7" s="1"/>
  <c r="P74" i="7"/>
  <c r="P31" i="7"/>
  <c r="Z74" i="7"/>
  <c r="Z31" i="7"/>
  <c r="AF74" i="7"/>
  <c r="F74" i="50" s="1"/>
  <c r="L74" i="50" s="1"/>
  <c r="F30" i="50"/>
  <c r="AF31" i="7"/>
  <c r="AX30" i="7" l="1"/>
  <c r="AX31" i="7" s="1"/>
  <c r="AR30" i="7"/>
  <c r="AR31" i="7" s="1"/>
  <c r="AJ74" i="7"/>
  <c r="AL74" i="7" s="1"/>
  <c r="L30" i="50"/>
  <c r="F31" i="50"/>
  <c r="BH30" i="7"/>
  <c r="BH31" i="7" s="1"/>
  <c r="AL30" i="7"/>
  <c r="AV30" i="7"/>
  <c r="AV31" i="7" s="1"/>
  <c r="BF30" i="7"/>
  <c r="BF31" i="7" s="1"/>
  <c r="BD30" i="7"/>
  <c r="BD31" i="7" s="1"/>
  <c r="BJ30" i="7"/>
  <c r="BJ31" i="7" s="1"/>
  <c r="AT30" i="7"/>
  <c r="AT31" i="7" s="1"/>
  <c r="BB30" i="7"/>
  <c r="BB31" i="7" s="1"/>
  <c r="AJ31" i="7"/>
  <c r="AL31" i="7" l="1"/>
  <c r="BL30" i="7"/>
  <c r="BL31" i="7" s="1"/>
  <c r="P30" i="50"/>
  <c r="T30" i="50"/>
  <c r="R30" i="50"/>
  <c r="V30" i="50"/>
  <c r="T74" i="50" l="1"/>
  <c r="T31" i="50"/>
  <c r="R74" i="50"/>
  <c r="R31" i="50"/>
  <c r="V74" i="50"/>
  <c r="V31" i="50"/>
  <c r="P74" i="50"/>
  <c r="P31" i="50"/>
  <c r="D37" i="53" l="1"/>
  <c r="D61" i="53" l="1"/>
  <c r="F62" i="53" s="1"/>
  <c r="F38" i="53"/>
  <c r="N38" i="53"/>
  <c r="L38" i="53"/>
  <c r="H38" i="53"/>
  <c r="J38" i="53"/>
  <c r="R12" i="60" l="1"/>
  <c r="D12" i="89" s="1"/>
  <c r="J12" i="89" s="1"/>
  <c r="N12" i="60"/>
  <c r="D12" i="81" s="1"/>
  <c r="D38" i="53"/>
  <c r="O12" i="60"/>
  <c r="Q12" i="60"/>
  <c r="D12" i="83" s="1"/>
  <c r="J12" i="83" s="1"/>
  <c r="P12" i="60"/>
  <c r="BE12" i="87" s="1"/>
  <c r="N62" i="53"/>
  <c r="L62" i="53"/>
  <c r="H62" i="53"/>
  <c r="J62" i="53"/>
  <c r="D62" i="53" l="1"/>
  <c r="N12" i="83"/>
  <c r="V12" i="83"/>
  <c r="R12" i="83"/>
  <c r="P12" i="83"/>
  <c r="X12" i="83"/>
  <c r="T12" i="83"/>
  <c r="S12" i="83"/>
  <c r="Z12" i="83"/>
  <c r="W12" i="83"/>
  <c r="AA12" i="83"/>
  <c r="U12" i="83"/>
  <c r="Y12" i="83"/>
  <c r="Q12" i="83"/>
  <c r="O12" i="83"/>
  <c r="F12" i="87"/>
  <c r="AU12" i="87"/>
  <c r="AT33" i="86"/>
  <c r="J12" i="81"/>
  <c r="P12" i="89"/>
  <c r="U12" i="89"/>
  <c r="S12" i="89"/>
  <c r="T12" i="89"/>
  <c r="R12" i="89"/>
  <c r="V12" i="89"/>
  <c r="O12" i="89"/>
  <c r="N12" i="89"/>
  <c r="Q12" i="89"/>
  <c r="AW12" i="87" l="1"/>
  <c r="AX12" i="87"/>
  <c r="AZ12" i="87"/>
  <c r="BA12" i="87"/>
  <c r="BB12" i="87"/>
  <c r="AY12" i="87"/>
  <c r="D16" i="53"/>
  <c r="J17" i="53" s="1"/>
  <c r="L12" i="87"/>
  <c r="BD33" i="86"/>
  <c r="T12" i="81"/>
  <c r="S12" i="81"/>
  <c r="P12" i="81"/>
  <c r="O12" i="81"/>
  <c r="V12" i="81"/>
  <c r="U12" i="81"/>
  <c r="R12" i="81"/>
  <c r="W12" i="81"/>
  <c r="N12" i="81"/>
  <c r="Q12" i="81"/>
  <c r="H17" i="53" l="1"/>
  <c r="N17" i="53"/>
  <c r="F17" i="53"/>
  <c r="L17" i="53"/>
  <c r="D17" i="53" l="1"/>
  <c r="D58" i="53" l="1"/>
  <c r="F59" i="53" l="1"/>
  <c r="N59" i="53"/>
  <c r="J59" i="53"/>
  <c r="L59" i="53"/>
  <c r="H59" i="53"/>
  <c r="R11" i="60" l="1"/>
  <c r="O11" i="60"/>
  <c r="Q11" i="60"/>
  <c r="P11" i="60"/>
  <c r="N11" i="60"/>
  <c r="D59" i="53"/>
  <c r="F11" i="87" l="1"/>
  <c r="AU11" i="87"/>
  <c r="D11" i="81"/>
  <c r="D11" i="83"/>
  <c r="BE11" i="87"/>
  <c r="D11" i="89"/>
  <c r="J11" i="81" l="1"/>
  <c r="L11" i="87"/>
  <c r="J11" i="89"/>
  <c r="BB11" i="87"/>
  <c r="AW11" i="87"/>
  <c r="AZ11" i="87"/>
  <c r="BA11" i="87"/>
  <c r="AX11" i="87"/>
  <c r="AY11" i="87"/>
  <c r="J11" i="83"/>
  <c r="N11" i="89" l="1"/>
  <c r="T11" i="89"/>
  <c r="V11" i="89"/>
  <c r="Q11" i="89"/>
  <c r="R11" i="89"/>
  <c r="U11" i="89"/>
  <c r="O11" i="89"/>
  <c r="S11" i="89"/>
  <c r="P11" i="89"/>
  <c r="Y11" i="83"/>
  <c r="U11" i="83"/>
  <c r="N11" i="83"/>
  <c r="O11" i="83"/>
  <c r="W11" i="83"/>
  <c r="AA11" i="83"/>
  <c r="V11" i="83"/>
  <c r="X11" i="83"/>
  <c r="P11" i="83"/>
  <c r="R11" i="83"/>
  <c r="S11" i="83"/>
  <c r="T11" i="83"/>
  <c r="Z11" i="83"/>
  <c r="Q11" i="83"/>
  <c r="O11" i="81"/>
  <c r="V11" i="81"/>
  <c r="S11" i="81"/>
  <c r="U11" i="81"/>
  <c r="W11" i="81"/>
  <c r="T11" i="81"/>
  <c r="N11" i="81"/>
  <c r="P11" i="81"/>
  <c r="Q11" i="81"/>
  <c r="R11" i="81"/>
  <c r="D40" i="53" l="1"/>
  <c r="F41" i="53" s="1"/>
  <c r="N13" i="60" l="1"/>
  <c r="L41" i="53"/>
  <c r="N41" i="53"/>
  <c r="H41" i="53"/>
  <c r="J41" i="53"/>
  <c r="Q13" i="60" l="1"/>
  <c r="R13" i="60"/>
  <c r="O13" i="60"/>
  <c r="P13" i="60"/>
  <c r="D13" i="81"/>
  <c r="D41" i="53"/>
  <c r="D13" i="89" l="1"/>
  <c r="J13" i="81"/>
  <c r="BE13" i="87"/>
  <c r="F13" i="87"/>
  <c r="AU13" i="87"/>
  <c r="D13" i="83"/>
  <c r="J13" i="83" l="1"/>
  <c r="T13" i="81"/>
  <c r="V13" i="81"/>
  <c r="R13" i="81"/>
  <c r="U13" i="81"/>
  <c r="O13" i="81"/>
  <c r="Q13" i="81"/>
  <c r="N13" i="81"/>
  <c r="W13" i="81"/>
  <c r="P13" i="81"/>
  <c r="S13" i="81"/>
  <c r="AW13" i="87"/>
  <c r="AY13" i="87"/>
  <c r="BA13" i="87"/>
  <c r="AZ13" i="87"/>
  <c r="AX13" i="87"/>
  <c r="BB13" i="87"/>
  <c r="J13" i="89"/>
  <c r="L13" i="87"/>
  <c r="W13" i="83" l="1"/>
  <c r="T13" i="83"/>
  <c r="AA13" i="83"/>
  <c r="R13" i="83"/>
  <c r="N13" i="83"/>
  <c r="V13" i="83"/>
  <c r="X13" i="83"/>
  <c r="S13" i="83"/>
  <c r="O13" i="83"/>
  <c r="Y13" i="83"/>
  <c r="U13" i="83"/>
  <c r="Q13" i="83"/>
  <c r="P13" i="83"/>
  <c r="Z13" i="83"/>
  <c r="V13" i="89"/>
  <c r="P13" i="89"/>
  <c r="R13" i="89"/>
  <c r="N13" i="89"/>
  <c r="S13" i="89"/>
  <c r="O13" i="89"/>
  <c r="T13" i="89"/>
  <c r="Q13" i="89"/>
  <c r="U13" i="89"/>
  <c r="BB33" i="87" l="1"/>
  <c r="BA33" i="87"/>
  <c r="AZ33" i="87"/>
  <c r="AY33" i="87"/>
  <c r="AX33" i="87"/>
  <c r="AW33" i="87"/>
  <c r="D67" i="53" l="1"/>
  <c r="N68" i="53" l="1"/>
  <c r="L68" i="53"/>
  <c r="H68" i="53"/>
  <c r="J68" i="53"/>
  <c r="F68" i="53"/>
  <c r="N33" i="60" l="1"/>
  <c r="D33" i="81" s="1"/>
  <c r="D68" i="53"/>
  <c r="P33" i="60"/>
  <c r="O33" i="60"/>
  <c r="Q33" i="60"/>
  <c r="D33" i="83" s="1"/>
  <c r="J33" i="83" s="1"/>
  <c r="R33" i="60"/>
  <c r="D33" i="89" s="1"/>
  <c r="J33" i="89" s="1"/>
  <c r="F33" i="87" l="1"/>
  <c r="L33" i="87" s="1"/>
  <c r="P33" i="89"/>
  <c r="R33" i="89"/>
  <c r="V33" i="89"/>
  <c r="S33" i="89"/>
  <c r="T33" i="89"/>
  <c r="U33" i="89"/>
  <c r="O33" i="89"/>
  <c r="Q33" i="89"/>
  <c r="N33" i="89"/>
  <c r="Z33" i="83"/>
  <c r="O33" i="83"/>
  <c r="P33" i="83"/>
  <c r="S33" i="83"/>
  <c r="AA33" i="83"/>
  <c r="V33" i="83"/>
  <c r="R33" i="83"/>
  <c r="W33" i="83"/>
  <c r="Q33" i="83"/>
  <c r="N33" i="83"/>
  <c r="T33" i="83"/>
  <c r="X33" i="83"/>
  <c r="U33" i="83"/>
  <c r="Y33" i="83"/>
  <c r="J33" i="81"/>
  <c r="P33" i="81" l="1"/>
  <c r="Q33" i="81"/>
  <c r="R33" i="81"/>
  <c r="S33" i="81"/>
  <c r="T33" i="81"/>
  <c r="W33" i="81"/>
  <c r="V33" i="81"/>
  <c r="U33" i="81"/>
  <c r="N33" i="81"/>
  <c r="O33" i="81"/>
  <c r="D58" i="12" l="1"/>
  <c r="F59" i="12" s="1"/>
  <c r="P109" i="7" l="1"/>
  <c r="R59" i="12"/>
  <c r="AB109" i="7" s="1"/>
  <c r="X59" i="12"/>
  <c r="AH109" i="7" s="1"/>
  <c r="L59" i="12"/>
  <c r="V109" i="7" s="1"/>
  <c r="V59" i="12"/>
  <c r="AF109" i="7" s="1"/>
  <c r="F109" i="50" s="1"/>
  <c r="L109" i="50" s="1"/>
  <c r="T59" i="12"/>
  <c r="AD109" i="7" s="1"/>
  <c r="H59" i="12"/>
  <c r="R109" i="7" s="1"/>
  <c r="J59" i="12"/>
  <c r="T109" i="7" s="1"/>
  <c r="N59" i="12"/>
  <c r="X109" i="7" s="1"/>
  <c r="P59" i="12"/>
  <c r="Z109" i="7" s="1"/>
  <c r="V109" i="50" l="1"/>
  <c r="P109" i="50"/>
  <c r="T109" i="50"/>
  <c r="R109" i="50"/>
  <c r="D59" i="12"/>
  <c r="AJ109" i="7"/>
  <c r="AL109" i="7" s="1"/>
  <c r="Z70" i="63" l="1"/>
  <c r="X70" i="63"/>
  <c r="W70" i="63"/>
  <c r="Y70" i="63"/>
  <c r="U70" i="63"/>
  <c r="V70" i="63"/>
  <c r="D69" i="91"/>
  <c r="F70" i="91" s="1"/>
  <c r="R70" i="63"/>
  <c r="D69" i="63"/>
  <c r="F70" i="63" s="1"/>
  <c r="D69" i="55"/>
  <c r="F70" i="55" s="1"/>
  <c r="N70" i="91" l="1"/>
  <c r="G70" i="91"/>
  <c r="O70" i="55"/>
  <c r="K70" i="63"/>
  <c r="J70" i="55"/>
  <c r="L70" i="55"/>
  <c r="I70" i="63"/>
  <c r="P70" i="63"/>
  <c r="N70" i="63"/>
  <c r="D69" i="57"/>
  <c r="F70" i="57" s="1"/>
  <c r="K70" i="55"/>
  <c r="H70" i="55"/>
  <c r="N70" i="55"/>
  <c r="O70" i="63"/>
  <c r="H70" i="63"/>
  <c r="G70" i="55"/>
  <c r="I70" i="55"/>
  <c r="G70" i="63"/>
  <c r="S70" i="63"/>
  <c r="H70" i="91"/>
  <c r="L70" i="91"/>
  <c r="M70" i="55"/>
  <c r="I70" i="91"/>
  <c r="J70" i="63"/>
  <c r="J70" i="91"/>
  <c r="Q70" i="63"/>
  <c r="K70" i="91"/>
  <c r="M70" i="91"/>
  <c r="D70" i="91" l="1"/>
  <c r="D70" i="55"/>
  <c r="D70" i="63"/>
  <c r="I70" i="57"/>
  <c r="H70" i="57"/>
  <c r="K70" i="57"/>
  <c r="O70" i="57"/>
  <c r="G70" i="57"/>
  <c r="M70" i="57"/>
  <c r="J70" i="57"/>
  <c r="S70" i="57"/>
  <c r="Q70" i="57"/>
  <c r="R70" i="57"/>
  <c r="P70" i="57"/>
  <c r="N70" i="57"/>
  <c r="L70" i="57"/>
  <c r="D70" i="57" l="1"/>
  <c r="D55" i="53" l="1"/>
  <c r="L56" i="53" s="1"/>
  <c r="D22" i="53" l="1"/>
  <c r="D25" i="53"/>
  <c r="F26" i="53" s="1"/>
  <c r="D46" i="53"/>
  <c r="J47" i="53" s="1"/>
  <c r="D28" i="53"/>
  <c r="N29" i="53" s="1"/>
  <c r="N23" i="53"/>
  <c r="L23" i="53"/>
  <c r="H23" i="53"/>
  <c r="F23" i="53"/>
  <c r="N31" i="60"/>
  <c r="D31" i="81" s="1"/>
  <c r="F47" i="53"/>
  <c r="H29" i="53"/>
  <c r="F29" i="53"/>
  <c r="L29" i="53"/>
  <c r="L26" i="53"/>
  <c r="BD14" i="86"/>
  <c r="D34" i="53"/>
  <c r="F35" i="53" s="1"/>
  <c r="H56" i="53"/>
  <c r="J56" i="53"/>
  <c r="D52" i="53"/>
  <c r="F53" i="53" s="1"/>
  <c r="N56" i="53"/>
  <c r="J23" i="53"/>
  <c r="H26" i="53"/>
  <c r="N47" i="53"/>
  <c r="J29" i="53"/>
  <c r="N26" i="53"/>
  <c r="L47" i="53"/>
  <c r="D13" i="53"/>
  <c r="N14" i="53" s="1"/>
  <c r="D19" i="53"/>
  <c r="F20" i="53" s="1"/>
  <c r="H47" i="53"/>
  <c r="D49" i="53"/>
  <c r="H50" i="53" s="1"/>
  <c r="J26" i="53"/>
  <c r="D31" i="53"/>
  <c r="J32" i="53" s="1"/>
  <c r="F56" i="53"/>
  <c r="D43" i="53"/>
  <c r="L44" i="53" s="1"/>
  <c r="N53" i="53" l="1"/>
  <c r="H35" i="53"/>
  <c r="L50" i="53"/>
  <c r="D26" i="53"/>
  <c r="N32" i="53"/>
  <c r="R30" i="60" s="1"/>
  <c r="D30" i="89" s="1"/>
  <c r="J30" i="89" s="1"/>
  <c r="L32" i="53"/>
  <c r="J53" i="53"/>
  <c r="N28" i="60"/>
  <c r="D28" i="81" s="1"/>
  <c r="N14" i="60"/>
  <c r="F14" i="53"/>
  <c r="H14" i="53"/>
  <c r="O28" i="60"/>
  <c r="Q30" i="60"/>
  <c r="D30" i="83" s="1"/>
  <c r="J30" i="83" s="1"/>
  <c r="R27" i="60"/>
  <c r="D29" i="53"/>
  <c r="N27" i="60"/>
  <c r="Q32" i="60"/>
  <c r="D32" i="83" s="1"/>
  <c r="J32" i="83" s="1"/>
  <c r="Q31" i="60"/>
  <c r="D31" i="83" s="1"/>
  <c r="J31" i="83" s="1"/>
  <c r="O27" i="60"/>
  <c r="R31" i="60"/>
  <c r="D31" i="89" s="1"/>
  <c r="J31" i="89" s="1"/>
  <c r="H53" i="53"/>
  <c r="D47" i="53"/>
  <c r="N32" i="60"/>
  <c r="D32" i="81" s="1"/>
  <c r="P30" i="60"/>
  <c r="BE30" i="87" s="1"/>
  <c r="P32" i="60"/>
  <c r="BE32" i="87" s="1"/>
  <c r="F44" i="53"/>
  <c r="H44" i="53"/>
  <c r="P27" i="60"/>
  <c r="Q29" i="60"/>
  <c r="D29" i="83" s="1"/>
  <c r="J29" i="83" s="1"/>
  <c r="D56" i="53"/>
  <c r="R32" i="60"/>
  <c r="D32" i="89" s="1"/>
  <c r="J32" i="89" s="1"/>
  <c r="L14" i="53"/>
  <c r="Q27" i="60"/>
  <c r="F32" i="53"/>
  <c r="H32" i="53"/>
  <c r="J44" i="53"/>
  <c r="L53" i="53"/>
  <c r="H20" i="53"/>
  <c r="P31" i="60"/>
  <c r="BE31" i="87" s="1"/>
  <c r="O31" i="60"/>
  <c r="J20" i="53"/>
  <c r="O29" i="60"/>
  <c r="J31" i="81"/>
  <c r="J50" i="53"/>
  <c r="F50" i="53"/>
  <c r="N35" i="53"/>
  <c r="N50" i="53"/>
  <c r="BD21" i="86"/>
  <c r="D23" i="53"/>
  <c r="N16" i="60"/>
  <c r="D16" i="81" s="1"/>
  <c r="O32" i="60"/>
  <c r="P16" i="60"/>
  <c r="BE16" i="87" s="1"/>
  <c r="J14" i="53"/>
  <c r="O16" i="60"/>
  <c r="N44" i="53"/>
  <c r="J35" i="53"/>
  <c r="L35" i="53"/>
  <c r="Q16" i="60"/>
  <c r="D16" i="83" s="1"/>
  <c r="J16" i="83" s="1"/>
  <c r="L20" i="53"/>
  <c r="N20" i="53"/>
  <c r="R16" i="60"/>
  <c r="D16" i="89" s="1"/>
  <c r="J16" i="89" s="1"/>
  <c r="R28" i="60" l="1"/>
  <c r="D28" i="89" s="1"/>
  <c r="J28" i="89" s="1"/>
  <c r="F27" i="87"/>
  <c r="BE27" i="87"/>
  <c r="J32" i="81"/>
  <c r="D27" i="89"/>
  <c r="D50" i="53"/>
  <c r="N29" i="60"/>
  <c r="D29" i="81" s="1"/>
  <c r="J29" i="81" s="1"/>
  <c r="O14" i="60"/>
  <c r="V32" i="89"/>
  <c r="N32" i="89"/>
  <c r="P32" i="89"/>
  <c r="O32" i="89"/>
  <c r="S32" i="89"/>
  <c r="R32" i="89"/>
  <c r="T32" i="89"/>
  <c r="Q32" i="89"/>
  <c r="U32" i="89"/>
  <c r="Z31" i="83"/>
  <c r="AA31" i="83"/>
  <c r="U31" i="83"/>
  <c r="N31" i="83"/>
  <c r="Q31" i="83"/>
  <c r="R31" i="83"/>
  <c r="W31" i="83"/>
  <c r="S31" i="83"/>
  <c r="O31" i="83"/>
  <c r="P31" i="83"/>
  <c r="T31" i="83"/>
  <c r="V31" i="83"/>
  <c r="Y31" i="83"/>
  <c r="X31" i="83"/>
  <c r="AU16" i="87"/>
  <c r="F16" i="87"/>
  <c r="R29" i="60"/>
  <c r="D29" i="89" s="1"/>
  <c r="J29" i="89" s="1"/>
  <c r="R14" i="60"/>
  <c r="P29" i="60"/>
  <c r="BE29" i="87" s="1"/>
  <c r="D44" i="53"/>
  <c r="Q14" i="60"/>
  <c r="Y30" i="83"/>
  <c r="R30" i="83"/>
  <c r="V30" i="83"/>
  <c r="X30" i="83"/>
  <c r="W30" i="83"/>
  <c r="AA30" i="83"/>
  <c r="U30" i="83"/>
  <c r="S30" i="83"/>
  <c r="Q30" i="83"/>
  <c r="N30" i="83"/>
  <c r="P30" i="83"/>
  <c r="Z30" i="83"/>
  <c r="T30" i="83"/>
  <c r="O30" i="83"/>
  <c r="N30" i="89"/>
  <c r="S30" i="89"/>
  <c r="V30" i="89"/>
  <c r="U30" i="89"/>
  <c r="Q30" i="89"/>
  <c r="O30" i="89"/>
  <c r="T30" i="89"/>
  <c r="P30" i="89"/>
  <c r="R30" i="89"/>
  <c r="O30" i="60"/>
  <c r="O34" i="60" s="1"/>
  <c r="W16" i="83"/>
  <c r="X16" i="83"/>
  <c r="Z16" i="83"/>
  <c r="N16" i="83"/>
  <c r="U16" i="83"/>
  <c r="T16" i="83"/>
  <c r="O16" i="83"/>
  <c r="Q16" i="83"/>
  <c r="R16" i="83"/>
  <c r="Y16" i="83"/>
  <c r="AA16" i="83"/>
  <c r="V16" i="83"/>
  <c r="P16" i="83"/>
  <c r="S16" i="83"/>
  <c r="AU32" i="87"/>
  <c r="F32" i="87"/>
  <c r="D53" i="53"/>
  <c r="Q28" i="60"/>
  <c r="D28" i="83" s="1"/>
  <c r="J28" i="83" s="1"/>
  <c r="AU29" i="87"/>
  <c r="O32" i="83"/>
  <c r="S32" i="83"/>
  <c r="W32" i="83"/>
  <c r="P32" i="83"/>
  <c r="R32" i="83"/>
  <c r="U32" i="83"/>
  <c r="N32" i="83"/>
  <c r="V32" i="83"/>
  <c r="T32" i="83"/>
  <c r="Y32" i="83"/>
  <c r="Q32" i="83"/>
  <c r="X32" i="83"/>
  <c r="Z32" i="83"/>
  <c r="AA32" i="83"/>
  <c r="V29" i="83"/>
  <c r="Y29" i="83"/>
  <c r="Z29" i="83"/>
  <c r="P29" i="83"/>
  <c r="W29" i="83"/>
  <c r="T29" i="83"/>
  <c r="U29" i="83"/>
  <c r="AA29" i="83"/>
  <c r="O29" i="83"/>
  <c r="X29" i="83"/>
  <c r="Q29" i="83"/>
  <c r="R29" i="83"/>
  <c r="N29" i="83"/>
  <c r="S29" i="83"/>
  <c r="AU28" i="87"/>
  <c r="D14" i="81"/>
  <c r="N17" i="60"/>
  <c r="N30" i="60"/>
  <c r="D30" i="81" s="1"/>
  <c r="D32" i="53"/>
  <c r="J16" i="81"/>
  <c r="R31" i="89"/>
  <c r="N31" i="89"/>
  <c r="Q31" i="89"/>
  <c r="P31" i="89"/>
  <c r="S31" i="89"/>
  <c r="T31" i="89"/>
  <c r="O31" i="89"/>
  <c r="V31" i="89"/>
  <c r="U31" i="89"/>
  <c r="D20" i="53"/>
  <c r="R31" i="81"/>
  <c r="W31" i="81"/>
  <c r="N31" i="81"/>
  <c r="P31" i="81"/>
  <c r="U31" i="81"/>
  <c r="V31" i="81"/>
  <c r="T31" i="81"/>
  <c r="O31" i="81"/>
  <c r="S31" i="81"/>
  <c r="Q31" i="81"/>
  <c r="N16" i="89"/>
  <c r="P16" i="89"/>
  <c r="O16" i="89"/>
  <c r="R16" i="89"/>
  <c r="T16" i="89"/>
  <c r="V16" i="89"/>
  <c r="Q16" i="89"/>
  <c r="S16" i="89"/>
  <c r="U16" i="89"/>
  <c r="D27" i="81"/>
  <c r="F31" i="87"/>
  <c r="AU31" i="87"/>
  <c r="D27" i="83"/>
  <c r="P28" i="60"/>
  <c r="BE28" i="87" s="1"/>
  <c r="P14" i="60"/>
  <c r="AU27" i="87"/>
  <c r="D35" i="53"/>
  <c r="D14" i="53"/>
  <c r="J28" i="81"/>
  <c r="F29" i="87" l="1"/>
  <c r="N34" i="60"/>
  <c r="Q34" i="60"/>
  <c r="R34" i="60"/>
  <c r="D14" i="89"/>
  <c r="R17" i="60"/>
  <c r="O28" i="81"/>
  <c r="P28" i="81"/>
  <c r="S28" i="81"/>
  <c r="T28" i="81"/>
  <c r="V28" i="81"/>
  <c r="Q28" i="81"/>
  <c r="U28" i="81"/>
  <c r="R28" i="81"/>
  <c r="W28" i="81"/>
  <c r="N28" i="81"/>
  <c r="BE34" i="87"/>
  <c r="L27" i="87"/>
  <c r="BE14" i="87"/>
  <c r="P17" i="60"/>
  <c r="J30" i="81"/>
  <c r="J14" i="81"/>
  <c r="D17" i="81"/>
  <c r="AX28" i="87"/>
  <c r="BB28" i="87"/>
  <c r="AZ28" i="87"/>
  <c r="BA28" i="87"/>
  <c r="AW28" i="87"/>
  <c r="AY28" i="87"/>
  <c r="F28" i="87"/>
  <c r="P29" i="89"/>
  <c r="Q29" i="89"/>
  <c r="U29" i="89"/>
  <c r="S29" i="89"/>
  <c r="V29" i="89"/>
  <c r="O29" i="89"/>
  <c r="R29" i="89"/>
  <c r="N29" i="89"/>
  <c r="T29" i="89"/>
  <c r="J27" i="81"/>
  <c r="D34" i="81"/>
  <c r="R16" i="81"/>
  <c r="W16" i="81"/>
  <c r="S16" i="81"/>
  <c r="V16" i="81"/>
  <c r="O16" i="81"/>
  <c r="U16" i="81"/>
  <c r="N16" i="81"/>
  <c r="T16" i="81"/>
  <c r="P16" i="81"/>
  <c r="Q16" i="81"/>
  <c r="L32" i="87"/>
  <c r="F30" i="87"/>
  <c r="AU30" i="87"/>
  <c r="D14" i="83"/>
  <c r="Q17" i="60"/>
  <c r="L16" i="87"/>
  <c r="AU14" i="87"/>
  <c r="F14" i="87"/>
  <c r="O17" i="60"/>
  <c r="AW16" i="87"/>
  <c r="P16" i="87" s="1"/>
  <c r="AZ16" i="87"/>
  <c r="S16" i="87" s="1"/>
  <c r="BA16" i="87"/>
  <c r="T16" i="87" s="1"/>
  <c r="AY16" i="87"/>
  <c r="R16" i="87" s="1"/>
  <c r="BB16" i="87"/>
  <c r="U16" i="87" s="1"/>
  <c r="AX16" i="87"/>
  <c r="Q16" i="87" s="1"/>
  <c r="AZ27" i="87"/>
  <c r="AY27" i="87"/>
  <c r="AX27" i="87"/>
  <c r="AW27" i="87"/>
  <c r="BB27" i="87"/>
  <c r="BA27" i="87"/>
  <c r="D34" i="83"/>
  <c r="J27" i="83"/>
  <c r="AW29" i="87"/>
  <c r="AX29" i="87"/>
  <c r="BB29" i="87"/>
  <c r="AY29" i="87"/>
  <c r="AZ29" i="87"/>
  <c r="BA29" i="87"/>
  <c r="BA31" i="87"/>
  <c r="T31" i="87" s="1"/>
  <c r="BB31" i="87"/>
  <c r="U31" i="87" s="1"/>
  <c r="AY31" i="87"/>
  <c r="R31" i="87" s="1"/>
  <c r="AZ31" i="87"/>
  <c r="S31" i="87" s="1"/>
  <c r="AW31" i="87"/>
  <c r="P31" i="87" s="1"/>
  <c r="AX31" i="87"/>
  <c r="Q31" i="87" s="1"/>
  <c r="D34" i="89"/>
  <c r="J27" i="89"/>
  <c r="V28" i="89"/>
  <c r="N28" i="89"/>
  <c r="R28" i="89"/>
  <c r="S28" i="89"/>
  <c r="Q28" i="89"/>
  <c r="T28" i="89"/>
  <c r="P28" i="89"/>
  <c r="O28" i="89"/>
  <c r="U28" i="89"/>
  <c r="L31" i="87"/>
  <c r="AW32" i="87"/>
  <c r="P32" i="87" s="1"/>
  <c r="BA32" i="87"/>
  <c r="T32" i="87" s="1"/>
  <c r="AX32" i="87"/>
  <c r="Q32" i="87" s="1"/>
  <c r="AZ32" i="87"/>
  <c r="S32" i="87" s="1"/>
  <c r="BB32" i="87"/>
  <c r="U32" i="87" s="1"/>
  <c r="AY32" i="87"/>
  <c r="R32" i="87" s="1"/>
  <c r="Y28" i="83"/>
  <c r="X28" i="83"/>
  <c r="Z28" i="83"/>
  <c r="W28" i="83"/>
  <c r="P28" i="83"/>
  <c r="S28" i="83"/>
  <c r="AA28" i="83"/>
  <c r="U28" i="83"/>
  <c r="N28" i="83"/>
  <c r="R28" i="83"/>
  <c r="V28" i="83"/>
  <c r="O28" i="83"/>
  <c r="T28" i="83"/>
  <c r="Q28" i="83"/>
  <c r="R29" i="81"/>
  <c r="U29" i="81"/>
  <c r="W29" i="81"/>
  <c r="N29" i="81"/>
  <c r="S29" i="81"/>
  <c r="T29" i="81"/>
  <c r="O29" i="81"/>
  <c r="P29" i="81"/>
  <c r="Q29" i="81"/>
  <c r="V29" i="81"/>
  <c r="N32" i="81"/>
  <c r="U32" i="81"/>
  <c r="V32" i="81"/>
  <c r="P32" i="81"/>
  <c r="Q32" i="81"/>
  <c r="R32" i="81"/>
  <c r="O32" i="81"/>
  <c r="S32" i="81"/>
  <c r="W32" i="81"/>
  <c r="T32" i="81"/>
  <c r="P34" i="60"/>
  <c r="L29" i="87" l="1"/>
  <c r="T28" i="87"/>
  <c r="S28" i="87"/>
  <c r="P29" i="87"/>
  <c r="Q28" i="87"/>
  <c r="S27" i="81"/>
  <c r="V27" i="81"/>
  <c r="W27" i="81"/>
  <c r="P27" i="81"/>
  <c r="J34" i="81"/>
  <c r="N27" i="81"/>
  <c r="T27" i="81"/>
  <c r="Q27" i="81"/>
  <c r="O27" i="81"/>
  <c r="R27" i="81"/>
  <c r="U27" i="81"/>
  <c r="P27" i="89"/>
  <c r="Q27" i="89"/>
  <c r="R27" i="89"/>
  <c r="S27" i="89"/>
  <c r="U27" i="89"/>
  <c r="N27" i="89"/>
  <c r="O27" i="89"/>
  <c r="V27" i="89"/>
  <c r="T27" i="89"/>
  <c r="J34" i="89"/>
  <c r="R28" i="87"/>
  <c r="Q27" i="87"/>
  <c r="J14" i="83"/>
  <c r="D17" i="83"/>
  <c r="L28" i="87"/>
  <c r="P28" i="87"/>
  <c r="F34" i="87"/>
  <c r="T29" i="87"/>
  <c r="AW30" i="87"/>
  <c r="P30" i="87" s="1"/>
  <c r="AX30" i="87"/>
  <c r="Q30" i="87" s="1"/>
  <c r="AY30" i="87"/>
  <c r="R30" i="87" s="1"/>
  <c r="AZ30" i="87"/>
  <c r="S30" i="87" s="1"/>
  <c r="BA30" i="87"/>
  <c r="T30" i="87" s="1"/>
  <c r="BB30" i="87"/>
  <c r="U30" i="87" s="1"/>
  <c r="R27" i="87"/>
  <c r="S29" i="87"/>
  <c r="L30" i="87"/>
  <c r="P14" i="81"/>
  <c r="N14" i="81"/>
  <c r="R14" i="81"/>
  <c r="U14" i="81"/>
  <c r="Q14" i="81"/>
  <c r="T14" i="81"/>
  <c r="O14" i="81"/>
  <c r="S14" i="81"/>
  <c r="W14" i="81"/>
  <c r="V14" i="81"/>
  <c r="J17" i="81"/>
  <c r="S27" i="87"/>
  <c r="R29" i="87"/>
  <c r="U27" i="83"/>
  <c r="Z27" i="83"/>
  <c r="X27" i="83"/>
  <c r="Y27" i="83"/>
  <c r="O27" i="83"/>
  <c r="Q27" i="83"/>
  <c r="S27" i="83"/>
  <c r="R27" i="83"/>
  <c r="P27" i="83"/>
  <c r="W27" i="83"/>
  <c r="W34" i="83" s="1"/>
  <c r="T27" i="83"/>
  <c r="N27" i="83"/>
  <c r="AA27" i="83"/>
  <c r="J34" i="83"/>
  <c r="V27" i="83"/>
  <c r="U28" i="87"/>
  <c r="U29" i="87"/>
  <c r="Q29" i="87"/>
  <c r="J14" i="89"/>
  <c r="D17" i="89"/>
  <c r="AU34" i="87"/>
  <c r="L14" i="87"/>
  <c r="L17" i="87" s="1"/>
  <c r="F17" i="87"/>
  <c r="T27" i="87"/>
  <c r="AZ14" i="87"/>
  <c r="AY14" i="87"/>
  <c r="BB14" i="87"/>
  <c r="AX14" i="87"/>
  <c r="BA14" i="87"/>
  <c r="AW14" i="87"/>
  <c r="AU17" i="87"/>
  <c r="V30" i="81"/>
  <c r="N30" i="81"/>
  <c r="U30" i="81"/>
  <c r="W30" i="81"/>
  <c r="R30" i="81"/>
  <c r="S30" i="81"/>
  <c r="T30" i="81"/>
  <c r="O30" i="81"/>
  <c r="P30" i="81"/>
  <c r="Q30" i="81"/>
  <c r="U27" i="87"/>
  <c r="BE17" i="87"/>
  <c r="P27" i="87"/>
  <c r="BA34" i="87" l="1"/>
  <c r="AW34" i="87"/>
  <c r="AX34" i="87"/>
  <c r="BB34" i="87"/>
  <c r="AW17" i="87"/>
  <c r="O34" i="83"/>
  <c r="S17" i="81"/>
  <c r="S34" i="81"/>
  <c r="BA17" i="87"/>
  <c r="Y34" i="83"/>
  <c r="O17" i="81"/>
  <c r="AX17" i="87"/>
  <c r="X34" i="83"/>
  <c r="T17" i="81"/>
  <c r="BB17" i="87"/>
  <c r="Z34" i="83"/>
  <c r="Q17" i="81"/>
  <c r="T34" i="89"/>
  <c r="AY34" i="87"/>
  <c r="AY17" i="87"/>
  <c r="V34" i="83"/>
  <c r="U34" i="83"/>
  <c r="U17" i="81"/>
  <c r="V34" i="89"/>
  <c r="U34" i="81"/>
  <c r="AZ17" i="87"/>
  <c r="R17" i="81"/>
  <c r="O34" i="89"/>
  <c r="R34" i="81"/>
  <c r="R14" i="89"/>
  <c r="T14" i="89"/>
  <c r="P14" i="89"/>
  <c r="U14" i="89"/>
  <c r="N14" i="89"/>
  <c r="O14" i="89"/>
  <c r="S14" i="89"/>
  <c r="V14" i="89"/>
  <c r="Q14" i="89"/>
  <c r="J17" i="89"/>
  <c r="AA34" i="83"/>
  <c r="N17" i="81"/>
  <c r="N34" i="89"/>
  <c r="O34" i="81"/>
  <c r="N34" i="83"/>
  <c r="P17" i="81"/>
  <c r="Y14" i="83"/>
  <c r="N14" i="83"/>
  <c r="W14" i="83"/>
  <c r="W17" i="83" s="1"/>
  <c r="T14" i="83"/>
  <c r="U14" i="83"/>
  <c r="O14" i="83"/>
  <c r="X14" i="83"/>
  <c r="P14" i="83"/>
  <c r="AA14" i="83"/>
  <c r="Z14" i="83"/>
  <c r="Q14" i="83"/>
  <c r="V14" i="83"/>
  <c r="S14" i="83"/>
  <c r="R14" i="83"/>
  <c r="J17" i="83"/>
  <c r="U34" i="89"/>
  <c r="Q34" i="81"/>
  <c r="T34" i="83"/>
  <c r="AZ34" i="87"/>
  <c r="S34" i="89"/>
  <c r="T34" i="81"/>
  <c r="L34" i="87"/>
  <c r="R34" i="89"/>
  <c r="N34" i="81"/>
  <c r="P34" i="83"/>
  <c r="Q34" i="89"/>
  <c r="R34" i="83"/>
  <c r="V17" i="81"/>
  <c r="P34" i="89"/>
  <c r="P34" i="81"/>
  <c r="S34" i="83"/>
  <c r="W17" i="81"/>
  <c r="W34" i="81"/>
  <c r="Q34" i="83"/>
  <c r="V34" i="81"/>
  <c r="T17" i="83" l="1"/>
  <c r="P17" i="89"/>
  <c r="T17" i="89"/>
  <c r="N17" i="83"/>
  <c r="R17" i="89"/>
  <c r="Y17" i="83"/>
  <c r="R17" i="83"/>
  <c r="S17" i="83"/>
  <c r="V17" i="83"/>
  <c r="Q17" i="83"/>
  <c r="Z17" i="83"/>
  <c r="Q17" i="89"/>
  <c r="AA17" i="83"/>
  <c r="V17" i="89"/>
  <c r="P17" i="83"/>
  <c r="S17" i="89"/>
  <c r="X17" i="83"/>
  <c r="O17" i="89"/>
  <c r="O17" i="83"/>
  <c r="N17" i="89"/>
  <c r="U17" i="83"/>
  <c r="U17" i="89"/>
  <c r="D30" i="51" l="1"/>
  <c r="H31" i="51" s="1"/>
  <c r="J31" i="51" l="1"/>
  <c r="F31" i="51"/>
  <c r="D31" i="51" l="1"/>
  <c r="U11" i="87" l="1"/>
  <c r="P11" i="87"/>
  <c r="S11" i="87"/>
  <c r="Q11" i="87"/>
  <c r="T11" i="87"/>
  <c r="R11" i="87"/>
  <c r="R15" i="87" l="1"/>
  <c r="T15" i="87"/>
  <c r="U15" i="87"/>
  <c r="S15" i="87"/>
  <c r="Q15" i="87"/>
  <c r="P15" i="87"/>
  <c r="T13" i="87" l="1"/>
  <c r="R13" i="87"/>
  <c r="P13" i="87"/>
  <c r="Q13" i="87"/>
  <c r="U13" i="87"/>
  <c r="S13" i="87"/>
  <c r="R12" i="87" l="1"/>
  <c r="U12" i="87"/>
  <c r="S12" i="87"/>
  <c r="Q12" i="87"/>
  <c r="P12" i="87"/>
  <c r="T12" i="87"/>
  <c r="P33" i="87" l="1"/>
  <c r="BG34" i="87"/>
  <c r="S33" i="87"/>
  <c r="BJ34" i="87"/>
  <c r="U33" i="87"/>
  <c r="BL34" i="87"/>
  <c r="Q33" i="87"/>
  <c r="BH34" i="87"/>
  <c r="T33" i="87"/>
  <c r="BK34" i="87"/>
  <c r="R33" i="87"/>
  <c r="BI34" i="87"/>
  <c r="T34" i="87" l="1"/>
  <c r="U34" i="87"/>
  <c r="R34" i="87"/>
  <c r="S34" i="87"/>
  <c r="Q34" i="87"/>
  <c r="P34" i="87"/>
  <c r="D70" i="12" l="1"/>
  <c r="F71" i="12" s="1"/>
  <c r="T71" i="12" l="1"/>
  <c r="AD141" i="7" s="1"/>
  <c r="BF141" i="7" s="1"/>
  <c r="N71" i="12"/>
  <c r="P71" i="12"/>
  <c r="Z141" i="7" s="1"/>
  <c r="BB141" i="7" s="1"/>
  <c r="R71" i="12"/>
  <c r="AB141" i="7" s="1"/>
  <c r="BD141" i="7" s="1"/>
  <c r="X71" i="12"/>
  <c r="AH143" i="7" s="1"/>
  <c r="BJ143" i="7" s="1"/>
  <c r="D49" i="12"/>
  <c r="F50" i="12" s="1"/>
  <c r="X143" i="7"/>
  <c r="AZ143" i="7" s="1"/>
  <c r="X141" i="7"/>
  <c r="AZ141" i="7" s="1"/>
  <c r="P141" i="7"/>
  <c r="P143" i="7"/>
  <c r="J71" i="12"/>
  <c r="V71" i="12"/>
  <c r="L71" i="12"/>
  <c r="H71" i="12"/>
  <c r="AD143" i="7" l="1"/>
  <c r="BF143" i="7" s="1"/>
  <c r="Z143" i="7"/>
  <c r="BB143" i="7" s="1"/>
  <c r="AB143" i="7"/>
  <c r="BD143" i="7" s="1"/>
  <c r="L50" i="12"/>
  <c r="V40" i="7" s="1"/>
  <c r="V53" i="7" s="1"/>
  <c r="R50" i="12"/>
  <c r="AB40" i="7" s="1"/>
  <c r="AB62" i="7" s="1"/>
  <c r="AB75" i="7" s="1"/>
  <c r="AH141" i="7"/>
  <c r="BJ141" i="7" s="1"/>
  <c r="J50" i="12"/>
  <c r="T40" i="7" s="1"/>
  <c r="T53" i="7" s="1"/>
  <c r="P40" i="7"/>
  <c r="R141" i="7"/>
  <c r="AT141" i="7" s="1"/>
  <c r="R143" i="7"/>
  <c r="AT143" i="7" s="1"/>
  <c r="V141" i="7"/>
  <c r="AX141" i="7" s="1"/>
  <c r="V143" i="7"/>
  <c r="AX143" i="7" s="1"/>
  <c r="T141" i="7"/>
  <c r="AV141" i="7" s="1"/>
  <c r="T143" i="7"/>
  <c r="AV143" i="7" s="1"/>
  <c r="V62" i="7"/>
  <c r="V75" i="7" s="1"/>
  <c r="AF143" i="7"/>
  <c r="AF141" i="7"/>
  <c r="D71" i="12"/>
  <c r="X50" i="12"/>
  <c r="AH40" i="7" s="1"/>
  <c r="AR143" i="7"/>
  <c r="AR141" i="7"/>
  <c r="T50" i="12"/>
  <c r="AD40" i="7" s="1"/>
  <c r="P50" i="12"/>
  <c r="Z40" i="7" s="1"/>
  <c r="N50" i="12"/>
  <c r="X40" i="7" s="1"/>
  <c r="H50" i="12"/>
  <c r="R40" i="7" s="1"/>
  <c r="V50" i="12"/>
  <c r="AF40" i="7" s="1"/>
  <c r="AB53" i="7" l="1"/>
  <c r="T62" i="7"/>
  <c r="T75" i="7" s="1"/>
  <c r="F141" i="50"/>
  <c r="L141" i="50" s="1"/>
  <c r="BH141" i="7"/>
  <c r="Z141" i="50" s="1"/>
  <c r="F40" i="50"/>
  <c r="AF53" i="7"/>
  <c r="AF62" i="7"/>
  <c r="F143" i="50"/>
  <c r="L143" i="50" s="1"/>
  <c r="BH143" i="7"/>
  <c r="Z143" i="50" s="1"/>
  <c r="R53" i="7"/>
  <c r="R62" i="7"/>
  <c r="R75" i="7" s="1"/>
  <c r="Z53" i="7"/>
  <c r="Z62" i="7"/>
  <c r="Z75" i="7" s="1"/>
  <c r="AD53" i="7"/>
  <c r="AD62" i="7"/>
  <c r="AD75" i="7" s="1"/>
  <c r="AJ141" i="7"/>
  <c r="AL141" i="7" s="1"/>
  <c r="X53" i="7"/>
  <c r="X62" i="7"/>
  <c r="X75" i="7" s="1"/>
  <c r="AJ143" i="7"/>
  <c r="AL143" i="7" s="1"/>
  <c r="AH53" i="7"/>
  <c r="AH62" i="7"/>
  <c r="AH75" i="7" s="1"/>
  <c r="P53" i="7"/>
  <c r="AJ40" i="7"/>
  <c r="AL40" i="7" s="1"/>
  <c r="P62" i="7"/>
  <c r="D50" i="12"/>
  <c r="AA141" i="50" l="1"/>
  <c r="AA143" i="50"/>
  <c r="BL143" i="7"/>
  <c r="BL141" i="7"/>
  <c r="R143" i="50"/>
  <c r="T143" i="50"/>
  <c r="P143" i="50"/>
  <c r="V143" i="50"/>
  <c r="F62" i="50"/>
  <c r="AF75" i="7"/>
  <c r="P75" i="7"/>
  <c r="AJ62" i="7"/>
  <c r="AL62" i="7" s="1"/>
  <c r="L40" i="50"/>
  <c r="F53" i="50"/>
  <c r="AJ53" i="7"/>
  <c r="T141" i="50"/>
  <c r="AG141" i="50" s="1"/>
  <c r="V141" i="50"/>
  <c r="AI141" i="50" s="1"/>
  <c r="P141" i="50"/>
  <c r="R141" i="50"/>
  <c r="AE141" i="50" l="1"/>
  <c r="AC141" i="50"/>
  <c r="AI143" i="50"/>
  <c r="AC143" i="50"/>
  <c r="AE143" i="50"/>
  <c r="AG143" i="50"/>
  <c r="AL53" i="7"/>
  <c r="F75" i="50"/>
  <c r="L62" i="50"/>
  <c r="P40" i="50"/>
  <c r="R40" i="50"/>
  <c r="V40" i="50"/>
  <c r="T40" i="50"/>
  <c r="D64" i="12"/>
  <c r="F65" i="12" s="1"/>
  <c r="AJ75" i="7"/>
  <c r="X65" i="12" l="1"/>
  <c r="AH138" i="7" s="1"/>
  <c r="BJ138" i="7" s="1"/>
  <c r="H65" i="12"/>
  <c r="R138" i="7" s="1"/>
  <c r="AT138" i="7" s="1"/>
  <c r="R65" i="12"/>
  <c r="AB138" i="7" s="1"/>
  <c r="BD138" i="7" s="1"/>
  <c r="P138" i="7"/>
  <c r="T53" i="50"/>
  <c r="T62" i="50"/>
  <c r="T75" i="50" s="1"/>
  <c r="V53" i="50"/>
  <c r="V62" i="50"/>
  <c r="V75" i="50" s="1"/>
  <c r="R53" i="50"/>
  <c r="R62" i="50"/>
  <c r="R75" i="50" s="1"/>
  <c r="P53" i="50"/>
  <c r="P62" i="50"/>
  <c r="P75" i="50" s="1"/>
  <c r="P65" i="12"/>
  <c r="Z138" i="7" s="1"/>
  <c r="AL75" i="7"/>
  <c r="T65" i="12"/>
  <c r="AD138" i="7" s="1"/>
  <c r="N65" i="12"/>
  <c r="X138" i="7" s="1"/>
  <c r="J65" i="12"/>
  <c r="T138" i="7" s="1"/>
  <c r="L65" i="12"/>
  <c r="V138" i="7" s="1"/>
  <c r="V65" i="12"/>
  <c r="AF138" i="7" s="1"/>
  <c r="AX138" i="7" l="1"/>
  <c r="BH138" i="7"/>
  <c r="F138" i="50"/>
  <c r="BF138" i="7"/>
  <c r="AV138" i="7"/>
  <c r="AZ138" i="7"/>
  <c r="BB138" i="7"/>
  <c r="D65" i="12"/>
  <c r="AR138" i="7"/>
  <c r="AJ138" i="7"/>
  <c r="AL138" i="7" s="1"/>
  <c r="BL138" i="7" l="1"/>
  <c r="L138" i="50"/>
  <c r="Z138" i="50"/>
  <c r="AA138" i="50" l="1"/>
  <c r="R138" i="50"/>
  <c r="T138" i="50"/>
  <c r="P138" i="50"/>
  <c r="V138" i="50"/>
  <c r="AI138" i="50" l="1"/>
  <c r="AC138" i="50"/>
  <c r="AE138" i="50"/>
  <c r="AG138" i="50"/>
  <c r="AN44" i="12" l="1"/>
  <c r="AP44" i="12"/>
  <c r="AV44" i="12"/>
  <c r="AJ44" i="12"/>
  <c r="AL44" i="12"/>
  <c r="AD44" i="12"/>
  <c r="AT44" i="12"/>
  <c r="AR44" i="12"/>
  <c r="D52" i="12"/>
  <c r="P53" i="12" s="1"/>
  <c r="AF44" i="12"/>
  <c r="AH44" i="12"/>
  <c r="L53" i="12" l="1"/>
  <c r="V145" i="7" s="1"/>
  <c r="H53" i="12"/>
  <c r="N53" i="12"/>
  <c r="V53" i="12"/>
  <c r="Z145" i="7"/>
  <c r="X145" i="7"/>
  <c r="R145" i="7"/>
  <c r="T53" i="12"/>
  <c r="F53" i="12"/>
  <c r="R53" i="12"/>
  <c r="J53" i="12"/>
  <c r="X53" i="12"/>
  <c r="AF145" i="7" l="1"/>
  <c r="AH145" i="7"/>
  <c r="T145" i="7"/>
  <c r="P145" i="7"/>
  <c r="D53" i="12"/>
  <c r="AD145" i="7"/>
  <c r="AB145" i="7"/>
  <c r="F145" i="50" l="1"/>
  <c r="H145" i="50" s="1"/>
  <c r="AJ145" i="7"/>
  <c r="AL145" i="7" s="1"/>
  <c r="L145" i="50" l="1"/>
  <c r="P145" i="50" s="1"/>
  <c r="R145" i="50" l="1"/>
  <c r="T145" i="50"/>
  <c r="V145" i="50"/>
  <c r="S14" i="87" l="1"/>
  <c r="BJ17" i="87"/>
  <c r="T14" i="87"/>
  <c r="BK17" i="87"/>
  <c r="R14" i="87"/>
  <c r="BI17" i="87"/>
  <c r="Q14" i="87"/>
  <c r="BH17" i="87"/>
  <c r="U14" i="87"/>
  <c r="BL17" i="87"/>
  <c r="P14" i="87"/>
  <c r="BG17" i="87"/>
  <c r="P17" i="87" l="1"/>
  <c r="U17" i="87"/>
  <c r="R17" i="87"/>
  <c r="Q17" i="87"/>
  <c r="T17" i="87"/>
  <c r="S17" i="87"/>
  <c r="D22" i="80" l="1"/>
  <c r="F23" i="80" s="1"/>
  <c r="N42" i="60" s="1"/>
  <c r="D42" i="81" s="1"/>
  <c r="D49" i="80" l="1"/>
  <c r="F50" i="80" s="1"/>
  <c r="N46" i="60" s="1"/>
  <c r="D46" i="81" s="1"/>
  <c r="J46" i="81" s="1"/>
  <c r="F28" i="51"/>
  <c r="D28" i="80"/>
  <c r="D55" i="12"/>
  <c r="J56" i="12" s="1"/>
  <c r="D27" i="51"/>
  <c r="J28" i="51" s="1"/>
  <c r="D21" i="51"/>
  <c r="J22" i="51" s="1"/>
  <c r="L23" i="80"/>
  <c r="R42" i="60" s="1"/>
  <c r="D42" i="89" s="1"/>
  <c r="J42" i="89" s="1"/>
  <c r="Q42" i="89" s="1"/>
  <c r="D31" i="80"/>
  <c r="L32" i="80" s="1"/>
  <c r="R37" i="60" s="1"/>
  <c r="D34" i="80"/>
  <c r="H35" i="80" s="1"/>
  <c r="O39" i="60" s="1"/>
  <c r="F39" i="87" s="1"/>
  <c r="L39" i="87" s="1"/>
  <c r="D16" i="12"/>
  <c r="R17" i="12" s="1"/>
  <c r="AB176" i="7" s="1"/>
  <c r="AB178" i="7" s="1"/>
  <c r="D24" i="51"/>
  <c r="J25" i="51" s="1"/>
  <c r="D18" i="51"/>
  <c r="H19" i="51" s="1"/>
  <c r="J42" i="81"/>
  <c r="F29" i="80"/>
  <c r="H29" i="80"/>
  <c r="O38" i="60" s="1"/>
  <c r="F38" i="87" s="1"/>
  <c r="L38" i="87" s="1"/>
  <c r="J29" i="80"/>
  <c r="Q38" i="60" s="1"/>
  <c r="D38" i="83" s="1"/>
  <c r="J38" i="83" s="1"/>
  <c r="L29" i="80"/>
  <c r="R38" i="60" s="1"/>
  <c r="D38" i="89" s="1"/>
  <c r="J38" i="89" s="1"/>
  <c r="X56" i="12"/>
  <c r="L35" i="80"/>
  <c r="R39" i="60" s="1"/>
  <c r="D39" i="89" s="1"/>
  <c r="J39" i="89" s="1"/>
  <c r="F35" i="80"/>
  <c r="J32" i="80"/>
  <c r="Q37" i="60" s="1"/>
  <c r="N17" i="12"/>
  <c r="X176" i="7" s="1"/>
  <c r="X178" i="7" s="1"/>
  <c r="V17" i="12"/>
  <c r="AF176" i="7" s="1"/>
  <c r="X17" i="12"/>
  <c r="AH176" i="7" s="1"/>
  <c r="AH178" i="7" s="1"/>
  <c r="J17" i="12"/>
  <c r="T176" i="7" s="1"/>
  <c r="T178" i="7" s="1"/>
  <c r="D40" i="12"/>
  <c r="F41" i="12" s="1"/>
  <c r="J50" i="80"/>
  <c r="Q46" i="60" s="1"/>
  <c r="D46" i="83" s="1"/>
  <c r="J46" i="83" s="1"/>
  <c r="D46" i="80"/>
  <c r="F47" i="80" s="1"/>
  <c r="J23" i="80"/>
  <c r="Q42" i="60" s="1"/>
  <c r="D42" i="83" s="1"/>
  <c r="J42" i="83" s="1"/>
  <c r="D19" i="80"/>
  <c r="F20" i="80" s="1"/>
  <c r="H50" i="80"/>
  <c r="O46" i="60" s="1"/>
  <c r="F46" i="87" s="1"/>
  <c r="L46" i="87" s="1"/>
  <c r="D43" i="80"/>
  <c r="F44" i="80" s="1"/>
  <c r="H23" i="80"/>
  <c r="O42" i="60" s="1"/>
  <c r="F42" i="87" s="1"/>
  <c r="L42" i="87" s="1"/>
  <c r="D16" i="80"/>
  <c r="J19" i="51"/>
  <c r="D40" i="80"/>
  <c r="L41" i="80" s="1"/>
  <c r="R43" i="60" s="1"/>
  <c r="D43" i="89" s="1"/>
  <c r="J43" i="89" s="1"/>
  <c r="D37" i="80"/>
  <c r="L38" i="80" s="1"/>
  <c r="R50" i="60" s="1"/>
  <c r="D50" i="89" s="1"/>
  <c r="J50" i="89" s="1"/>
  <c r="H22" i="51" l="1"/>
  <c r="H28" i="51"/>
  <c r="D28" i="51" s="1"/>
  <c r="L50" i="80"/>
  <c r="R46" i="60" s="1"/>
  <c r="D46" i="89" s="1"/>
  <c r="J46" i="89" s="1"/>
  <c r="N46" i="89" s="1"/>
  <c r="F22" i="51"/>
  <c r="F25" i="51"/>
  <c r="H56" i="12"/>
  <c r="P56" i="12"/>
  <c r="V56" i="12"/>
  <c r="J35" i="80"/>
  <c r="Q39" i="60" s="1"/>
  <c r="D39" i="83" s="1"/>
  <c r="J39" i="83" s="1"/>
  <c r="Y39" i="83" s="1"/>
  <c r="F56" i="12"/>
  <c r="L56" i="12"/>
  <c r="T56" i="12"/>
  <c r="H32" i="80"/>
  <c r="O37" i="60" s="1"/>
  <c r="F37" i="87" s="1"/>
  <c r="P41" i="12"/>
  <c r="R56" i="12"/>
  <c r="F32" i="80"/>
  <c r="H44" i="80"/>
  <c r="O45" i="60" s="1"/>
  <c r="F45" i="87" s="1"/>
  <c r="L45" i="87" s="1"/>
  <c r="P45" i="87" s="1"/>
  <c r="N56" i="12"/>
  <c r="F19" i="51"/>
  <c r="D19" i="51" s="1"/>
  <c r="U42" i="89"/>
  <c r="V42" i="89"/>
  <c r="N42" i="89"/>
  <c r="T42" i="89"/>
  <c r="S42" i="89"/>
  <c r="R42" i="89"/>
  <c r="P42" i="89"/>
  <c r="O42" i="89"/>
  <c r="U39" i="87"/>
  <c r="P39" i="87"/>
  <c r="Q39" i="87"/>
  <c r="R39" i="87"/>
  <c r="S39" i="87"/>
  <c r="T39" i="87"/>
  <c r="H17" i="12"/>
  <c r="R176" i="7" s="1"/>
  <c r="R178" i="7" s="1"/>
  <c r="H25" i="51"/>
  <c r="D25" i="51" s="1"/>
  <c r="F17" i="12"/>
  <c r="P17" i="12"/>
  <c r="Z176" i="7" s="1"/>
  <c r="Z178" i="7" s="1"/>
  <c r="T17" i="12"/>
  <c r="AD176" i="7" s="1"/>
  <c r="AD178" i="7" s="1"/>
  <c r="L17" i="12"/>
  <c r="V176" i="7" s="1"/>
  <c r="V178" i="7" s="1"/>
  <c r="N44" i="60"/>
  <c r="D44" i="81" s="1"/>
  <c r="N45" i="60"/>
  <c r="D45" i="81" s="1"/>
  <c r="J17" i="80"/>
  <c r="Q48" i="60" s="1"/>
  <c r="D48" i="83" s="1"/>
  <c r="J48" i="83" s="1"/>
  <c r="L17" i="80"/>
  <c r="R48" i="60" s="1"/>
  <c r="D48" i="89" s="1"/>
  <c r="J48" i="89" s="1"/>
  <c r="D37" i="83"/>
  <c r="P46" i="87"/>
  <c r="Q46" i="87"/>
  <c r="R46" i="87"/>
  <c r="S46" i="87"/>
  <c r="T46" i="87"/>
  <c r="U46" i="87"/>
  <c r="P38" i="83"/>
  <c r="X38" i="83"/>
  <c r="Q38" i="83"/>
  <c r="Y38" i="83"/>
  <c r="R38" i="83"/>
  <c r="Z38" i="83"/>
  <c r="S38" i="83"/>
  <c r="AA38" i="83"/>
  <c r="T38" i="83"/>
  <c r="U38" i="83"/>
  <c r="N38" i="83"/>
  <c r="V38" i="83"/>
  <c r="O38" i="83"/>
  <c r="W38" i="83"/>
  <c r="N37" i="60"/>
  <c r="D29" i="80"/>
  <c r="N38" i="60"/>
  <c r="D38" i="81" s="1"/>
  <c r="J38" i="80"/>
  <c r="Q50" i="60" s="1"/>
  <c r="D50" i="83" s="1"/>
  <c r="J50" i="83" s="1"/>
  <c r="O42" i="81"/>
  <c r="W42" i="81"/>
  <c r="P42" i="81"/>
  <c r="Q42" i="81"/>
  <c r="R42" i="81"/>
  <c r="S42" i="81"/>
  <c r="T42" i="81"/>
  <c r="U42" i="81"/>
  <c r="N42" i="81"/>
  <c r="V42" i="81"/>
  <c r="AF178" i="7"/>
  <c r="F176" i="50"/>
  <c r="O43" i="89"/>
  <c r="P43" i="89"/>
  <c r="Q43" i="89"/>
  <c r="R43" i="89"/>
  <c r="S43" i="89"/>
  <c r="T43" i="89"/>
  <c r="U43" i="89"/>
  <c r="V43" i="89"/>
  <c r="N43" i="89"/>
  <c r="F41" i="80"/>
  <c r="H20" i="80"/>
  <c r="O51" i="60" s="1"/>
  <c r="F51" i="87" s="1"/>
  <c r="L51" i="87" s="1"/>
  <c r="J20" i="80"/>
  <c r="Q51" i="60" s="1"/>
  <c r="D51" i="83" s="1"/>
  <c r="J51" i="83" s="1"/>
  <c r="L20" i="80"/>
  <c r="R51" i="60" s="1"/>
  <c r="D51" i="89" s="1"/>
  <c r="J51" i="89" s="1"/>
  <c r="F38" i="80"/>
  <c r="H41" i="12"/>
  <c r="P42" i="83"/>
  <c r="X42" i="83"/>
  <c r="Q42" i="83"/>
  <c r="Y42" i="83"/>
  <c r="R42" i="83"/>
  <c r="Z42" i="83"/>
  <c r="S42" i="83"/>
  <c r="AA42" i="83"/>
  <c r="T42" i="83"/>
  <c r="U42" i="83"/>
  <c r="O42" i="83"/>
  <c r="W42" i="83"/>
  <c r="N42" i="83"/>
  <c r="V42" i="83"/>
  <c r="F17" i="80"/>
  <c r="H17" i="80"/>
  <c r="O48" i="60" s="1"/>
  <c r="F48" i="87" s="1"/>
  <c r="L48" i="87" s="1"/>
  <c r="N51" i="60"/>
  <c r="D51" i="81" s="1"/>
  <c r="X41" i="12"/>
  <c r="D35" i="80"/>
  <c r="N39" i="60"/>
  <c r="D39" i="81" s="1"/>
  <c r="P42" i="87"/>
  <c r="Q42" i="87"/>
  <c r="R42" i="87"/>
  <c r="S42" i="87"/>
  <c r="T42" i="87"/>
  <c r="U42" i="87"/>
  <c r="P46" i="83"/>
  <c r="X46" i="83"/>
  <c r="Q46" i="83"/>
  <c r="Y46" i="83"/>
  <c r="R46" i="83"/>
  <c r="Z46" i="83"/>
  <c r="S46" i="83"/>
  <c r="AA46" i="83"/>
  <c r="O46" i="83"/>
  <c r="W46" i="83"/>
  <c r="N46" i="83"/>
  <c r="T46" i="83"/>
  <c r="U46" i="83"/>
  <c r="V46" i="83"/>
  <c r="P176" i="7"/>
  <c r="H41" i="80"/>
  <c r="O43" i="60" s="1"/>
  <c r="F43" i="87" s="1"/>
  <c r="L43" i="87" s="1"/>
  <c r="U39" i="89"/>
  <c r="N39" i="89"/>
  <c r="V39" i="89"/>
  <c r="O39" i="89"/>
  <c r="P39" i="89"/>
  <c r="Q39" i="89"/>
  <c r="R39" i="89"/>
  <c r="S39" i="89"/>
  <c r="T39" i="89"/>
  <c r="T41" i="12"/>
  <c r="D23" i="80"/>
  <c r="U50" i="89"/>
  <c r="N50" i="89"/>
  <c r="V50" i="89"/>
  <c r="O50" i="89"/>
  <c r="P50" i="89"/>
  <c r="Q50" i="89"/>
  <c r="R50" i="89"/>
  <c r="S50" i="89"/>
  <c r="T50" i="89"/>
  <c r="J44" i="80"/>
  <c r="Q45" i="60" s="1"/>
  <c r="D45" i="83" s="1"/>
  <c r="J45" i="83" s="1"/>
  <c r="L44" i="80"/>
  <c r="R45" i="60" s="1"/>
  <c r="D45" i="89" s="1"/>
  <c r="J45" i="89" s="1"/>
  <c r="R41" i="12"/>
  <c r="J41" i="12"/>
  <c r="L41" i="12"/>
  <c r="N41" i="12"/>
  <c r="D50" i="80"/>
  <c r="J41" i="80"/>
  <c r="Q43" i="60" s="1"/>
  <c r="D43" i="83" s="1"/>
  <c r="J43" i="83" s="1"/>
  <c r="P38" i="89"/>
  <c r="Q38" i="89"/>
  <c r="R38" i="89"/>
  <c r="S38" i="89"/>
  <c r="T38" i="89"/>
  <c r="U38" i="89"/>
  <c r="N38" i="89"/>
  <c r="V38" i="89"/>
  <c r="O38" i="89"/>
  <c r="V41" i="12"/>
  <c r="H47" i="80"/>
  <c r="O44" i="60" s="1"/>
  <c r="F44" i="87" s="1"/>
  <c r="L44" i="87" s="1"/>
  <c r="J47" i="80"/>
  <c r="Q44" i="60" s="1"/>
  <c r="D44" i="83" s="1"/>
  <c r="J44" i="83" s="1"/>
  <c r="L47" i="80"/>
  <c r="R44" i="60" s="1"/>
  <c r="D44" i="89" s="1"/>
  <c r="J44" i="89" s="1"/>
  <c r="O46" i="81"/>
  <c r="W46" i="81"/>
  <c r="P46" i="81"/>
  <c r="Q46" i="81"/>
  <c r="R46" i="81"/>
  <c r="S46" i="81"/>
  <c r="T46" i="81"/>
  <c r="U46" i="81"/>
  <c r="V46" i="81"/>
  <c r="N46" i="81"/>
  <c r="P38" i="87"/>
  <c r="Q38" i="87"/>
  <c r="R38" i="87"/>
  <c r="S38" i="87"/>
  <c r="T38" i="87"/>
  <c r="U38" i="87"/>
  <c r="H38" i="80"/>
  <c r="O50" i="60" s="1"/>
  <c r="F50" i="87" s="1"/>
  <c r="L50" i="87" s="1"/>
  <c r="D37" i="89"/>
  <c r="U46" i="89" l="1"/>
  <c r="V46" i="89"/>
  <c r="P46" i="89"/>
  <c r="Q46" i="89"/>
  <c r="S46" i="89"/>
  <c r="T46" i="89"/>
  <c r="O46" i="89"/>
  <c r="D17" i="12"/>
  <c r="D22" i="51"/>
  <c r="R46" i="89"/>
  <c r="D32" i="80"/>
  <c r="T45" i="87"/>
  <c r="S45" i="87"/>
  <c r="Z39" i="83"/>
  <c r="N39" i="83"/>
  <c r="U45" i="87"/>
  <c r="R45" i="87"/>
  <c r="Q39" i="83"/>
  <c r="Q45" i="87"/>
  <c r="AA39" i="83"/>
  <c r="U39" i="83"/>
  <c r="O39" i="83"/>
  <c r="P39" i="83"/>
  <c r="S39" i="83"/>
  <c r="T39" i="83"/>
  <c r="W39" i="83"/>
  <c r="V39" i="83"/>
  <c r="R39" i="83"/>
  <c r="D20" i="80"/>
  <c r="X39" i="83"/>
  <c r="D56" i="12"/>
  <c r="T44" i="89"/>
  <c r="U44" i="89"/>
  <c r="N44" i="89"/>
  <c r="V44" i="89"/>
  <c r="O44" i="89"/>
  <c r="P44" i="89"/>
  <c r="Q44" i="89"/>
  <c r="R44" i="89"/>
  <c r="S44" i="89"/>
  <c r="P51" i="83"/>
  <c r="X51" i="83"/>
  <c r="Q51" i="83"/>
  <c r="Y51" i="83"/>
  <c r="S51" i="83"/>
  <c r="AA51" i="83"/>
  <c r="O51" i="83"/>
  <c r="W51" i="83"/>
  <c r="N51" i="83"/>
  <c r="R51" i="83"/>
  <c r="T51" i="83"/>
  <c r="U51" i="83"/>
  <c r="V51" i="83"/>
  <c r="Z51" i="83"/>
  <c r="F178" i="50"/>
  <c r="L176" i="50"/>
  <c r="J38" i="81"/>
  <c r="J45" i="81"/>
  <c r="P48" i="87"/>
  <c r="Q48" i="87"/>
  <c r="R48" i="87"/>
  <c r="S48" i="87"/>
  <c r="T48" i="87"/>
  <c r="U48" i="87"/>
  <c r="P51" i="87"/>
  <c r="Q51" i="87"/>
  <c r="R51" i="87"/>
  <c r="S51" i="87"/>
  <c r="T51" i="87"/>
  <c r="U51" i="87"/>
  <c r="D44" i="80"/>
  <c r="P44" i="87"/>
  <c r="Q44" i="87"/>
  <c r="R44" i="87"/>
  <c r="S44" i="87"/>
  <c r="T44" i="87"/>
  <c r="U44" i="87"/>
  <c r="P43" i="87"/>
  <c r="Q43" i="87"/>
  <c r="R43" i="87"/>
  <c r="S43" i="87"/>
  <c r="T43" i="87"/>
  <c r="U43" i="87"/>
  <c r="J39" i="81"/>
  <c r="D17" i="80"/>
  <c r="N48" i="60"/>
  <c r="D48" i="81" s="1"/>
  <c r="D41" i="12"/>
  <c r="AJ176" i="7"/>
  <c r="P178" i="7"/>
  <c r="D38" i="80"/>
  <c r="N50" i="60"/>
  <c r="D50" i="81" s="1"/>
  <c r="D37" i="81"/>
  <c r="P44" i="83"/>
  <c r="X44" i="83"/>
  <c r="Q44" i="83"/>
  <c r="Y44" i="83"/>
  <c r="R44" i="83"/>
  <c r="Z44" i="83"/>
  <c r="S44" i="83"/>
  <c r="AA44" i="83"/>
  <c r="T44" i="83"/>
  <c r="U44" i="83"/>
  <c r="O44" i="83"/>
  <c r="W44" i="83"/>
  <c r="N44" i="83"/>
  <c r="V44" i="83"/>
  <c r="J37" i="83"/>
  <c r="P50" i="87"/>
  <c r="Q50" i="87"/>
  <c r="R50" i="87"/>
  <c r="S50" i="87"/>
  <c r="T50" i="87"/>
  <c r="U50" i="87"/>
  <c r="L37" i="87"/>
  <c r="Q45" i="89"/>
  <c r="R45" i="89"/>
  <c r="S45" i="89"/>
  <c r="T45" i="89"/>
  <c r="U45" i="89"/>
  <c r="N45" i="89"/>
  <c r="V45" i="89"/>
  <c r="O45" i="89"/>
  <c r="P45" i="89"/>
  <c r="P45" i="83"/>
  <c r="X45" i="83"/>
  <c r="Q45" i="83"/>
  <c r="Y45" i="83"/>
  <c r="R45" i="83"/>
  <c r="Z45" i="83"/>
  <c r="S45" i="83"/>
  <c r="AA45" i="83"/>
  <c r="U45" i="83"/>
  <c r="O45" i="83"/>
  <c r="W45" i="83"/>
  <c r="N45" i="83"/>
  <c r="T45" i="83"/>
  <c r="V45" i="83"/>
  <c r="D41" i="80"/>
  <c r="N43" i="60"/>
  <c r="D43" i="81" s="1"/>
  <c r="S48" i="89"/>
  <c r="T48" i="89"/>
  <c r="U48" i="89"/>
  <c r="N48" i="89"/>
  <c r="V48" i="89"/>
  <c r="O48" i="89"/>
  <c r="P48" i="89"/>
  <c r="Q48" i="89"/>
  <c r="R48" i="89"/>
  <c r="J44" i="81"/>
  <c r="J37" i="89"/>
  <c r="P43" i="83"/>
  <c r="X43" i="83"/>
  <c r="Q43" i="83"/>
  <c r="Y43" i="83"/>
  <c r="R43" i="83"/>
  <c r="Z43" i="83"/>
  <c r="S43" i="83"/>
  <c r="AA43" i="83"/>
  <c r="T43" i="83"/>
  <c r="U43" i="83"/>
  <c r="O43" i="83"/>
  <c r="W43" i="83"/>
  <c r="N43" i="83"/>
  <c r="V43" i="83"/>
  <c r="J51" i="81"/>
  <c r="R51" i="89"/>
  <c r="S51" i="89"/>
  <c r="T51" i="89"/>
  <c r="U51" i="89"/>
  <c r="N51" i="89"/>
  <c r="V51" i="89"/>
  <c r="O51" i="89"/>
  <c r="P51" i="89"/>
  <c r="Q51" i="89"/>
  <c r="P50" i="83"/>
  <c r="X50" i="83"/>
  <c r="Q50" i="83"/>
  <c r="Y50" i="83"/>
  <c r="S50" i="83"/>
  <c r="AA50" i="83"/>
  <c r="O50" i="83"/>
  <c r="W50" i="83"/>
  <c r="N50" i="83"/>
  <c r="R50" i="83"/>
  <c r="T50" i="83"/>
  <c r="U50" i="83"/>
  <c r="V50" i="83"/>
  <c r="Z50" i="83"/>
  <c r="P48" i="83"/>
  <c r="X48" i="83"/>
  <c r="Q48" i="83"/>
  <c r="Y48" i="83"/>
  <c r="S48" i="83"/>
  <c r="AA48" i="83"/>
  <c r="O48" i="83"/>
  <c r="W48" i="83"/>
  <c r="N48" i="83"/>
  <c r="R48" i="83"/>
  <c r="T48" i="83"/>
  <c r="U48" i="83"/>
  <c r="V48" i="83"/>
  <c r="Z48" i="83"/>
  <c r="D47" i="80"/>
  <c r="AL176" i="7" l="1"/>
  <c r="AJ178" i="7"/>
  <c r="AL178" i="7" s="1"/>
  <c r="V176" i="50"/>
  <c r="V178" i="50" s="1"/>
  <c r="L178" i="50"/>
  <c r="P176" i="50"/>
  <c r="P178" i="50" s="1"/>
  <c r="R176" i="50"/>
  <c r="R178" i="50" s="1"/>
  <c r="T176" i="50"/>
  <c r="T178" i="50" s="1"/>
  <c r="S37" i="89"/>
  <c r="T37" i="89"/>
  <c r="U37" i="89"/>
  <c r="N37" i="89"/>
  <c r="V37" i="89"/>
  <c r="O37" i="89"/>
  <c r="P37" i="89"/>
  <c r="Q37" i="89"/>
  <c r="R37" i="89"/>
  <c r="J37" i="81"/>
  <c r="O51" i="81"/>
  <c r="W51" i="81"/>
  <c r="P51" i="81"/>
  <c r="Q51" i="81"/>
  <c r="R51" i="81"/>
  <c r="S51" i="81"/>
  <c r="T51" i="81"/>
  <c r="U51" i="81"/>
  <c r="N51" i="81"/>
  <c r="V51" i="81"/>
  <c r="O44" i="81"/>
  <c r="W44" i="81"/>
  <c r="P44" i="81"/>
  <c r="Q44" i="81"/>
  <c r="R44" i="81"/>
  <c r="S44" i="81"/>
  <c r="T44" i="81"/>
  <c r="U44" i="81"/>
  <c r="N44" i="81"/>
  <c r="V44" i="81"/>
  <c r="S39" i="81"/>
  <c r="T39" i="81"/>
  <c r="U39" i="81"/>
  <c r="N39" i="81"/>
  <c r="V39" i="81"/>
  <c r="O39" i="81"/>
  <c r="W39" i="81"/>
  <c r="P39" i="81"/>
  <c r="Q39" i="81"/>
  <c r="R39" i="81"/>
  <c r="S45" i="81"/>
  <c r="T45" i="81"/>
  <c r="U45" i="81"/>
  <c r="N45" i="81"/>
  <c r="V45" i="81"/>
  <c r="O45" i="81"/>
  <c r="W45" i="81"/>
  <c r="P45" i="81"/>
  <c r="Q45" i="81"/>
  <c r="R45" i="81"/>
  <c r="P37" i="87"/>
  <c r="Q37" i="87"/>
  <c r="R37" i="87"/>
  <c r="S37" i="87"/>
  <c r="T37" i="87"/>
  <c r="U37" i="87"/>
  <c r="J43" i="81"/>
  <c r="P37" i="83"/>
  <c r="X37" i="83"/>
  <c r="Q37" i="83"/>
  <c r="Y37" i="83"/>
  <c r="R37" i="83"/>
  <c r="Z37" i="83"/>
  <c r="S37" i="83"/>
  <c r="AA37" i="83"/>
  <c r="T37" i="83"/>
  <c r="U37" i="83"/>
  <c r="N37" i="83"/>
  <c r="V37" i="83"/>
  <c r="O37" i="83"/>
  <c r="W37" i="83"/>
  <c r="J50" i="81"/>
  <c r="J48" i="81"/>
  <c r="O38" i="81"/>
  <c r="W38" i="81"/>
  <c r="P38" i="81"/>
  <c r="Q38" i="81"/>
  <c r="R38" i="81"/>
  <c r="S38" i="81"/>
  <c r="T38" i="81"/>
  <c r="U38" i="81"/>
  <c r="N38" i="81"/>
  <c r="V38" i="81"/>
  <c r="S43" i="81" l="1"/>
  <c r="T43" i="81"/>
  <c r="U43" i="81"/>
  <c r="N43" i="81"/>
  <c r="V43" i="81"/>
  <c r="O43" i="81"/>
  <c r="W43" i="81"/>
  <c r="P43" i="81"/>
  <c r="Q43" i="81"/>
  <c r="R43" i="81"/>
  <c r="S48" i="81"/>
  <c r="T48" i="81"/>
  <c r="U48" i="81"/>
  <c r="N48" i="81"/>
  <c r="V48" i="81"/>
  <c r="O48" i="81"/>
  <c r="W48" i="81"/>
  <c r="P48" i="81"/>
  <c r="Q48" i="81"/>
  <c r="R48" i="81"/>
  <c r="S37" i="81"/>
  <c r="T37" i="81"/>
  <c r="U37" i="81"/>
  <c r="N37" i="81"/>
  <c r="V37" i="81"/>
  <c r="O37" i="81"/>
  <c r="W37" i="81"/>
  <c r="P37" i="81"/>
  <c r="Q37" i="81"/>
  <c r="R37" i="81"/>
  <c r="S50" i="81"/>
  <c r="T50" i="81"/>
  <c r="U50" i="81"/>
  <c r="N50" i="81"/>
  <c r="V50" i="81"/>
  <c r="O50" i="81"/>
  <c r="W50" i="81"/>
  <c r="P50" i="81"/>
  <c r="Q50" i="81"/>
  <c r="R50" i="81"/>
  <c r="AC151" i="4" l="1"/>
  <c r="AD151" i="4" s="1"/>
  <c r="AI151" i="5"/>
  <c r="AJ151" i="5" s="1"/>
  <c r="AC145" i="4"/>
  <c r="AD145" i="4" s="1"/>
  <c r="AI145" i="5"/>
  <c r="AJ145" i="5" s="1"/>
  <c r="AO145" i="7"/>
  <c r="AP145" i="7" s="1"/>
  <c r="AK145" i="4" l="1"/>
  <c r="AN145" i="1"/>
  <c r="AO151" i="7"/>
  <c r="AP151" i="7" s="1"/>
  <c r="H97" i="13"/>
  <c r="H164" i="13" s="1"/>
  <c r="H180" i="13" s="1"/>
  <c r="H97" i="4"/>
  <c r="H97" i="50"/>
  <c r="AX151" i="5"/>
  <c r="AV151" i="5"/>
  <c r="AL151" i="5"/>
  <c r="AP151" i="5"/>
  <c r="AT151" i="5"/>
  <c r="AR151" i="5"/>
  <c r="AN151" i="5"/>
  <c r="AF151" i="4"/>
  <c r="AL151" i="4"/>
  <c r="AH151" i="4"/>
  <c r="AJ151" i="4"/>
  <c r="AK151" i="4"/>
  <c r="AZ145" i="7"/>
  <c r="BB145" i="7"/>
  <c r="AX145" i="7"/>
  <c r="AT145" i="7"/>
  <c r="BH145" i="7"/>
  <c r="Z145" i="50" s="1"/>
  <c r="AA145" i="50" s="1"/>
  <c r="BJ145" i="7"/>
  <c r="BF145" i="7"/>
  <c r="AV145" i="7"/>
  <c r="BD145" i="7"/>
  <c r="AR145" i="7"/>
  <c r="AN151" i="1" l="1"/>
  <c r="BL145" i="7"/>
  <c r="AZ151" i="5"/>
  <c r="BF151" i="7"/>
  <c r="AR151" i="7"/>
  <c r="BH151" i="7"/>
  <c r="Z151" i="50" s="1"/>
  <c r="BD151" i="7"/>
  <c r="AT151" i="7"/>
  <c r="AV151" i="7"/>
  <c r="AZ151" i="7"/>
  <c r="AX151" i="7"/>
  <c r="BJ151" i="7"/>
  <c r="BB151" i="7"/>
  <c r="L151" i="50"/>
  <c r="H162" i="50"/>
  <c r="H164" i="50" s="1"/>
  <c r="H180" i="50" s="1"/>
  <c r="AN151" i="4"/>
  <c r="AC145" i="50"/>
  <c r="AG145" i="50"/>
  <c r="AI145" i="50"/>
  <c r="AE145" i="50"/>
  <c r="D23" i="10"/>
  <c r="F24" i="10" l="1"/>
  <c r="H124" i="4"/>
  <c r="L24" i="10"/>
  <c r="J24" i="10"/>
  <c r="H24" i="10"/>
  <c r="V151" i="50"/>
  <c r="R151" i="50"/>
  <c r="P151" i="50"/>
  <c r="T151" i="50"/>
  <c r="AA151" i="50"/>
  <c r="BL151" i="7"/>
  <c r="D37" i="12" l="1"/>
  <c r="F38" i="12" s="1"/>
  <c r="P102" i="7" s="1"/>
  <c r="AG151" i="50"/>
  <c r="AC151" i="50"/>
  <c r="AE151" i="50"/>
  <c r="D24" i="10"/>
  <c r="D103" i="2"/>
  <c r="F104" i="2" s="1"/>
  <c r="L148" i="50"/>
  <c r="AA148" i="50"/>
  <c r="AA149" i="50"/>
  <c r="L149" i="50"/>
  <c r="AI151" i="50"/>
  <c r="L124" i="4"/>
  <c r="H162" i="4"/>
  <c r="H164" i="4" s="1"/>
  <c r="H180" i="4" s="1"/>
  <c r="T38" i="12" l="1"/>
  <c r="AD102" i="7" s="1"/>
  <c r="V38" i="12"/>
  <c r="AF102" i="7" s="1"/>
  <c r="F102" i="50" s="1"/>
  <c r="L102" i="50" s="1"/>
  <c r="T102" i="50" s="1"/>
  <c r="P38" i="12"/>
  <c r="Z102" i="7" s="1"/>
  <c r="N38" i="12"/>
  <c r="X102" i="7" s="1"/>
  <c r="R38" i="12"/>
  <c r="AB102" i="7" s="1"/>
  <c r="H38" i="12"/>
  <c r="R102" i="7" s="1"/>
  <c r="X38" i="12"/>
  <c r="AH102" i="7" s="1"/>
  <c r="J38" i="12"/>
  <c r="T102" i="7" s="1"/>
  <c r="L38" i="12"/>
  <c r="V102" i="7" s="1"/>
  <c r="P125" i="1"/>
  <c r="V148" i="50"/>
  <c r="AI148" i="50" s="1"/>
  <c r="T148" i="50"/>
  <c r="AG148" i="50" s="1"/>
  <c r="R148" i="50"/>
  <c r="AE148" i="50" s="1"/>
  <c r="P148" i="50"/>
  <c r="AC148" i="50" s="1"/>
  <c r="D82" i="11"/>
  <c r="P83" i="11" s="1"/>
  <c r="Z133" i="5" s="1"/>
  <c r="AV133" i="5" s="1"/>
  <c r="J104" i="2"/>
  <c r="T125" i="1" s="1"/>
  <c r="H104" i="2"/>
  <c r="R125" i="1" s="1"/>
  <c r="V124" i="4"/>
  <c r="AL124" i="4" s="1"/>
  <c r="R124" i="4"/>
  <c r="AH124" i="4" s="1"/>
  <c r="T124" i="4"/>
  <c r="AJ124" i="4" s="1"/>
  <c r="P124" i="4"/>
  <c r="V149" i="50"/>
  <c r="AI149" i="50" s="1"/>
  <c r="T149" i="50"/>
  <c r="AG149" i="50" s="1"/>
  <c r="R149" i="50"/>
  <c r="AE149" i="50" s="1"/>
  <c r="P149" i="50"/>
  <c r="AC149" i="50" s="1"/>
  <c r="L104" i="2"/>
  <c r="V125" i="1" s="1"/>
  <c r="V102" i="50" l="1"/>
  <c r="R102" i="50"/>
  <c r="P102" i="50"/>
  <c r="AJ102" i="7"/>
  <c r="AL102" i="7" s="1"/>
  <c r="D38" i="12"/>
  <c r="L83" i="11"/>
  <c r="V133" i="5" s="1"/>
  <c r="AR133" i="5" s="1"/>
  <c r="J83" i="11"/>
  <c r="T133" i="5" s="1"/>
  <c r="AP133" i="5" s="1"/>
  <c r="N83" i="11"/>
  <c r="X133" i="5" s="1"/>
  <c r="AT133" i="5" s="1"/>
  <c r="R83" i="11"/>
  <c r="AB133" i="5" s="1"/>
  <c r="AX133" i="5" s="1"/>
  <c r="F83" i="11"/>
  <c r="P133" i="5" s="1"/>
  <c r="F125" i="4"/>
  <c r="AH125" i="1"/>
  <c r="H83" i="11"/>
  <c r="R133" i="5" s="1"/>
  <c r="AN133" i="5" s="1"/>
  <c r="AJ125" i="1"/>
  <c r="F125" i="5"/>
  <c r="D104" i="2"/>
  <c r="F125" i="7"/>
  <c r="AL125" i="1"/>
  <c r="AF124" i="4"/>
  <c r="X124" i="4"/>
  <c r="Z124" i="4" s="1"/>
  <c r="AF125" i="1"/>
  <c r="F125" i="13"/>
  <c r="X125" i="1"/>
  <c r="H14" i="80" l="1"/>
  <c r="D13" i="80"/>
  <c r="L14" i="80" s="1"/>
  <c r="F14" i="80"/>
  <c r="D83" i="11"/>
  <c r="AN124" i="4"/>
  <c r="AO125" i="7"/>
  <c r="L125" i="5"/>
  <c r="AL125" i="7"/>
  <c r="AI125" i="5"/>
  <c r="Z125" i="1"/>
  <c r="L125" i="13"/>
  <c r="AN125" i="1"/>
  <c r="AC125" i="4"/>
  <c r="AL133" i="5"/>
  <c r="AZ133" i="5" s="1"/>
  <c r="AD133" i="5"/>
  <c r="AF133" i="5" s="1"/>
  <c r="L125" i="4"/>
  <c r="J14" i="80" l="1"/>
  <c r="D14" i="80" s="1"/>
  <c r="D52" i="80"/>
  <c r="L53" i="80" s="1"/>
  <c r="R49" i="60" s="1"/>
  <c r="AJ125" i="5"/>
  <c r="T125" i="13"/>
  <c r="P125" i="13"/>
  <c r="V125" i="13"/>
  <c r="X125" i="13"/>
  <c r="Z125" i="13"/>
  <c r="R125" i="13"/>
  <c r="AD125" i="4"/>
  <c r="P125" i="5"/>
  <c r="X125" i="5"/>
  <c r="AB125" i="5"/>
  <c r="Z125" i="5"/>
  <c r="R125" i="5"/>
  <c r="V125" i="5"/>
  <c r="T125" i="5"/>
  <c r="AP125" i="7"/>
  <c r="D49" i="89" l="1"/>
  <c r="R52" i="60"/>
  <c r="J53" i="80"/>
  <c r="Q49" i="60" s="1"/>
  <c r="F53" i="80"/>
  <c r="H53" i="80"/>
  <c r="O49" i="60" s="1"/>
  <c r="AD125" i="5"/>
  <c r="D53" i="10"/>
  <c r="H54" i="10" s="1"/>
  <c r="R102" i="4" s="1"/>
  <c r="AB125" i="13"/>
  <c r="D74" i="10"/>
  <c r="H75" i="10" s="1"/>
  <c r="R125" i="4" s="1"/>
  <c r="AH125" i="4" s="1"/>
  <c r="AR125" i="7"/>
  <c r="AV125" i="7"/>
  <c r="BH125" i="7"/>
  <c r="BB125" i="7"/>
  <c r="AZ125" i="7"/>
  <c r="BF125" i="7"/>
  <c r="AT125" i="7"/>
  <c r="AX125" i="7"/>
  <c r="BD125" i="7"/>
  <c r="BJ125" i="7"/>
  <c r="AK125" i="4"/>
  <c r="AP125" i="5"/>
  <c r="AL125" i="5"/>
  <c r="AR125" i="5"/>
  <c r="AT125" i="5"/>
  <c r="AV125" i="5"/>
  <c r="AN125" i="5"/>
  <c r="AX125" i="5"/>
  <c r="F54" i="10" l="1"/>
  <c r="P102" i="4" s="1"/>
  <c r="J54" i="10"/>
  <c r="T102" i="4" s="1"/>
  <c r="F49" i="87"/>
  <c r="O52" i="60"/>
  <c r="D53" i="80"/>
  <c r="N49" i="60"/>
  <c r="D49" i="83"/>
  <c r="Q52" i="60"/>
  <c r="V61" i="10"/>
  <c r="J49" i="89"/>
  <c r="D52" i="89"/>
  <c r="F75" i="10"/>
  <c r="P125" i="4" s="1"/>
  <c r="AD125" i="13"/>
  <c r="AF125" i="5"/>
  <c r="AZ125" i="5"/>
  <c r="L75" i="10"/>
  <c r="V125" i="4" s="1"/>
  <c r="AL125" i="4" s="1"/>
  <c r="X61" i="10"/>
  <c r="D62" i="10"/>
  <c r="L63" i="10" s="1"/>
  <c r="V145" i="4" s="1"/>
  <c r="AL145" i="4" s="1"/>
  <c r="L54" i="10"/>
  <c r="V102" i="4" s="1"/>
  <c r="D44" i="10"/>
  <c r="F45" i="10" s="1"/>
  <c r="Z125" i="50"/>
  <c r="R61" i="10"/>
  <c r="T61" i="10"/>
  <c r="BL125" i="7"/>
  <c r="J75" i="10"/>
  <c r="T125" i="4" s="1"/>
  <c r="AJ125" i="4" s="1"/>
  <c r="R49" i="89" l="1"/>
  <c r="R52" i="89" s="1"/>
  <c r="V49" i="89"/>
  <c r="V52" i="89" s="1"/>
  <c r="Q49" i="89"/>
  <c r="Q52" i="89" s="1"/>
  <c r="S49" i="89"/>
  <c r="S52" i="89" s="1"/>
  <c r="T49" i="89"/>
  <c r="T52" i="89" s="1"/>
  <c r="U49" i="89"/>
  <c r="U52" i="89" s="1"/>
  <c r="N49" i="89"/>
  <c r="N52" i="89" s="1"/>
  <c r="P49" i="89"/>
  <c r="P52" i="89" s="1"/>
  <c r="O49" i="89"/>
  <c r="O52" i="89" s="1"/>
  <c r="J52" i="89"/>
  <c r="J49" i="83"/>
  <c r="D52" i="83"/>
  <c r="D49" i="81"/>
  <c r="N52" i="60"/>
  <c r="L49" i="87"/>
  <c r="F52" i="87"/>
  <c r="D54" i="10"/>
  <c r="X102" i="4"/>
  <c r="Z102" i="4" s="1"/>
  <c r="X125" i="4"/>
  <c r="Z125" i="4" s="1"/>
  <c r="AF125" i="4"/>
  <c r="J63" i="10"/>
  <c r="T145" i="4" s="1"/>
  <c r="AJ145" i="4" s="1"/>
  <c r="D75" i="10"/>
  <c r="AA125" i="50"/>
  <c r="P120" i="4"/>
  <c r="H45" i="10"/>
  <c r="R120" i="4" s="1"/>
  <c r="L45" i="10"/>
  <c r="V120" i="4" s="1"/>
  <c r="D23" i="60" s="1"/>
  <c r="J23" i="60" s="1"/>
  <c r="J45" i="10"/>
  <c r="T120" i="4" s="1"/>
  <c r="D22" i="60" s="1"/>
  <c r="J22" i="60" s="1"/>
  <c r="H63" i="10"/>
  <c r="R145" i="4" s="1"/>
  <c r="AH145" i="4" s="1"/>
  <c r="F63" i="10"/>
  <c r="Y49" i="83" l="1"/>
  <c r="Y52" i="83" s="1"/>
  <c r="U49" i="83"/>
  <c r="U52" i="83" s="1"/>
  <c r="N49" i="83"/>
  <c r="N52" i="83" s="1"/>
  <c r="T49" i="83"/>
  <c r="T52" i="83" s="1"/>
  <c r="S49" i="83"/>
  <c r="S52" i="83" s="1"/>
  <c r="V49" i="83"/>
  <c r="V52" i="83" s="1"/>
  <c r="AA49" i="83"/>
  <c r="AA52" i="83" s="1"/>
  <c r="Z49" i="83"/>
  <c r="Z52" i="83" s="1"/>
  <c r="P49" i="83"/>
  <c r="P52" i="83" s="1"/>
  <c r="Q49" i="83"/>
  <c r="Q52" i="83" s="1"/>
  <c r="O49" i="83"/>
  <c r="O52" i="83" s="1"/>
  <c r="W49" i="83"/>
  <c r="W52" i="83" s="1"/>
  <c r="X49" i="83"/>
  <c r="X52" i="83" s="1"/>
  <c r="R49" i="83"/>
  <c r="R52" i="83" s="1"/>
  <c r="J52" i="83"/>
  <c r="R49" i="87"/>
  <c r="R52" i="87" s="1"/>
  <c r="S49" i="87"/>
  <c r="S52" i="87" s="1"/>
  <c r="Q49" i="87"/>
  <c r="Q52" i="87" s="1"/>
  <c r="T49" i="87"/>
  <c r="T52" i="87" s="1"/>
  <c r="U49" i="87"/>
  <c r="U52" i="87" s="1"/>
  <c r="P49" i="87"/>
  <c r="P52" i="87" s="1"/>
  <c r="L52" i="87"/>
  <c r="J49" i="81"/>
  <c r="D52" i="81"/>
  <c r="Q23" i="60"/>
  <c r="D23" i="83" s="1"/>
  <c r="J23" i="83" s="1"/>
  <c r="N23" i="60"/>
  <c r="D23" i="81" s="1"/>
  <c r="J23" i="81" s="1"/>
  <c r="R23" i="60"/>
  <c r="D23" i="89" s="1"/>
  <c r="J23" i="89" s="1"/>
  <c r="P23" i="60"/>
  <c r="BE23" i="87" s="1"/>
  <c r="O23" i="60"/>
  <c r="Q22" i="60"/>
  <c r="D22" i="83" s="1"/>
  <c r="J22" i="83" s="1"/>
  <c r="P22" i="60"/>
  <c r="BE22" i="87" s="1"/>
  <c r="R22" i="60"/>
  <c r="D22" i="89" s="1"/>
  <c r="J22" i="89" s="1"/>
  <c r="O22" i="60"/>
  <c r="N22" i="60"/>
  <c r="D22" i="81" s="1"/>
  <c r="J22" i="81" s="1"/>
  <c r="D21" i="60"/>
  <c r="J21" i="60" s="1"/>
  <c r="AC125" i="50"/>
  <c r="AE125" i="50"/>
  <c r="AI125" i="50"/>
  <c r="AG125" i="50"/>
  <c r="D45" i="10"/>
  <c r="P145" i="4"/>
  <c r="D63" i="10"/>
  <c r="D20" i="60"/>
  <c r="X120" i="4"/>
  <c r="AN125" i="4"/>
  <c r="Q49" i="81" l="1"/>
  <c r="Q52" i="81" s="1"/>
  <c r="R49" i="81"/>
  <c r="R52" i="81" s="1"/>
  <c r="U49" i="81"/>
  <c r="U52" i="81" s="1"/>
  <c r="N49" i="81"/>
  <c r="N52" i="81" s="1"/>
  <c r="S49" i="81"/>
  <c r="S52" i="81" s="1"/>
  <c r="T49" i="81"/>
  <c r="T52" i="81" s="1"/>
  <c r="W49" i="81"/>
  <c r="W52" i="81" s="1"/>
  <c r="V49" i="81"/>
  <c r="V52" i="81" s="1"/>
  <c r="O49" i="81"/>
  <c r="O52" i="81" s="1"/>
  <c r="P49" i="81"/>
  <c r="P52" i="81" s="1"/>
  <c r="J52" i="81"/>
  <c r="AU22" i="87"/>
  <c r="F22" i="87"/>
  <c r="L22" i="87" s="1"/>
  <c r="Q22" i="89"/>
  <c r="V22" i="89"/>
  <c r="T22" i="89"/>
  <c r="S22" i="89"/>
  <c r="P22" i="89"/>
  <c r="O22" i="89"/>
  <c r="R22" i="89"/>
  <c r="U22" i="89"/>
  <c r="N22" i="89"/>
  <c r="U23" i="83"/>
  <c r="Q23" i="83"/>
  <c r="V23" i="83"/>
  <c r="N23" i="83"/>
  <c r="AA23" i="83"/>
  <c r="X23" i="83"/>
  <c r="O23" i="83"/>
  <c r="Y23" i="83"/>
  <c r="P23" i="83"/>
  <c r="T23" i="83"/>
  <c r="Z23" i="83"/>
  <c r="R23" i="83"/>
  <c r="S23" i="83"/>
  <c r="W23" i="83"/>
  <c r="R21" i="60"/>
  <c r="D21" i="89" s="1"/>
  <c r="J21" i="89" s="1"/>
  <c r="N21" i="60"/>
  <c r="D21" i="81" s="1"/>
  <c r="J21" i="81" s="1"/>
  <c r="O21" i="60"/>
  <c r="P21" i="60"/>
  <c r="BE21" i="87" s="1"/>
  <c r="Q21" i="60"/>
  <c r="D21" i="83" s="1"/>
  <c r="J21" i="83" s="1"/>
  <c r="R22" i="83"/>
  <c r="Y22" i="83"/>
  <c r="N22" i="83"/>
  <c r="P22" i="83"/>
  <c r="S22" i="83"/>
  <c r="U22" i="83"/>
  <c r="O22" i="83"/>
  <c r="T22" i="83"/>
  <c r="V22" i="83"/>
  <c r="Z22" i="83"/>
  <c r="Q22" i="83"/>
  <c r="X22" i="83"/>
  <c r="W22" i="83"/>
  <c r="AA22" i="83"/>
  <c r="F23" i="87"/>
  <c r="L23" i="87" s="1"/>
  <c r="AU23" i="87"/>
  <c r="X145" i="4"/>
  <c r="Z145" i="4" s="1"/>
  <c r="AF145" i="4"/>
  <c r="Z120" i="4"/>
  <c r="D24" i="60"/>
  <c r="D54" i="60" s="1"/>
  <c r="J20" i="60"/>
  <c r="N23" i="89"/>
  <c r="R23" i="89"/>
  <c r="T23" i="89"/>
  <c r="O23" i="89"/>
  <c r="U23" i="89"/>
  <c r="P23" i="89"/>
  <c r="Q23" i="89"/>
  <c r="S23" i="89"/>
  <c r="V23" i="89"/>
  <c r="T22" i="81"/>
  <c r="R22" i="81"/>
  <c r="S22" i="81"/>
  <c r="U22" i="81"/>
  <c r="P22" i="81"/>
  <c r="W22" i="81"/>
  <c r="O22" i="81"/>
  <c r="V22" i="81"/>
  <c r="Q22" i="81"/>
  <c r="N22" i="81"/>
  <c r="P23" i="81"/>
  <c r="N23" i="81"/>
  <c r="U23" i="81"/>
  <c r="O23" i="81"/>
  <c r="S23" i="81"/>
  <c r="Q23" i="81"/>
  <c r="V23" i="81"/>
  <c r="R23" i="81"/>
  <c r="W23" i="81"/>
  <c r="T23" i="81"/>
  <c r="P21" i="83" l="1"/>
  <c r="N21" i="83"/>
  <c r="R21" i="83"/>
  <c r="S21" i="83"/>
  <c r="O21" i="83"/>
  <c r="U21" i="83"/>
  <c r="W21" i="83"/>
  <c r="T21" i="83"/>
  <c r="Y21" i="83"/>
  <c r="Q21" i="83"/>
  <c r="V21" i="83"/>
  <c r="Z21" i="83"/>
  <c r="X21" i="83"/>
  <c r="AA21" i="83"/>
  <c r="J24" i="60"/>
  <c r="J54" i="60" s="1"/>
  <c r="N20" i="60"/>
  <c r="R20" i="60"/>
  <c r="Q20" i="60"/>
  <c r="O20" i="60"/>
  <c r="P20" i="60"/>
  <c r="AU21" i="87"/>
  <c r="F21" i="87"/>
  <c r="L21" i="87" s="1"/>
  <c r="S21" i="81"/>
  <c r="U21" i="81"/>
  <c r="T21" i="81"/>
  <c r="O21" i="81"/>
  <c r="R21" i="81"/>
  <c r="P21" i="81"/>
  <c r="W21" i="81"/>
  <c r="Q21" i="81"/>
  <c r="N21" i="81"/>
  <c r="V21" i="81"/>
  <c r="V21" i="89"/>
  <c r="U21" i="89"/>
  <c r="O21" i="89"/>
  <c r="Q21" i="89"/>
  <c r="T21" i="89"/>
  <c r="P21" i="89"/>
  <c r="R21" i="89"/>
  <c r="S21" i="89"/>
  <c r="N21" i="89"/>
  <c r="AN145" i="4"/>
  <c r="BA22" i="87"/>
  <c r="T22" i="87" s="1"/>
  <c r="AX22" i="87"/>
  <c r="Q22" i="87" s="1"/>
  <c r="BB22" i="87"/>
  <c r="U22" i="87" s="1"/>
  <c r="AY22" i="87"/>
  <c r="R22" i="87" s="1"/>
  <c r="AZ22" i="87"/>
  <c r="S22" i="87" s="1"/>
  <c r="AW22" i="87"/>
  <c r="P22" i="87" s="1"/>
  <c r="AW23" i="87"/>
  <c r="BB23" i="87"/>
  <c r="AY23" i="87"/>
  <c r="AZ23" i="87"/>
  <c r="BA23" i="87"/>
  <c r="AX23" i="87"/>
  <c r="BE20" i="87" l="1"/>
  <c r="P24" i="60"/>
  <c r="F20" i="87"/>
  <c r="AU20" i="87"/>
  <c r="O24" i="60"/>
  <c r="D20" i="83"/>
  <c r="Q24" i="60"/>
  <c r="Q54" i="60" s="1"/>
  <c r="AX21" i="87"/>
  <c r="Q21" i="87" s="1"/>
  <c r="AZ21" i="87"/>
  <c r="S21" i="87" s="1"/>
  <c r="BB21" i="87"/>
  <c r="U21" i="87" s="1"/>
  <c r="AY21" i="87"/>
  <c r="R21" i="87" s="1"/>
  <c r="AW21" i="87"/>
  <c r="P21" i="87" s="1"/>
  <c r="BA21" i="87"/>
  <c r="T21" i="87" s="1"/>
  <c r="D20" i="89"/>
  <c r="R24" i="60"/>
  <c r="R54" i="60" s="1"/>
  <c r="D20" i="81"/>
  <c r="N24" i="60"/>
  <c r="N54" i="60" s="1"/>
  <c r="J20" i="83" l="1"/>
  <c r="D24" i="83"/>
  <c r="D54" i="83" s="1"/>
  <c r="J20" i="81"/>
  <c r="D24" i="81"/>
  <c r="D54" i="81" s="1"/>
  <c r="BE24" i="87"/>
  <c r="L20" i="87"/>
  <c r="L24" i="87" s="1"/>
  <c r="L54" i="87" s="1"/>
  <c r="F24" i="87"/>
  <c r="F54" i="87" s="1"/>
  <c r="O54" i="60"/>
  <c r="J20" i="89"/>
  <c r="D24" i="89"/>
  <c r="D54" i="89" s="1"/>
  <c r="BA20" i="87"/>
  <c r="BA24" i="87" s="1"/>
  <c r="AX20" i="87"/>
  <c r="AX24" i="87" s="1"/>
  <c r="AW20" i="87"/>
  <c r="AW24" i="87" s="1"/>
  <c r="AZ20" i="87"/>
  <c r="AZ24" i="87" s="1"/>
  <c r="AY20" i="87"/>
  <c r="AY24" i="87" s="1"/>
  <c r="BB20" i="87"/>
  <c r="BB24" i="87" s="1"/>
  <c r="AU24" i="87"/>
  <c r="Q20" i="87" l="1"/>
  <c r="Q24" i="87" s="1"/>
  <c r="Q54" i="87" s="1"/>
  <c r="BH24" i="87"/>
  <c r="Q20" i="81"/>
  <c r="Q24" i="81" s="1"/>
  <c r="Q54" i="81" s="1"/>
  <c r="S20" i="81"/>
  <c r="S24" i="81" s="1"/>
  <c r="S54" i="81" s="1"/>
  <c r="U20" i="81"/>
  <c r="U24" i="81" s="1"/>
  <c r="U54" i="81" s="1"/>
  <c r="N20" i="81"/>
  <c r="N24" i="81" s="1"/>
  <c r="N54" i="81" s="1"/>
  <c r="P20" i="81"/>
  <c r="P24" i="81" s="1"/>
  <c r="P54" i="81" s="1"/>
  <c r="V20" i="81"/>
  <c r="V24" i="81" s="1"/>
  <c r="V54" i="81" s="1"/>
  <c r="W20" i="81"/>
  <c r="W24" i="81" s="1"/>
  <c r="W54" i="81" s="1"/>
  <c r="O20" i="81"/>
  <c r="O24" i="81" s="1"/>
  <c r="O54" i="81" s="1"/>
  <c r="R20" i="81"/>
  <c r="R24" i="81" s="1"/>
  <c r="R54" i="81" s="1"/>
  <c r="T20" i="81"/>
  <c r="T24" i="81" s="1"/>
  <c r="T54" i="81" s="1"/>
  <c r="J24" i="81"/>
  <c r="J54" i="81" s="1"/>
  <c r="T20" i="89"/>
  <c r="T24" i="89" s="1"/>
  <c r="T54" i="89" s="1"/>
  <c r="P20" i="89"/>
  <c r="P24" i="89" s="1"/>
  <c r="P54" i="89" s="1"/>
  <c r="Q20" i="89"/>
  <c r="Q24" i="89" s="1"/>
  <c r="Q54" i="89" s="1"/>
  <c r="R20" i="89"/>
  <c r="R24" i="89" s="1"/>
  <c r="R54" i="89" s="1"/>
  <c r="U20" i="89"/>
  <c r="U24" i="89" s="1"/>
  <c r="U54" i="89" s="1"/>
  <c r="N20" i="89"/>
  <c r="N24" i="89" s="1"/>
  <c r="N54" i="89" s="1"/>
  <c r="V20" i="89"/>
  <c r="V24" i="89" s="1"/>
  <c r="V54" i="89" s="1"/>
  <c r="O20" i="89"/>
  <c r="O24" i="89" s="1"/>
  <c r="O54" i="89" s="1"/>
  <c r="S20" i="89"/>
  <c r="S24" i="89" s="1"/>
  <c r="S54" i="89" s="1"/>
  <c r="J24" i="89"/>
  <c r="J54" i="89" s="1"/>
  <c r="P20" i="87"/>
  <c r="P24" i="87" s="1"/>
  <c r="P54" i="87" s="1"/>
  <c r="BG24" i="87"/>
  <c r="U20" i="87"/>
  <c r="U24" i="87" s="1"/>
  <c r="U54" i="87" s="1"/>
  <c r="BL24" i="87"/>
  <c r="T20" i="87"/>
  <c r="T24" i="87" s="1"/>
  <c r="T54" i="87" s="1"/>
  <c r="BK24" i="87"/>
  <c r="X20" i="83"/>
  <c r="X24" i="83" s="1"/>
  <c r="X54" i="83" s="1"/>
  <c r="S20" i="83"/>
  <c r="S24" i="83" s="1"/>
  <c r="S54" i="83" s="1"/>
  <c r="W20" i="83"/>
  <c r="W24" i="83" s="1"/>
  <c r="W54" i="83" s="1"/>
  <c r="V20" i="83"/>
  <c r="V24" i="83" s="1"/>
  <c r="V54" i="83" s="1"/>
  <c r="Y20" i="83"/>
  <c r="Y24" i="83" s="1"/>
  <c r="Y54" i="83" s="1"/>
  <c r="R20" i="83"/>
  <c r="R24" i="83" s="1"/>
  <c r="R54" i="83" s="1"/>
  <c r="AA20" i="83"/>
  <c r="AA24" i="83" s="1"/>
  <c r="AA54" i="83" s="1"/>
  <c r="Z20" i="83"/>
  <c r="Z24" i="83" s="1"/>
  <c r="Z54" i="83" s="1"/>
  <c r="U20" i="83"/>
  <c r="U24" i="83" s="1"/>
  <c r="U54" i="83" s="1"/>
  <c r="T20" i="83"/>
  <c r="T24" i="83" s="1"/>
  <c r="T54" i="83" s="1"/>
  <c r="N20" i="83"/>
  <c r="N24" i="83" s="1"/>
  <c r="N54" i="83" s="1"/>
  <c r="P20" i="83"/>
  <c r="P24" i="83" s="1"/>
  <c r="P54" i="83" s="1"/>
  <c r="Q20" i="83"/>
  <c r="Q24" i="83" s="1"/>
  <c r="Q54" i="83" s="1"/>
  <c r="O20" i="83"/>
  <c r="O24" i="83" s="1"/>
  <c r="O54" i="83" s="1"/>
  <c r="J24" i="83"/>
  <c r="J54" i="83" s="1"/>
  <c r="S20" i="87"/>
  <c r="S24" i="87" s="1"/>
  <c r="S54" i="87" s="1"/>
  <c r="BJ24" i="87"/>
  <c r="R20" i="87"/>
  <c r="R24" i="87" s="1"/>
  <c r="R54" i="87" s="1"/>
  <c r="BI24" i="87"/>
  <c r="H52" i="52" l="1"/>
  <c r="AL47" i="12" l="1"/>
  <c r="AL49" i="12" s="1"/>
  <c r="AH47" i="12"/>
  <c r="AH49" i="12" s="1"/>
  <c r="AJ47" i="12"/>
  <c r="AJ49" i="12" s="1"/>
  <c r="AD47" i="12"/>
  <c r="AD49" i="12" s="1"/>
  <c r="AR47" i="12"/>
  <c r="AT47" i="12"/>
  <c r="AT49" i="12" s="1"/>
  <c r="AV47" i="12"/>
  <c r="AV49" i="12" s="1"/>
  <c r="AR49" i="12"/>
  <c r="D61" i="12"/>
  <c r="D61" i="2"/>
  <c r="F62" i="2" s="1"/>
  <c r="J62" i="2"/>
  <c r="T159" i="1" s="1"/>
  <c r="F159" i="5" s="1"/>
  <c r="L159" i="5" s="1"/>
  <c r="L62" i="2"/>
  <c r="V159" i="1" s="1"/>
  <c r="H62" i="2"/>
  <c r="R159" i="1" s="1"/>
  <c r="X64" i="10"/>
  <c r="X66" i="10" s="1"/>
  <c r="L56" i="10" s="1"/>
  <c r="R64" i="10"/>
  <c r="R66" i="10" s="1"/>
  <c r="F56" i="10" s="1"/>
  <c r="D71" i="10"/>
  <c r="F72" i="10" s="1"/>
  <c r="H72" i="10"/>
  <c r="L104" i="4"/>
  <c r="L110" i="4"/>
  <c r="BE11" i="86"/>
  <c r="BE12" i="86"/>
  <c r="BH12" i="86"/>
  <c r="BI12" i="86"/>
  <c r="BJ12" i="86"/>
  <c r="BE13" i="86"/>
  <c r="BH13" i="86"/>
  <c r="BJ13" i="86"/>
  <c r="BK13" i="86"/>
  <c r="BL13" i="86"/>
  <c r="BE15" i="86"/>
  <c r="BG15" i="86"/>
  <c r="BH15" i="86"/>
  <c r="BE16" i="86"/>
  <c r="BH16" i="86"/>
  <c r="BI16" i="86"/>
  <c r="BJ16" i="86"/>
  <c r="BE21" i="86"/>
  <c r="BG21" i="62"/>
  <c r="BG21" i="86" s="1"/>
  <c r="BH21" i="62"/>
  <c r="BH21" i="86" s="1"/>
  <c r="BE22" i="86"/>
  <c r="BH22" i="86"/>
  <c r="BI22" i="86"/>
  <c r="BJ22" i="86"/>
  <c r="BE23" i="86"/>
  <c r="BH23" i="86"/>
  <c r="BJ23" i="86"/>
  <c r="BK23" i="86"/>
  <c r="BL23" i="86"/>
  <c r="BE24" i="62"/>
  <c r="BE28" i="86"/>
  <c r="BH28" i="86"/>
  <c r="BI28" i="86"/>
  <c r="BJ28" i="86"/>
  <c r="BE29" i="86"/>
  <c r="BH29" i="86"/>
  <c r="BJ29" i="86"/>
  <c r="BK29" i="86"/>
  <c r="BL29" i="86"/>
  <c r="BL30" i="86"/>
  <c r="BG31" i="86"/>
  <c r="BH31" i="86"/>
  <c r="BE32" i="86"/>
  <c r="BH32" i="86"/>
  <c r="BI32" i="86"/>
  <c r="BJ32" i="86"/>
  <c r="BE33" i="86"/>
  <c r="BH33" i="62"/>
  <c r="BH33" i="86" s="1"/>
  <c r="BJ33" i="62"/>
  <c r="BJ33" i="86" s="1"/>
  <c r="BK33" i="62"/>
  <c r="BK33" i="86" s="1"/>
  <c r="BL33" i="62"/>
  <c r="BL33" i="86" s="1"/>
  <c r="D37" i="11"/>
  <c r="D73" i="11"/>
  <c r="AB159" i="5" l="1"/>
  <c r="P159" i="5"/>
  <c r="R159" i="5"/>
  <c r="T159" i="5"/>
  <c r="F38" i="11"/>
  <c r="H38" i="11"/>
  <c r="J38" i="11"/>
  <c r="L38" i="11"/>
  <c r="V159" i="5" s="1"/>
  <c r="N38" i="11"/>
  <c r="X159" i="5" s="1"/>
  <c r="H68" i="11"/>
  <c r="F65" i="11"/>
  <c r="F68" i="11"/>
  <c r="R38" i="11"/>
  <c r="J74" i="11"/>
  <c r="L74" i="11"/>
  <c r="F74" i="11"/>
  <c r="N74" i="11"/>
  <c r="H74" i="11"/>
  <c r="P74" i="11"/>
  <c r="R74" i="11"/>
  <c r="P38" i="11"/>
  <c r="Z159" i="5" s="1"/>
  <c r="D67" i="11"/>
  <c r="D64" i="11"/>
  <c r="BG27" i="86"/>
  <c r="BH11" i="86"/>
  <c r="BH17" i="62"/>
  <c r="BH27" i="86"/>
  <c r="BG11" i="86"/>
  <c r="BE20" i="86"/>
  <c r="BE24" i="86" s="1"/>
  <c r="BE27" i="86"/>
  <c r="BE14" i="86"/>
  <c r="BE17" i="86" s="1"/>
  <c r="BG14" i="62"/>
  <c r="BG14" i="86" s="1"/>
  <c r="BH14" i="62"/>
  <c r="BH14" i="86" s="1"/>
  <c r="BE17" i="62"/>
  <c r="BI14" i="62"/>
  <c r="BI14" i="86" s="1"/>
  <c r="BJ14" i="62"/>
  <c r="BJ14" i="86" s="1"/>
  <c r="BK14" i="62"/>
  <c r="BK14" i="86" s="1"/>
  <c r="BL14" i="62"/>
  <c r="BL14" i="86" s="1"/>
  <c r="BE30" i="86"/>
  <c r="BG30" i="86"/>
  <c r="BH30" i="86"/>
  <c r="BI30" i="86"/>
  <c r="BJ30" i="86"/>
  <c r="BK30" i="86"/>
  <c r="BE34" i="62"/>
  <c r="BE31" i="86"/>
  <c r="BI31" i="86"/>
  <c r="BJ31" i="86"/>
  <c r="BK31" i="86"/>
  <c r="BL31" i="86"/>
  <c r="BI33" i="62"/>
  <c r="BI33" i="86" s="1"/>
  <c r="BG32" i="86"/>
  <c r="BI29" i="86"/>
  <c r="BG28" i="86"/>
  <c r="BI23" i="86"/>
  <c r="BG22" i="86"/>
  <c r="BG16" i="86"/>
  <c r="BI13" i="86"/>
  <c r="BG12" i="86"/>
  <c r="BL21" i="62"/>
  <c r="BL21" i="86" s="1"/>
  <c r="BL15" i="86"/>
  <c r="BG33" i="62"/>
  <c r="BG33" i="86" s="1"/>
  <c r="BG29" i="86"/>
  <c r="BG23" i="86"/>
  <c r="BK21" i="62"/>
  <c r="BK21" i="86" s="1"/>
  <c r="BK15" i="86"/>
  <c r="BG13" i="86"/>
  <c r="BL32" i="86"/>
  <c r="BL28" i="86"/>
  <c r="BL22" i="86"/>
  <c r="BJ21" i="62"/>
  <c r="BJ21" i="86" s="1"/>
  <c r="BL16" i="86"/>
  <c r="BJ15" i="86"/>
  <c r="BL12" i="86"/>
  <c r="BK32" i="86"/>
  <c r="BK28" i="86"/>
  <c r="BK22" i="86"/>
  <c r="BI21" i="62"/>
  <c r="BI21" i="86" s="1"/>
  <c r="BK16" i="86"/>
  <c r="BI15" i="86"/>
  <c r="BK12" i="86"/>
  <c r="D19" i="14"/>
  <c r="F159" i="4"/>
  <c r="V64" i="10"/>
  <c r="V66" i="10" s="1"/>
  <c r="J56" i="10" s="1"/>
  <c r="F159" i="7"/>
  <c r="T64" i="10"/>
  <c r="T66" i="10" s="1"/>
  <c r="H56" i="10" s="1"/>
  <c r="D56" i="10" s="1"/>
  <c r="L66" i="10"/>
  <c r="P159" i="1"/>
  <c r="D62" i="2"/>
  <c r="L89" i="2"/>
  <c r="L53" i="2"/>
  <c r="L72" i="10"/>
  <c r="H66" i="10"/>
  <c r="J89" i="2"/>
  <c r="J53" i="2"/>
  <c r="J72" i="10"/>
  <c r="D72" i="10" s="1"/>
  <c r="H89" i="2"/>
  <c r="P62" i="12"/>
  <c r="R62" i="12"/>
  <c r="T62" i="12"/>
  <c r="F62" i="12"/>
  <c r="V62" i="12"/>
  <c r="H62" i="12"/>
  <c r="X62" i="12"/>
  <c r="D100" i="2"/>
  <c r="H53" i="2"/>
  <c r="D91" i="2"/>
  <c r="F92" i="2" s="1"/>
  <c r="D52" i="2"/>
  <c r="F53" i="2" s="1"/>
  <c r="D65" i="10"/>
  <c r="J66" i="10" s="1"/>
  <c r="D88" i="2"/>
  <c r="F89" i="2" s="1"/>
  <c r="N62" i="12"/>
  <c r="L62" i="12"/>
  <c r="J62" i="12"/>
  <c r="AF47" i="12"/>
  <c r="AF49" i="12" s="1"/>
  <c r="AP47" i="12"/>
  <c r="AP49" i="12" s="1"/>
  <c r="AN47" i="12"/>
  <c r="AN49" i="12" s="1"/>
  <c r="BH17" i="86" l="1"/>
  <c r="P84" i="1"/>
  <c r="P88" i="1"/>
  <c r="P86" i="1"/>
  <c r="P85" i="1"/>
  <c r="D89" i="2"/>
  <c r="L57" i="10"/>
  <c r="F57" i="10"/>
  <c r="X159" i="1"/>
  <c r="F159" i="13"/>
  <c r="F20" i="14"/>
  <c r="J20" i="14"/>
  <c r="T172" i="13" s="1"/>
  <c r="T178" i="13" s="1"/>
  <c r="N20" i="14"/>
  <c r="X172" i="13" s="1"/>
  <c r="X178" i="13" s="1"/>
  <c r="P20" i="14"/>
  <c r="Z172" i="13" s="1"/>
  <c r="Z178" i="13" s="1"/>
  <c r="BH20" i="86"/>
  <c r="BH24" i="86" s="1"/>
  <c r="BH24" i="62"/>
  <c r="BJ27" i="86"/>
  <c r="BJ34" i="86" s="1"/>
  <c r="BJ34" i="62"/>
  <c r="J101" i="2"/>
  <c r="T108" i="1" s="1"/>
  <c r="L101" i="2"/>
  <c r="V108" i="1" s="1"/>
  <c r="R85" i="1"/>
  <c r="F85" i="4" s="1"/>
  <c r="R84" i="1"/>
  <c r="R88" i="1"/>
  <c r="F88" i="4" s="1"/>
  <c r="R86" i="1"/>
  <c r="F86" i="4" s="1"/>
  <c r="BI27" i="86"/>
  <c r="BI34" i="86" s="1"/>
  <c r="BI34" i="62"/>
  <c r="BG34" i="62"/>
  <c r="AD159" i="5"/>
  <c r="AF159" i="5" s="1"/>
  <c r="BK27" i="86"/>
  <c r="BK34" i="86" s="1"/>
  <c r="BK34" i="62"/>
  <c r="BG20" i="86"/>
  <c r="BG24" i="86" s="1"/>
  <c r="BG24" i="62"/>
  <c r="P145" i="5"/>
  <c r="H101" i="2"/>
  <c r="R108" i="1" s="1"/>
  <c r="H92" i="2"/>
  <c r="R160" i="1" s="1"/>
  <c r="L92" i="2"/>
  <c r="V160" i="1" s="1"/>
  <c r="BE34" i="86"/>
  <c r="BG17" i="62"/>
  <c r="BG34" i="86"/>
  <c r="D74" i="11"/>
  <c r="H57" i="10"/>
  <c r="BL20" i="86"/>
  <c r="BL24" i="86" s="1"/>
  <c r="BL24" i="62"/>
  <c r="BG17" i="86"/>
  <c r="J65" i="11"/>
  <c r="T145" i="5" s="1"/>
  <c r="L65" i="11"/>
  <c r="V145" i="5" s="1"/>
  <c r="N65" i="11"/>
  <c r="X145" i="5" s="1"/>
  <c r="P65" i="11"/>
  <c r="Z145" i="5" s="1"/>
  <c r="R65" i="11"/>
  <c r="AB145" i="5" s="1"/>
  <c r="J57" i="10"/>
  <c r="R55" i="1"/>
  <c r="R103" i="1"/>
  <c r="R33" i="1"/>
  <c r="T85" i="1"/>
  <c r="F85" i="5" s="1"/>
  <c r="T84" i="1"/>
  <c r="T88" i="1"/>
  <c r="F88" i="5" s="1"/>
  <c r="T86" i="1"/>
  <c r="F86" i="5" s="1"/>
  <c r="L159" i="4"/>
  <c r="L20" i="14"/>
  <c r="V172" i="13" s="1"/>
  <c r="V33" i="1"/>
  <c r="V55" i="1"/>
  <c r="V103" i="1"/>
  <c r="V86" i="1"/>
  <c r="F86" i="7" s="1"/>
  <c r="V85" i="1"/>
  <c r="F85" i="7" s="1"/>
  <c r="V84" i="1"/>
  <c r="V88" i="1"/>
  <c r="F88" i="7" s="1"/>
  <c r="BK20" i="86"/>
  <c r="BK24" i="86" s="1"/>
  <c r="BK24" i="62"/>
  <c r="BH34" i="62"/>
  <c r="J68" i="11"/>
  <c r="D68" i="11" s="1"/>
  <c r="L68" i="11"/>
  <c r="N68" i="11"/>
  <c r="P68" i="11"/>
  <c r="R68" i="11"/>
  <c r="F101" i="2"/>
  <c r="D62" i="12"/>
  <c r="F66" i="10"/>
  <c r="D66" i="10" s="1"/>
  <c r="L159" i="7"/>
  <c r="BL11" i="86"/>
  <c r="BL17" i="86" s="1"/>
  <c r="BL17" i="62"/>
  <c r="BJ20" i="86"/>
  <c r="BJ24" i="86" s="1"/>
  <c r="BJ24" i="62"/>
  <c r="BH34" i="86"/>
  <c r="H65" i="11"/>
  <c r="R145" i="5" s="1"/>
  <c r="P160" i="1"/>
  <c r="P162" i="1" s="1"/>
  <c r="T55" i="1"/>
  <c r="T103" i="1"/>
  <c r="T33" i="1"/>
  <c r="H20" i="14"/>
  <c r="R172" i="13" s="1"/>
  <c r="R178" i="13" s="1"/>
  <c r="P55" i="1"/>
  <c r="P103" i="1"/>
  <c r="P33" i="1"/>
  <c r="D53" i="2"/>
  <c r="J92" i="2"/>
  <c r="T160" i="1" s="1"/>
  <c r="BI11" i="86"/>
  <c r="BI17" i="86" s="1"/>
  <c r="BI17" i="62"/>
  <c r="BJ11" i="86"/>
  <c r="BJ17" i="86" s="1"/>
  <c r="BJ17" i="62"/>
  <c r="BK11" i="86"/>
  <c r="BK17" i="86" s="1"/>
  <c r="BK17" i="62"/>
  <c r="BL27" i="86"/>
  <c r="BL34" i="86" s="1"/>
  <c r="BL34" i="62"/>
  <c r="BI20" i="86"/>
  <c r="BI24" i="86" s="1"/>
  <c r="BI24" i="62"/>
  <c r="D38" i="11"/>
  <c r="L85" i="5" l="1"/>
  <c r="L88" i="4"/>
  <c r="T35" i="1"/>
  <c r="T77" i="1"/>
  <c r="F33" i="5"/>
  <c r="P108" i="1"/>
  <c r="D101" i="2"/>
  <c r="V178" i="13"/>
  <c r="H14" i="52"/>
  <c r="R35" i="1"/>
  <c r="R77" i="1"/>
  <c r="R79" i="1" s="1"/>
  <c r="F33" i="4"/>
  <c r="AP145" i="5"/>
  <c r="R89" i="1"/>
  <c r="F84" i="4"/>
  <c r="D57" i="10"/>
  <c r="L88" i="7"/>
  <c r="R104" i="1"/>
  <c r="F103" i="4"/>
  <c r="F160" i="7"/>
  <c r="V162" i="1"/>
  <c r="L85" i="4"/>
  <c r="F33" i="7"/>
  <c r="V77" i="1"/>
  <c r="V35" i="1"/>
  <c r="F160" i="5"/>
  <c r="T162" i="1"/>
  <c r="T57" i="1"/>
  <c r="F55" i="5"/>
  <c r="F84" i="7"/>
  <c r="V89" i="1"/>
  <c r="R57" i="1"/>
  <c r="F55" i="4"/>
  <c r="F160" i="4"/>
  <c r="R162" i="1"/>
  <c r="V110" i="1"/>
  <c r="F108" i="7"/>
  <c r="D92" i="2"/>
  <c r="L85" i="7"/>
  <c r="R110" i="1"/>
  <c r="F108" i="4"/>
  <c r="T110" i="1"/>
  <c r="F108" i="5"/>
  <c r="X85" i="1"/>
  <c r="Z85" i="1" s="1"/>
  <c r="F85" i="13"/>
  <c r="X33" i="1"/>
  <c r="P35" i="1"/>
  <c r="P77" i="1"/>
  <c r="F33" i="13"/>
  <c r="X160" i="1"/>
  <c r="Z160" i="1" s="1"/>
  <c r="F160" i="13"/>
  <c r="F162" i="13" s="1"/>
  <c r="L86" i="7"/>
  <c r="L86" i="5"/>
  <c r="AX145" i="5"/>
  <c r="D65" i="11"/>
  <c r="D20" i="14"/>
  <c r="P172" i="13"/>
  <c r="X86" i="1"/>
  <c r="Z86" i="1" s="1"/>
  <c r="F86" i="13"/>
  <c r="T104" i="1"/>
  <c r="F103" i="5"/>
  <c r="P104" i="1"/>
  <c r="X103" i="1"/>
  <c r="F103" i="13"/>
  <c r="AN145" i="5"/>
  <c r="V104" i="1"/>
  <c r="F103" i="7"/>
  <c r="L88" i="5"/>
  <c r="AV145" i="5"/>
  <c r="AL145" i="5"/>
  <c r="AD145" i="5"/>
  <c r="L159" i="13"/>
  <c r="X88" i="1"/>
  <c r="Z88" i="1" s="1"/>
  <c r="F88" i="13"/>
  <c r="AR145" i="5"/>
  <c r="X55" i="1"/>
  <c r="P57" i="1"/>
  <c r="F55" i="13"/>
  <c r="V57" i="1"/>
  <c r="F55" i="7"/>
  <c r="T89" i="1"/>
  <c r="F84" i="5"/>
  <c r="AT145" i="5"/>
  <c r="L86" i="4"/>
  <c r="Z159" i="1"/>
  <c r="P89" i="1"/>
  <c r="X84" i="1"/>
  <c r="F84" i="13"/>
  <c r="X162" i="1" l="1"/>
  <c r="R92" i="1"/>
  <c r="R97" i="1" s="1"/>
  <c r="AF145" i="5"/>
  <c r="F89" i="13"/>
  <c r="L84" i="13"/>
  <c r="L33" i="13"/>
  <c r="F35" i="13"/>
  <c r="F35" i="5"/>
  <c r="L33" i="5"/>
  <c r="X89" i="1"/>
  <c r="Z89" i="1" s="1"/>
  <c r="Z84" i="1"/>
  <c r="L84" i="5"/>
  <c r="F89" i="5"/>
  <c r="AZ145" i="5"/>
  <c r="AB172" i="13"/>
  <c r="P178" i="13"/>
  <c r="AB86" i="7"/>
  <c r="AD86" i="7"/>
  <c r="P86" i="7"/>
  <c r="AF86" i="7"/>
  <c r="F86" i="50" s="1"/>
  <c r="L86" i="50" s="1"/>
  <c r="R86" i="7"/>
  <c r="AH86" i="7"/>
  <c r="T86" i="7"/>
  <c r="V86" i="7"/>
  <c r="X86" i="7"/>
  <c r="Z86" i="7"/>
  <c r="X77" i="1"/>
  <c r="P79" i="1"/>
  <c r="P92" i="1" s="1"/>
  <c r="P97" i="1" s="1"/>
  <c r="F77" i="13"/>
  <c r="AH162" i="1"/>
  <c r="AC160" i="4"/>
  <c r="F162" i="5"/>
  <c r="L160" i="5"/>
  <c r="L160" i="7"/>
  <c r="F162" i="7"/>
  <c r="F77" i="4"/>
  <c r="F35" i="4"/>
  <c r="L33" i="4"/>
  <c r="T79" i="1"/>
  <c r="T92" i="1" s="1"/>
  <c r="T97" i="1" s="1"/>
  <c r="T164" i="1" s="1"/>
  <c r="T180" i="1" s="1"/>
  <c r="F77" i="5"/>
  <c r="L88" i="13"/>
  <c r="L103" i="13"/>
  <c r="F104" i="13"/>
  <c r="F57" i="4"/>
  <c r="L55" i="4"/>
  <c r="AJ162" i="1"/>
  <c r="AI160" i="5"/>
  <c r="AO160" i="7"/>
  <c r="AL162" i="1"/>
  <c r="P88" i="7"/>
  <c r="AF88" i="7"/>
  <c r="F88" i="50" s="1"/>
  <c r="L88" i="50" s="1"/>
  <c r="R88" i="7"/>
  <c r="AH88" i="7"/>
  <c r="T88" i="7"/>
  <c r="V88" i="7"/>
  <c r="X88" i="7"/>
  <c r="Z88" i="7"/>
  <c r="AB88" i="7"/>
  <c r="AD88" i="7"/>
  <c r="Z162" i="1"/>
  <c r="F57" i="7"/>
  <c r="L55" i="7"/>
  <c r="Z103" i="1"/>
  <c r="X104" i="1"/>
  <c r="Z104" i="1" s="1"/>
  <c r="Z33" i="1"/>
  <c r="X35" i="1"/>
  <c r="Z35" i="1" s="1"/>
  <c r="X85" i="7"/>
  <c r="Z85" i="7"/>
  <c r="AB85" i="7"/>
  <c r="AD85" i="7"/>
  <c r="P85" i="7"/>
  <c r="AF85" i="7"/>
  <c r="F85" i="50" s="1"/>
  <c r="L85" i="50" s="1"/>
  <c r="R85" i="7"/>
  <c r="AH85" i="7"/>
  <c r="T85" i="7"/>
  <c r="V85" i="7"/>
  <c r="L103" i="4"/>
  <c r="X57" i="1"/>
  <c r="Z57" i="1" s="1"/>
  <c r="Z55" i="1"/>
  <c r="L85" i="13"/>
  <c r="F77" i="7"/>
  <c r="V79" i="1"/>
  <c r="V92" i="1" s="1"/>
  <c r="V97" i="1" s="1"/>
  <c r="V164" i="1" s="1"/>
  <c r="V180" i="1" s="1"/>
  <c r="H17" i="52"/>
  <c r="Q14" i="52"/>
  <c r="S14" i="52"/>
  <c r="D14" i="56" s="1"/>
  <c r="F14" i="61"/>
  <c r="F17" i="61" s="1"/>
  <c r="R14" i="52"/>
  <c r="T14" i="52"/>
  <c r="F14" i="88" s="1"/>
  <c r="P14" i="52"/>
  <c r="D14" i="54" s="1"/>
  <c r="L55" i="13"/>
  <c r="F57" i="13"/>
  <c r="AB88" i="5"/>
  <c r="P88" i="5"/>
  <c r="R88" i="5"/>
  <c r="Z88" i="5"/>
  <c r="T88" i="5"/>
  <c r="X88" i="5"/>
  <c r="V88" i="5"/>
  <c r="F104" i="5"/>
  <c r="L103" i="5"/>
  <c r="L160" i="13"/>
  <c r="L162" i="13" s="1"/>
  <c r="F110" i="7"/>
  <c r="L108" i="7"/>
  <c r="F89" i="7"/>
  <c r="L84" i="7"/>
  <c r="L33" i="7"/>
  <c r="F35" i="7"/>
  <c r="F89" i="4"/>
  <c r="L84" i="4"/>
  <c r="P88" i="4"/>
  <c r="R88" i="4"/>
  <c r="T88" i="4"/>
  <c r="V88" i="4"/>
  <c r="L108" i="4"/>
  <c r="L160" i="4"/>
  <c r="F162" i="4"/>
  <c r="P86" i="4"/>
  <c r="R86" i="4"/>
  <c r="T86" i="4"/>
  <c r="V86" i="4"/>
  <c r="Z159" i="13"/>
  <c r="P159" i="13"/>
  <c r="R159" i="13"/>
  <c r="T159" i="13"/>
  <c r="X159" i="13"/>
  <c r="V159" i="13"/>
  <c r="F104" i="7"/>
  <c r="L103" i="7"/>
  <c r="AF162" i="1"/>
  <c r="AN160" i="1"/>
  <c r="AN162" i="1" s="1"/>
  <c r="L108" i="5"/>
  <c r="F110" i="5"/>
  <c r="L55" i="5"/>
  <c r="F57" i="5"/>
  <c r="L86" i="13"/>
  <c r="R86" i="5"/>
  <c r="T86" i="5"/>
  <c r="P86" i="5"/>
  <c r="V86" i="5"/>
  <c r="X86" i="5"/>
  <c r="Z86" i="5"/>
  <c r="AB86" i="5"/>
  <c r="R164" i="1"/>
  <c r="R180" i="1" s="1"/>
  <c r="P85" i="4"/>
  <c r="R85" i="4"/>
  <c r="T85" i="4"/>
  <c r="V85" i="4"/>
  <c r="X108" i="1"/>
  <c r="P110" i="1"/>
  <c r="F108" i="13"/>
  <c r="X85" i="5"/>
  <c r="Z85" i="5"/>
  <c r="AB85" i="5"/>
  <c r="V85" i="5"/>
  <c r="P85" i="5"/>
  <c r="R85" i="5"/>
  <c r="T85" i="5"/>
  <c r="P164" i="1" l="1"/>
  <c r="P180" i="1" s="1"/>
  <c r="AJ85" i="7"/>
  <c r="AL85" i="7" s="1"/>
  <c r="AD86" i="5"/>
  <c r="AF86" i="5" s="1"/>
  <c r="X88" i="4"/>
  <c r="Z88" i="4" s="1"/>
  <c r="P160" i="4"/>
  <c r="V160" i="4"/>
  <c r="R160" i="4"/>
  <c r="T160" i="4"/>
  <c r="L162" i="4"/>
  <c r="AB33" i="7"/>
  <c r="AD33" i="7"/>
  <c r="P33" i="7"/>
  <c r="AF33" i="7"/>
  <c r="R33" i="7"/>
  <c r="AH33" i="7"/>
  <c r="T33" i="7"/>
  <c r="V33" i="7"/>
  <c r="X33" i="7"/>
  <c r="Z33" i="7"/>
  <c r="L35" i="7"/>
  <c r="V160" i="13"/>
  <c r="V162" i="13" s="1"/>
  <c r="X160" i="13"/>
  <c r="X162" i="13" s="1"/>
  <c r="Z160" i="13"/>
  <c r="Z162" i="13" s="1"/>
  <c r="P160" i="13"/>
  <c r="R160" i="13"/>
  <c r="R162" i="13" s="1"/>
  <c r="T160" i="13"/>
  <c r="D14" i="82"/>
  <c r="J14" i="82" s="1"/>
  <c r="J14" i="54"/>
  <c r="L77" i="7"/>
  <c r="L79" i="7" s="1"/>
  <c r="F79" i="7"/>
  <c r="V33" i="4"/>
  <c r="L35" i="4"/>
  <c r="P33" i="4"/>
  <c r="R33" i="4"/>
  <c r="T33" i="4"/>
  <c r="P103" i="7"/>
  <c r="AF103" i="7"/>
  <c r="R103" i="7"/>
  <c r="R104" i="7" s="1"/>
  <c r="AH103" i="7"/>
  <c r="AH104" i="7" s="1"/>
  <c r="T103" i="7"/>
  <c r="T104" i="7" s="1"/>
  <c r="V103" i="7"/>
  <c r="V104" i="7" s="1"/>
  <c r="X103" i="7"/>
  <c r="X104" i="7" s="1"/>
  <c r="Z103" i="7"/>
  <c r="Z104" i="7" s="1"/>
  <c r="L104" i="7"/>
  <c r="AB103" i="7"/>
  <c r="AB104" i="7" s="1"/>
  <c r="AD103" i="7"/>
  <c r="AD104" i="7" s="1"/>
  <c r="AB159" i="13"/>
  <c r="T84" i="7"/>
  <c r="T89" i="7" s="1"/>
  <c r="V84" i="7"/>
  <c r="V89" i="7" s="1"/>
  <c r="X84" i="7"/>
  <c r="X89" i="7" s="1"/>
  <c r="Z84" i="7"/>
  <c r="Z89" i="7" s="1"/>
  <c r="AB84" i="7"/>
  <c r="AB89" i="7" s="1"/>
  <c r="AD84" i="7"/>
  <c r="AD89" i="7" s="1"/>
  <c r="L89" i="7"/>
  <c r="P84" i="7"/>
  <c r="AF84" i="7"/>
  <c r="R84" i="7"/>
  <c r="R89" i="7" s="1"/>
  <c r="AH84" i="7"/>
  <c r="AH89" i="7" s="1"/>
  <c r="D14" i="90"/>
  <c r="J14" i="90" s="1"/>
  <c r="L14" i="88"/>
  <c r="AP160" i="7"/>
  <c r="AO162" i="7"/>
  <c r="Z103" i="13"/>
  <c r="Z104" i="13" s="1"/>
  <c r="P103" i="13"/>
  <c r="R103" i="13"/>
  <c r="R104" i="13" s="1"/>
  <c r="L104" i="13"/>
  <c r="T103" i="13"/>
  <c r="T104" i="13" s="1"/>
  <c r="V103" i="13"/>
  <c r="V104" i="13" s="1"/>
  <c r="X103" i="13"/>
  <c r="X104" i="13" s="1"/>
  <c r="AC162" i="4"/>
  <c r="AD160" i="4"/>
  <c r="P84" i="5"/>
  <c r="AB84" i="5"/>
  <c r="AB89" i="5" s="1"/>
  <c r="R84" i="5"/>
  <c r="R89" i="5" s="1"/>
  <c r="T84" i="5"/>
  <c r="T89" i="5" s="1"/>
  <c r="V84" i="5"/>
  <c r="V89" i="5" s="1"/>
  <c r="L89" i="5"/>
  <c r="Z84" i="5"/>
  <c r="Z89" i="5" s="1"/>
  <c r="X84" i="5"/>
  <c r="X89" i="5" s="1"/>
  <c r="P33" i="13"/>
  <c r="R33" i="13"/>
  <c r="L35" i="13"/>
  <c r="T33" i="13"/>
  <c r="V33" i="13"/>
  <c r="X33" i="13"/>
  <c r="Z33" i="13"/>
  <c r="P108" i="4"/>
  <c r="R108" i="4"/>
  <c r="R110" i="4" s="1"/>
  <c r="T108" i="4"/>
  <c r="T110" i="4" s="1"/>
  <c r="V108" i="4"/>
  <c r="V110" i="4" s="1"/>
  <c r="AD88" i="5"/>
  <c r="AF88" i="5" s="1"/>
  <c r="R85" i="13"/>
  <c r="T85" i="13"/>
  <c r="V85" i="13"/>
  <c r="X85" i="13"/>
  <c r="Z85" i="13"/>
  <c r="P85" i="13"/>
  <c r="P85" i="50"/>
  <c r="R85" i="50"/>
  <c r="T85" i="50"/>
  <c r="V85" i="50"/>
  <c r="AJ160" i="5"/>
  <c r="AI162" i="5"/>
  <c r="F79" i="4"/>
  <c r="L77" i="4"/>
  <c r="L79" i="4" s="1"/>
  <c r="AB178" i="13"/>
  <c r="AD178" i="13" s="1"/>
  <c r="AD172" i="13"/>
  <c r="L104" i="5"/>
  <c r="L77" i="13"/>
  <c r="L79" i="13" s="1"/>
  <c r="F79" i="13"/>
  <c r="V84" i="13"/>
  <c r="X84" i="13"/>
  <c r="Z84" i="13"/>
  <c r="L89" i="13"/>
  <c r="P84" i="13"/>
  <c r="R84" i="13"/>
  <c r="T84" i="13"/>
  <c r="P103" i="4"/>
  <c r="R103" i="4"/>
  <c r="R104" i="4" s="1"/>
  <c r="T103" i="4"/>
  <c r="T104" i="4" s="1"/>
  <c r="V103" i="4"/>
  <c r="V104" i="4" s="1"/>
  <c r="L57" i="4"/>
  <c r="P55" i="4"/>
  <c r="R55" i="4"/>
  <c r="R57" i="4" s="1"/>
  <c r="T55" i="4"/>
  <c r="T57" i="4" s="1"/>
  <c r="V55" i="4"/>
  <c r="V57" i="4" s="1"/>
  <c r="Z88" i="13"/>
  <c r="P88" i="13"/>
  <c r="R88" i="13"/>
  <c r="T88" i="13"/>
  <c r="V88" i="13"/>
  <c r="X88" i="13"/>
  <c r="T160" i="7"/>
  <c r="V160" i="7"/>
  <c r="X160" i="7"/>
  <c r="Z160" i="7"/>
  <c r="AB160" i="7"/>
  <c r="AD160" i="7"/>
  <c r="P160" i="7"/>
  <c r="AF160" i="7"/>
  <c r="R160" i="7"/>
  <c r="AH160" i="7"/>
  <c r="L162" i="7"/>
  <c r="X97" i="1"/>
  <c r="Z97" i="1" s="1"/>
  <c r="L35" i="5"/>
  <c r="L57" i="5"/>
  <c r="X85" i="4"/>
  <c r="Z85" i="4" s="1"/>
  <c r="L89" i="4"/>
  <c r="P84" i="4"/>
  <c r="R84" i="4"/>
  <c r="R89" i="4" s="1"/>
  <c r="T84" i="4"/>
  <c r="T89" i="4" s="1"/>
  <c r="V84" i="4"/>
  <c r="V89" i="4" s="1"/>
  <c r="L108" i="13"/>
  <c r="F110" i="13"/>
  <c r="X108" i="5"/>
  <c r="X110" i="5" s="1"/>
  <c r="Z108" i="5"/>
  <c r="Z110" i="5" s="1"/>
  <c r="V108" i="5"/>
  <c r="V110" i="5" s="1"/>
  <c r="AB108" i="5"/>
  <c r="AB110" i="5" s="1"/>
  <c r="P108" i="5"/>
  <c r="T108" i="5"/>
  <c r="T110" i="5" s="1"/>
  <c r="R108" i="5"/>
  <c r="R110" i="5" s="1"/>
  <c r="L110" i="5"/>
  <c r="X108" i="7"/>
  <c r="X110" i="7" s="1"/>
  <c r="Z108" i="7"/>
  <c r="Z110" i="7" s="1"/>
  <c r="L110" i="7"/>
  <c r="AB108" i="7"/>
  <c r="AB110" i="7" s="1"/>
  <c r="AD108" i="7"/>
  <c r="AD110" i="7" s="1"/>
  <c r="P108" i="7"/>
  <c r="AF108" i="7"/>
  <c r="R108" i="7"/>
  <c r="R110" i="7" s="1"/>
  <c r="AH108" i="7"/>
  <c r="AH110" i="7" s="1"/>
  <c r="T108" i="7"/>
  <c r="T110" i="7" s="1"/>
  <c r="V108" i="7"/>
  <c r="V110" i="7" s="1"/>
  <c r="F14" i="62"/>
  <c r="AU14" i="62"/>
  <c r="Z77" i="1"/>
  <c r="X79" i="1"/>
  <c r="P86" i="50"/>
  <c r="R86" i="50"/>
  <c r="T86" i="50"/>
  <c r="V86" i="50"/>
  <c r="D14" i="84"/>
  <c r="J14" i="84" s="1"/>
  <c r="J14" i="56"/>
  <c r="X110" i="1"/>
  <c r="Z110" i="1" s="1"/>
  <c r="Z108" i="1"/>
  <c r="P86" i="13"/>
  <c r="R86" i="13"/>
  <c r="T86" i="13"/>
  <c r="V86" i="13"/>
  <c r="X86" i="13"/>
  <c r="Z86" i="13"/>
  <c r="X86" i="4"/>
  <c r="Z86" i="4" s="1"/>
  <c r="V55" i="13"/>
  <c r="V57" i="13" s="1"/>
  <c r="X55" i="13"/>
  <c r="X57" i="13" s="1"/>
  <c r="Z55" i="13"/>
  <c r="Z57" i="13" s="1"/>
  <c r="P55" i="13"/>
  <c r="R55" i="13"/>
  <c r="R57" i="13" s="1"/>
  <c r="T55" i="13"/>
  <c r="T57" i="13" s="1"/>
  <c r="L57" i="13"/>
  <c r="P88" i="50"/>
  <c r="R88" i="50"/>
  <c r="T88" i="50"/>
  <c r="V88" i="50"/>
  <c r="L77" i="5"/>
  <c r="L79" i="5" s="1"/>
  <c r="F79" i="5"/>
  <c r="T160" i="5"/>
  <c r="T162" i="5" s="1"/>
  <c r="P160" i="5"/>
  <c r="V160" i="5"/>
  <c r="V162" i="5" s="1"/>
  <c r="X160" i="5"/>
  <c r="X162" i="5" s="1"/>
  <c r="R160" i="5"/>
  <c r="R162" i="5" s="1"/>
  <c r="Z160" i="5"/>
  <c r="Z162" i="5" s="1"/>
  <c r="AB160" i="5"/>
  <c r="AB162" i="5" s="1"/>
  <c r="L162" i="5"/>
  <c r="AJ86" i="7"/>
  <c r="AL86" i="7" s="1"/>
  <c r="AD85" i="5"/>
  <c r="AF85" i="5" s="1"/>
  <c r="T162" i="13"/>
  <c r="T55" i="7"/>
  <c r="T57" i="7" s="1"/>
  <c r="V55" i="7"/>
  <c r="V57" i="7" s="1"/>
  <c r="X55" i="7"/>
  <c r="X57" i="7" s="1"/>
  <c r="Z55" i="7"/>
  <c r="Z57" i="7" s="1"/>
  <c r="L57" i="7"/>
  <c r="AB55" i="7"/>
  <c r="AB57" i="7" s="1"/>
  <c r="AD55" i="7"/>
  <c r="AD57" i="7" s="1"/>
  <c r="P55" i="7"/>
  <c r="AF55" i="7"/>
  <c r="R55" i="7"/>
  <c r="R57" i="7" s="1"/>
  <c r="AH55" i="7"/>
  <c r="AH57" i="7" s="1"/>
  <c r="AJ88" i="7"/>
  <c r="AL88" i="7" s="1"/>
  <c r="L92" i="5" l="1"/>
  <c r="L97" i="5" s="1"/>
  <c r="L92" i="13"/>
  <c r="L97" i="13" s="1"/>
  <c r="AB86" i="13"/>
  <c r="AD86" i="13" s="1"/>
  <c r="L164" i="5"/>
  <c r="L180" i="5" s="1"/>
  <c r="F103" i="50"/>
  <c r="AF104" i="7"/>
  <c r="AJ41" i="11"/>
  <c r="R108" i="13"/>
  <c r="R110" i="13" s="1"/>
  <c r="L110" i="13"/>
  <c r="T108" i="13"/>
  <c r="T110" i="13" s="1"/>
  <c r="V108" i="13"/>
  <c r="V110" i="13" s="1"/>
  <c r="X108" i="13"/>
  <c r="X110" i="13" s="1"/>
  <c r="Z108" i="13"/>
  <c r="Z110" i="13" s="1"/>
  <c r="P108" i="13"/>
  <c r="AB88" i="13"/>
  <c r="AD88" i="13" s="1"/>
  <c r="X89" i="13"/>
  <c r="P14" i="90"/>
  <c r="Q14" i="90"/>
  <c r="R14" i="90"/>
  <c r="S14" i="90"/>
  <c r="T14" i="90"/>
  <c r="N14" i="90"/>
  <c r="V14" i="90"/>
  <c r="O14" i="90"/>
  <c r="U14" i="90"/>
  <c r="AJ103" i="7"/>
  <c r="P104" i="7"/>
  <c r="AB160" i="13"/>
  <c r="AD160" i="13" s="1"/>
  <c r="T35" i="7"/>
  <c r="T77" i="7"/>
  <c r="T79" i="7" s="1"/>
  <c r="T92" i="7" s="1"/>
  <c r="T97" i="7" s="1"/>
  <c r="F92" i="5"/>
  <c r="AH41" i="11"/>
  <c r="Z79" i="1"/>
  <c r="X92" i="1"/>
  <c r="Z92" i="1" s="1"/>
  <c r="V89" i="13"/>
  <c r="X108" i="4"/>
  <c r="Z108" i="4" s="1"/>
  <c r="P110" i="4"/>
  <c r="X110" i="4" s="1"/>
  <c r="Z110" i="4" s="1"/>
  <c r="R77" i="13"/>
  <c r="R79" i="13" s="1"/>
  <c r="R35" i="13"/>
  <c r="F92" i="7"/>
  <c r="AH35" i="7"/>
  <c r="AH77" i="7"/>
  <c r="AH79" i="7" s="1"/>
  <c r="AH92" i="7" s="1"/>
  <c r="AH97" i="7" s="1"/>
  <c r="T77" i="13"/>
  <c r="T79" i="13" s="1"/>
  <c r="T35" i="13"/>
  <c r="V35" i="7"/>
  <c r="V77" i="7"/>
  <c r="V79" i="7" s="1"/>
  <c r="V92" i="7" s="1"/>
  <c r="V97" i="7" s="1"/>
  <c r="Z41" i="11"/>
  <c r="X103" i="4"/>
  <c r="Z103" i="4" s="1"/>
  <c r="P104" i="4"/>
  <c r="X104" i="4" s="1"/>
  <c r="Z104" i="4" s="1"/>
  <c r="F92" i="13"/>
  <c r="L92" i="4"/>
  <c r="L97" i="4" s="1"/>
  <c r="L164" i="4" s="1"/>
  <c r="L180" i="4" s="1"/>
  <c r="P77" i="13"/>
  <c r="P35" i="13"/>
  <c r="AB33" i="13"/>
  <c r="AD84" i="5"/>
  <c r="P89" i="5"/>
  <c r="R35" i="7"/>
  <c r="R77" i="7"/>
  <c r="R79" i="7" s="1"/>
  <c r="R92" i="7" s="1"/>
  <c r="R97" i="7" s="1"/>
  <c r="V35" i="4"/>
  <c r="V77" i="4"/>
  <c r="V79" i="4" s="1"/>
  <c r="V92" i="4" s="1"/>
  <c r="V97" i="4" s="1"/>
  <c r="AF41" i="11"/>
  <c r="L164" i="13"/>
  <c r="L180" i="13" s="1"/>
  <c r="T89" i="13"/>
  <c r="F92" i="4"/>
  <c r="AL160" i="4"/>
  <c r="AL162" i="4" s="1"/>
  <c r="L59" i="10" s="1"/>
  <c r="AF160" i="4"/>
  <c r="AH160" i="4"/>
  <c r="AH162" i="4" s="1"/>
  <c r="H59" i="10" s="1"/>
  <c r="AJ160" i="4"/>
  <c r="AJ162" i="4" s="1"/>
  <c r="J59" i="10" s="1"/>
  <c r="AK160" i="4"/>
  <c r="AB103" i="13"/>
  <c r="P104" i="13"/>
  <c r="F84" i="50"/>
  <c r="AF89" i="7"/>
  <c r="T35" i="4"/>
  <c r="T77" i="4"/>
  <c r="T79" i="4" s="1"/>
  <c r="T92" i="4" s="1"/>
  <c r="T97" i="4" s="1"/>
  <c r="L92" i="7"/>
  <c r="L97" i="7" s="1"/>
  <c r="L164" i="7" s="1"/>
  <c r="L180" i="7" s="1"/>
  <c r="F33" i="50"/>
  <c r="AF35" i="7"/>
  <c r="AF77" i="7"/>
  <c r="X160" i="4"/>
  <c r="F14" i="86"/>
  <c r="L14" i="86" s="1"/>
  <c r="L14" i="62"/>
  <c r="Z89" i="13"/>
  <c r="N14" i="56"/>
  <c r="N14" i="84" s="1"/>
  <c r="V14" i="56"/>
  <c r="V14" i="84" s="1"/>
  <c r="O14" i="56"/>
  <c r="O14" i="84" s="1"/>
  <c r="W14" i="56"/>
  <c r="W14" i="84" s="1"/>
  <c r="P14" i="56"/>
  <c r="P14" i="84" s="1"/>
  <c r="X14" i="56"/>
  <c r="X14" i="84" s="1"/>
  <c r="R14" i="56"/>
  <c r="R14" i="84" s="1"/>
  <c r="Z14" i="56"/>
  <c r="Z14" i="84" s="1"/>
  <c r="U14" i="56"/>
  <c r="U14" i="84" s="1"/>
  <c r="Y14" i="56"/>
  <c r="Y14" i="84" s="1"/>
  <c r="AA14" i="56"/>
  <c r="AA14" i="84" s="1"/>
  <c r="Q14" i="56"/>
  <c r="Q14" i="84" s="1"/>
  <c r="S14" i="56"/>
  <c r="S14" i="84" s="1"/>
  <c r="T14" i="56"/>
  <c r="T14" i="84" s="1"/>
  <c r="F108" i="50"/>
  <c r="AF110" i="7"/>
  <c r="P89" i="4"/>
  <c r="X84" i="4"/>
  <c r="F160" i="50"/>
  <c r="R89" i="13"/>
  <c r="Z35" i="13"/>
  <c r="Z77" i="13"/>
  <c r="Z79" i="13" s="1"/>
  <c r="AJ84" i="7"/>
  <c r="P89" i="7"/>
  <c r="P162" i="13"/>
  <c r="R77" i="4"/>
  <c r="R79" i="4" s="1"/>
  <c r="R92" i="4" s="1"/>
  <c r="R97" i="4" s="1"/>
  <c r="AC92" i="4" s="1"/>
  <c r="AC93" i="4" s="1"/>
  <c r="H21" i="52" s="1"/>
  <c r="R35" i="4"/>
  <c r="O14" i="54"/>
  <c r="O14" i="82" s="1"/>
  <c r="W14" i="54"/>
  <c r="W14" i="82" s="1"/>
  <c r="P14" i="54"/>
  <c r="P14" i="82" s="1"/>
  <c r="Q14" i="54"/>
  <c r="Q14" i="82" s="1"/>
  <c r="R14" i="54"/>
  <c r="R14" i="82" s="1"/>
  <c r="S14" i="54"/>
  <c r="S14" i="82" s="1"/>
  <c r="T14" i="54"/>
  <c r="T14" i="82" s="1"/>
  <c r="U14" i="54"/>
  <c r="U14" i="82" s="1"/>
  <c r="N14" i="54"/>
  <c r="N14" i="82" s="1"/>
  <c r="V14" i="54"/>
  <c r="V14" i="82" s="1"/>
  <c r="P35" i="7"/>
  <c r="P77" i="7"/>
  <c r="AJ33" i="7"/>
  <c r="AD108" i="5"/>
  <c r="P110" i="5"/>
  <c r="AB55" i="13"/>
  <c r="P57" i="13"/>
  <c r="AD41" i="11"/>
  <c r="F55" i="50"/>
  <c r="AF57" i="7"/>
  <c r="AD160" i="5"/>
  <c r="P162" i="5"/>
  <c r="P110" i="7"/>
  <c r="AJ108" i="7"/>
  <c r="AJ160" i="7"/>
  <c r="AL160" i="7" s="1"/>
  <c r="X55" i="4"/>
  <c r="X57" i="4" s="1"/>
  <c r="Z57" i="4" s="1"/>
  <c r="P57" i="4"/>
  <c r="AB84" i="13"/>
  <c r="P89" i="13"/>
  <c r="AL160" i="5"/>
  <c r="AX160" i="5"/>
  <c r="AX162" i="5" s="1"/>
  <c r="AN160" i="5"/>
  <c r="AN162" i="5" s="1"/>
  <c r="AP160" i="5"/>
  <c r="AP162" i="5" s="1"/>
  <c r="AR160" i="5"/>
  <c r="AR162" i="5" s="1"/>
  <c r="AT160" i="5"/>
  <c r="AT162" i="5" s="1"/>
  <c r="AV160" i="5"/>
  <c r="AV162" i="5" s="1"/>
  <c r="X77" i="13"/>
  <c r="X79" i="13" s="1"/>
  <c r="X35" i="13"/>
  <c r="AB162" i="13"/>
  <c r="AD159" i="13"/>
  <c r="X33" i="4"/>
  <c r="X35" i="4" s="1"/>
  <c r="Z35" i="4" s="1"/>
  <c r="P77" i="4"/>
  <c r="P35" i="4"/>
  <c r="Z35" i="7"/>
  <c r="Z77" i="7"/>
  <c r="Z79" i="7" s="1"/>
  <c r="Z92" i="7" s="1"/>
  <c r="Z97" i="7" s="1"/>
  <c r="AD77" i="7"/>
  <c r="AD79" i="7" s="1"/>
  <c r="AD92" i="7" s="1"/>
  <c r="AD97" i="7" s="1"/>
  <c r="AD35" i="7"/>
  <c r="AJ55" i="7"/>
  <c r="P57" i="7"/>
  <c r="AB41" i="11"/>
  <c r="AU14" i="86"/>
  <c r="AX14" i="62"/>
  <c r="AY14" i="62"/>
  <c r="AZ14" i="62"/>
  <c r="BA14" i="62"/>
  <c r="X164" i="1"/>
  <c r="AB85" i="13"/>
  <c r="AD85" i="13" s="1"/>
  <c r="V77" i="13"/>
  <c r="V79" i="13" s="1"/>
  <c r="V35" i="13"/>
  <c r="AZ160" i="7"/>
  <c r="AZ162" i="7" s="1"/>
  <c r="BB160" i="7"/>
  <c r="BB162" i="7" s="1"/>
  <c r="BD160" i="7"/>
  <c r="BD162" i="7" s="1"/>
  <c r="BF160" i="7"/>
  <c r="BF162" i="7" s="1"/>
  <c r="AR160" i="7"/>
  <c r="BH160" i="7"/>
  <c r="AT160" i="7"/>
  <c r="AT162" i="7" s="1"/>
  <c r="BJ160" i="7"/>
  <c r="BJ162" i="7" s="1"/>
  <c r="AV160" i="7"/>
  <c r="AV162" i="7" s="1"/>
  <c r="AX160" i="7"/>
  <c r="AX162" i="7" s="1"/>
  <c r="X35" i="7"/>
  <c r="X77" i="7"/>
  <c r="X79" i="7" s="1"/>
  <c r="X92" i="7" s="1"/>
  <c r="X97" i="7" s="1"/>
  <c r="AB77" i="7"/>
  <c r="AB79" i="7" s="1"/>
  <c r="AB92" i="7" s="1"/>
  <c r="AB97" i="7" s="1"/>
  <c r="AB35" i="7"/>
  <c r="X92" i="13" l="1"/>
  <c r="X97" i="13" s="1"/>
  <c r="X164" i="13" s="1"/>
  <c r="X180" i="13" s="1"/>
  <c r="F15" i="52" s="1"/>
  <c r="V92" i="13"/>
  <c r="V97" i="13" s="1"/>
  <c r="V164" i="13" s="1"/>
  <c r="D14" i="52" s="1"/>
  <c r="Z92" i="13"/>
  <c r="Z97" i="13" s="1"/>
  <c r="Z164" i="13" s="1"/>
  <c r="Z180" i="13" s="1"/>
  <c r="F16" i="52" s="1"/>
  <c r="T92" i="13"/>
  <c r="T97" i="13" s="1"/>
  <c r="T164" i="13" s="1"/>
  <c r="AB35" i="13"/>
  <c r="AD35" i="13" s="1"/>
  <c r="AD33" i="13"/>
  <c r="F97" i="5"/>
  <c r="AN160" i="4"/>
  <c r="AN162" i="4" s="1"/>
  <c r="AF162" i="4"/>
  <c r="F59" i="10" s="1"/>
  <c r="D59" i="10" s="1"/>
  <c r="F60" i="10" s="1"/>
  <c r="F110" i="50"/>
  <c r="L108" i="50"/>
  <c r="AY14" i="86"/>
  <c r="R14" i="86" s="1"/>
  <c r="R14" i="62"/>
  <c r="AZ160" i="5"/>
  <c r="AZ162" i="5" s="1"/>
  <c r="AL162" i="5"/>
  <c r="AJ110" i="7"/>
  <c r="AL110" i="7" s="1"/>
  <c r="AL108" i="7"/>
  <c r="P79" i="13"/>
  <c r="P92" i="13" s="1"/>
  <c r="P97" i="13" s="1"/>
  <c r="P164" i="13" s="1"/>
  <c r="AB77" i="13"/>
  <c r="AJ57" i="7"/>
  <c r="AL57" i="7" s="1"/>
  <c r="AL55" i="7"/>
  <c r="BL160" i="7"/>
  <c r="BL162" i="7" s="1"/>
  <c r="AR162" i="7"/>
  <c r="X180" i="1"/>
  <c r="Z180" i="1" s="1"/>
  <c r="Z164" i="1"/>
  <c r="AW14" i="86"/>
  <c r="P14" i="86" s="1"/>
  <c r="P14" i="62"/>
  <c r="AB57" i="13"/>
  <c r="AD57" i="13" s="1"/>
  <c r="AD55" i="13"/>
  <c r="Z160" i="4"/>
  <c r="F89" i="50"/>
  <c r="L84" i="50"/>
  <c r="AX14" i="86"/>
  <c r="Q14" i="86" s="1"/>
  <c r="Q14" i="62"/>
  <c r="AB89" i="13"/>
  <c r="AD89" i="13" s="1"/>
  <c r="AD84" i="13"/>
  <c r="X41" i="11"/>
  <c r="X42" i="11" s="1"/>
  <c r="X44" i="11" s="1"/>
  <c r="F34" i="11" s="1"/>
  <c r="H24" i="52"/>
  <c r="H54" i="52" s="1"/>
  <c r="F21" i="61"/>
  <c r="F24" i="61" s="1"/>
  <c r="F54" i="61" s="1"/>
  <c r="L160" i="50"/>
  <c r="F77" i="50"/>
  <c r="AF79" i="7"/>
  <c r="AF92" i="7" s="1"/>
  <c r="AF97" i="7" s="1"/>
  <c r="F97" i="4"/>
  <c r="P110" i="13"/>
  <c r="AB108" i="13"/>
  <c r="AD162" i="13"/>
  <c r="BH162" i="7"/>
  <c r="Z160" i="50"/>
  <c r="AF160" i="5"/>
  <c r="AD162" i="5"/>
  <c r="AD110" i="5"/>
  <c r="AF110" i="5" s="1"/>
  <c r="AF108" i="5"/>
  <c r="X89" i="4"/>
  <c r="Z89" i="4" s="1"/>
  <c r="Z84" i="4"/>
  <c r="AB104" i="13"/>
  <c r="AD104" i="13" s="1"/>
  <c r="AD103" i="13"/>
  <c r="F97" i="13"/>
  <c r="F97" i="7"/>
  <c r="AZ14" i="86"/>
  <c r="S14" i="86" s="1"/>
  <c r="S14" i="62"/>
  <c r="BB14" i="86"/>
  <c r="U14" i="86" s="1"/>
  <c r="U14" i="62"/>
  <c r="P79" i="4"/>
  <c r="P92" i="4" s="1"/>
  <c r="P97" i="4" s="1"/>
  <c r="X97" i="4" s="1"/>
  <c r="X77" i="4"/>
  <c r="X79" i="4" s="1"/>
  <c r="AJ35" i="7"/>
  <c r="AL35" i="7" s="1"/>
  <c r="AL33" i="7"/>
  <c r="L33" i="50"/>
  <c r="F35" i="50"/>
  <c r="F104" i="50"/>
  <c r="L103" i="50"/>
  <c r="BA14" i="86"/>
  <c r="T14" i="86" s="1"/>
  <c r="T14" i="62"/>
  <c r="F57" i="50"/>
  <c r="L55" i="50"/>
  <c r="P79" i="7"/>
  <c r="P92" i="7" s="1"/>
  <c r="P97" i="7" s="1"/>
  <c r="AJ77" i="7"/>
  <c r="AJ89" i="7"/>
  <c r="AL89" i="7" s="1"/>
  <c r="AL84" i="7"/>
  <c r="AD89" i="5"/>
  <c r="AF89" i="5" s="1"/>
  <c r="AF84" i="5"/>
  <c r="R92" i="13"/>
  <c r="R97" i="13" s="1"/>
  <c r="R164" i="13" s="1"/>
  <c r="AJ104" i="7"/>
  <c r="AL104" i="7" s="1"/>
  <c r="AL103" i="7"/>
  <c r="D15" i="52" l="1"/>
  <c r="D16" i="52"/>
  <c r="P159" i="4"/>
  <c r="L60" i="10"/>
  <c r="V159" i="4" s="1"/>
  <c r="V162" i="4" s="1"/>
  <c r="V164" i="4" s="1"/>
  <c r="H60" i="10"/>
  <c r="R159" i="4" s="1"/>
  <c r="R162" i="4" s="1"/>
  <c r="R164" i="4" s="1"/>
  <c r="D21" i="52" s="1"/>
  <c r="J60" i="10"/>
  <c r="T159" i="4" s="1"/>
  <c r="T162" i="4" s="1"/>
  <c r="T164" i="4" s="1"/>
  <c r="V180" i="13"/>
  <c r="F14" i="52" s="1"/>
  <c r="D14" i="61" s="1"/>
  <c r="J14" i="61" s="1"/>
  <c r="R14" i="61" s="1"/>
  <c r="AH42" i="11"/>
  <c r="AH44" i="11" s="1"/>
  <c r="P34" i="11" s="1"/>
  <c r="AB42" i="11"/>
  <c r="AB44" i="11" s="1"/>
  <c r="J34" i="11" s="1"/>
  <c r="D43" i="12"/>
  <c r="F44" i="12" s="1"/>
  <c r="AJ97" i="7"/>
  <c r="AD42" i="11"/>
  <c r="AD44" i="11" s="1"/>
  <c r="L34" i="11" s="1"/>
  <c r="AJ42" i="11"/>
  <c r="AJ44" i="11" s="1"/>
  <c r="R34" i="11" s="1"/>
  <c r="P33" i="50"/>
  <c r="R33" i="50"/>
  <c r="T33" i="50"/>
  <c r="V33" i="50"/>
  <c r="L35" i="50"/>
  <c r="AA160" i="50"/>
  <c r="Z162" i="50"/>
  <c r="Z42" i="11"/>
  <c r="Z44" i="11" s="1"/>
  <c r="H34" i="11" s="1"/>
  <c r="AJ79" i="7"/>
  <c r="AL77" i="7"/>
  <c r="P103" i="50"/>
  <c r="P104" i="50" s="1"/>
  <c r="R103" i="50"/>
  <c r="R104" i="50" s="1"/>
  <c r="T103" i="50"/>
  <c r="T104" i="50" s="1"/>
  <c r="V103" i="50"/>
  <c r="V104" i="50" s="1"/>
  <c r="L104" i="50"/>
  <c r="Z97" i="4"/>
  <c r="F164" i="4"/>
  <c r="T84" i="50"/>
  <c r="T89" i="50" s="1"/>
  <c r="V84" i="50"/>
  <c r="V89" i="50" s="1"/>
  <c r="L89" i="50"/>
  <c r="P84" i="50"/>
  <c r="P89" i="50" s="1"/>
  <c r="R84" i="50"/>
  <c r="R89" i="50" s="1"/>
  <c r="P180" i="13"/>
  <c r="F11" i="52" s="1"/>
  <c r="D11" i="52"/>
  <c r="AB79" i="13"/>
  <c r="AD77" i="13"/>
  <c r="AF42" i="11"/>
  <c r="AF44" i="11" s="1"/>
  <c r="N34" i="11" s="1"/>
  <c r="L15" i="52"/>
  <c r="D15" i="61"/>
  <c r="J15" i="61" s="1"/>
  <c r="R180" i="13"/>
  <c r="F12" i="52" s="1"/>
  <c r="D12" i="52"/>
  <c r="T180" i="13"/>
  <c r="F13" i="52" s="1"/>
  <c r="D13" i="52"/>
  <c r="AL97" i="7"/>
  <c r="F164" i="7"/>
  <c r="L77" i="50"/>
  <c r="L79" i="50" s="1"/>
  <c r="F79" i="50"/>
  <c r="F92" i="50" s="1"/>
  <c r="F97" i="50" s="1"/>
  <c r="AB97" i="13"/>
  <c r="AB164" i="13" s="1"/>
  <c r="AB180" i="13" s="1"/>
  <c r="L110" i="50"/>
  <c r="P108" i="50"/>
  <c r="P110" i="50" s="1"/>
  <c r="R108" i="50"/>
  <c r="R110" i="50" s="1"/>
  <c r="T108" i="50"/>
  <c r="T110" i="50" s="1"/>
  <c r="V108" i="50"/>
  <c r="V110" i="50" s="1"/>
  <c r="T55" i="50"/>
  <c r="T57" i="50" s="1"/>
  <c r="V55" i="50"/>
  <c r="V57" i="50" s="1"/>
  <c r="L57" i="50"/>
  <c r="P55" i="50"/>
  <c r="P57" i="50" s="1"/>
  <c r="R55" i="50"/>
  <c r="R57" i="50" s="1"/>
  <c r="X92" i="4"/>
  <c r="Z92" i="4" s="1"/>
  <c r="Z79" i="4"/>
  <c r="F164" i="13"/>
  <c r="AB110" i="13"/>
  <c r="AD110" i="13" s="1"/>
  <c r="AD108" i="13"/>
  <c r="AF162" i="5"/>
  <c r="P160" i="50"/>
  <c r="R160" i="50"/>
  <c r="T160" i="50"/>
  <c r="V160" i="50"/>
  <c r="R180" i="4"/>
  <c r="F21" i="52" s="1"/>
  <c r="F164" i="5"/>
  <c r="L16" i="52"/>
  <c r="D16" i="61"/>
  <c r="J16" i="61" s="1"/>
  <c r="Q14" i="61" l="1"/>
  <c r="O14" i="61"/>
  <c r="N14" i="61"/>
  <c r="P14" i="61"/>
  <c r="T180" i="4"/>
  <c r="F22" i="52" s="1"/>
  <c r="D22" i="52"/>
  <c r="V180" i="4"/>
  <c r="F23" i="52" s="1"/>
  <c r="D23" i="52"/>
  <c r="X159" i="4"/>
  <c r="P162" i="4"/>
  <c r="P164" i="4" s="1"/>
  <c r="P180" i="4" s="1"/>
  <c r="F20" i="52" s="1"/>
  <c r="D60" i="10"/>
  <c r="L92" i="50"/>
  <c r="L97" i="50" s="1"/>
  <c r="AD97" i="13"/>
  <c r="D34" i="11"/>
  <c r="F35" i="11" s="1"/>
  <c r="P159" i="7"/>
  <c r="T44" i="12"/>
  <c r="AD159" i="7" s="1"/>
  <c r="AD162" i="7" s="1"/>
  <c r="AD164" i="7" s="1"/>
  <c r="J44" i="12"/>
  <c r="T159" i="7" s="1"/>
  <c r="T162" i="7" s="1"/>
  <c r="T164" i="7" s="1"/>
  <c r="R44" i="12"/>
  <c r="AB159" i="7" s="1"/>
  <c r="AB162" i="7" s="1"/>
  <c r="AB164" i="7" s="1"/>
  <c r="H44" i="12"/>
  <c r="R159" i="7" s="1"/>
  <c r="R162" i="7" s="1"/>
  <c r="R164" i="7" s="1"/>
  <c r="L44" i="12"/>
  <c r="V159" i="7" s="1"/>
  <c r="V162" i="7" s="1"/>
  <c r="V164" i="7" s="1"/>
  <c r="X44" i="12"/>
  <c r="AH159" i="7" s="1"/>
  <c r="AH162" i="7" s="1"/>
  <c r="AH164" i="7" s="1"/>
  <c r="N44" i="12"/>
  <c r="X159" i="7" s="1"/>
  <c r="X162" i="7" s="1"/>
  <c r="X164" i="7" s="1"/>
  <c r="P44" i="12"/>
  <c r="Z159" i="7" s="1"/>
  <c r="Z162" i="7" s="1"/>
  <c r="Z164" i="7" s="1"/>
  <c r="V44" i="12"/>
  <c r="AF159" i="7" s="1"/>
  <c r="AJ92" i="7"/>
  <c r="AL92" i="7" s="1"/>
  <c r="AL79" i="7"/>
  <c r="F180" i="5"/>
  <c r="L12" i="52"/>
  <c r="D12" i="61"/>
  <c r="J12" i="61" s="1"/>
  <c r="D17" i="52"/>
  <c r="R35" i="50"/>
  <c r="R77" i="50"/>
  <c r="R79" i="50" s="1"/>
  <c r="R92" i="50" s="1"/>
  <c r="R97" i="50" s="1"/>
  <c r="AB92" i="13"/>
  <c r="AD92" i="13" s="1"/>
  <c r="AD79" i="13"/>
  <c r="F180" i="4"/>
  <c r="T35" i="50"/>
  <c r="T77" i="50"/>
  <c r="T79" i="50" s="1"/>
  <c r="T92" i="50" s="1"/>
  <c r="T97" i="50" s="1"/>
  <c r="L11" i="52"/>
  <c r="F17" i="52"/>
  <c r="D11" i="61"/>
  <c r="P35" i="50"/>
  <c r="P77" i="50"/>
  <c r="P79" i="50" s="1"/>
  <c r="P92" i="50" s="1"/>
  <c r="P97" i="50" s="1"/>
  <c r="F180" i="7"/>
  <c r="N15" i="61"/>
  <c r="Q15" i="61"/>
  <c r="R15" i="61"/>
  <c r="P15" i="61"/>
  <c r="O15" i="61"/>
  <c r="D20" i="52"/>
  <c r="L21" i="52"/>
  <c r="D21" i="61"/>
  <c r="J21" i="61" s="1"/>
  <c r="AD164" i="13"/>
  <c r="AD166" i="13"/>
  <c r="F180" i="13"/>
  <c r="AD180" i="13" s="1"/>
  <c r="Q15" i="52"/>
  <c r="S15" i="52"/>
  <c r="D15" i="56" s="1"/>
  <c r="P15" i="52"/>
  <c r="D15" i="54" s="1"/>
  <c r="R15" i="52"/>
  <c r="T15" i="52"/>
  <c r="F15" i="88" s="1"/>
  <c r="AC160" i="50"/>
  <c r="AE160" i="50"/>
  <c r="AI160" i="50"/>
  <c r="L35" i="11"/>
  <c r="L13" i="52"/>
  <c r="D13" i="61"/>
  <c r="J13" i="61" s="1"/>
  <c r="Q16" i="52"/>
  <c r="S16" i="52"/>
  <c r="D16" i="56" s="1"/>
  <c r="P16" i="52"/>
  <c r="D16" i="54" s="1"/>
  <c r="R16" i="52"/>
  <c r="T16" i="52"/>
  <c r="F16" i="88" s="1"/>
  <c r="N16" i="61"/>
  <c r="O16" i="61"/>
  <c r="R16" i="61"/>
  <c r="P16" i="61"/>
  <c r="Q16" i="61"/>
  <c r="AG160" i="50"/>
  <c r="V35" i="50"/>
  <c r="V77" i="50"/>
  <c r="V79" i="50" s="1"/>
  <c r="V92" i="50" s="1"/>
  <c r="V97" i="50" s="1"/>
  <c r="H35" i="11" l="1"/>
  <c r="N35" i="11"/>
  <c r="P35" i="11"/>
  <c r="Z55" i="5" s="1"/>
  <c r="Z57" i="5" s="1"/>
  <c r="D24" i="52"/>
  <c r="J35" i="11"/>
  <c r="T55" i="5" s="1"/>
  <c r="T57" i="5" s="1"/>
  <c r="R35" i="11"/>
  <c r="AB33" i="5" s="1"/>
  <c r="Z159" i="4"/>
  <c r="X162" i="4"/>
  <c r="D23" i="61"/>
  <c r="J23" i="61" s="1"/>
  <c r="L23" i="52"/>
  <c r="L22" i="52"/>
  <c r="D22" i="61"/>
  <c r="J22" i="61" s="1"/>
  <c r="P103" i="5"/>
  <c r="P104" i="5" s="1"/>
  <c r="P33" i="5"/>
  <c r="P35" i="5" s="1"/>
  <c r="P55" i="5"/>
  <c r="P57" i="5" s="1"/>
  <c r="F159" i="50"/>
  <c r="AF162" i="7"/>
  <c r="AF164" i="7" s="1"/>
  <c r="AF180" i="7" s="1"/>
  <c r="T180" i="7"/>
  <c r="F39" i="52" s="1"/>
  <c r="D39" i="52"/>
  <c r="D46" i="52"/>
  <c r="AD180" i="7"/>
  <c r="F46" i="52" s="1"/>
  <c r="Z180" i="7"/>
  <c r="F44" i="52" s="1"/>
  <c r="D44" i="52"/>
  <c r="AJ159" i="7"/>
  <c r="AL159" i="7" s="1"/>
  <c r="P162" i="7"/>
  <c r="X180" i="7"/>
  <c r="F43" i="52" s="1"/>
  <c r="D43" i="52"/>
  <c r="D44" i="12"/>
  <c r="AH180" i="7"/>
  <c r="F51" i="52" s="1"/>
  <c r="D51" i="52"/>
  <c r="D42" i="52"/>
  <c r="V180" i="7"/>
  <c r="F42" i="52"/>
  <c r="D38" i="52"/>
  <c r="R180" i="7"/>
  <c r="F38" i="52" s="1"/>
  <c r="D45" i="52"/>
  <c r="AB180" i="7"/>
  <c r="F45" i="52" s="1"/>
  <c r="D15" i="84"/>
  <c r="J15" i="84" s="1"/>
  <c r="J15" i="56"/>
  <c r="D16" i="82"/>
  <c r="J16" i="82" s="1"/>
  <c r="J16" i="54"/>
  <c r="F15" i="62"/>
  <c r="AU15" i="62"/>
  <c r="F24" i="52"/>
  <c r="L20" i="52"/>
  <c r="D20" i="61"/>
  <c r="P11" i="52"/>
  <c r="Q11" i="52"/>
  <c r="S11" i="52"/>
  <c r="R11" i="52"/>
  <c r="L17" i="52"/>
  <c r="T11" i="52"/>
  <c r="Q12" i="61"/>
  <c r="O12" i="61"/>
  <c r="P12" i="61"/>
  <c r="R12" i="61"/>
  <c r="N12" i="61"/>
  <c r="Q12" i="52"/>
  <c r="S12" i="52"/>
  <c r="D12" i="56" s="1"/>
  <c r="P12" i="52"/>
  <c r="D12" i="54" s="1"/>
  <c r="T12" i="52"/>
  <c r="F12" i="88" s="1"/>
  <c r="R12" i="52"/>
  <c r="X55" i="5"/>
  <c r="X57" i="5" s="1"/>
  <c r="X103" i="5"/>
  <c r="X104" i="5" s="1"/>
  <c r="X33" i="5"/>
  <c r="R55" i="5"/>
  <c r="R57" i="5" s="1"/>
  <c r="R33" i="5"/>
  <c r="R103" i="5"/>
  <c r="R104" i="5" s="1"/>
  <c r="D16" i="84"/>
  <c r="J16" i="84" s="1"/>
  <c r="J16" i="56"/>
  <c r="F16" i="62"/>
  <c r="AU16" i="62"/>
  <c r="R13" i="61"/>
  <c r="N13" i="61"/>
  <c r="O13" i="61"/>
  <c r="P13" i="61"/>
  <c r="Q13" i="61"/>
  <c r="V55" i="5"/>
  <c r="V57" i="5" s="1"/>
  <c r="V103" i="5"/>
  <c r="V104" i="5" s="1"/>
  <c r="V33" i="5"/>
  <c r="D15" i="90"/>
  <c r="J15" i="90" s="1"/>
  <c r="L15" i="88"/>
  <c r="Q13" i="52"/>
  <c r="S13" i="52"/>
  <c r="D13" i="56" s="1"/>
  <c r="T13" i="52"/>
  <c r="F13" i="88" s="1"/>
  <c r="P13" i="52"/>
  <c r="D13" i="54" s="1"/>
  <c r="R13" i="52"/>
  <c r="O21" i="61"/>
  <c r="P21" i="61"/>
  <c r="Q21" i="61"/>
  <c r="R21" i="61"/>
  <c r="N21" i="61"/>
  <c r="D16" i="90"/>
  <c r="J16" i="90" s="1"/>
  <c r="L16" i="88"/>
  <c r="D15" i="82"/>
  <c r="J15" i="82" s="1"/>
  <c r="J15" i="54"/>
  <c r="Q21" i="52"/>
  <c r="T21" i="52"/>
  <c r="F21" i="88" s="1"/>
  <c r="P21" i="52"/>
  <c r="D21" i="54" s="1"/>
  <c r="R21" i="52"/>
  <c r="S21" i="52"/>
  <c r="D21" i="56" s="1"/>
  <c r="J11" i="61"/>
  <c r="D17" i="61"/>
  <c r="T103" i="5" l="1"/>
  <c r="T104" i="5" s="1"/>
  <c r="T33" i="5"/>
  <c r="D35" i="11"/>
  <c r="AB103" i="5"/>
  <c r="AB104" i="5" s="1"/>
  <c r="AB55" i="5"/>
  <c r="AB57" i="5" s="1"/>
  <c r="Z33" i="5"/>
  <c r="Z35" i="5" s="1"/>
  <c r="Z103" i="5"/>
  <c r="Z104" i="5" s="1"/>
  <c r="Q22" i="61"/>
  <c r="N22" i="61"/>
  <c r="O22" i="61"/>
  <c r="R22" i="61"/>
  <c r="P22" i="61"/>
  <c r="T22" i="52"/>
  <c r="F22" i="88" s="1"/>
  <c r="R22" i="52"/>
  <c r="S22" i="52"/>
  <c r="D22" i="56" s="1"/>
  <c r="Q22" i="52"/>
  <c r="P22" i="52"/>
  <c r="D22" i="54" s="1"/>
  <c r="T23" i="52"/>
  <c r="F23" i="88" s="1"/>
  <c r="Q23" i="52"/>
  <c r="S23" i="52"/>
  <c r="D23" i="56" s="1"/>
  <c r="R23" i="52"/>
  <c r="P23" i="52"/>
  <c r="D23" i="54" s="1"/>
  <c r="R23" i="61"/>
  <c r="O23" i="61"/>
  <c r="Q23" i="61"/>
  <c r="P23" i="61"/>
  <c r="N23" i="61"/>
  <c r="X164" i="4"/>
  <c r="Z162" i="4"/>
  <c r="Z77" i="5"/>
  <c r="Z79" i="5" s="1"/>
  <c r="Z92" i="5" s="1"/>
  <c r="Z97" i="5" s="1"/>
  <c r="P77" i="5"/>
  <c r="P79" i="5" s="1"/>
  <c r="P92" i="5" s="1"/>
  <c r="P97" i="5" s="1"/>
  <c r="P164" i="5" s="1"/>
  <c r="L45" i="52"/>
  <c r="D45" i="61"/>
  <c r="J45" i="61" s="1"/>
  <c r="L51" i="52"/>
  <c r="D51" i="61"/>
  <c r="J51" i="61" s="1"/>
  <c r="D44" i="61"/>
  <c r="J44" i="61" s="1"/>
  <c r="L44" i="52"/>
  <c r="D39" i="61"/>
  <c r="J39" i="61" s="1"/>
  <c r="L39" i="52"/>
  <c r="L38" i="52"/>
  <c r="D38" i="61"/>
  <c r="J38" i="61" s="1"/>
  <c r="AA159" i="50"/>
  <c r="L159" i="50"/>
  <c r="F162" i="50"/>
  <c r="F164" i="50" s="1"/>
  <c r="F180" i="50" s="1"/>
  <c r="L43" i="52"/>
  <c r="D43" i="61"/>
  <c r="J43" i="61" s="1"/>
  <c r="L46" i="52"/>
  <c r="D46" i="61"/>
  <c r="J46" i="61" s="1"/>
  <c r="D42" i="61"/>
  <c r="J42" i="61" s="1"/>
  <c r="L42" i="52"/>
  <c r="AJ162" i="7"/>
  <c r="P164" i="7"/>
  <c r="AD55" i="5"/>
  <c r="AF55" i="5" s="1"/>
  <c r="R11" i="61"/>
  <c r="R17" i="61" s="1"/>
  <c r="O11" i="61"/>
  <c r="O17" i="61" s="1"/>
  <c r="N11" i="61"/>
  <c r="N17" i="61" s="1"/>
  <c r="J17" i="61"/>
  <c r="P11" i="61"/>
  <c r="P17" i="61" s="1"/>
  <c r="Q11" i="61"/>
  <c r="Q17" i="61" s="1"/>
  <c r="S15" i="54"/>
  <c r="S15" i="82" s="1"/>
  <c r="T15" i="54"/>
  <c r="T15" i="82" s="1"/>
  <c r="U15" i="54"/>
  <c r="U15" i="82" s="1"/>
  <c r="N15" i="54"/>
  <c r="N15" i="82" s="1"/>
  <c r="V15" i="54"/>
  <c r="V15" i="82" s="1"/>
  <c r="O15" i="54"/>
  <c r="O15" i="82" s="1"/>
  <c r="W15" i="54"/>
  <c r="W15" i="82" s="1"/>
  <c r="P15" i="54"/>
  <c r="P15" i="82" s="1"/>
  <c r="Q15" i="54"/>
  <c r="Q15" i="82" s="1"/>
  <c r="R15" i="54"/>
  <c r="R15" i="82" s="1"/>
  <c r="AU16" i="86"/>
  <c r="AZ16" i="62"/>
  <c r="BA16" i="62"/>
  <c r="BB16" i="62"/>
  <c r="AW16" i="62"/>
  <c r="AY16" i="62"/>
  <c r="AX16" i="62"/>
  <c r="F12" i="62"/>
  <c r="AU12" i="62"/>
  <c r="F15" i="86"/>
  <c r="L15" i="86" s="1"/>
  <c r="L15" i="62"/>
  <c r="F16" i="86"/>
  <c r="L16" i="86" s="1"/>
  <c r="L16" i="62"/>
  <c r="T35" i="5"/>
  <c r="T77" i="5"/>
  <c r="T79" i="5" s="1"/>
  <c r="T92" i="5" s="1"/>
  <c r="T97" i="5" s="1"/>
  <c r="R17" i="52"/>
  <c r="D21" i="90"/>
  <c r="J21" i="90" s="1"/>
  <c r="L21" i="88"/>
  <c r="D12" i="84"/>
  <c r="J12" i="84" s="1"/>
  <c r="J12" i="56"/>
  <c r="F11" i="88"/>
  <c r="T17" i="52"/>
  <c r="D13" i="82"/>
  <c r="J13" i="82" s="1"/>
  <c r="J13" i="54"/>
  <c r="S17" i="52"/>
  <c r="D11" i="56"/>
  <c r="O16" i="54"/>
  <c r="O16" i="82" s="1"/>
  <c r="W16" i="54"/>
  <c r="W16" i="82" s="1"/>
  <c r="P16" i="54"/>
  <c r="P16" i="82" s="1"/>
  <c r="Q16" i="54"/>
  <c r="Q16" i="82" s="1"/>
  <c r="R16" i="54"/>
  <c r="R16" i="82" s="1"/>
  <c r="S16" i="54"/>
  <c r="S16" i="82" s="1"/>
  <c r="T16" i="54"/>
  <c r="T16" i="82" s="1"/>
  <c r="U16" i="54"/>
  <c r="U16" i="82" s="1"/>
  <c r="N16" i="54"/>
  <c r="N16" i="82" s="1"/>
  <c r="V16" i="54"/>
  <c r="V16" i="82" s="1"/>
  <c r="AU21" i="62"/>
  <c r="F21" i="62"/>
  <c r="R16" i="90"/>
  <c r="S16" i="90"/>
  <c r="T16" i="90"/>
  <c r="U16" i="90"/>
  <c r="N16" i="90"/>
  <c r="V16" i="90"/>
  <c r="P16" i="90"/>
  <c r="Q16" i="90"/>
  <c r="O16" i="90"/>
  <c r="D13" i="90"/>
  <c r="J13" i="90" s="1"/>
  <c r="L13" i="88"/>
  <c r="R35" i="5"/>
  <c r="R77" i="5"/>
  <c r="R79" i="5" s="1"/>
  <c r="R92" i="5" s="1"/>
  <c r="R97" i="5" s="1"/>
  <c r="R164" i="5" s="1"/>
  <c r="F11" i="62"/>
  <c r="AU11" i="62"/>
  <c r="Q17" i="52"/>
  <c r="D24" i="61"/>
  <c r="J20" i="61"/>
  <c r="D21" i="84"/>
  <c r="J21" i="84" s="1"/>
  <c r="J21" i="56"/>
  <c r="U15" i="90"/>
  <c r="N15" i="90"/>
  <c r="V15" i="90"/>
  <c r="O15" i="90"/>
  <c r="P15" i="90"/>
  <c r="Q15" i="90"/>
  <c r="S15" i="90"/>
  <c r="T15" i="90"/>
  <c r="R15" i="90"/>
  <c r="D13" i="84"/>
  <c r="J13" i="84" s="1"/>
  <c r="J13" i="56"/>
  <c r="V35" i="5"/>
  <c r="V77" i="5"/>
  <c r="V79" i="5" s="1"/>
  <c r="V92" i="5" s="1"/>
  <c r="V97" i="5" s="1"/>
  <c r="V164" i="5" s="1"/>
  <c r="N16" i="56"/>
  <c r="N16" i="84" s="1"/>
  <c r="V16" i="56"/>
  <c r="V16" i="84" s="1"/>
  <c r="O16" i="56"/>
  <c r="O16" i="84" s="1"/>
  <c r="W16" i="56"/>
  <c r="W16" i="84" s="1"/>
  <c r="P16" i="56"/>
  <c r="P16" i="84" s="1"/>
  <c r="X16" i="56"/>
  <c r="X16" i="84" s="1"/>
  <c r="R16" i="56"/>
  <c r="R16" i="84" s="1"/>
  <c r="Z16" i="56"/>
  <c r="Z16" i="84" s="1"/>
  <c r="U16" i="56"/>
  <c r="U16" i="84" s="1"/>
  <c r="Y16" i="56"/>
  <c r="Y16" i="84" s="1"/>
  <c r="Q16" i="56"/>
  <c r="Q16" i="84" s="1"/>
  <c r="S16" i="56"/>
  <c r="S16" i="84" s="1"/>
  <c r="T16" i="56"/>
  <c r="T16" i="84" s="1"/>
  <c r="AA16" i="56"/>
  <c r="AA16" i="84" s="1"/>
  <c r="X35" i="5"/>
  <c r="X77" i="5"/>
  <c r="X79" i="5" s="1"/>
  <c r="X92" i="5" s="1"/>
  <c r="X97" i="5" s="1"/>
  <c r="X164" i="5" s="1"/>
  <c r="D11" i="54"/>
  <c r="P17" i="52"/>
  <c r="P20" i="52"/>
  <c r="R20" i="52"/>
  <c r="Q20" i="52"/>
  <c r="S20" i="52"/>
  <c r="L24" i="52"/>
  <c r="T20" i="52"/>
  <c r="D21" i="82"/>
  <c r="J21" i="82" s="1"/>
  <c r="J21" i="54"/>
  <c r="F13" i="62"/>
  <c r="AU13" i="62"/>
  <c r="D12" i="90"/>
  <c r="J12" i="90" s="1"/>
  <c r="L12" i="88"/>
  <c r="N15" i="56"/>
  <c r="N15" i="84" s="1"/>
  <c r="V15" i="56"/>
  <c r="V15" i="84" s="1"/>
  <c r="O15" i="56"/>
  <c r="O15" i="84" s="1"/>
  <c r="W15" i="56"/>
  <c r="W15" i="84" s="1"/>
  <c r="P15" i="56"/>
  <c r="P15" i="84" s="1"/>
  <c r="X15" i="56"/>
  <c r="X15" i="84" s="1"/>
  <c r="R15" i="56"/>
  <c r="R15" i="84" s="1"/>
  <c r="Z15" i="56"/>
  <c r="Z15" i="84" s="1"/>
  <c r="U15" i="56"/>
  <c r="U15" i="84" s="1"/>
  <c r="Y15" i="56"/>
  <c r="Y15" i="84" s="1"/>
  <c r="AA15" i="56"/>
  <c r="AA15" i="84" s="1"/>
  <c r="Q15" i="56"/>
  <c r="Q15" i="84" s="1"/>
  <c r="S15" i="56"/>
  <c r="S15" i="84" s="1"/>
  <c r="T15" i="56"/>
  <c r="T15" i="84" s="1"/>
  <c r="D12" i="82"/>
  <c r="J12" i="82" s="1"/>
  <c r="J12" i="54"/>
  <c r="AU15" i="86"/>
  <c r="AX15" i="62"/>
  <c r="AY15" i="62"/>
  <c r="AZ15" i="62"/>
  <c r="BA15" i="62"/>
  <c r="BB15" i="62"/>
  <c r="AW15" i="62"/>
  <c r="AB35" i="5"/>
  <c r="T164" i="5" l="1"/>
  <c r="AB77" i="5"/>
  <c r="AB79" i="5" s="1"/>
  <c r="AB92" i="5" s="1"/>
  <c r="AB97" i="5" s="1"/>
  <c r="AB164" i="5" s="1"/>
  <c r="AD103" i="5"/>
  <c r="AD104" i="5" s="1"/>
  <c r="AD33" i="5"/>
  <c r="AD35" i="5" s="1"/>
  <c r="AF35" i="5" s="1"/>
  <c r="AD57" i="5"/>
  <c r="AF57" i="5" s="1"/>
  <c r="AF33" i="5"/>
  <c r="R24" i="52"/>
  <c r="Z164" i="5"/>
  <c r="D23" i="82"/>
  <c r="J23" i="82" s="1"/>
  <c r="J23" i="54"/>
  <c r="D22" i="84"/>
  <c r="J22" i="84" s="1"/>
  <c r="J22" i="56"/>
  <c r="D22" i="90"/>
  <c r="J22" i="90" s="1"/>
  <c r="L22" i="88"/>
  <c r="X180" i="4"/>
  <c r="Z180" i="4" s="1"/>
  <c r="Z164" i="4"/>
  <c r="D23" i="84"/>
  <c r="J23" i="84" s="1"/>
  <c r="J23" i="56"/>
  <c r="F23" i="62"/>
  <c r="AU23" i="62"/>
  <c r="D23" i="90"/>
  <c r="J23" i="90" s="1"/>
  <c r="L23" i="88"/>
  <c r="J22" i="54"/>
  <c r="D22" i="82"/>
  <c r="J22" i="82" s="1"/>
  <c r="F22" i="62"/>
  <c r="AU22" i="62"/>
  <c r="P39" i="52"/>
  <c r="D39" i="54" s="1"/>
  <c r="Q39" i="52"/>
  <c r="F39" i="62" s="1"/>
  <c r="S39" i="52"/>
  <c r="D39" i="56" s="1"/>
  <c r="T39" i="52"/>
  <c r="F39" i="88" s="1"/>
  <c r="R43" i="61"/>
  <c r="N43" i="61"/>
  <c r="O43" i="61"/>
  <c r="Q43" i="61"/>
  <c r="R39" i="61"/>
  <c r="Q39" i="61"/>
  <c r="N39" i="61"/>
  <c r="O39" i="61"/>
  <c r="P43" i="52"/>
  <c r="D43" i="54" s="1"/>
  <c r="Q43" i="52"/>
  <c r="F43" i="62" s="1"/>
  <c r="S43" i="52"/>
  <c r="D43" i="56" s="1"/>
  <c r="T43" i="52"/>
  <c r="F43" i="88" s="1"/>
  <c r="T44" i="52"/>
  <c r="F44" i="88" s="1"/>
  <c r="P44" i="52"/>
  <c r="D44" i="54" s="1"/>
  <c r="Q44" i="52"/>
  <c r="F44" i="62" s="1"/>
  <c r="S44" i="52"/>
  <c r="D44" i="56" s="1"/>
  <c r="P180" i="7"/>
  <c r="F37" i="52" s="1"/>
  <c r="D37" i="52"/>
  <c r="Q44" i="61"/>
  <c r="R44" i="61"/>
  <c r="O44" i="61"/>
  <c r="N44" i="61"/>
  <c r="AF103" i="5"/>
  <c r="AJ164" i="7"/>
  <c r="AL162" i="7"/>
  <c r="P159" i="50"/>
  <c r="P162" i="50" s="1"/>
  <c r="P164" i="50" s="1"/>
  <c r="R159" i="50"/>
  <c r="T159" i="50"/>
  <c r="V159" i="50"/>
  <c r="L162" i="50"/>
  <c r="L164" i="50" s="1"/>
  <c r="L180" i="50" s="1"/>
  <c r="R51" i="61"/>
  <c r="O51" i="61"/>
  <c r="Q51" i="61"/>
  <c r="N51" i="61"/>
  <c r="S42" i="52"/>
  <c r="D42" i="56" s="1"/>
  <c r="P42" i="52"/>
  <c r="D42" i="54" s="1"/>
  <c r="Q42" i="52"/>
  <c r="F42" i="62" s="1"/>
  <c r="T42" i="52"/>
  <c r="F42" i="88" s="1"/>
  <c r="T51" i="52"/>
  <c r="F51" i="88" s="1"/>
  <c r="Q51" i="52"/>
  <c r="F51" i="62" s="1"/>
  <c r="S51" i="52"/>
  <c r="D51" i="56" s="1"/>
  <c r="P51" i="52"/>
  <c r="D51" i="54" s="1"/>
  <c r="S46" i="52"/>
  <c r="D46" i="56" s="1"/>
  <c r="P46" i="52"/>
  <c r="D46" i="54" s="1"/>
  <c r="Q46" i="52"/>
  <c r="F46" i="62" s="1"/>
  <c r="T46" i="52"/>
  <c r="F46" i="88" s="1"/>
  <c r="R42" i="61"/>
  <c r="O42" i="61"/>
  <c r="Q42" i="61"/>
  <c r="N42" i="61"/>
  <c r="N38" i="61"/>
  <c r="O38" i="61"/>
  <c r="R38" i="61"/>
  <c r="Q38" i="61"/>
  <c r="O45" i="61"/>
  <c r="R45" i="61"/>
  <c r="N45" i="61"/>
  <c r="Q45" i="61"/>
  <c r="N46" i="61"/>
  <c r="O46" i="61"/>
  <c r="Q46" i="61"/>
  <c r="R46" i="61"/>
  <c r="P38" i="52"/>
  <c r="D38" i="54" s="1"/>
  <c r="T38" i="52"/>
  <c r="F38" i="88" s="1"/>
  <c r="Q38" i="52"/>
  <c r="F38" i="62" s="1"/>
  <c r="S38" i="52"/>
  <c r="D38" i="56" s="1"/>
  <c r="Q45" i="52"/>
  <c r="F45" i="62" s="1"/>
  <c r="T45" i="52"/>
  <c r="F45" i="88" s="1"/>
  <c r="S45" i="52"/>
  <c r="D45" i="56" s="1"/>
  <c r="P45" i="52"/>
  <c r="D45" i="54" s="1"/>
  <c r="D29" i="52"/>
  <c r="T180" i="5"/>
  <c r="F29" i="52" s="1"/>
  <c r="D31" i="52"/>
  <c r="X180" i="5"/>
  <c r="F31" i="52" s="1"/>
  <c r="AB180" i="5"/>
  <c r="F33" i="52" s="1"/>
  <c r="D33" i="52"/>
  <c r="D27" i="52"/>
  <c r="P180" i="5"/>
  <c r="F27" i="52" s="1"/>
  <c r="D11" i="82"/>
  <c r="D17" i="54"/>
  <c r="J11" i="54"/>
  <c r="AD77" i="5"/>
  <c r="BA15" i="86"/>
  <c r="T15" i="86" s="1"/>
  <c r="T15" i="62"/>
  <c r="D11" i="84"/>
  <c r="J11" i="56"/>
  <c r="D17" i="56"/>
  <c r="AF104" i="5"/>
  <c r="AX16" i="86"/>
  <c r="Q16" i="86" s="1"/>
  <c r="Q16" i="62"/>
  <c r="AZ15" i="86"/>
  <c r="S15" i="86" s="1"/>
  <c r="S15" i="62"/>
  <c r="O12" i="54"/>
  <c r="O12" i="82" s="1"/>
  <c r="W12" i="54"/>
  <c r="W12" i="82" s="1"/>
  <c r="P12" i="54"/>
  <c r="P12" i="82" s="1"/>
  <c r="Q12" i="54"/>
  <c r="Q12" i="82" s="1"/>
  <c r="R12" i="54"/>
  <c r="R12" i="82" s="1"/>
  <c r="S12" i="54"/>
  <c r="S12" i="82" s="1"/>
  <c r="T12" i="54"/>
  <c r="T12" i="82" s="1"/>
  <c r="U12" i="54"/>
  <c r="U12" i="82" s="1"/>
  <c r="N12" i="54"/>
  <c r="N12" i="82" s="1"/>
  <c r="V12" i="54"/>
  <c r="V12" i="82" s="1"/>
  <c r="AU13" i="86"/>
  <c r="BB13" i="62"/>
  <c r="AW13" i="62"/>
  <c r="AX13" i="62"/>
  <c r="AY13" i="62"/>
  <c r="AZ13" i="62"/>
  <c r="BA13" i="62"/>
  <c r="D20" i="56"/>
  <c r="S24" i="52"/>
  <c r="AU11" i="86"/>
  <c r="AX11" i="62"/>
  <c r="AY11" i="62"/>
  <c r="AZ11" i="62"/>
  <c r="AU17" i="62"/>
  <c r="BA11" i="62"/>
  <c r="BB11" i="62"/>
  <c r="AW11" i="62"/>
  <c r="S13" i="90"/>
  <c r="T13" i="90"/>
  <c r="U13" i="90"/>
  <c r="N13" i="90"/>
  <c r="V13" i="90"/>
  <c r="O13" i="90"/>
  <c r="Q13" i="90"/>
  <c r="R13" i="90"/>
  <c r="P13" i="90"/>
  <c r="AY16" i="86"/>
  <c r="R16" i="86" s="1"/>
  <c r="R16" i="62"/>
  <c r="N21" i="56"/>
  <c r="N21" i="84" s="1"/>
  <c r="V21" i="56"/>
  <c r="V21" i="84" s="1"/>
  <c r="O21" i="56"/>
  <c r="O21" i="84" s="1"/>
  <c r="W21" i="56"/>
  <c r="W21" i="84" s="1"/>
  <c r="P21" i="56"/>
  <c r="P21" i="84" s="1"/>
  <c r="X21" i="56"/>
  <c r="X21" i="84" s="1"/>
  <c r="R21" i="56"/>
  <c r="R21" i="84" s="1"/>
  <c r="Z21" i="56"/>
  <c r="Z21" i="84" s="1"/>
  <c r="U21" i="56"/>
  <c r="U21" i="84" s="1"/>
  <c r="Y21" i="56"/>
  <c r="Y21" i="84" s="1"/>
  <c r="Q21" i="56"/>
  <c r="Q21" i="84" s="1"/>
  <c r="T21" i="56"/>
  <c r="T21" i="84" s="1"/>
  <c r="AA21" i="56"/>
  <c r="AA21" i="84" s="1"/>
  <c r="S21" i="56"/>
  <c r="S21" i="84" s="1"/>
  <c r="F13" i="86"/>
  <c r="L13" i="86" s="1"/>
  <c r="L13" i="62"/>
  <c r="N13" i="56"/>
  <c r="N13" i="84" s="1"/>
  <c r="V13" i="56"/>
  <c r="V13" i="84" s="1"/>
  <c r="O13" i="56"/>
  <c r="O13" i="84" s="1"/>
  <c r="W13" i="56"/>
  <c r="W13" i="84" s="1"/>
  <c r="P13" i="56"/>
  <c r="P13" i="84" s="1"/>
  <c r="X13" i="56"/>
  <c r="X13" i="84" s="1"/>
  <c r="R13" i="56"/>
  <c r="R13" i="84" s="1"/>
  <c r="Z13" i="56"/>
  <c r="Z13" i="84" s="1"/>
  <c r="U13" i="56"/>
  <c r="U13" i="84" s="1"/>
  <c r="Y13" i="56"/>
  <c r="Y13" i="84" s="1"/>
  <c r="AA13" i="56"/>
  <c r="AA13" i="84" s="1"/>
  <c r="Q13" i="56"/>
  <c r="Q13" i="84" s="1"/>
  <c r="S13" i="56"/>
  <c r="S13" i="84" s="1"/>
  <c r="T13" i="56"/>
  <c r="T13" i="84" s="1"/>
  <c r="F11" i="86"/>
  <c r="L11" i="62"/>
  <c r="F17" i="62"/>
  <c r="AU12" i="86"/>
  <c r="AZ12" i="62"/>
  <c r="BA12" i="62"/>
  <c r="BB12" i="62"/>
  <c r="AW12" i="62"/>
  <c r="AX12" i="62"/>
  <c r="AY12" i="62"/>
  <c r="AW16" i="86"/>
  <c r="P16" i="86" s="1"/>
  <c r="P16" i="62"/>
  <c r="AW15" i="86"/>
  <c r="P15" i="86" s="1"/>
  <c r="P15" i="62"/>
  <c r="AD97" i="5"/>
  <c r="AF97" i="5" s="1"/>
  <c r="AY15" i="86"/>
  <c r="R15" i="86" s="1"/>
  <c r="R15" i="62"/>
  <c r="F20" i="62"/>
  <c r="AU20" i="62"/>
  <c r="Q24" i="52"/>
  <c r="AX15" i="86"/>
  <c r="Q15" i="86" s="1"/>
  <c r="Q15" i="62"/>
  <c r="S21" i="54"/>
  <c r="S21" i="82" s="1"/>
  <c r="T21" i="54"/>
  <c r="T21" i="82" s="1"/>
  <c r="U21" i="54"/>
  <c r="U21" i="82" s="1"/>
  <c r="N21" i="54"/>
  <c r="N21" i="82" s="1"/>
  <c r="V21" i="54"/>
  <c r="V21" i="82" s="1"/>
  <c r="O21" i="54"/>
  <c r="O21" i="82" s="1"/>
  <c r="W21" i="54"/>
  <c r="W21" i="82" s="1"/>
  <c r="P21" i="54"/>
  <c r="P21" i="82" s="1"/>
  <c r="Q21" i="54"/>
  <c r="Q21" i="82" s="1"/>
  <c r="R21" i="54"/>
  <c r="R21" i="82" s="1"/>
  <c r="F12" i="86"/>
  <c r="L12" i="86" s="1"/>
  <c r="L12" i="62"/>
  <c r="BB16" i="86"/>
  <c r="U16" i="86" s="1"/>
  <c r="U16" i="62"/>
  <c r="BB15" i="86"/>
  <c r="U15" i="86" s="1"/>
  <c r="U15" i="62"/>
  <c r="T24" i="52"/>
  <c r="F20" i="88"/>
  <c r="D28" i="52"/>
  <c r="R180" i="5"/>
  <c r="F28" i="52" s="1"/>
  <c r="N12" i="90"/>
  <c r="V12" i="90"/>
  <c r="O12" i="90"/>
  <c r="P12" i="90"/>
  <c r="Q12" i="90"/>
  <c r="R12" i="90"/>
  <c r="T12" i="90"/>
  <c r="U12" i="90"/>
  <c r="S12" i="90"/>
  <c r="D20" i="54"/>
  <c r="P24" i="52"/>
  <c r="F21" i="86"/>
  <c r="L21" i="86" s="1"/>
  <c r="L21" i="62"/>
  <c r="S13" i="54"/>
  <c r="S13" i="82" s="1"/>
  <c r="T13" i="54"/>
  <c r="T13" i="82" s="1"/>
  <c r="U13" i="54"/>
  <c r="U13" i="82" s="1"/>
  <c r="N13" i="54"/>
  <c r="N13" i="82" s="1"/>
  <c r="V13" i="54"/>
  <c r="V13" i="82" s="1"/>
  <c r="O13" i="54"/>
  <c r="O13" i="82" s="1"/>
  <c r="W13" i="54"/>
  <c r="W13" i="82" s="1"/>
  <c r="P13" i="54"/>
  <c r="P13" i="82" s="1"/>
  <c r="Q13" i="54"/>
  <c r="Q13" i="82" s="1"/>
  <c r="R13" i="54"/>
  <c r="R13" i="82" s="1"/>
  <c r="Q21" i="90"/>
  <c r="R21" i="90"/>
  <c r="S21" i="90"/>
  <c r="T21" i="90"/>
  <c r="U21" i="90"/>
  <c r="O21" i="90"/>
  <c r="P21" i="90"/>
  <c r="N21" i="90"/>
  <c r="V21" i="90"/>
  <c r="BA16" i="86"/>
  <c r="T16" i="86" s="1"/>
  <c r="T16" i="62"/>
  <c r="O20" i="61"/>
  <c r="O24" i="61" s="1"/>
  <c r="P20" i="61"/>
  <c r="P24" i="61" s="1"/>
  <c r="Q20" i="61"/>
  <c r="Q24" i="61" s="1"/>
  <c r="R20" i="61"/>
  <c r="R24" i="61" s="1"/>
  <c r="J24" i="61"/>
  <c r="N20" i="61"/>
  <c r="N24" i="61" s="1"/>
  <c r="D30" i="52"/>
  <c r="V180" i="5"/>
  <c r="F30" i="52" s="1"/>
  <c r="AU21" i="86"/>
  <c r="AX21" i="62"/>
  <c r="AY21" i="62"/>
  <c r="AZ21" i="62"/>
  <c r="BA21" i="62"/>
  <c r="BB21" i="62"/>
  <c r="AW21" i="62"/>
  <c r="D11" i="90"/>
  <c r="L11" i="88"/>
  <c r="L17" i="88" s="1"/>
  <c r="F17" i="88"/>
  <c r="AZ16" i="86"/>
  <c r="S16" i="86" s="1"/>
  <c r="S16" i="62"/>
  <c r="N12" i="56"/>
  <c r="N12" i="84" s="1"/>
  <c r="V12" i="56"/>
  <c r="V12" i="84" s="1"/>
  <c r="O12" i="56"/>
  <c r="O12" i="84" s="1"/>
  <c r="W12" i="56"/>
  <c r="W12" i="84" s="1"/>
  <c r="P12" i="56"/>
  <c r="P12" i="84" s="1"/>
  <c r="X12" i="56"/>
  <c r="X12" i="84" s="1"/>
  <c r="R12" i="56"/>
  <c r="R12" i="84" s="1"/>
  <c r="Z12" i="56"/>
  <c r="Z12" i="84" s="1"/>
  <c r="U12" i="56"/>
  <c r="U12" i="84" s="1"/>
  <c r="Y12" i="56"/>
  <c r="Y12" i="84" s="1"/>
  <c r="AA12" i="56"/>
  <c r="AA12" i="84" s="1"/>
  <c r="Q12" i="56"/>
  <c r="Q12" i="84" s="1"/>
  <c r="T12" i="56"/>
  <c r="T12" i="84" s="1"/>
  <c r="S12" i="56"/>
  <c r="S12" i="84" s="1"/>
  <c r="Z180" i="5" l="1"/>
  <c r="F32" i="52" s="1"/>
  <c r="D32" i="52"/>
  <c r="V22" i="88"/>
  <c r="V24" i="88" s="1"/>
  <c r="W22" i="88"/>
  <c r="W24" i="88" s="1"/>
  <c r="P22" i="88"/>
  <c r="P24" i="88" s="1"/>
  <c r="X22" i="88"/>
  <c r="X24" i="88" s="1"/>
  <c r="Q22" i="88"/>
  <c r="Q24" i="88" s="1"/>
  <c r="S22" i="88"/>
  <c r="S24" i="88" s="1"/>
  <c r="R22" i="88"/>
  <c r="R24" i="88" s="1"/>
  <c r="T22" i="88"/>
  <c r="T24" i="88" s="1"/>
  <c r="U22" i="88"/>
  <c r="U24" i="88" s="1"/>
  <c r="O23" i="90"/>
  <c r="Q23" i="90"/>
  <c r="R23" i="90"/>
  <c r="S23" i="90"/>
  <c r="P23" i="90"/>
  <c r="T23" i="90"/>
  <c r="U23" i="90"/>
  <c r="N23" i="90"/>
  <c r="V23" i="90"/>
  <c r="P22" i="90"/>
  <c r="Q22" i="90"/>
  <c r="R22" i="90"/>
  <c r="T22" i="90"/>
  <c r="U22" i="90"/>
  <c r="N22" i="90"/>
  <c r="S22" i="90"/>
  <c r="O22" i="90"/>
  <c r="V22" i="90"/>
  <c r="BA23" i="62"/>
  <c r="AU23" i="86"/>
  <c r="BB23" i="62"/>
  <c r="AZ23" i="62"/>
  <c r="AW23" i="62"/>
  <c r="AX23" i="62"/>
  <c r="AY23" i="62"/>
  <c r="V22" i="56"/>
  <c r="V22" i="84" s="1"/>
  <c r="Y22" i="56"/>
  <c r="Y22" i="84" s="1"/>
  <c r="Q22" i="56"/>
  <c r="Q22" i="84" s="1"/>
  <c r="O22" i="56"/>
  <c r="O22" i="84" s="1"/>
  <c r="W22" i="56"/>
  <c r="W22" i="84" s="1"/>
  <c r="S22" i="56"/>
  <c r="S22" i="84" s="1"/>
  <c r="P22" i="56"/>
  <c r="P22" i="84" s="1"/>
  <c r="T22" i="56"/>
  <c r="T22" i="84" s="1"/>
  <c r="AA22" i="56"/>
  <c r="AA22" i="84" s="1"/>
  <c r="N22" i="56"/>
  <c r="N22" i="84" s="1"/>
  <c r="X22" i="56"/>
  <c r="X22" i="84" s="1"/>
  <c r="R22" i="56"/>
  <c r="R22" i="84" s="1"/>
  <c r="Z22" i="56"/>
  <c r="Z22" i="84" s="1"/>
  <c r="U22" i="56"/>
  <c r="U22" i="84" s="1"/>
  <c r="O22" i="54"/>
  <c r="O22" i="82" s="1"/>
  <c r="N22" i="54"/>
  <c r="N22" i="82" s="1"/>
  <c r="W22" i="54"/>
  <c r="W22" i="82" s="1"/>
  <c r="V22" i="54"/>
  <c r="V22" i="82" s="1"/>
  <c r="P22" i="54"/>
  <c r="P22" i="82" s="1"/>
  <c r="U22" i="54"/>
  <c r="U22" i="82" s="1"/>
  <c r="Q22" i="54"/>
  <c r="Q22" i="82" s="1"/>
  <c r="R22" i="54"/>
  <c r="R22" i="82" s="1"/>
  <c r="S22" i="54"/>
  <c r="S22" i="82" s="1"/>
  <c r="T22" i="54"/>
  <c r="T22" i="82" s="1"/>
  <c r="F23" i="86"/>
  <c r="L23" i="86" s="1"/>
  <c r="L23" i="62"/>
  <c r="AW22" i="62"/>
  <c r="AY22" i="62"/>
  <c r="AX22" i="62"/>
  <c r="AU22" i="86"/>
  <c r="BB22" i="62"/>
  <c r="AZ22" i="62"/>
  <c r="BA22" i="62"/>
  <c r="N23" i="56"/>
  <c r="N23" i="84" s="1"/>
  <c r="U23" i="56"/>
  <c r="U23" i="84" s="1"/>
  <c r="V23" i="56"/>
  <c r="V23" i="84" s="1"/>
  <c r="Y23" i="56"/>
  <c r="Y23" i="84" s="1"/>
  <c r="O23" i="56"/>
  <c r="O23" i="84" s="1"/>
  <c r="Q23" i="56"/>
  <c r="Q23" i="84" s="1"/>
  <c r="W23" i="56"/>
  <c r="W23" i="84" s="1"/>
  <c r="T23" i="56"/>
  <c r="T23" i="84" s="1"/>
  <c r="P23" i="56"/>
  <c r="P23" i="84" s="1"/>
  <c r="AA23" i="56"/>
  <c r="AA23" i="84" s="1"/>
  <c r="X23" i="56"/>
  <c r="X23" i="84" s="1"/>
  <c r="S23" i="56"/>
  <c r="S23" i="84" s="1"/>
  <c r="Z23" i="56"/>
  <c r="Z23" i="84" s="1"/>
  <c r="R23" i="56"/>
  <c r="R23" i="84" s="1"/>
  <c r="O23" i="54"/>
  <c r="O23" i="82" s="1"/>
  <c r="W23" i="54"/>
  <c r="W23" i="82" s="1"/>
  <c r="P23" i="54"/>
  <c r="P23" i="82" s="1"/>
  <c r="R23" i="54"/>
  <c r="R23" i="82" s="1"/>
  <c r="V23" i="54"/>
  <c r="V23" i="82" s="1"/>
  <c r="S23" i="54"/>
  <c r="S23" i="82" s="1"/>
  <c r="Q23" i="54"/>
  <c r="Q23" i="82" s="1"/>
  <c r="T23" i="54"/>
  <c r="T23" i="82" s="1"/>
  <c r="U23" i="54"/>
  <c r="U23" i="82" s="1"/>
  <c r="N23" i="54"/>
  <c r="N23" i="82" s="1"/>
  <c r="L22" i="62"/>
  <c r="F22" i="86"/>
  <c r="L22" i="86" s="1"/>
  <c r="AG159" i="50"/>
  <c r="AG162" i="50" s="1"/>
  <c r="T162" i="50"/>
  <c r="T164" i="50" s="1"/>
  <c r="D38" i="84"/>
  <c r="J38" i="84" s="1"/>
  <c r="J38" i="56"/>
  <c r="D51" i="82"/>
  <c r="J51" i="82" s="1"/>
  <c r="J51" i="54"/>
  <c r="D42" i="84"/>
  <c r="J42" i="84" s="1"/>
  <c r="J42" i="56"/>
  <c r="AE159" i="50"/>
  <c r="AE162" i="50" s="1"/>
  <c r="R162" i="50"/>
  <c r="R164" i="50" s="1"/>
  <c r="D43" i="84"/>
  <c r="J43" i="84" s="1"/>
  <c r="J43" i="56"/>
  <c r="F45" i="86"/>
  <c r="L45" i="86" s="1"/>
  <c r="L45" i="62"/>
  <c r="D46" i="84"/>
  <c r="J46" i="84" s="1"/>
  <c r="J46" i="56"/>
  <c r="D42" i="82"/>
  <c r="J42" i="82" s="1"/>
  <c r="J42" i="54"/>
  <c r="D43" i="90"/>
  <c r="J43" i="90" s="1"/>
  <c r="L43" i="88"/>
  <c r="L38" i="62"/>
  <c r="F38" i="86"/>
  <c r="L38" i="86" s="1"/>
  <c r="D51" i="84"/>
  <c r="J51" i="84" s="1"/>
  <c r="J51" i="56"/>
  <c r="P180" i="50"/>
  <c r="F48" i="52" s="1"/>
  <c r="D48" i="52"/>
  <c r="F43" i="86"/>
  <c r="L43" i="86" s="1"/>
  <c r="L43" i="62"/>
  <c r="D38" i="90"/>
  <c r="J38" i="90" s="1"/>
  <c r="L38" i="88"/>
  <c r="F51" i="86"/>
  <c r="L51" i="86" s="1"/>
  <c r="L51" i="62"/>
  <c r="L37" i="52"/>
  <c r="D37" i="61"/>
  <c r="D43" i="82"/>
  <c r="J43" i="82" s="1"/>
  <c r="J43" i="54"/>
  <c r="D38" i="82"/>
  <c r="J38" i="82" s="1"/>
  <c r="J38" i="54"/>
  <c r="L51" i="88"/>
  <c r="D51" i="90"/>
  <c r="J51" i="90" s="1"/>
  <c r="AJ180" i="7"/>
  <c r="AL180" i="7" s="1"/>
  <c r="AL164" i="7"/>
  <c r="J44" i="56"/>
  <c r="D44" i="84"/>
  <c r="J44" i="84" s="1"/>
  <c r="D39" i="90"/>
  <c r="J39" i="90" s="1"/>
  <c r="L39" i="88"/>
  <c r="D45" i="82"/>
  <c r="J45" i="82" s="1"/>
  <c r="J45" i="54"/>
  <c r="D46" i="90"/>
  <c r="J46" i="90" s="1"/>
  <c r="L46" i="88"/>
  <c r="AC159" i="50"/>
  <c r="AC162" i="50" s="1"/>
  <c r="F44" i="86"/>
  <c r="L44" i="86" s="1"/>
  <c r="L44" i="62"/>
  <c r="D39" i="84"/>
  <c r="J39" i="84" s="1"/>
  <c r="J39" i="56"/>
  <c r="D45" i="84"/>
  <c r="J45" i="84" s="1"/>
  <c r="J45" i="56"/>
  <c r="F46" i="86"/>
  <c r="L46" i="86" s="1"/>
  <c r="L46" i="62"/>
  <c r="L42" i="88"/>
  <c r="D42" i="90"/>
  <c r="J42" i="90" s="1"/>
  <c r="J44" i="54"/>
  <c r="D44" i="82"/>
  <c r="J44" i="82" s="1"/>
  <c r="F39" i="86"/>
  <c r="L39" i="86" s="1"/>
  <c r="L39" i="62"/>
  <c r="L45" i="88"/>
  <c r="D45" i="90"/>
  <c r="J45" i="90" s="1"/>
  <c r="D46" i="82"/>
  <c r="J46" i="82" s="1"/>
  <c r="J46" i="54"/>
  <c r="F42" i="86"/>
  <c r="L42" i="86" s="1"/>
  <c r="L42" i="62"/>
  <c r="AI159" i="50"/>
  <c r="AI162" i="50" s="1"/>
  <c r="V162" i="50"/>
  <c r="V164" i="50" s="1"/>
  <c r="V180" i="50" s="1"/>
  <c r="D44" i="90"/>
  <c r="J44" i="90" s="1"/>
  <c r="L44" i="88"/>
  <c r="D39" i="82"/>
  <c r="J39" i="82" s="1"/>
  <c r="J39" i="54"/>
  <c r="BB13" i="86"/>
  <c r="U13" i="86" s="1"/>
  <c r="U13" i="62"/>
  <c r="L33" i="52"/>
  <c r="D33" i="61"/>
  <c r="J33" i="61" s="1"/>
  <c r="BA11" i="86"/>
  <c r="T11" i="62"/>
  <c r="BA17" i="62"/>
  <c r="N11" i="56"/>
  <c r="V11" i="56"/>
  <c r="O11" i="56"/>
  <c r="W11" i="56"/>
  <c r="P11" i="56"/>
  <c r="X11" i="56"/>
  <c r="R11" i="56"/>
  <c r="Z11" i="56"/>
  <c r="U11" i="56"/>
  <c r="Y11" i="56"/>
  <c r="AA11" i="56"/>
  <c r="J17" i="56"/>
  <c r="Q11" i="56"/>
  <c r="S11" i="56"/>
  <c r="T11" i="56"/>
  <c r="AD79" i="5"/>
  <c r="AF77" i="5"/>
  <c r="J11" i="90"/>
  <c r="D17" i="90"/>
  <c r="D20" i="90"/>
  <c r="L20" i="88"/>
  <c r="L24" i="88" s="1"/>
  <c r="F24" i="88"/>
  <c r="BA13" i="86"/>
  <c r="T13" i="86" s="1"/>
  <c r="T13" i="62"/>
  <c r="J11" i="84"/>
  <c r="J17" i="84" s="1"/>
  <c r="D17" i="84"/>
  <c r="S11" i="54"/>
  <c r="T11" i="54"/>
  <c r="U11" i="54"/>
  <c r="J17" i="54"/>
  <c r="N11" i="54"/>
  <c r="V11" i="54"/>
  <c r="O11" i="54"/>
  <c r="W11" i="54"/>
  <c r="P11" i="54"/>
  <c r="Q11" i="54"/>
  <c r="R11" i="54"/>
  <c r="L31" i="52"/>
  <c r="D31" i="61"/>
  <c r="J31" i="61" s="1"/>
  <c r="AY21" i="86"/>
  <c r="R21" i="86" s="1"/>
  <c r="R21" i="62"/>
  <c r="D28" i="61"/>
  <c r="J28" i="61" s="1"/>
  <c r="L28" i="52"/>
  <c r="BB11" i="86"/>
  <c r="BB17" i="62"/>
  <c r="U11" i="62"/>
  <c r="AW21" i="86"/>
  <c r="P21" i="86" s="1"/>
  <c r="P21" i="62"/>
  <c r="AY12" i="86"/>
  <c r="R12" i="86" s="1"/>
  <c r="R12" i="62"/>
  <c r="L17" i="62"/>
  <c r="AZ11" i="86"/>
  <c r="S11" i="62"/>
  <c r="AZ17" i="62"/>
  <c r="AZ13" i="86"/>
  <c r="S13" i="86" s="1"/>
  <c r="S13" i="62"/>
  <c r="AD164" i="5"/>
  <c r="BA12" i="86"/>
  <c r="T12" i="86" s="1"/>
  <c r="T12" i="62"/>
  <c r="AX21" i="86"/>
  <c r="Q21" i="86" s="1"/>
  <c r="Q21" i="62"/>
  <c r="AZ12" i="86"/>
  <c r="S12" i="86" s="1"/>
  <c r="S12" i="62"/>
  <c r="D20" i="84"/>
  <c r="J20" i="56"/>
  <c r="D24" i="56"/>
  <c r="BB21" i="86"/>
  <c r="U21" i="86" s="1"/>
  <c r="U21" i="62"/>
  <c r="AX12" i="86"/>
  <c r="Q12" i="86" s="1"/>
  <c r="Q12" i="62"/>
  <c r="L11" i="86"/>
  <c r="L17" i="86" s="1"/>
  <c r="F17" i="86"/>
  <c r="AY11" i="86"/>
  <c r="R11" i="62"/>
  <c r="AY17" i="62"/>
  <c r="AY13" i="86"/>
  <c r="R13" i="86" s="1"/>
  <c r="R13" i="62"/>
  <c r="J11" i="82"/>
  <c r="J17" i="82" s="1"/>
  <c r="D17" i="82"/>
  <c r="L29" i="52"/>
  <c r="D29" i="61"/>
  <c r="J29" i="61" s="1"/>
  <c r="D20" i="82"/>
  <c r="D24" i="54"/>
  <c r="J20" i="54"/>
  <c r="BA21" i="86"/>
  <c r="T21" i="86" s="1"/>
  <c r="T21" i="62"/>
  <c r="AW12" i="86"/>
  <c r="P12" i="86" s="1"/>
  <c r="P12" i="62"/>
  <c r="AX11" i="86"/>
  <c r="Q11" i="62"/>
  <c r="AX17" i="62"/>
  <c r="AX13" i="86"/>
  <c r="Q13" i="86" s="1"/>
  <c r="Q13" i="62"/>
  <c r="F34" i="52"/>
  <c r="L27" i="52"/>
  <c r="D27" i="61"/>
  <c r="L30" i="52"/>
  <c r="D30" i="61"/>
  <c r="J30" i="61" s="1"/>
  <c r="F20" i="86"/>
  <c r="F24" i="62"/>
  <c r="L20" i="62"/>
  <c r="AW11" i="86"/>
  <c r="P11" i="62"/>
  <c r="AW17" i="62"/>
  <c r="AZ21" i="86"/>
  <c r="S21" i="86" s="1"/>
  <c r="S21" i="62"/>
  <c r="AU20" i="86"/>
  <c r="AU24" i="62"/>
  <c r="AW20" i="62"/>
  <c r="AX20" i="62"/>
  <c r="AY20" i="62"/>
  <c r="AZ20" i="62"/>
  <c r="BA20" i="62"/>
  <c r="BB20" i="62"/>
  <c r="BB12" i="86"/>
  <c r="U12" i="86" s="1"/>
  <c r="U12" i="62"/>
  <c r="AU17" i="86"/>
  <c r="AW13" i="86"/>
  <c r="P13" i="86" s="1"/>
  <c r="P13" i="62"/>
  <c r="D34" i="52"/>
  <c r="L24" i="62" l="1"/>
  <c r="L32" i="52"/>
  <c r="D32" i="61"/>
  <c r="J32" i="61" s="1"/>
  <c r="AW23" i="86"/>
  <c r="P23" i="62"/>
  <c r="AX22" i="86"/>
  <c r="Q22" i="62"/>
  <c r="AZ23" i="86"/>
  <c r="S23" i="62"/>
  <c r="AY22" i="86"/>
  <c r="R22" i="62"/>
  <c r="BB23" i="86"/>
  <c r="U23" i="62"/>
  <c r="AU24" i="86"/>
  <c r="P22" i="62"/>
  <c r="AW22" i="86"/>
  <c r="T23" i="62"/>
  <c r="BA23" i="86"/>
  <c r="T22" i="62"/>
  <c r="BA22" i="86"/>
  <c r="AZ22" i="86"/>
  <c r="S22" i="62"/>
  <c r="AY23" i="86"/>
  <c r="R23" i="62"/>
  <c r="U22" i="62"/>
  <c r="BB22" i="86"/>
  <c r="AX23" i="86"/>
  <c r="Q23" i="62"/>
  <c r="R44" i="54"/>
  <c r="R44" i="82" s="1"/>
  <c r="S44" i="54"/>
  <c r="S44" i="82" s="1"/>
  <c r="P44" i="54"/>
  <c r="P44" i="82" s="1"/>
  <c r="T44" i="54"/>
  <c r="T44" i="82" s="1"/>
  <c r="Q44" i="54"/>
  <c r="Q44" i="82" s="1"/>
  <c r="U44" i="54"/>
  <c r="U44" i="82" s="1"/>
  <c r="O44" i="54"/>
  <c r="O44" i="82" s="1"/>
  <c r="N44" i="54"/>
  <c r="N44" i="82" s="1"/>
  <c r="W44" i="54"/>
  <c r="W44" i="82" s="1"/>
  <c r="V44" i="54"/>
  <c r="V44" i="82" s="1"/>
  <c r="W38" i="54"/>
  <c r="W38" i="82" s="1"/>
  <c r="V38" i="54"/>
  <c r="V38" i="82" s="1"/>
  <c r="P38" i="54"/>
  <c r="P38" i="82" s="1"/>
  <c r="Q38" i="54"/>
  <c r="Q38" i="82" s="1"/>
  <c r="R38" i="54"/>
  <c r="R38" i="82" s="1"/>
  <c r="N38" i="54"/>
  <c r="N38" i="82" s="1"/>
  <c r="S38" i="54"/>
  <c r="S38" i="82" s="1"/>
  <c r="T38" i="54"/>
  <c r="T38" i="82" s="1"/>
  <c r="O38" i="54"/>
  <c r="O38" i="82" s="1"/>
  <c r="U38" i="54"/>
  <c r="U38" i="82" s="1"/>
  <c r="V51" i="56"/>
  <c r="V51" i="84" s="1"/>
  <c r="Y51" i="56"/>
  <c r="Y51" i="84" s="1"/>
  <c r="O51" i="56"/>
  <c r="O51" i="84" s="1"/>
  <c r="Q51" i="56"/>
  <c r="Q51" i="84" s="1"/>
  <c r="W51" i="56"/>
  <c r="W51" i="84" s="1"/>
  <c r="S51" i="56"/>
  <c r="S51" i="84" s="1"/>
  <c r="N51" i="56"/>
  <c r="N51" i="84" s="1"/>
  <c r="P51" i="56"/>
  <c r="P51" i="84" s="1"/>
  <c r="T51" i="56"/>
  <c r="T51" i="84" s="1"/>
  <c r="X51" i="56"/>
  <c r="X51" i="84" s="1"/>
  <c r="AA51" i="56"/>
  <c r="AA51" i="84" s="1"/>
  <c r="R51" i="56"/>
  <c r="R51" i="84" s="1"/>
  <c r="U51" i="56"/>
  <c r="U51" i="84" s="1"/>
  <c r="Z51" i="56"/>
  <c r="Z51" i="84" s="1"/>
  <c r="W46" i="56"/>
  <c r="W46" i="84" s="1"/>
  <c r="S46" i="56"/>
  <c r="S46" i="84" s="1"/>
  <c r="P46" i="56"/>
  <c r="P46" i="84" s="1"/>
  <c r="T46" i="56"/>
  <c r="T46" i="84" s="1"/>
  <c r="X46" i="56"/>
  <c r="X46" i="84" s="1"/>
  <c r="AA46" i="56"/>
  <c r="AA46" i="84" s="1"/>
  <c r="O46" i="56"/>
  <c r="O46" i="84" s="1"/>
  <c r="R46" i="56"/>
  <c r="R46" i="84" s="1"/>
  <c r="Q46" i="56"/>
  <c r="Q46" i="84" s="1"/>
  <c r="Z46" i="56"/>
  <c r="Z46" i="84" s="1"/>
  <c r="N46" i="56"/>
  <c r="N46" i="84" s="1"/>
  <c r="U46" i="56"/>
  <c r="U46" i="84" s="1"/>
  <c r="V46" i="56"/>
  <c r="V46" i="84" s="1"/>
  <c r="Y46" i="56"/>
  <c r="Y46" i="84" s="1"/>
  <c r="X42" i="56"/>
  <c r="X42" i="84" s="1"/>
  <c r="AA42" i="56"/>
  <c r="AA42" i="84" s="1"/>
  <c r="R42" i="56"/>
  <c r="R42" i="84" s="1"/>
  <c r="Z42" i="56"/>
  <c r="Z42" i="84" s="1"/>
  <c r="T42" i="56"/>
  <c r="T42" i="84" s="1"/>
  <c r="N42" i="56"/>
  <c r="N42" i="84" s="1"/>
  <c r="U42" i="56"/>
  <c r="U42" i="84" s="1"/>
  <c r="V42" i="56"/>
  <c r="V42" i="84" s="1"/>
  <c r="Y42" i="56"/>
  <c r="Y42" i="84" s="1"/>
  <c r="O42" i="56"/>
  <c r="O42" i="84" s="1"/>
  <c r="Q42" i="56"/>
  <c r="Q42" i="84" s="1"/>
  <c r="W42" i="56"/>
  <c r="W42" i="84" s="1"/>
  <c r="S42" i="56"/>
  <c r="S42" i="84" s="1"/>
  <c r="P42" i="56"/>
  <c r="P42" i="84" s="1"/>
  <c r="Q42" i="90"/>
  <c r="R42" i="90"/>
  <c r="T42" i="90"/>
  <c r="P42" i="90"/>
  <c r="U42" i="90"/>
  <c r="N42" i="90"/>
  <c r="S42" i="90"/>
  <c r="V42" i="90"/>
  <c r="O42" i="90"/>
  <c r="U44" i="62"/>
  <c r="U44" i="86" s="1"/>
  <c r="P44" i="62"/>
  <c r="P44" i="86" s="1"/>
  <c r="S44" i="62"/>
  <c r="S44" i="86" s="1"/>
  <c r="Q44" i="62"/>
  <c r="Q44" i="86" s="1"/>
  <c r="R44" i="62"/>
  <c r="R44" i="86" s="1"/>
  <c r="T44" i="62"/>
  <c r="T44" i="86" s="1"/>
  <c r="U39" i="90"/>
  <c r="O39" i="90"/>
  <c r="S39" i="90"/>
  <c r="P39" i="90"/>
  <c r="N39" i="90"/>
  <c r="Q39" i="90"/>
  <c r="V39" i="90"/>
  <c r="T39" i="90"/>
  <c r="R39" i="90"/>
  <c r="W46" i="82"/>
  <c r="P46" i="82"/>
  <c r="Q46" i="82"/>
  <c r="S46" i="82"/>
  <c r="O46" i="82"/>
  <c r="U46" i="82"/>
  <c r="T46" i="82"/>
  <c r="N46" i="82"/>
  <c r="R46" i="82"/>
  <c r="V46" i="82"/>
  <c r="W43" i="54"/>
  <c r="W43" i="82" s="1"/>
  <c r="P43" i="54"/>
  <c r="P43" i="82" s="1"/>
  <c r="S43" i="54"/>
  <c r="S43" i="82" s="1"/>
  <c r="Q43" i="54"/>
  <c r="Q43" i="82" s="1"/>
  <c r="T43" i="54"/>
  <c r="T43" i="82" s="1"/>
  <c r="R43" i="54"/>
  <c r="R43" i="82" s="1"/>
  <c r="U43" i="54"/>
  <c r="U43" i="82" s="1"/>
  <c r="N43" i="54"/>
  <c r="N43" i="82" s="1"/>
  <c r="O43" i="54"/>
  <c r="O43" i="82" s="1"/>
  <c r="V43" i="54"/>
  <c r="V43" i="82" s="1"/>
  <c r="V38" i="90"/>
  <c r="N38" i="90"/>
  <c r="O38" i="90"/>
  <c r="P38" i="90"/>
  <c r="R38" i="90"/>
  <c r="S38" i="90"/>
  <c r="U38" i="90"/>
  <c r="T38" i="90"/>
  <c r="Q38" i="90"/>
  <c r="P45" i="62"/>
  <c r="P45" i="86" s="1"/>
  <c r="Q45" i="62"/>
  <c r="Q45" i="86" s="1"/>
  <c r="R45" i="62"/>
  <c r="R45" i="86" s="1"/>
  <c r="T45" i="62"/>
  <c r="T45" i="86" s="1"/>
  <c r="S45" i="62"/>
  <c r="S45" i="86" s="1"/>
  <c r="U45" i="62"/>
  <c r="U45" i="86" s="1"/>
  <c r="O51" i="54"/>
  <c r="O51" i="82" s="1"/>
  <c r="N51" i="54"/>
  <c r="N51" i="82" s="1"/>
  <c r="W51" i="54"/>
  <c r="W51" i="82" s="1"/>
  <c r="V51" i="54"/>
  <c r="V51" i="82" s="1"/>
  <c r="P51" i="54"/>
  <c r="P51" i="82" s="1"/>
  <c r="U51" i="54"/>
  <c r="U51" i="82" s="1"/>
  <c r="Q51" i="54"/>
  <c r="Q51" i="82" s="1"/>
  <c r="T51" i="54"/>
  <c r="T51" i="82" s="1"/>
  <c r="R51" i="54"/>
  <c r="R51" i="82" s="1"/>
  <c r="S51" i="54"/>
  <c r="S51" i="82" s="1"/>
  <c r="T45" i="90"/>
  <c r="N45" i="90"/>
  <c r="S45" i="90"/>
  <c r="R45" i="90"/>
  <c r="Q45" i="90"/>
  <c r="U45" i="90"/>
  <c r="V45" i="90"/>
  <c r="O45" i="90"/>
  <c r="P45" i="90"/>
  <c r="R46" i="62"/>
  <c r="R46" i="86" s="1"/>
  <c r="T46" i="62"/>
  <c r="T46" i="86" s="1"/>
  <c r="S46" i="62"/>
  <c r="S46" i="86" s="1"/>
  <c r="U46" i="62"/>
  <c r="U46" i="86" s="1"/>
  <c r="P46" i="62"/>
  <c r="P46" i="86" s="1"/>
  <c r="Q46" i="62"/>
  <c r="Q46" i="86" s="1"/>
  <c r="N44" i="56"/>
  <c r="N44" i="84" s="1"/>
  <c r="U44" i="56"/>
  <c r="U44" i="84" s="1"/>
  <c r="V44" i="56"/>
  <c r="V44" i="84" s="1"/>
  <c r="Y44" i="56"/>
  <c r="Y44" i="84" s="1"/>
  <c r="O44" i="56"/>
  <c r="O44" i="84" s="1"/>
  <c r="Q44" i="56"/>
  <c r="Q44" i="84" s="1"/>
  <c r="W44" i="56"/>
  <c r="W44" i="84" s="1"/>
  <c r="S44" i="56"/>
  <c r="S44" i="84" s="1"/>
  <c r="Z44" i="56"/>
  <c r="Z44" i="84" s="1"/>
  <c r="P44" i="56"/>
  <c r="P44" i="84" s="1"/>
  <c r="T44" i="56"/>
  <c r="T44" i="84" s="1"/>
  <c r="X44" i="56"/>
  <c r="X44" i="84" s="1"/>
  <c r="AA44" i="56"/>
  <c r="AA44" i="84" s="1"/>
  <c r="R44" i="56"/>
  <c r="R44" i="84" s="1"/>
  <c r="R43" i="62"/>
  <c r="R43" i="86" s="1"/>
  <c r="T43" i="62"/>
  <c r="T43" i="86" s="1"/>
  <c r="S43" i="62"/>
  <c r="S43" i="86" s="1"/>
  <c r="Q43" i="62"/>
  <c r="Q43" i="86" s="1"/>
  <c r="U43" i="62"/>
  <c r="U43" i="86" s="1"/>
  <c r="P43" i="62"/>
  <c r="P43" i="86" s="1"/>
  <c r="R38" i="62"/>
  <c r="R38" i="86" s="1"/>
  <c r="T38" i="62"/>
  <c r="T38" i="86" s="1"/>
  <c r="S38" i="62"/>
  <c r="S38" i="86" s="1"/>
  <c r="P38" i="62"/>
  <c r="P38" i="86" s="1"/>
  <c r="Q38" i="62"/>
  <c r="Q38" i="86" s="1"/>
  <c r="U38" i="62"/>
  <c r="U38" i="86" s="1"/>
  <c r="R44" i="90"/>
  <c r="U44" i="90"/>
  <c r="Q44" i="90"/>
  <c r="S44" i="90"/>
  <c r="P44" i="90"/>
  <c r="T44" i="90"/>
  <c r="N44" i="90"/>
  <c r="V44" i="90"/>
  <c r="O44" i="90"/>
  <c r="W43" i="56"/>
  <c r="W43" i="84" s="1"/>
  <c r="AA43" i="56"/>
  <c r="AA43" i="84" s="1"/>
  <c r="P43" i="56"/>
  <c r="P43" i="84" s="1"/>
  <c r="T43" i="56"/>
  <c r="T43" i="84" s="1"/>
  <c r="V43" i="56"/>
  <c r="V43" i="84" s="1"/>
  <c r="O43" i="56"/>
  <c r="O43" i="84" s="1"/>
  <c r="X43" i="56"/>
  <c r="X43" i="84" s="1"/>
  <c r="S43" i="56"/>
  <c r="S43" i="84" s="1"/>
  <c r="Y43" i="56"/>
  <c r="Y43" i="84" s="1"/>
  <c r="Q43" i="56"/>
  <c r="Q43" i="84" s="1"/>
  <c r="R43" i="56"/>
  <c r="R43" i="84" s="1"/>
  <c r="Z43" i="56"/>
  <c r="Z43" i="84" s="1"/>
  <c r="N43" i="56"/>
  <c r="N43" i="84" s="1"/>
  <c r="U43" i="56"/>
  <c r="U43" i="84" s="1"/>
  <c r="V38" i="56"/>
  <c r="V38" i="84" s="1"/>
  <c r="Y38" i="56"/>
  <c r="Y38" i="84" s="1"/>
  <c r="O38" i="56"/>
  <c r="O38" i="84" s="1"/>
  <c r="Q38" i="56"/>
  <c r="Q38" i="84" s="1"/>
  <c r="W38" i="56"/>
  <c r="W38" i="84" s="1"/>
  <c r="S38" i="56"/>
  <c r="S38" i="84" s="1"/>
  <c r="P38" i="56"/>
  <c r="P38" i="84" s="1"/>
  <c r="T38" i="56"/>
  <c r="T38" i="84" s="1"/>
  <c r="U38" i="56"/>
  <c r="U38" i="84" s="1"/>
  <c r="X38" i="56"/>
  <c r="X38" i="84" s="1"/>
  <c r="AA38" i="56"/>
  <c r="AA38" i="84" s="1"/>
  <c r="R38" i="56"/>
  <c r="R38" i="84" s="1"/>
  <c r="N38" i="56"/>
  <c r="N38" i="84" s="1"/>
  <c r="Z38" i="56"/>
  <c r="Z38" i="84" s="1"/>
  <c r="W46" i="54"/>
  <c r="V46" i="54"/>
  <c r="P46" i="54"/>
  <c r="N46" i="54"/>
  <c r="Q46" i="54"/>
  <c r="R46" i="54"/>
  <c r="S46" i="54"/>
  <c r="T46" i="54"/>
  <c r="O46" i="54"/>
  <c r="U46" i="54"/>
  <c r="Q39" i="62"/>
  <c r="Q39" i="86" s="1"/>
  <c r="R39" i="62"/>
  <c r="R39" i="86" s="1"/>
  <c r="T39" i="62"/>
  <c r="T39" i="86" s="1"/>
  <c r="S39" i="62"/>
  <c r="S39" i="86" s="1"/>
  <c r="P39" i="62"/>
  <c r="P39" i="86" s="1"/>
  <c r="U39" i="62"/>
  <c r="U39" i="86" s="1"/>
  <c r="O45" i="56"/>
  <c r="O45" i="84" s="1"/>
  <c r="Q45" i="56"/>
  <c r="Q45" i="84" s="1"/>
  <c r="W45" i="56"/>
  <c r="W45" i="84" s="1"/>
  <c r="T45" i="56"/>
  <c r="T45" i="84" s="1"/>
  <c r="Y45" i="56"/>
  <c r="Y45" i="84" s="1"/>
  <c r="P45" i="56"/>
  <c r="P45" i="84" s="1"/>
  <c r="AA45" i="56"/>
  <c r="AA45" i="84" s="1"/>
  <c r="X45" i="56"/>
  <c r="X45" i="84" s="1"/>
  <c r="S45" i="56"/>
  <c r="S45" i="84" s="1"/>
  <c r="R45" i="56"/>
  <c r="R45" i="84" s="1"/>
  <c r="Z45" i="56"/>
  <c r="Z45" i="84" s="1"/>
  <c r="V45" i="56"/>
  <c r="V45" i="84" s="1"/>
  <c r="N45" i="56"/>
  <c r="N45" i="84" s="1"/>
  <c r="U45" i="56"/>
  <c r="U45" i="84" s="1"/>
  <c r="R46" i="90"/>
  <c r="S46" i="90"/>
  <c r="T46" i="90"/>
  <c r="P46" i="90"/>
  <c r="V46" i="90"/>
  <c r="U46" i="90"/>
  <c r="O46" i="90"/>
  <c r="N46" i="90"/>
  <c r="Q46" i="90"/>
  <c r="J37" i="61"/>
  <c r="V43" i="90"/>
  <c r="O43" i="90"/>
  <c r="Q43" i="90"/>
  <c r="U43" i="90"/>
  <c r="R43" i="90"/>
  <c r="N43" i="90"/>
  <c r="S43" i="90"/>
  <c r="P43" i="90"/>
  <c r="T43" i="90"/>
  <c r="P39" i="54"/>
  <c r="P39" i="82" s="1"/>
  <c r="S39" i="54"/>
  <c r="S39" i="82" s="1"/>
  <c r="Q39" i="54"/>
  <c r="Q39" i="82" s="1"/>
  <c r="T39" i="54"/>
  <c r="T39" i="82" s="1"/>
  <c r="R39" i="54"/>
  <c r="R39" i="82" s="1"/>
  <c r="U39" i="54"/>
  <c r="U39" i="82" s="1"/>
  <c r="W39" i="54"/>
  <c r="W39" i="82" s="1"/>
  <c r="N39" i="54"/>
  <c r="N39" i="82" s="1"/>
  <c r="O39" i="54"/>
  <c r="O39" i="82" s="1"/>
  <c r="V39" i="54"/>
  <c r="V39" i="82" s="1"/>
  <c r="N45" i="54"/>
  <c r="N45" i="82" s="1"/>
  <c r="V45" i="54"/>
  <c r="V45" i="82" s="1"/>
  <c r="O45" i="54"/>
  <c r="O45" i="82" s="1"/>
  <c r="W45" i="54"/>
  <c r="W45" i="82" s="1"/>
  <c r="P45" i="54"/>
  <c r="P45" i="82" s="1"/>
  <c r="S45" i="54"/>
  <c r="S45" i="82" s="1"/>
  <c r="Q45" i="54"/>
  <c r="Q45" i="82" s="1"/>
  <c r="T45" i="54"/>
  <c r="T45" i="82" s="1"/>
  <c r="R45" i="54"/>
  <c r="R45" i="82" s="1"/>
  <c r="U45" i="54"/>
  <c r="U45" i="82" s="1"/>
  <c r="T51" i="90"/>
  <c r="N51" i="90"/>
  <c r="U51" i="90"/>
  <c r="V51" i="90"/>
  <c r="O51" i="90"/>
  <c r="P51" i="90"/>
  <c r="Q51" i="90"/>
  <c r="R51" i="90"/>
  <c r="S51" i="90"/>
  <c r="S37" i="52"/>
  <c r="T37" i="52"/>
  <c r="Q37" i="52"/>
  <c r="P37" i="52"/>
  <c r="W42" i="54"/>
  <c r="W42" i="82" s="1"/>
  <c r="N42" i="54"/>
  <c r="N42" i="82" s="1"/>
  <c r="P42" i="54"/>
  <c r="P42" i="82" s="1"/>
  <c r="U42" i="54"/>
  <c r="U42" i="82" s="1"/>
  <c r="Q42" i="54"/>
  <c r="Q42" i="82" s="1"/>
  <c r="O42" i="54"/>
  <c r="O42" i="82" s="1"/>
  <c r="R42" i="54"/>
  <c r="R42" i="82" s="1"/>
  <c r="S42" i="54"/>
  <c r="S42" i="82" s="1"/>
  <c r="T42" i="54"/>
  <c r="T42" i="82" s="1"/>
  <c r="V42" i="54"/>
  <c r="V42" i="82" s="1"/>
  <c r="R180" i="50"/>
  <c r="F49" i="52" s="1"/>
  <c r="D49" i="52"/>
  <c r="T180" i="50"/>
  <c r="F50" i="52" s="1"/>
  <c r="D50" i="52"/>
  <c r="U42" i="62"/>
  <c r="U42" i="86" s="1"/>
  <c r="Q42" i="62"/>
  <c r="Q42" i="86" s="1"/>
  <c r="T42" i="62"/>
  <c r="T42" i="86" s="1"/>
  <c r="P42" i="62"/>
  <c r="P42" i="86" s="1"/>
  <c r="S42" i="62"/>
  <c r="S42" i="86" s="1"/>
  <c r="R42" i="62"/>
  <c r="R42" i="86" s="1"/>
  <c r="O39" i="56"/>
  <c r="O39" i="84" s="1"/>
  <c r="Q39" i="56"/>
  <c r="Q39" i="84" s="1"/>
  <c r="W39" i="56"/>
  <c r="W39" i="84" s="1"/>
  <c r="T39" i="56"/>
  <c r="T39" i="84" s="1"/>
  <c r="P39" i="56"/>
  <c r="P39" i="84" s="1"/>
  <c r="AA39" i="56"/>
  <c r="AA39" i="84" s="1"/>
  <c r="X39" i="56"/>
  <c r="X39" i="84" s="1"/>
  <c r="S39" i="56"/>
  <c r="S39" i="84" s="1"/>
  <c r="R39" i="56"/>
  <c r="R39" i="84" s="1"/>
  <c r="V39" i="56"/>
  <c r="V39" i="84" s="1"/>
  <c r="Z39" i="56"/>
  <c r="Z39" i="84" s="1"/>
  <c r="N39" i="56"/>
  <c r="N39" i="84" s="1"/>
  <c r="U39" i="56"/>
  <c r="U39" i="84" s="1"/>
  <c r="Y39" i="56"/>
  <c r="Y39" i="84" s="1"/>
  <c r="T51" i="62"/>
  <c r="T51" i="86" s="1"/>
  <c r="S51" i="62"/>
  <c r="S51" i="86" s="1"/>
  <c r="Q51" i="62"/>
  <c r="Q51" i="86" s="1"/>
  <c r="U51" i="62"/>
  <c r="U51" i="86" s="1"/>
  <c r="R51" i="62"/>
  <c r="R51" i="86" s="1"/>
  <c r="P51" i="62"/>
  <c r="P51" i="86" s="1"/>
  <c r="L48" i="52"/>
  <c r="D48" i="61"/>
  <c r="J48" i="61" s="1"/>
  <c r="Q17" i="62"/>
  <c r="S17" i="62"/>
  <c r="Z11" i="84"/>
  <c r="Z17" i="84" s="1"/>
  <c r="Z17" i="56"/>
  <c r="AW20" i="86"/>
  <c r="AW24" i="62"/>
  <c r="P20" i="62"/>
  <c r="F24" i="86"/>
  <c r="L20" i="86"/>
  <c r="L24" i="86" s="1"/>
  <c r="D24" i="82"/>
  <c r="J20" i="82"/>
  <c r="J24" i="82" s="1"/>
  <c r="S11" i="86"/>
  <c r="S17" i="86" s="1"/>
  <c r="AZ17" i="86"/>
  <c r="V11" i="82"/>
  <c r="V17" i="82" s="1"/>
  <c r="V17" i="54"/>
  <c r="T11" i="84"/>
  <c r="T17" i="84" s="1"/>
  <c r="T17" i="56"/>
  <c r="R11" i="84"/>
  <c r="R17" i="84" s="1"/>
  <c r="R17" i="56"/>
  <c r="T17" i="62"/>
  <c r="O11" i="82"/>
  <c r="O17" i="82" s="1"/>
  <c r="O17" i="54"/>
  <c r="AD92" i="5"/>
  <c r="AF92" i="5" s="1"/>
  <c r="AF79" i="5"/>
  <c r="N30" i="61"/>
  <c r="Q30" i="61"/>
  <c r="O30" i="61"/>
  <c r="R30" i="61"/>
  <c r="P30" i="61"/>
  <c r="O29" i="61"/>
  <c r="P29" i="61"/>
  <c r="Q29" i="61"/>
  <c r="R29" i="61"/>
  <c r="N29" i="61"/>
  <c r="O31" i="61"/>
  <c r="Q31" i="61"/>
  <c r="R31" i="61"/>
  <c r="N31" i="61"/>
  <c r="P31" i="61"/>
  <c r="N11" i="82"/>
  <c r="N17" i="82" s="1"/>
  <c r="N17" i="54"/>
  <c r="J20" i="90"/>
  <c r="D24" i="90"/>
  <c r="S11" i="84"/>
  <c r="S17" i="84" s="1"/>
  <c r="S17" i="56"/>
  <c r="X11" i="84"/>
  <c r="X17" i="84" s="1"/>
  <c r="X17" i="56"/>
  <c r="BA17" i="86"/>
  <c r="T11" i="86"/>
  <c r="T17" i="86" s="1"/>
  <c r="Q33" i="61"/>
  <c r="N33" i="61"/>
  <c r="O33" i="61"/>
  <c r="P33" i="61"/>
  <c r="R33" i="61"/>
  <c r="T30" i="52"/>
  <c r="F30" i="88" s="1"/>
  <c r="P30" i="52"/>
  <c r="D30" i="54" s="1"/>
  <c r="Q30" i="52"/>
  <c r="R30" i="52"/>
  <c r="S30" i="52"/>
  <c r="D30" i="56" s="1"/>
  <c r="U17" i="62"/>
  <c r="R31" i="52"/>
  <c r="S31" i="52"/>
  <c r="D31" i="56" s="1"/>
  <c r="Q31" i="52"/>
  <c r="T31" i="52"/>
  <c r="F31" i="88" s="1"/>
  <c r="P31" i="52"/>
  <c r="D31" i="54" s="1"/>
  <c r="Q11" i="84"/>
  <c r="Q17" i="84" s="1"/>
  <c r="Q17" i="56"/>
  <c r="P11" i="84"/>
  <c r="P17" i="84" s="1"/>
  <c r="P17" i="56"/>
  <c r="R33" i="52"/>
  <c r="S33" i="52"/>
  <c r="D33" i="56" s="1"/>
  <c r="Q33" i="52"/>
  <c r="P33" i="52"/>
  <c r="D33" i="54" s="1"/>
  <c r="T33" i="52"/>
  <c r="F33" i="88" s="1"/>
  <c r="AX20" i="86"/>
  <c r="AX24" i="62"/>
  <c r="Q20" i="62"/>
  <c r="Q11" i="86"/>
  <c r="Q17" i="86" s="1"/>
  <c r="AX17" i="86"/>
  <c r="T29" i="52"/>
  <c r="F29" i="88" s="1"/>
  <c r="P29" i="52"/>
  <c r="D29" i="54" s="1"/>
  <c r="S29" i="52"/>
  <c r="D29" i="56" s="1"/>
  <c r="Q29" i="52"/>
  <c r="R29" i="52"/>
  <c r="BB20" i="86"/>
  <c r="U20" i="62"/>
  <c r="BB24" i="62"/>
  <c r="J27" i="61"/>
  <c r="D34" i="61"/>
  <c r="AD180" i="5"/>
  <c r="AF180" i="5" s="1"/>
  <c r="AF164" i="5"/>
  <c r="R11" i="82"/>
  <c r="R17" i="82" s="1"/>
  <c r="R17" i="54"/>
  <c r="U11" i="82"/>
  <c r="U17" i="82" s="1"/>
  <c r="U17" i="54"/>
  <c r="W11" i="84"/>
  <c r="W17" i="84" s="1"/>
  <c r="W17" i="56"/>
  <c r="BA20" i="86"/>
  <c r="T20" i="62"/>
  <c r="T24" i="62" s="1"/>
  <c r="BA24" i="62"/>
  <c r="P17" i="62"/>
  <c r="T27" i="52"/>
  <c r="P27" i="52"/>
  <c r="L34" i="52"/>
  <c r="S27" i="52"/>
  <c r="Q27" i="52"/>
  <c r="R27" i="52"/>
  <c r="N20" i="56"/>
  <c r="V20" i="56"/>
  <c r="O20" i="56"/>
  <c r="W20" i="56"/>
  <c r="P20" i="56"/>
  <c r="X20" i="56"/>
  <c r="R20" i="56"/>
  <c r="Z20" i="56"/>
  <c r="U20" i="56"/>
  <c r="Y20" i="56"/>
  <c r="J24" i="56"/>
  <c r="Q20" i="56"/>
  <c r="S20" i="56"/>
  <c r="T20" i="56"/>
  <c r="AA20" i="56"/>
  <c r="BB17" i="86"/>
  <c r="U11" i="86"/>
  <c r="U17" i="86" s="1"/>
  <c r="Q11" i="82"/>
  <c r="Q17" i="82" s="1"/>
  <c r="Q17" i="54"/>
  <c r="T11" i="82"/>
  <c r="T17" i="82" s="1"/>
  <c r="T17" i="54"/>
  <c r="AA11" i="84"/>
  <c r="AA17" i="84" s="1"/>
  <c r="AA17" i="56"/>
  <c r="O11" i="84"/>
  <c r="O17" i="84" s="1"/>
  <c r="O17" i="56"/>
  <c r="P11" i="86"/>
  <c r="P17" i="86" s="1"/>
  <c r="AW17" i="86"/>
  <c r="R17" i="62"/>
  <c r="J20" i="84"/>
  <c r="J24" i="84" s="1"/>
  <c r="D24" i="84"/>
  <c r="T28" i="52"/>
  <c r="F28" i="88" s="1"/>
  <c r="P28" i="52"/>
  <c r="D28" i="54" s="1"/>
  <c r="Q28" i="52"/>
  <c r="R28" i="52"/>
  <c r="S28" i="52"/>
  <c r="D28" i="56" s="1"/>
  <c r="P11" i="82"/>
  <c r="P17" i="82" s="1"/>
  <c r="P17" i="54"/>
  <c r="S11" i="82"/>
  <c r="S17" i="82" s="1"/>
  <c r="S17" i="54"/>
  <c r="Q11" i="90"/>
  <c r="Q17" i="90" s="1"/>
  <c r="R11" i="90"/>
  <c r="R17" i="90" s="1"/>
  <c r="S11" i="90"/>
  <c r="S17" i="90" s="1"/>
  <c r="T11" i="90"/>
  <c r="T17" i="90" s="1"/>
  <c r="U11" i="90"/>
  <c r="U17" i="90" s="1"/>
  <c r="O11" i="90"/>
  <c r="O17" i="90" s="1"/>
  <c r="J17" i="90"/>
  <c r="P11" i="90"/>
  <c r="P17" i="90" s="1"/>
  <c r="N11" i="90"/>
  <c r="N17" i="90" s="1"/>
  <c r="V11" i="90"/>
  <c r="V17" i="90" s="1"/>
  <c r="Y11" i="84"/>
  <c r="Y17" i="84" s="1"/>
  <c r="Y17" i="56"/>
  <c r="V11" i="84"/>
  <c r="V17" i="84" s="1"/>
  <c r="V17" i="56"/>
  <c r="AZ20" i="86"/>
  <c r="AZ24" i="62"/>
  <c r="S20" i="62"/>
  <c r="AY20" i="86"/>
  <c r="AY24" i="62"/>
  <c r="R20" i="62"/>
  <c r="O20" i="54"/>
  <c r="W20" i="54"/>
  <c r="P20" i="54"/>
  <c r="Q20" i="54"/>
  <c r="R20" i="54"/>
  <c r="S20" i="54"/>
  <c r="T20" i="54"/>
  <c r="U20" i="54"/>
  <c r="J24" i="54"/>
  <c r="V20" i="54"/>
  <c r="N20" i="54"/>
  <c r="R11" i="86"/>
  <c r="R17" i="86" s="1"/>
  <c r="AY17" i="86"/>
  <c r="N28" i="61"/>
  <c r="O28" i="61"/>
  <c r="P28" i="61"/>
  <c r="Q28" i="61"/>
  <c r="R28" i="61"/>
  <c r="W11" i="82"/>
  <c r="W17" i="82" s="1"/>
  <c r="W17" i="54"/>
  <c r="U11" i="84"/>
  <c r="U17" i="84" s="1"/>
  <c r="U17" i="56"/>
  <c r="N11" i="84"/>
  <c r="N17" i="84" s="1"/>
  <c r="N17" i="56"/>
  <c r="Q24" i="62" l="1"/>
  <c r="P24" i="62"/>
  <c r="R32" i="61"/>
  <c r="P32" i="61"/>
  <c r="N32" i="61"/>
  <c r="O32" i="61"/>
  <c r="Q32" i="61"/>
  <c r="S24" i="62"/>
  <c r="Q32" i="52"/>
  <c r="T32" i="52"/>
  <c r="F32" i="88" s="1"/>
  <c r="R32" i="52"/>
  <c r="S32" i="52"/>
  <c r="D32" i="56" s="1"/>
  <c r="P32" i="52"/>
  <c r="D32" i="54" s="1"/>
  <c r="U24" i="62"/>
  <c r="R24" i="62"/>
  <c r="D52" i="52"/>
  <c r="D54" i="52" s="1"/>
  <c r="D37" i="54"/>
  <c r="L50" i="52"/>
  <c r="D50" i="61"/>
  <c r="J50" i="61" s="1"/>
  <c r="F37" i="88"/>
  <c r="D37" i="56"/>
  <c r="N37" i="61"/>
  <c r="O37" i="61"/>
  <c r="R37" i="61"/>
  <c r="Q37" i="61"/>
  <c r="Q48" i="61"/>
  <c r="N48" i="61"/>
  <c r="O48" i="61"/>
  <c r="R48" i="61"/>
  <c r="L49" i="52"/>
  <c r="D49" i="61"/>
  <c r="J49" i="61" s="1"/>
  <c r="T48" i="52"/>
  <c r="F48" i="88" s="1"/>
  <c r="S48" i="52"/>
  <c r="D48" i="56" s="1"/>
  <c r="Q48" i="52"/>
  <c r="F48" i="62" s="1"/>
  <c r="P48" i="52"/>
  <c r="D48" i="54" s="1"/>
  <c r="F52" i="52"/>
  <c r="F54" i="52" s="1"/>
  <c r="F37" i="62"/>
  <c r="D28" i="84"/>
  <c r="J28" i="84" s="1"/>
  <c r="J28" i="56"/>
  <c r="Q20" i="84"/>
  <c r="Q24" i="84" s="1"/>
  <c r="Q24" i="56"/>
  <c r="W20" i="84"/>
  <c r="W24" i="84" s="1"/>
  <c r="W24" i="56"/>
  <c r="L29" i="88"/>
  <c r="D29" i="90"/>
  <c r="J29" i="90" s="1"/>
  <c r="D33" i="90"/>
  <c r="L33" i="88"/>
  <c r="D30" i="90"/>
  <c r="J30" i="90" s="1"/>
  <c r="L30" i="88"/>
  <c r="U20" i="82"/>
  <c r="U24" i="82" s="1"/>
  <c r="U24" i="54"/>
  <c r="T20" i="82"/>
  <c r="T24" i="82" s="1"/>
  <c r="T24" i="54"/>
  <c r="O20" i="84"/>
  <c r="O24" i="84" s="1"/>
  <c r="O24" i="56"/>
  <c r="D27" i="54"/>
  <c r="U20" i="86"/>
  <c r="U24" i="86" s="1"/>
  <c r="BB24" i="86"/>
  <c r="D33" i="82"/>
  <c r="J33" i="54"/>
  <c r="T20" i="90"/>
  <c r="T24" i="90" s="1"/>
  <c r="U20" i="90"/>
  <c r="U24" i="90" s="1"/>
  <c r="N20" i="90"/>
  <c r="N24" i="90" s="1"/>
  <c r="V20" i="90"/>
  <c r="V24" i="90" s="1"/>
  <c r="O20" i="90"/>
  <c r="O24" i="90" s="1"/>
  <c r="P20" i="90"/>
  <c r="P24" i="90" s="1"/>
  <c r="R20" i="90"/>
  <c r="R24" i="90" s="1"/>
  <c r="S20" i="90"/>
  <c r="S24" i="90" s="1"/>
  <c r="J24" i="90"/>
  <c r="Q20" i="90"/>
  <c r="Q24" i="90" s="1"/>
  <c r="V20" i="84"/>
  <c r="V24" i="84" s="1"/>
  <c r="V24" i="56"/>
  <c r="F27" i="88"/>
  <c r="T34" i="52"/>
  <c r="F33" i="62"/>
  <c r="AU33" i="62"/>
  <c r="S20" i="82"/>
  <c r="S24" i="82" s="1"/>
  <c r="S24" i="54"/>
  <c r="Y20" i="84"/>
  <c r="Y24" i="84" s="1"/>
  <c r="Y24" i="56"/>
  <c r="R20" i="82"/>
  <c r="R24" i="82" s="1"/>
  <c r="R24" i="54"/>
  <c r="D28" i="82"/>
  <c r="J28" i="82" s="1"/>
  <c r="J28" i="54"/>
  <c r="U20" i="84"/>
  <c r="U24" i="84" s="1"/>
  <c r="U24" i="56"/>
  <c r="N20" i="84"/>
  <c r="N24" i="84" s="1"/>
  <c r="N24" i="56"/>
  <c r="D33" i="84"/>
  <c r="J33" i="56"/>
  <c r="Z20" i="84"/>
  <c r="Z24" i="84" s="1"/>
  <c r="Z24" i="56"/>
  <c r="Q27" i="61"/>
  <c r="R27" i="61"/>
  <c r="R34" i="61" s="1"/>
  <c r="N27" i="61"/>
  <c r="O27" i="61"/>
  <c r="P27" i="61"/>
  <c r="P34" i="61" s="1"/>
  <c r="J34" i="61"/>
  <c r="D31" i="82"/>
  <c r="J31" i="82" s="1"/>
  <c r="J31" i="54"/>
  <c r="D30" i="84"/>
  <c r="J30" i="84" s="1"/>
  <c r="J30" i="56"/>
  <c r="AW24" i="86"/>
  <c r="P20" i="86"/>
  <c r="P24" i="86" s="1"/>
  <c r="D28" i="90"/>
  <c r="J28" i="90" s="1"/>
  <c r="L28" i="88"/>
  <c r="N20" i="82"/>
  <c r="N24" i="82" s="1"/>
  <c r="N24" i="54"/>
  <c r="P20" i="82"/>
  <c r="P24" i="82" s="1"/>
  <c r="P24" i="54"/>
  <c r="AA20" i="84"/>
  <c r="AA24" i="84" s="1"/>
  <c r="AA24" i="56"/>
  <c r="R20" i="84"/>
  <c r="R24" i="84" s="1"/>
  <c r="R24" i="56"/>
  <c r="R34" i="52"/>
  <c r="F29" i="62"/>
  <c r="AU29" i="62"/>
  <c r="D31" i="90"/>
  <c r="J31" i="90" s="1"/>
  <c r="L31" i="88"/>
  <c r="R20" i="86"/>
  <c r="R24" i="86" s="1"/>
  <c r="AY24" i="86"/>
  <c r="V20" i="82"/>
  <c r="V24" i="82" s="1"/>
  <c r="V24" i="54"/>
  <c r="W20" i="82"/>
  <c r="W24" i="82" s="1"/>
  <c r="W24" i="54"/>
  <c r="T20" i="84"/>
  <c r="T24" i="84" s="1"/>
  <c r="T24" i="56"/>
  <c r="X20" i="84"/>
  <c r="X24" i="84" s="1"/>
  <c r="X24" i="56"/>
  <c r="AU27" i="62"/>
  <c r="F27" i="62"/>
  <c r="Q34" i="52"/>
  <c r="BA24" i="86"/>
  <c r="T20" i="86"/>
  <c r="T24" i="86" s="1"/>
  <c r="D29" i="84"/>
  <c r="J29" i="84" s="1"/>
  <c r="J29" i="56"/>
  <c r="F31" i="62"/>
  <c r="AU31" i="62"/>
  <c r="F30" i="62"/>
  <c r="AU30" i="62"/>
  <c r="F28" i="62"/>
  <c r="AU28" i="62"/>
  <c r="Q20" i="82"/>
  <c r="Q24" i="82" s="1"/>
  <c r="Q24" i="54"/>
  <c r="O20" i="82"/>
  <c r="O24" i="82" s="1"/>
  <c r="O24" i="54"/>
  <c r="S20" i="86"/>
  <c r="S24" i="86" s="1"/>
  <c r="AZ24" i="86"/>
  <c r="S20" i="84"/>
  <c r="S24" i="84" s="1"/>
  <c r="S24" i="56"/>
  <c r="P20" i="84"/>
  <c r="P24" i="84" s="1"/>
  <c r="P24" i="56"/>
  <c r="S34" i="52"/>
  <c r="D27" i="56"/>
  <c r="D29" i="82"/>
  <c r="J29" i="82" s="1"/>
  <c r="J29" i="54"/>
  <c r="Q20" i="86"/>
  <c r="Q24" i="86" s="1"/>
  <c r="AX24" i="86"/>
  <c r="D31" i="84"/>
  <c r="J31" i="84" s="1"/>
  <c r="J31" i="56"/>
  <c r="D30" i="82"/>
  <c r="J30" i="82" s="1"/>
  <c r="J30" i="54"/>
  <c r="J52" i="61" l="1"/>
  <c r="N34" i="61"/>
  <c r="P34" i="52"/>
  <c r="O34" i="61"/>
  <c r="F32" i="62"/>
  <c r="F34" i="62" s="1"/>
  <c r="AU32" i="62"/>
  <c r="AU34" i="62" s="1"/>
  <c r="Q34" i="61"/>
  <c r="D32" i="82"/>
  <c r="J32" i="82" s="1"/>
  <c r="J32" i="54"/>
  <c r="D32" i="84"/>
  <c r="J32" i="84" s="1"/>
  <c r="J32" i="56"/>
  <c r="D32" i="90"/>
  <c r="J32" i="90" s="1"/>
  <c r="L32" i="88"/>
  <c r="J54" i="61"/>
  <c r="D52" i="61"/>
  <c r="D54" i="61" s="1"/>
  <c r="D48" i="84"/>
  <c r="J48" i="84" s="1"/>
  <c r="J48" i="56"/>
  <c r="D48" i="90"/>
  <c r="J48" i="90" s="1"/>
  <c r="T48" i="90" s="1"/>
  <c r="L48" i="88"/>
  <c r="D37" i="90"/>
  <c r="L37" i="88"/>
  <c r="N49" i="61"/>
  <c r="O49" i="61"/>
  <c r="Q49" i="61"/>
  <c r="R49" i="61"/>
  <c r="N50" i="61"/>
  <c r="O50" i="61"/>
  <c r="Q50" i="61"/>
  <c r="R50" i="61"/>
  <c r="F37" i="86"/>
  <c r="L37" i="62"/>
  <c r="Q49" i="52"/>
  <c r="S49" i="52"/>
  <c r="D49" i="56" s="1"/>
  <c r="T49" i="52"/>
  <c r="F49" i="88" s="1"/>
  <c r="P49" i="52"/>
  <c r="D49" i="54" s="1"/>
  <c r="L52" i="52"/>
  <c r="L54" i="52" s="1"/>
  <c r="P50" i="52"/>
  <c r="D50" i="54" s="1"/>
  <c r="Q50" i="52"/>
  <c r="F50" i="62" s="1"/>
  <c r="S50" i="52"/>
  <c r="D50" i="56" s="1"/>
  <c r="T50" i="52"/>
  <c r="F50" i="88" s="1"/>
  <c r="D48" i="82"/>
  <c r="J48" i="82" s="1"/>
  <c r="J48" i="54"/>
  <c r="J37" i="54"/>
  <c r="D37" i="82"/>
  <c r="F48" i="86"/>
  <c r="L48" i="86" s="1"/>
  <c r="L48" i="62"/>
  <c r="J37" i="56"/>
  <c r="D37" i="84"/>
  <c r="F31" i="86"/>
  <c r="L31" i="86" s="1"/>
  <c r="L31" i="62"/>
  <c r="N33" i="56"/>
  <c r="N33" i="84" s="1"/>
  <c r="V33" i="56"/>
  <c r="V33" i="84" s="1"/>
  <c r="O33" i="56"/>
  <c r="O33" i="84" s="1"/>
  <c r="W33" i="56"/>
  <c r="W33" i="84" s="1"/>
  <c r="P33" i="56"/>
  <c r="P33" i="84" s="1"/>
  <c r="X33" i="56"/>
  <c r="X33" i="84" s="1"/>
  <c r="R33" i="56"/>
  <c r="R33" i="84" s="1"/>
  <c r="Z33" i="56"/>
  <c r="Z33" i="84" s="1"/>
  <c r="U33" i="56"/>
  <c r="U33" i="84" s="1"/>
  <c r="Y33" i="56"/>
  <c r="Y33" i="84" s="1"/>
  <c r="Q33" i="56"/>
  <c r="Q33" i="84" s="1"/>
  <c r="AA33" i="56"/>
  <c r="AA33" i="84" s="1"/>
  <c r="T33" i="56"/>
  <c r="T33" i="84" s="1"/>
  <c r="S33" i="56"/>
  <c r="S33" i="84" s="1"/>
  <c r="D27" i="90"/>
  <c r="F34" i="88"/>
  <c r="L27" i="88"/>
  <c r="D27" i="82"/>
  <c r="J27" i="54"/>
  <c r="D34" i="54"/>
  <c r="AU31" i="86"/>
  <c r="AX31" i="62"/>
  <c r="AY31" i="62"/>
  <c r="AZ31" i="62"/>
  <c r="BA31" i="62"/>
  <c r="BB31" i="62"/>
  <c r="AW31" i="62"/>
  <c r="P28" i="88"/>
  <c r="X28" i="88"/>
  <c r="Q28" i="88"/>
  <c r="R28" i="88"/>
  <c r="S28" i="88"/>
  <c r="T28" i="88"/>
  <c r="V28" i="88"/>
  <c r="U28" i="88"/>
  <c r="W28" i="88"/>
  <c r="R28" i="90"/>
  <c r="S28" i="90"/>
  <c r="T28" i="90"/>
  <c r="U28" i="90"/>
  <c r="N28" i="90"/>
  <c r="V28" i="90"/>
  <c r="P28" i="90"/>
  <c r="Q28" i="90"/>
  <c r="O28" i="90"/>
  <c r="S29" i="54"/>
  <c r="S29" i="82" s="1"/>
  <c r="T29" i="54"/>
  <c r="T29" i="82" s="1"/>
  <c r="U29" i="54"/>
  <c r="U29" i="82" s="1"/>
  <c r="N29" i="54"/>
  <c r="N29" i="82" s="1"/>
  <c r="V29" i="54"/>
  <c r="V29" i="82" s="1"/>
  <c r="O29" i="54"/>
  <c r="O29" i="82" s="1"/>
  <c r="W29" i="54"/>
  <c r="W29" i="82" s="1"/>
  <c r="P29" i="54"/>
  <c r="P29" i="82" s="1"/>
  <c r="Q29" i="54"/>
  <c r="Q29" i="82" s="1"/>
  <c r="R29" i="54"/>
  <c r="R29" i="82" s="1"/>
  <c r="F27" i="86"/>
  <c r="L27" i="62"/>
  <c r="N30" i="56"/>
  <c r="N30" i="84" s="1"/>
  <c r="V30" i="56"/>
  <c r="V30" i="84" s="1"/>
  <c r="O30" i="56"/>
  <c r="O30" i="84" s="1"/>
  <c r="W30" i="56"/>
  <c r="W30" i="84" s="1"/>
  <c r="P30" i="56"/>
  <c r="P30" i="84" s="1"/>
  <c r="X30" i="56"/>
  <c r="X30" i="84" s="1"/>
  <c r="R30" i="56"/>
  <c r="R30" i="84" s="1"/>
  <c r="Z30" i="56"/>
  <c r="Z30" i="84" s="1"/>
  <c r="U30" i="56"/>
  <c r="U30" i="84" s="1"/>
  <c r="Y30" i="56"/>
  <c r="Y30" i="84" s="1"/>
  <c r="Q30" i="56"/>
  <c r="Q30" i="84" s="1"/>
  <c r="S30" i="56"/>
  <c r="S30" i="84" s="1"/>
  <c r="T30" i="56"/>
  <c r="T30" i="84" s="1"/>
  <c r="AA30" i="56"/>
  <c r="AA30" i="84" s="1"/>
  <c r="O29" i="90"/>
  <c r="P29" i="90"/>
  <c r="Q29" i="90"/>
  <c r="R29" i="90"/>
  <c r="S29" i="90"/>
  <c r="U29" i="90"/>
  <c r="N29" i="90"/>
  <c r="V29" i="90"/>
  <c r="T29" i="90"/>
  <c r="O30" i="54"/>
  <c r="O30" i="82" s="1"/>
  <c r="W30" i="54"/>
  <c r="W30" i="82" s="1"/>
  <c r="P30" i="54"/>
  <c r="P30" i="82" s="1"/>
  <c r="Q30" i="54"/>
  <c r="Q30" i="82" s="1"/>
  <c r="R30" i="54"/>
  <c r="R30" i="82" s="1"/>
  <c r="S30" i="54"/>
  <c r="S30" i="82" s="1"/>
  <c r="T30" i="54"/>
  <c r="T30" i="82" s="1"/>
  <c r="U30" i="54"/>
  <c r="U30" i="82" s="1"/>
  <c r="N30" i="54"/>
  <c r="N30" i="82" s="1"/>
  <c r="V30" i="54"/>
  <c r="V30" i="82" s="1"/>
  <c r="N29" i="56"/>
  <c r="N29" i="84" s="1"/>
  <c r="V29" i="56"/>
  <c r="V29" i="84" s="1"/>
  <c r="O29" i="56"/>
  <c r="O29" i="84" s="1"/>
  <c r="W29" i="56"/>
  <c r="W29" i="84" s="1"/>
  <c r="P29" i="56"/>
  <c r="P29" i="84" s="1"/>
  <c r="X29" i="56"/>
  <c r="X29" i="84" s="1"/>
  <c r="R29" i="56"/>
  <c r="R29" i="84" s="1"/>
  <c r="Z29" i="56"/>
  <c r="Z29" i="84" s="1"/>
  <c r="U29" i="56"/>
  <c r="U29" i="84" s="1"/>
  <c r="Y29" i="56"/>
  <c r="Y29" i="84" s="1"/>
  <c r="Q29" i="56"/>
  <c r="Q29" i="84" s="1"/>
  <c r="T29" i="56"/>
  <c r="T29" i="84" s="1"/>
  <c r="AA29" i="56"/>
  <c r="AA29" i="84" s="1"/>
  <c r="S29" i="56"/>
  <c r="S29" i="84" s="1"/>
  <c r="AU27" i="86"/>
  <c r="AX27" i="62"/>
  <c r="AY27" i="62"/>
  <c r="AZ27" i="62"/>
  <c r="BA27" i="62"/>
  <c r="BB27" i="62"/>
  <c r="AW27" i="62"/>
  <c r="W31" i="88"/>
  <c r="P31" i="88"/>
  <c r="X31" i="88"/>
  <c r="Q31" i="88"/>
  <c r="R31" i="88"/>
  <c r="S31" i="88"/>
  <c r="U31" i="88"/>
  <c r="T31" i="88"/>
  <c r="V31" i="88"/>
  <c r="AU33" i="86"/>
  <c r="BB33" i="62"/>
  <c r="AX33" i="62"/>
  <c r="AW33" i="62"/>
  <c r="AY33" i="62"/>
  <c r="AZ33" i="62"/>
  <c r="BA33" i="62"/>
  <c r="U29" i="88"/>
  <c r="V29" i="88"/>
  <c r="W29" i="88"/>
  <c r="P29" i="88"/>
  <c r="X29" i="88"/>
  <c r="Q29" i="88"/>
  <c r="S29" i="88"/>
  <c r="R29" i="88"/>
  <c r="T29" i="88"/>
  <c r="F30" i="86"/>
  <c r="L30" i="86" s="1"/>
  <c r="L30" i="62"/>
  <c r="Q33" i="88"/>
  <c r="S33" i="88"/>
  <c r="T33" i="88"/>
  <c r="U33" i="88"/>
  <c r="R33" i="88"/>
  <c r="V33" i="88"/>
  <c r="W33" i="88"/>
  <c r="X33" i="88"/>
  <c r="P33" i="88"/>
  <c r="AU28" i="86"/>
  <c r="AZ28" i="62"/>
  <c r="BA28" i="62"/>
  <c r="BB28" i="62"/>
  <c r="AW28" i="62"/>
  <c r="AX28" i="62"/>
  <c r="AY28" i="62"/>
  <c r="Q31" i="90"/>
  <c r="R31" i="90"/>
  <c r="S31" i="90"/>
  <c r="T31" i="90"/>
  <c r="U31" i="90"/>
  <c r="O31" i="90"/>
  <c r="P31" i="90"/>
  <c r="V31" i="90"/>
  <c r="N31" i="90"/>
  <c r="S31" i="54"/>
  <c r="S31" i="82" s="1"/>
  <c r="T31" i="54"/>
  <c r="T31" i="82" s="1"/>
  <c r="U31" i="54"/>
  <c r="U31" i="82" s="1"/>
  <c r="N31" i="54"/>
  <c r="N31" i="82" s="1"/>
  <c r="V31" i="54"/>
  <c r="V31" i="82" s="1"/>
  <c r="O31" i="54"/>
  <c r="O31" i="82" s="1"/>
  <c r="W31" i="54"/>
  <c r="W31" i="82" s="1"/>
  <c r="P31" i="54"/>
  <c r="P31" i="82" s="1"/>
  <c r="Q31" i="54"/>
  <c r="Q31" i="82" s="1"/>
  <c r="R31" i="54"/>
  <c r="R31" i="82" s="1"/>
  <c r="F33" i="86"/>
  <c r="L33" i="86" s="1"/>
  <c r="L33" i="62"/>
  <c r="S33" i="54"/>
  <c r="S33" i="82" s="1"/>
  <c r="T33" i="54"/>
  <c r="T33" i="82" s="1"/>
  <c r="U33" i="54"/>
  <c r="U33" i="82" s="1"/>
  <c r="N33" i="54"/>
  <c r="N33" i="82" s="1"/>
  <c r="V33" i="54"/>
  <c r="V33" i="82" s="1"/>
  <c r="O33" i="54"/>
  <c r="O33" i="82" s="1"/>
  <c r="W33" i="54"/>
  <c r="W33" i="82" s="1"/>
  <c r="P33" i="54"/>
  <c r="P33" i="82" s="1"/>
  <c r="Q33" i="54"/>
  <c r="Q33" i="82" s="1"/>
  <c r="R33" i="54"/>
  <c r="R33" i="82" s="1"/>
  <c r="N31" i="56"/>
  <c r="N31" i="84" s="1"/>
  <c r="V31" i="56"/>
  <c r="V31" i="84" s="1"/>
  <c r="O31" i="56"/>
  <c r="O31" i="84" s="1"/>
  <c r="W31" i="56"/>
  <c r="W31" i="84" s="1"/>
  <c r="P31" i="56"/>
  <c r="P31" i="84" s="1"/>
  <c r="X31" i="56"/>
  <c r="X31" i="84" s="1"/>
  <c r="R31" i="56"/>
  <c r="R31" i="84" s="1"/>
  <c r="Z31" i="56"/>
  <c r="Z31" i="84" s="1"/>
  <c r="U31" i="56"/>
  <c r="U31" i="84" s="1"/>
  <c r="Y31" i="56"/>
  <c r="Y31" i="84" s="1"/>
  <c r="Q31" i="56"/>
  <c r="Q31" i="84" s="1"/>
  <c r="T31" i="56"/>
  <c r="T31" i="84" s="1"/>
  <c r="AA31" i="56"/>
  <c r="AA31" i="84" s="1"/>
  <c r="S31" i="56"/>
  <c r="S31" i="84" s="1"/>
  <c r="F28" i="86"/>
  <c r="L28" i="86" s="1"/>
  <c r="L28" i="62"/>
  <c r="AU29" i="86"/>
  <c r="BB29" i="62"/>
  <c r="AW29" i="62"/>
  <c r="AX29" i="62"/>
  <c r="AY29" i="62"/>
  <c r="AZ29" i="62"/>
  <c r="BA29" i="62"/>
  <c r="O28" i="54"/>
  <c r="O28" i="82" s="1"/>
  <c r="W28" i="54"/>
  <c r="W28" i="82" s="1"/>
  <c r="P28" i="54"/>
  <c r="P28" i="82" s="1"/>
  <c r="Q28" i="54"/>
  <c r="Q28" i="82" s="1"/>
  <c r="R28" i="54"/>
  <c r="R28" i="82" s="1"/>
  <c r="S28" i="54"/>
  <c r="S28" i="82" s="1"/>
  <c r="T28" i="54"/>
  <c r="T28" i="82" s="1"/>
  <c r="U28" i="54"/>
  <c r="U28" i="82" s="1"/>
  <c r="N28" i="54"/>
  <c r="N28" i="82" s="1"/>
  <c r="V28" i="54"/>
  <c r="V28" i="82" s="1"/>
  <c r="R30" i="88"/>
  <c r="S30" i="88"/>
  <c r="T30" i="88"/>
  <c r="U30" i="88"/>
  <c r="V30" i="88"/>
  <c r="P30" i="88"/>
  <c r="X30" i="88"/>
  <c r="W30" i="88"/>
  <c r="Q30" i="88"/>
  <c r="N28" i="56"/>
  <c r="N28" i="84" s="1"/>
  <c r="V28" i="56"/>
  <c r="V28" i="84" s="1"/>
  <c r="O28" i="56"/>
  <c r="O28" i="84" s="1"/>
  <c r="W28" i="56"/>
  <c r="W28" i="84" s="1"/>
  <c r="P28" i="56"/>
  <c r="P28" i="84" s="1"/>
  <c r="X28" i="56"/>
  <c r="X28" i="84" s="1"/>
  <c r="R28" i="56"/>
  <c r="R28" i="84" s="1"/>
  <c r="Z28" i="56"/>
  <c r="Z28" i="84" s="1"/>
  <c r="U28" i="56"/>
  <c r="U28" i="84" s="1"/>
  <c r="Y28" i="56"/>
  <c r="Y28" i="84" s="1"/>
  <c r="Q28" i="56"/>
  <c r="Q28" i="84" s="1"/>
  <c r="S28" i="56"/>
  <c r="S28" i="84" s="1"/>
  <c r="T28" i="56"/>
  <c r="T28" i="84" s="1"/>
  <c r="AA28" i="56"/>
  <c r="AA28" i="84" s="1"/>
  <c r="D27" i="84"/>
  <c r="J27" i="56"/>
  <c r="D34" i="56"/>
  <c r="AU30" i="86"/>
  <c r="AW30" i="62"/>
  <c r="AX30" i="62"/>
  <c r="AY30" i="62"/>
  <c r="AZ30" i="62"/>
  <c r="BB30" i="62"/>
  <c r="BA30" i="62"/>
  <c r="F29" i="86"/>
  <c r="L29" i="86" s="1"/>
  <c r="L29" i="62"/>
  <c r="T30" i="90"/>
  <c r="U30" i="90"/>
  <c r="N30" i="90"/>
  <c r="V30" i="90"/>
  <c r="O30" i="90"/>
  <c r="P30" i="90"/>
  <c r="R30" i="90"/>
  <c r="S30" i="90"/>
  <c r="Q30" i="90"/>
  <c r="N52" i="61" l="1"/>
  <c r="N54" i="61" s="1"/>
  <c r="S48" i="90"/>
  <c r="R48" i="90"/>
  <c r="Q48" i="90"/>
  <c r="V48" i="90"/>
  <c r="O48" i="90"/>
  <c r="N48" i="90"/>
  <c r="U48" i="90"/>
  <c r="P48" i="90"/>
  <c r="O32" i="56"/>
  <c r="O32" i="84" s="1"/>
  <c r="Q32" i="56"/>
  <c r="Q32" i="84" s="1"/>
  <c r="W32" i="56"/>
  <c r="W32" i="84" s="1"/>
  <c r="S32" i="56"/>
  <c r="S32" i="84" s="1"/>
  <c r="P32" i="56"/>
  <c r="P32" i="84" s="1"/>
  <c r="T32" i="56"/>
  <c r="T32" i="84" s="1"/>
  <c r="Z32" i="56"/>
  <c r="Z32" i="84" s="1"/>
  <c r="X32" i="56"/>
  <c r="X32" i="84" s="1"/>
  <c r="AA32" i="56"/>
  <c r="AA32" i="84" s="1"/>
  <c r="N32" i="56"/>
  <c r="N32" i="84" s="1"/>
  <c r="U32" i="56"/>
  <c r="U32" i="84" s="1"/>
  <c r="V32" i="56"/>
  <c r="V32" i="84" s="1"/>
  <c r="Y32" i="56"/>
  <c r="Y32" i="84" s="1"/>
  <c r="R32" i="56"/>
  <c r="R32" i="84" s="1"/>
  <c r="AU32" i="86"/>
  <c r="AU34" i="86" s="1"/>
  <c r="AZ32" i="62"/>
  <c r="AZ34" i="62" s="1"/>
  <c r="BA32" i="62"/>
  <c r="BB32" i="62"/>
  <c r="BB34" i="62" s="1"/>
  <c r="AY32" i="62"/>
  <c r="AY34" i="62" s="1"/>
  <c r="AW32" i="62"/>
  <c r="AX32" i="62"/>
  <c r="AX34" i="62" s="1"/>
  <c r="P32" i="88"/>
  <c r="U32" i="88"/>
  <c r="X32" i="88"/>
  <c r="R32" i="88"/>
  <c r="Q32" i="88"/>
  <c r="T32" i="88"/>
  <c r="V32" i="88"/>
  <c r="W32" i="88"/>
  <c r="S32" i="88"/>
  <c r="F32" i="86"/>
  <c r="L32" i="86" s="1"/>
  <c r="L32" i="62"/>
  <c r="L34" i="62" s="1"/>
  <c r="R32" i="54"/>
  <c r="R32" i="82" s="1"/>
  <c r="N32" i="54"/>
  <c r="N32" i="82" s="1"/>
  <c r="S32" i="54"/>
  <c r="S32" i="82" s="1"/>
  <c r="T32" i="54"/>
  <c r="T32" i="82" s="1"/>
  <c r="W32" i="54"/>
  <c r="W32" i="82" s="1"/>
  <c r="U32" i="54"/>
  <c r="U32" i="82" s="1"/>
  <c r="V32" i="54"/>
  <c r="V32" i="82" s="1"/>
  <c r="P32" i="54"/>
  <c r="P32" i="82" s="1"/>
  <c r="Q32" i="54"/>
  <c r="Q32" i="82" s="1"/>
  <c r="O32" i="54"/>
  <c r="O32" i="82" s="1"/>
  <c r="N32" i="90"/>
  <c r="S32" i="90"/>
  <c r="V32" i="90"/>
  <c r="O32" i="90"/>
  <c r="R32" i="90"/>
  <c r="Q32" i="90"/>
  <c r="T32" i="90"/>
  <c r="U32" i="90"/>
  <c r="P32" i="90"/>
  <c r="F52" i="88"/>
  <c r="F54" i="88" s="1"/>
  <c r="O52" i="61"/>
  <c r="O54" i="61" s="1"/>
  <c r="R52" i="61"/>
  <c r="R54" i="61" s="1"/>
  <c r="S52" i="52"/>
  <c r="S54" i="52" s="1"/>
  <c r="T52" i="52"/>
  <c r="T54" i="52" s="1"/>
  <c r="Q52" i="61"/>
  <c r="Q54" i="61" s="1"/>
  <c r="Z37" i="56"/>
  <c r="U37" i="56"/>
  <c r="S37" i="56"/>
  <c r="N37" i="56"/>
  <c r="Y37" i="56"/>
  <c r="P37" i="56"/>
  <c r="V37" i="56"/>
  <c r="T37" i="56"/>
  <c r="O37" i="56"/>
  <c r="Q37" i="56"/>
  <c r="W37" i="56"/>
  <c r="AA37" i="56"/>
  <c r="R37" i="56"/>
  <c r="X37" i="56"/>
  <c r="D50" i="84"/>
  <c r="J50" i="84" s="1"/>
  <c r="J50" i="56"/>
  <c r="L50" i="62"/>
  <c r="F50" i="86"/>
  <c r="L50" i="86" s="1"/>
  <c r="T37" i="62"/>
  <c r="S37" i="62"/>
  <c r="U37" i="62"/>
  <c r="P37" i="62"/>
  <c r="R37" i="62"/>
  <c r="Q37" i="62"/>
  <c r="Q48" i="62"/>
  <c r="Q48" i="86" s="1"/>
  <c r="R48" i="62"/>
  <c r="R48" i="86" s="1"/>
  <c r="T48" i="62"/>
  <c r="T48" i="86" s="1"/>
  <c r="S48" i="62"/>
  <c r="S48" i="86" s="1"/>
  <c r="U48" i="62"/>
  <c r="U48" i="86" s="1"/>
  <c r="P48" i="62"/>
  <c r="P48" i="86" s="1"/>
  <c r="O48" i="54"/>
  <c r="O48" i="82" s="1"/>
  <c r="W48" i="54"/>
  <c r="W48" i="82" s="1"/>
  <c r="P48" i="54"/>
  <c r="P48" i="82" s="1"/>
  <c r="S48" i="54"/>
  <c r="S48" i="82" s="1"/>
  <c r="Q48" i="54"/>
  <c r="Q48" i="82" s="1"/>
  <c r="T48" i="54"/>
  <c r="T48" i="82" s="1"/>
  <c r="R48" i="54"/>
  <c r="R48" i="82" s="1"/>
  <c r="U48" i="54"/>
  <c r="U48" i="82" s="1"/>
  <c r="N48" i="54"/>
  <c r="N48" i="82" s="1"/>
  <c r="V48" i="54"/>
  <c r="V48" i="82" s="1"/>
  <c r="J50" i="54"/>
  <c r="D50" i="82"/>
  <c r="J50" i="82" s="1"/>
  <c r="L37" i="86"/>
  <c r="D49" i="82"/>
  <c r="J49" i="82" s="1"/>
  <c r="J49" i="54"/>
  <c r="D52" i="54"/>
  <c r="D54" i="54" s="1"/>
  <c r="P52" i="52"/>
  <c r="P54" i="52" s="1"/>
  <c r="F49" i="90"/>
  <c r="D49" i="90"/>
  <c r="U37" i="88"/>
  <c r="U52" i="88" s="1"/>
  <c r="V37" i="88"/>
  <c r="V52" i="88" s="1"/>
  <c r="T37" i="88"/>
  <c r="T52" i="88" s="1"/>
  <c r="W37" i="88"/>
  <c r="W52" i="88" s="1"/>
  <c r="P37" i="88"/>
  <c r="P52" i="88" s="1"/>
  <c r="Q37" i="88"/>
  <c r="Q52" i="88" s="1"/>
  <c r="R37" i="88"/>
  <c r="R52" i="88" s="1"/>
  <c r="S37" i="88"/>
  <c r="S52" i="88" s="1"/>
  <c r="X37" i="88"/>
  <c r="X52" i="88" s="1"/>
  <c r="R48" i="56"/>
  <c r="R48" i="84" s="1"/>
  <c r="Z48" i="56"/>
  <c r="Z48" i="84" s="1"/>
  <c r="N48" i="56"/>
  <c r="N48" i="84" s="1"/>
  <c r="U48" i="56"/>
  <c r="U48" i="84" s="1"/>
  <c r="S48" i="56"/>
  <c r="S48" i="84" s="1"/>
  <c r="V48" i="56"/>
  <c r="V48" i="84" s="1"/>
  <c r="Y48" i="56"/>
  <c r="Y48" i="84" s="1"/>
  <c r="O48" i="56"/>
  <c r="O48" i="84" s="1"/>
  <c r="Q48" i="56"/>
  <c r="Q48" i="84" s="1"/>
  <c r="W48" i="56"/>
  <c r="W48" i="84" s="1"/>
  <c r="T48" i="56"/>
  <c r="T48" i="84" s="1"/>
  <c r="P48" i="56"/>
  <c r="P48" i="84" s="1"/>
  <c r="AA48" i="56"/>
  <c r="AA48" i="84" s="1"/>
  <c r="X48" i="56"/>
  <c r="X48" i="84" s="1"/>
  <c r="D52" i="56"/>
  <c r="D54" i="56" s="1"/>
  <c r="J37" i="82"/>
  <c r="D49" i="84"/>
  <c r="J49" i="84" s="1"/>
  <c r="J49" i="56"/>
  <c r="J37" i="90"/>
  <c r="J37" i="84"/>
  <c r="P37" i="54"/>
  <c r="S37" i="54"/>
  <c r="Q37" i="54"/>
  <c r="T37" i="54"/>
  <c r="R37" i="54"/>
  <c r="U37" i="54"/>
  <c r="V37" i="54"/>
  <c r="N37" i="54"/>
  <c r="O37" i="54"/>
  <c r="W37" i="54"/>
  <c r="D50" i="90"/>
  <c r="J50" i="90" s="1"/>
  <c r="L50" i="88"/>
  <c r="L52" i="88" s="1"/>
  <c r="F49" i="62"/>
  <c r="Q52" i="52"/>
  <c r="Q54" i="52" s="1"/>
  <c r="AY30" i="86"/>
  <c r="R30" i="86" s="1"/>
  <c r="R30" i="62"/>
  <c r="AX29" i="86"/>
  <c r="Q29" i="86" s="1"/>
  <c r="Q29" i="62"/>
  <c r="BB33" i="86"/>
  <c r="U33" i="86" s="1"/>
  <c r="U33" i="62"/>
  <c r="AX27" i="86"/>
  <c r="Q27" i="62"/>
  <c r="AX31" i="86"/>
  <c r="Q31" i="86" s="1"/>
  <c r="Q31" i="62"/>
  <c r="BB30" i="86"/>
  <c r="U30" i="86" s="1"/>
  <c r="U30" i="62"/>
  <c r="AY31" i="86"/>
  <c r="R31" i="86" s="1"/>
  <c r="R31" i="62"/>
  <c r="AW29" i="86"/>
  <c r="P29" i="86" s="1"/>
  <c r="P29" i="62"/>
  <c r="S27" i="88"/>
  <c r="T27" i="88"/>
  <c r="U27" i="88"/>
  <c r="V27" i="88"/>
  <c r="W27" i="88"/>
  <c r="Q27" i="88"/>
  <c r="X27" i="88"/>
  <c r="L34" i="88"/>
  <c r="P27" i="88"/>
  <c r="R27" i="88"/>
  <c r="R34" i="88" s="1"/>
  <c r="AY28" i="86"/>
  <c r="R28" i="86" s="1"/>
  <c r="R28" i="62"/>
  <c r="AW27" i="86"/>
  <c r="P27" i="62"/>
  <c r="AW34" i="62"/>
  <c r="J27" i="84"/>
  <c r="J34" i="84" s="1"/>
  <c r="D34" i="84"/>
  <c r="AZ29" i="86"/>
  <c r="S29" i="86" s="1"/>
  <c r="S29" i="62"/>
  <c r="AW33" i="86"/>
  <c r="P33" i="86" s="1"/>
  <c r="P33" i="62"/>
  <c r="AY27" i="86"/>
  <c r="R27" i="62"/>
  <c r="AY29" i="86"/>
  <c r="R29" i="86" s="1"/>
  <c r="R29" i="62"/>
  <c r="AX33" i="86"/>
  <c r="Q33" i="86" s="1"/>
  <c r="Q33" i="62"/>
  <c r="AX28" i="86"/>
  <c r="Q28" i="86" s="1"/>
  <c r="Q28" i="62"/>
  <c r="BA33" i="86"/>
  <c r="T33" i="86" s="1"/>
  <c r="T33" i="62"/>
  <c r="BB27" i="86"/>
  <c r="U27" i="62"/>
  <c r="L27" i="86"/>
  <c r="AW31" i="86"/>
  <c r="P31" i="86" s="1"/>
  <c r="P31" i="62"/>
  <c r="S27" i="54"/>
  <c r="T27" i="54"/>
  <c r="U27" i="54"/>
  <c r="N27" i="54"/>
  <c r="V27" i="54"/>
  <c r="O27" i="54"/>
  <c r="W27" i="54"/>
  <c r="P27" i="54"/>
  <c r="Q27" i="54"/>
  <c r="J34" i="54"/>
  <c r="R27" i="54"/>
  <c r="J27" i="90"/>
  <c r="D34" i="90"/>
  <c r="AZ31" i="86"/>
  <c r="S31" i="86" s="1"/>
  <c r="S31" i="62"/>
  <c r="AZ30" i="86"/>
  <c r="S30" i="86" s="1"/>
  <c r="S30" i="62"/>
  <c r="AZ28" i="86"/>
  <c r="S28" i="86" s="1"/>
  <c r="S28" i="62"/>
  <c r="AW28" i="86"/>
  <c r="P28" i="86" s="1"/>
  <c r="P28" i="62"/>
  <c r="AZ33" i="86"/>
  <c r="S33" i="86" s="1"/>
  <c r="S33" i="62"/>
  <c r="BA27" i="86"/>
  <c r="T27" i="62"/>
  <c r="BA34" i="62"/>
  <c r="BB31" i="86"/>
  <c r="U31" i="86" s="1"/>
  <c r="U31" i="62"/>
  <c r="D34" i="82"/>
  <c r="J27" i="82"/>
  <c r="J34" i="82" s="1"/>
  <c r="BA28" i="86"/>
  <c r="T28" i="86" s="1"/>
  <c r="T28" i="62"/>
  <c r="AX30" i="86"/>
  <c r="Q30" i="86" s="1"/>
  <c r="Q30" i="62"/>
  <c r="AW30" i="86"/>
  <c r="P30" i="86" s="1"/>
  <c r="P30" i="62"/>
  <c r="BB29" i="86"/>
  <c r="U29" i="86" s="1"/>
  <c r="U29" i="62"/>
  <c r="BA30" i="86"/>
  <c r="T30" i="86" s="1"/>
  <c r="T30" i="62"/>
  <c r="N27" i="56"/>
  <c r="V27" i="56"/>
  <c r="O27" i="56"/>
  <c r="W27" i="56"/>
  <c r="P27" i="56"/>
  <c r="X27" i="56"/>
  <c r="R27" i="56"/>
  <c r="Z27" i="56"/>
  <c r="U27" i="56"/>
  <c r="Y27" i="56"/>
  <c r="J34" i="56"/>
  <c r="Q27" i="56"/>
  <c r="AA27" i="56"/>
  <c r="T27" i="56"/>
  <c r="S27" i="56"/>
  <c r="BA29" i="86"/>
  <c r="T29" i="86" s="1"/>
  <c r="T29" i="62"/>
  <c r="BB28" i="86"/>
  <c r="U28" i="86" s="1"/>
  <c r="U28" i="62"/>
  <c r="AY33" i="86"/>
  <c r="R33" i="86" s="1"/>
  <c r="R33" i="62"/>
  <c r="AZ27" i="86"/>
  <c r="S27" i="62"/>
  <c r="BA31" i="86"/>
  <c r="T31" i="86" s="1"/>
  <c r="T31" i="62"/>
  <c r="T34" i="88" l="1"/>
  <c r="T54" i="88" s="1"/>
  <c r="V34" i="88"/>
  <c r="V54" i="88" s="1"/>
  <c r="J52" i="54"/>
  <c r="J54" i="54" s="1"/>
  <c r="Q34" i="88"/>
  <c r="F34" i="86"/>
  <c r="L34" i="86"/>
  <c r="X34" i="88"/>
  <c r="X54" i="88" s="1"/>
  <c r="U34" i="88"/>
  <c r="U54" i="88" s="1"/>
  <c r="AZ32" i="86"/>
  <c r="S32" i="86" s="1"/>
  <c r="S32" i="62"/>
  <c r="W34" i="88"/>
  <c r="W54" i="88" s="1"/>
  <c r="P32" i="62"/>
  <c r="P34" i="62" s="1"/>
  <c r="AW32" i="86"/>
  <c r="P32" i="86" s="1"/>
  <c r="P34" i="88"/>
  <c r="P54" i="88" s="1"/>
  <c r="S34" i="88"/>
  <c r="S54" i="88" s="1"/>
  <c r="AY32" i="86"/>
  <c r="R32" i="86" s="1"/>
  <c r="R32" i="62"/>
  <c r="R34" i="62" s="1"/>
  <c r="U32" i="62"/>
  <c r="U34" i="62" s="1"/>
  <c r="BB32" i="86"/>
  <c r="U32" i="86" s="1"/>
  <c r="AX32" i="86"/>
  <c r="Q32" i="86" s="1"/>
  <c r="Q32" i="62"/>
  <c r="Q34" i="62" s="1"/>
  <c r="T32" i="62"/>
  <c r="T34" i="62" s="1"/>
  <c r="BA32" i="86"/>
  <c r="T32" i="86" s="1"/>
  <c r="R54" i="88"/>
  <c r="D52" i="82"/>
  <c r="D54" i="82" s="1"/>
  <c r="J52" i="84"/>
  <c r="J54" i="84" s="1"/>
  <c r="J52" i="82"/>
  <c r="J54" i="82" s="1"/>
  <c r="D52" i="90"/>
  <c r="D54" i="90" s="1"/>
  <c r="P37" i="86"/>
  <c r="T37" i="84"/>
  <c r="Q37" i="82"/>
  <c r="N37" i="90"/>
  <c r="V37" i="90"/>
  <c r="O37" i="90"/>
  <c r="T37" i="90"/>
  <c r="P37" i="90"/>
  <c r="R37" i="90"/>
  <c r="Q37" i="90"/>
  <c r="S37" i="90"/>
  <c r="U37" i="90"/>
  <c r="J52" i="90"/>
  <c r="L54" i="88"/>
  <c r="W37" i="82"/>
  <c r="S37" i="82"/>
  <c r="W49" i="56"/>
  <c r="W49" i="84" s="1"/>
  <c r="S49" i="56"/>
  <c r="S49" i="84" s="1"/>
  <c r="Z49" i="56"/>
  <c r="Z49" i="84" s="1"/>
  <c r="P49" i="56"/>
  <c r="P49" i="84" s="1"/>
  <c r="T49" i="56"/>
  <c r="T49" i="84" s="1"/>
  <c r="AA49" i="56"/>
  <c r="AA49" i="84" s="1"/>
  <c r="X49" i="56"/>
  <c r="X49" i="84" s="1"/>
  <c r="N49" i="56"/>
  <c r="N49" i="84" s="1"/>
  <c r="R49" i="56"/>
  <c r="R49" i="84" s="1"/>
  <c r="U49" i="56"/>
  <c r="U49" i="84" s="1"/>
  <c r="Q49" i="56"/>
  <c r="Q49" i="84" s="1"/>
  <c r="V49" i="56"/>
  <c r="V49" i="84" s="1"/>
  <c r="Y49" i="56"/>
  <c r="Y49" i="84" s="1"/>
  <c r="O49" i="56"/>
  <c r="O49" i="84" s="1"/>
  <c r="N49" i="90"/>
  <c r="V49" i="90"/>
  <c r="Q49" i="90"/>
  <c r="F52" i="90"/>
  <c r="F54" i="90" s="1"/>
  <c r="O49" i="90"/>
  <c r="P49" i="90"/>
  <c r="T49" i="90"/>
  <c r="R49" i="90"/>
  <c r="U49" i="90"/>
  <c r="S49" i="90"/>
  <c r="U37" i="86"/>
  <c r="J52" i="56"/>
  <c r="J54" i="56" s="1"/>
  <c r="V37" i="84"/>
  <c r="S37" i="86"/>
  <c r="P37" i="84"/>
  <c r="Q54" i="88"/>
  <c r="N37" i="82"/>
  <c r="D52" i="84"/>
  <c r="D54" i="84" s="1"/>
  <c r="T37" i="86"/>
  <c r="R37" i="84"/>
  <c r="Y37" i="84"/>
  <c r="P37" i="82"/>
  <c r="X37" i="84"/>
  <c r="V37" i="82"/>
  <c r="AA37" i="84"/>
  <c r="N37" i="84"/>
  <c r="F49" i="86"/>
  <c r="L49" i="62"/>
  <c r="F52" i="62"/>
  <c r="F54" i="62" s="1"/>
  <c r="U37" i="82"/>
  <c r="T49" i="54"/>
  <c r="T49" i="82" s="1"/>
  <c r="U49" i="54"/>
  <c r="U49" i="82" s="1"/>
  <c r="O49" i="54"/>
  <c r="O49" i="82" s="1"/>
  <c r="N49" i="54"/>
  <c r="N49" i="82" s="1"/>
  <c r="Q49" i="54"/>
  <c r="Q49" i="82" s="1"/>
  <c r="W49" i="54"/>
  <c r="W49" i="82" s="1"/>
  <c r="V49" i="54"/>
  <c r="V49" i="82" s="1"/>
  <c r="P49" i="54"/>
  <c r="P49" i="82" s="1"/>
  <c r="R49" i="54"/>
  <c r="R49" i="82" s="1"/>
  <c r="S49" i="54"/>
  <c r="S49" i="82" s="1"/>
  <c r="P50" i="62"/>
  <c r="P50" i="86" s="1"/>
  <c r="Q50" i="62"/>
  <c r="Q50" i="86" s="1"/>
  <c r="R50" i="62"/>
  <c r="R50" i="86" s="1"/>
  <c r="T50" i="62"/>
  <c r="T50" i="86" s="1"/>
  <c r="U50" i="62"/>
  <c r="U50" i="86" s="1"/>
  <c r="S50" i="62"/>
  <c r="S50" i="86" s="1"/>
  <c r="W37" i="84"/>
  <c r="S37" i="84"/>
  <c r="O37" i="82"/>
  <c r="P50" i="54"/>
  <c r="P50" i="82" s="1"/>
  <c r="S50" i="54"/>
  <c r="S50" i="82" s="1"/>
  <c r="Q50" i="54"/>
  <c r="Q50" i="82" s="1"/>
  <c r="T50" i="54"/>
  <c r="T50" i="82" s="1"/>
  <c r="R50" i="54"/>
  <c r="R50" i="82" s="1"/>
  <c r="U50" i="54"/>
  <c r="U50" i="82" s="1"/>
  <c r="N50" i="54"/>
  <c r="N50" i="82" s="1"/>
  <c r="V50" i="54"/>
  <c r="V50" i="82" s="1"/>
  <c r="O50" i="54"/>
  <c r="O50" i="82" s="1"/>
  <c r="W50" i="54"/>
  <c r="W50" i="82" s="1"/>
  <c r="R37" i="82"/>
  <c r="Q37" i="86"/>
  <c r="Q37" i="84"/>
  <c r="U37" i="84"/>
  <c r="O50" i="90"/>
  <c r="Q50" i="90"/>
  <c r="P50" i="90"/>
  <c r="V50" i="90"/>
  <c r="R50" i="90"/>
  <c r="S50" i="90"/>
  <c r="U50" i="90"/>
  <c r="T50" i="90"/>
  <c r="N50" i="90"/>
  <c r="T37" i="82"/>
  <c r="R37" i="86"/>
  <c r="N50" i="56"/>
  <c r="N50" i="84" s="1"/>
  <c r="U50" i="56"/>
  <c r="U50" i="84" s="1"/>
  <c r="V50" i="56"/>
  <c r="V50" i="84" s="1"/>
  <c r="Y50" i="56"/>
  <c r="Y50" i="84" s="1"/>
  <c r="S50" i="56"/>
  <c r="S50" i="84" s="1"/>
  <c r="O50" i="56"/>
  <c r="O50" i="84" s="1"/>
  <c r="Q50" i="56"/>
  <c r="Q50" i="84" s="1"/>
  <c r="X50" i="56"/>
  <c r="X50" i="84" s="1"/>
  <c r="W50" i="56"/>
  <c r="W50" i="84" s="1"/>
  <c r="AA50" i="56"/>
  <c r="AA50" i="84" s="1"/>
  <c r="P50" i="56"/>
  <c r="P50" i="84" s="1"/>
  <c r="T50" i="56"/>
  <c r="T50" i="84" s="1"/>
  <c r="R50" i="56"/>
  <c r="R50" i="84" s="1"/>
  <c r="Z50" i="56"/>
  <c r="Z50" i="84" s="1"/>
  <c r="O37" i="84"/>
  <c r="Z37" i="84"/>
  <c r="S34" i="62"/>
  <c r="T27" i="84"/>
  <c r="T34" i="84" s="1"/>
  <c r="T34" i="56"/>
  <c r="Q27" i="84"/>
  <c r="Q34" i="84" s="1"/>
  <c r="Q34" i="56"/>
  <c r="W27" i="84"/>
  <c r="W34" i="84" s="1"/>
  <c r="W34" i="56"/>
  <c r="U27" i="90"/>
  <c r="U34" i="90" s="1"/>
  <c r="N27" i="90"/>
  <c r="N34" i="90" s="1"/>
  <c r="V27" i="90"/>
  <c r="V34" i="90" s="1"/>
  <c r="O27" i="90"/>
  <c r="O34" i="90" s="1"/>
  <c r="P27" i="90"/>
  <c r="P34" i="90" s="1"/>
  <c r="J34" i="90"/>
  <c r="Q27" i="90"/>
  <c r="Q34" i="90" s="1"/>
  <c r="S27" i="90"/>
  <c r="S34" i="90" s="1"/>
  <c r="T27" i="90"/>
  <c r="T34" i="90" s="1"/>
  <c r="R27" i="90"/>
  <c r="R34" i="90" s="1"/>
  <c r="N27" i="82"/>
  <c r="N34" i="82" s="1"/>
  <c r="N34" i="54"/>
  <c r="AA27" i="84"/>
  <c r="AA34" i="84" s="1"/>
  <c r="AA34" i="56"/>
  <c r="O27" i="84"/>
  <c r="O34" i="84" s="1"/>
  <c r="O34" i="56"/>
  <c r="R27" i="82"/>
  <c r="R34" i="82" s="1"/>
  <c r="R34" i="54"/>
  <c r="U27" i="82"/>
  <c r="U34" i="82" s="1"/>
  <c r="U34" i="54"/>
  <c r="P27" i="86"/>
  <c r="Q27" i="86"/>
  <c r="Y27" i="84"/>
  <c r="Y34" i="84" s="1"/>
  <c r="Y34" i="56"/>
  <c r="V27" i="84"/>
  <c r="V34" i="84" s="1"/>
  <c r="V34" i="56"/>
  <c r="T27" i="82"/>
  <c r="T34" i="82" s="1"/>
  <c r="T34" i="54"/>
  <c r="U27" i="86"/>
  <c r="BB34" i="86"/>
  <c r="S27" i="86"/>
  <c r="AZ34" i="86"/>
  <c r="O27" i="82"/>
  <c r="O34" i="82" s="1"/>
  <c r="O34" i="54"/>
  <c r="P27" i="84"/>
  <c r="P34" i="84" s="1"/>
  <c r="P34" i="56"/>
  <c r="V27" i="82"/>
  <c r="V34" i="82" s="1"/>
  <c r="V34" i="54"/>
  <c r="U27" i="84"/>
  <c r="U34" i="84" s="1"/>
  <c r="U34" i="56"/>
  <c r="N27" i="84"/>
  <c r="N34" i="84" s="1"/>
  <c r="N34" i="56"/>
  <c r="Q27" i="82"/>
  <c r="Q34" i="82" s="1"/>
  <c r="Q34" i="54"/>
  <c r="S27" i="82"/>
  <c r="S34" i="82" s="1"/>
  <c r="S34" i="54"/>
  <c r="X27" i="84"/>
  <c r="X34" i="84" s="1"/>
  <c r="X34" i="56"/>
  <c r="Z27" i="84"/>
  <c r="Z34" i="84" s="1"/>
  <c r="Z34" i="56"/>
  <c r="T27" i="86"/>
  <c r="P27" i="82"/>
  <c r="P34" i="82" s="1"/>
  <c r="P34" i="54"/>
  <c r="S27" i="84"/>
  <c r="S34" i="84" s="1"/>
  <c r="S34" i="56"/>
  <c r="R27" i="84"/>
  <c r="R34" i="84" s="1"/>
  <c r="R34" i="56"/>
  <c r="W27" i="82"/>
  <c r="W34" i="82" s="1"/>
  <c r="W34" i="54"/>
  <c r="R27" i="86"/>
  <c r="AX34" i="86" l="1"/>
  <c r="Q34" i="86"/>
  <c r="T34" i="86"/>
  <c r="BA34" i="86"/>
  <c r="U34" i="86"/>
  <c r="S34" i="86"/>
  <c r="R34" i="86"/>
  <c r="AY34" i="86"/>
  <c r="R52" i="84"/>
  <c r="R54" i="84" s="1"/>
  <c r="AW34" i="86"/>
  <c r="P34" i="86"/>
  <c r="T52" i="82"/>
  <c r="T54" i="82" s="1"/>
  <c r="U52" i="82"/>
  <c r="U54" i="82" s="1"/>
  <c r="P52" i="84"/>
  <c r="P54" i="84" s="1"/>
  <c r="O52" i="84"/>
  <c r="O54" i="84" s="1"/>
  <c r="N52" i="82"/>
  <c r="N54" i="82" s="1"/>
  <c r="O52" i="82"/>
  <c r="O54" i="82" s="1"/>
  <c r="U52" i="56"/>
  <c r="U54" i="56" s="1"/>
  <c r="S52" i="84"/>
  <c r="S54" i="84" s="1"/>
  <c r="S52" i="82"/>
  <c r="S54" i="82" s="1"/>
  <c r="U52" i="84"/>
  <c r="U54" i="84" s="1"/>
  <c r="Z52" i="84"/>
  <c r="Z54" i="84" s="1"/>
  <c r="J54" i="90"/>
  <c r="Y52" i="84"/>
  <c r="Y54" i="84" s="1"/>
  <c r="N52" i="84"/>
  <c r="N54" i="84" s="1"/>
  <c r="V52" i="84"/>
  <c r="V54" i="84" s="1"/>
  <c r="Q52" i="84"/>
  <c r="Q54" i="84" s="1"/>
  <c r="W52" i="56"/>
  <c r="W54" i="56" s="1"/>
  <c r="AA52" i="84"/>
  <c r="AA54" i="84" s="1"/>
  <c r="W52" i="84"/>
  <c r="W54" i="84" s="1"/>
  <c r="V52" i="82"/>
  <c r="V54" i="82" s="1"/>
  <c r="Q52" i="82"/>
  <c r="Q54" i="82" s="1"/>
  <c r="R52" i="54"/>
  <c r="R54" i="54" s="1"/>
  <c r="T52" i="84"/>
  <c r="T54" i="84" s="1"/>
  <c r="R52" i="82"/>
  <c r="R54" i="82" s="1"/>
  <c r="X52" i="56"/>
  <c r="X54" i="56" s="1"/>
  <c r="W52" i="82"/>
  <c r="W54" i="82" s="1"/>
  <c r="X52" i="84"/>
  <c r="X54" i="84" s="1"/>
  <c r="P52" i="82"/>
  <c r="P54" i="82" s="1"/>
  <c r="T52" i="90"/>
  <c r="T54" i="90" s="1"/>
  <c r="S52" i="56"/>
  <c r="S54" i="56" s="1"/>
  <c r="U52" i="54"/>
  <c r="U54" i="54" s="1"/>
  <c r="P52" i="54"/>
  <c r="P54" i="54" s="1"/>
  <c r="P52" i="56"/>
  <c r="P54" i="56" s="1"/>
  <c r="R52" i="90"/>
  <c r="R54" i="90" s="1"/>
  <c r="Q52" i="56"/>
  <c r="Q54" i="56" s="1"/>
  <c r="AA52" i="56"/>
  <c r="AA54" i="56" s="1"/>
  <c r="P52" i="90"/>
  <c r="P54" i="90" s="1"/>
  <c r="T52" i="56"/>
  <c r="T54" i="56" s="1"/>
  <c r="U49" i="62"/>
  <c r="R49" i="62"/>
  <c r="P49" i="62"/>
  <c r="Q49" i="62"/>
  <c r="T49" i="62"/>
  <c r="S49" i="62"/>
  <c r="L52" i="62"/>
  <c r="L54" i="62" s="1"/>
  <c r="O52" i="90"/>
  <c r="O54" i="90" s="1"/>
  <c r="Y52" i="56"/>
  <c r="Y54" i="56" s="1"/>
  <c r="Z52" i="56"/>
  <c r="Z54" i="56" s="1"/>
  <c r="L49" i="86"/>
  <c r="L52" i="86" s="1"/>
  <c r="L54" i="86" s="1"/>
  <c r="F52" i="86"/>
  <c r="F54" i="86" s="1"/>
  <c r="R52" i="56"/>
  <c r="R54" i="56" s="1"/>
  <c r="V52" i="56"/>
  <c r="V54" i="56" s="1"/>
  <c r="V52" i="90"/>
  <c r="V54" i="90" s="1"/>
  <c r="N52" i="54"/>
  <c r="N54" i="54" s="1"/>
  <c r="S52" i="54"/>
  <c r="S54" i="54" s="1"/>
  <c r="U52" i="90"/>
  <c r="U54" i="90" s="1"/>
  <c r="N52" i="90"/>
  <c r="N54" i="90" s="1"/>
  <c r="T52" i="54"/>
  <c r="T54" i="54" s="1"/>
  <c r="O52" i="56"/>
  <c r="O54" i="56" s="1"/>
  <c r="O52" i="54"/>
  <c r="O54" i="54" s="1"/>
  <c r="S52" i="90"/>
  <c r="S54" i="90" s="1"/>
  <c r="Q52" i="54"/>
  <c r="Q54" i="54" s="1"/>
  <c r="N52" i="56"/>
  <c r="N54" i="56" s="1"/>
  <c r="V52" i="54"/>
  <c r="V54" i="54" s="1"/>
  <c r="W52" i="54"/>
  <c r="W54" i="54" s="1"/>
  <c r="Q52" i="90"/>
  <c r="Q54" i="90" s="1"/>
  <c r="T49" i="86" l="1"/>
  <c r="T52" i="86" s="1"/>
  <c r="T54" i="86" s="1"/>
  <c r="T52" i="62"/>
  <c r="T54" i="62" s="1"/>
  <c r="Q49" i="86"/>
  <c r="Q52" i="86" s="1"/>
  <c r="Q54" i="86" s="1"/>
  <c r="Q52" i="62"/>
  <c r="Q54" i="62" s="1"/>
  <c r="P49" i="86"/>
  <c r="P52" i="86" s="1"/>
  <c r="P54" i="86" s="1"/>
  <c r="P52" i="62"/>
  <c r="P54" i="62" s="1"/>
  <c r="R49" i="86"/>
  <c r="R52" i="86" s="1"/>
  <c r="R54" i="86" s="1"/>
  <c r="R52" i="62"/>
  <c r="R54" i="62" s="1"/>
  <c r="S49" i="86"/>
  <c r="S52" i="86" s="1"/>
  <c r="S54" i="86" s="1"/>
  <c r="S52" i="62"/>
  <c r="S54" i="62" s="1"/>
  <c r="U49" i="86"/>
  <c r="U52" i="86" s="1"/>
  <c r="U54" i="86" s="1"/>
  <c r="U52" i="62"/>
  <c r="U54" i="62" s="1"/>
</calcChain>
</file>

<file path=xl/sharedStrings.xml><?xml version="1.0" encoding="utf-8"?>
<sst xmlns="http://schemas.openxmlformats.org/spreadsheetml/2006/main" count="4254" uniqueCount="541">
  <si>
    <t>Enbridge Gas Inc.</t>
  </si>
  <si>
    <t>Harmonized Cost Allocation Study</t>
  </si>
  <si>
    <t>Line</t>
  </si>
  <si>
    <t>Revenue</t>
  </si>
  <si>
    <t>No.</t>
  </si>
  <si>
    <t>Requirement</t>
  </si>
  <si>
    <t>Factor</t>
  </si>
  <si>
    <t>Gas Supply</t>
  </si>
  <si>
    <t>Storage</t>
  </si>
  <si>
    <t>Transmission</t>
  </si>
  <si>
    <t>Distribution</t>
  </si>
  <si>
    <t>Total</t>
  </si>
  <si>
    <t>(a)</t>
  </si>
  <si>
    <t>(b)</t>
  </si>
  <si>
    <t>(c)</t>
  </si>
  <si>
    <t>(e)</t>
  </si>
  <si>
    <t>(f)</t>
  </si>
  <si>
    <t>Net Plant</t>
  </si>
  <si>
    <t>LAND</t>
  </si>
  <si>
    <t>Structures &amp; Improvements</t>
  </si>
  <si>
    <t>STRUC&amp;IMP</t>
  </si>
  <si>
    <t>Measuring &amp; Regulating</t>
  </si>
  <si>
    <t>MEAS&amp;REG</t>
  </si>
  <si>
    <t>Mains</t>
  </si>
  <si>
    <t>MAINS</t>
  </si>
  <si>
    <t>Compressor Equipment</t>
  </si>
  <si>
    <t>COMPRESSORS</t>
  </si>
  <si>
    <t>Gas Holders Storage and Equipment</t>
  </si>
  <si>
    <t>STORAGE</t>
  </si>
  <si>
    <t>Wells and Lines</t>
  </si>
  <si>
    <t>Base Pressure Gas</t>
  </si>
  <si>
    <t>Services</t>
  </si>
  <si>
    <t>DISTRIBUTION</t>
  </si>
  <si>
    <t>Meters</t>
  </si>
  <si>
    <t>Customer Stations</t>
  </si>
  <si>
    <t>NETPLANT</t>
  </si>
  <si>
    <t>Working Capital</t>
  </si>
  <si>
    <t>O&amp;M</t>
  </si>
  <si>
    <t>Percent Return on Rate Base</t>
  </si>
  <si>
    <t>Income Taxes</t>
  </si>
  <si>
    <t>Property Taxes</t>
  </si>
  <si>
    <t>Materials and Supplies</t>
  </si>
  <si>
    <t>Customer Security Deposits</t>
  </si>
  <si>
    <t>RATEBASE</t>
  </si>
  <si>
    <t>Storage Demand</t>
  </si>
  <si>
    <t>System</t>
  </si>
  <si>
    <t>Deliverability</t>
  </si>
  <si>
    <t>Space</t>
  </si>
  <si>
    <t>Integrity</t>
  </si>
  <si>
    <t>Commodity</t>
  </si>
  <si>
    <t>DELIVERABILITY</t>
  </si>
  <si>
    <t>Transmission Demand</t>
  </si>
  <si>
    <t>Dawn</t>
  </si>
  <si>
    <t>Station</t>
  </si>
  <si>
    <t>Kirkwall</t>
  </si>
  <si>
    <t>Parkway</t>
  </si>
  <si>
    <t>Dawn-</t>
  </si>
  <si>
    <t>Parkway-</t>
  </si>
  <si>
    <t>Albion</t>
  </si>
  <si>
    <t>(g)</t>
  </si>
  <si>
    <t>Panhandle</t>
  </si>
  <si>
    <t>(h)</t>
  </si>
  <si>
    <t>(i)</t>
  </si>
  <si>
    <t>Distribution Demand</t>
  </si>
  <si>
    <t>Distribution Customer</t>
  </si>
  <si>
    <t>Capacity &lt;= 4"</t>
  </si>
  <si>
    <t>Capacity &gt; 4"</t>
  </si>
  <si>
    <t>Capacity</t>
  </si>
  <si>
    <t>Customer</t>
  </si>
  <si>
    <t>Income &amp; Property Taxes</t>
  </si>
  <si>
    <t>Depreciation Expense</t>
  </si>
  <si>
    <t>Local Storage</t>
  </si>
  <si>
    <t>Distribution Customer Accounting</t>
  </si>
  <si>
    <t>TRANSMISSION</t>
  </si>
  <si>
    <t>Operating &amp; Maintenance Expenses</t>
  </si>
  <si>
    <t>Land Rights</t>
  </si>
  <si>
    <t xml:space="preserve">Land </t>
  </si>
  <si>
    <t>Linepack</t>
  </si>
  <si>
    <t>ZERO_INT</t>
  </si>
  <si>
    <t>DISTDEMAND</t>
  </si>
  <si>
    <t>Rate</t>
  </si>
  <si>
    <t>St. Clair</t>
  </si>
  <si>
    <t>(j)</t>
  </si>
  <si>
    <t>LINEPACK</t>
  </si>
  <si>
    <t>Check</t>
  </si>
  <si>
    <t>STOR_RATEBASE</t>
  </si>
  <si>
    <t>DIST_RATEBASE</t>
  </si>
  <si>
    <t xml:space="preserve">Employee Benefits </t>
  </si>
  <si>
    <t>LABOUR</t>
  </si>
  <si>
    <t>Storage Demand - Deliverability</t>
  </si>
  <si>
    <t>Storage Demand - Space</t>
  </si>
  <si>
    <t>Storage Commodity</t>
  </si>
  <si>
    <t>Transmission Demand - Dawn Station</t>
  </si>
  <si>
    <t>Transmission Demand - Kirkwall Station</t>
  </si>
  <si>
    <t>Transmission Demand - Parkway Station</t>
  </si>
  <si>
    <t>Transmission Commodity</t>
  </si>
  <si>
    <t>Total Storage Revenue Requirement</t>
  </si>
  <si>
    <t>Storage Revenue Requirement</t>
  </si>
  <si>
    <t>Transmission Revenue Requirement</t>
  </si>
  <si>
    <t>Total Transmission Revenue Requirement</t>
  </si>
  <si>
    <t>Distribution Revenue Requirement</t>
  </si>
  <si>
    <t>Distribution Customer - Mains</t>
  </si>
  <si>
    <t>Distribution Customer - Services</t>
  </si>
  <si>
    <t>Distribution Customer - Meters</t>
  </si>
  <si>
    <t>Allocation</t>
  </si>
  <si>
    <t>Compressor Fuel</t>
  </si>
  <si>
    <t>Unaccounted For Gas</t>
  </si>
  <si>
    <t>UFG</t>
  </si>
  <si>
    <t>COMPFUEL</t>
  </si>
  <si>
    <t>Other Revenue</t>
  </si>
  <si>
    <t>Gas Supply Optimization</t>
  </si>
  <si>
    <t>Gas</t>
  </si>
  <si>
    <t>Supply</t>
  </si>
  <si>
    <t>Transportation</t>
  </si>
  <si>
    <t>Demand</t>
  </si>
  <si>
    <t>Transportation Demand</t>
  </si>
  <si>
    <t>Load Balancing</t>
  </si>
  <si>
    <t>Other Transportation</t>
  </si>
  <si>
    <t>GENOPS&amp;ENG</t>
  </si>
  <si>
    <t>GENPLANT</t>
  </si>
  <si>
    <t>STOR_GENPLANT</t>
  </si>
  <si>
    <t>DIST_GENPLANT</t>
  </si>
  <si>
    <t>Demand Side Management - Program</t>
  </si>
  <si>
    <t>Direct Purchase Administration</t>
  </si>
  <si>
    <t>PROPTAX</t>
  </si>
  <si>
    <t>Late Payment Penalties</t>
  </si>
  <si>
    <t>Customer Accounting Charge</t>
  </si>
  <si>
    <t>Other Income</t>
  </si>
  <si>
    <t>Specific</t>
  </si>
  <si>
    <t>Pressure</t>
  </si>
  <si>
    <t>Direct</t>
  </si>
  <si>
    <t>Assignment</t>
  </si>
  <si>
    <t>Gas Supply Commodity</t>
  </si>
  <si>
    <t>Transportation Commodity</t>
  </si>
  <si>
    <t>DCB/ABC Fee</t>
  </si>
  <si>
    <t>Admin</t>
  </si>
  <si>
    <t>ADMIN</t>
  </si>
  <si>
    <t>Balance</t>
  </si>
  <si>
    <t>to be</t>
  </si>
  <si>
    <t>Functional</t>
  </si>
  <si>
    <t>(j) = (f+g+h+i)</t>
  </si>
  <si>
    <t>Classification</t>
  </si>
  <si>
    <t>Functionalized</t>
  </si>
  <si>
    <t>(k)</t>
  </si>
  <si>
    <t>(l)</t>
  </si>
  <si>
    <t>(m)</t>
  </si>
  <si>
    <t>Transmission Demand - Panhandle St. Clair</t>
  </si>
  <si>
    <t>(d)= (a-b)</t>
  </si>
  <si>
    <t>Total Revenue Requirement Less Other Revenue</t>
  </si>
  <si>
    <t>Total Revenue Requirement</t>
  </si>
  <si>
    <t xml:space="preserve">Total Revenue </t>
  </si>
  <si>
    <t xml:space="preserve">Requirement </t>
  </si>
  <si>
    <t>Net of Other Revenue</t>
  </si>
  <si>
    <t>DP_GS_CUSTACCT</t>
  </si>
  <si>
    <t>DP_GS_EMPBEN</t>
  </si>
  <si>
    <t>DP_GS_A&amp;G</t>
  </si>
  <si>
    <t>NETFROMSTOR</t>
  </si>
  <si>
    <t>STORAGEXCESS</t>
  </si>
  <si>
    <t>STOR_O&amp;M</t>
  </si>
  <si>
    <t>STOR_PROPTAX</t>
  </si>
  <si>
    <t>LANDRIGHTS</t>
  </si>
  <si>
    <t>DSM_PRO</t>
  </si>
  <si>
    <t>DSM_ADM</t>
  </si>
  <si>
    <t>Distribution Demand - Specific Allocation</t>
  </si>
  <si>
    <t xml:space="preserve">Distribution Customer- Specific </t>
  </si>
  <si>
    <t>Distribution Demand Specific - DSM Program</t>
  </si>
  <si>
    <t>Distribution Demand Specific - DSM Admin</t>
  </si>
  <si>
    <t xml:space="preserve">Total Direct </t>
  </si>
  <si>
    <t>Direct Assignment</t>
  </si>
  <si>
    <t>Balance to be</t>
  </si>
  <si>
    <t xml:space="preserve">Allocated </t>
  </si>
  <si>
    <t>Supervision</t>
  </si>
  <si>
    <t>Meter Reading</t>
  </si>
  <si>
    <t>Customer Billing, Accounting and Bill Delivery</t>
  </si>
  <si>
    <t>Large Volume Customer Care</t>
  </si>
  <si>
    <t>Credit &amp; Collection</t>
  </si>
  <si>
    <t>Uncollectible Accounts</t>
  </si>
  <si>
    <t>Sales Promotion &amp; Supervision</t>
  </si>
  <si>
    <t>Service &amp; Equipment on Customer Premise</t>
  </si>
  <si>
    <t xml:space="preserve">Storage Wells &amp; Lines </t>
  </si>
  <si>
    <t>Rents</t>
  </si>
  <si>
    <t>Labour</t>
  </si>
  <si>
    <t>CUST_SPECIFIC</t>
  </si>
  <si>
    <t>Stations</t>
  </si>
  <si>
    <t>(n)</t>
  </si>
  <si>
    <t xml:space="preserve">Distribution </t>
  </si>
  <si>
    <t>Distribution Customer - Stations</t>
  </si>
  <si>
    <t>Cost</t>
  </si>
  <si>
    <t>Percent</t>
  </si>
  <si>
    <t xml:space="preserve">Labour </t>
  </si>
  <si>
    <t>METERREPLCOST</t>
  </si>
  <si>
    <t>STATIONREPLCOST</t>
  </si>
  <si>
    <t>(d) = (a-b)</t>
  </si>
  <si>
    <t>(o)</t>
  </si>
  <si>
    <t>(p) = (sum f to o)</t>
  </si>
  <si>
    <t>Storage, Transmission, and Distribution</t>
  </si>
  <si>
    <t>General Plant</t>
  </si>
  <si>
    <t>Total Depreciation Expense</t>
  </si>
  <si>
    <t>DEPEXP</t>
  </si>
  <si>
    <t>Compressor</t>
  </si>
  <si>
    <t>Dehydration</t>
  </si>
  <si>
    <t>Other Storage</t>
  </si>
  <si>
    <t>Lines</t>
  </si>
  <si>
    <t>Parkway Delivery Commitment Incentive</t>
  </si>
  <si>
    <t>Meter &amp; Regulator</t>
  </si>
  <si>
    <t>Mains &amp; Services</t>
  </si>
  <si>
    <t>Other Distribution</t>
  </si>
  <si>
    <t>General Operating &amp; Engineering</t>
  </si>
  <si>
    <t>System Operation &amp; Engineering</t>
  </si>
  <si>
    <t>Sales Promotion &amp; Merchandise</t>
  </si>
  <si>
    <t>Demand Side Management - Administration</t>
  </si>
  <si>
    <t>Customer Contracts &amp; Orders</t>
  </si>
  <si>
    <t>Administrative &amp; General Expense</t>
  </si>
  <si>
    <t>Administrative &amp; General</t>
  </si>
  <si>
    <t xml:space="preserve">    Supervision</t>
  </si>
  <si>
    <t>MKTSTORFUEL</t>
  </si>
  <si>
    <t>MKTSTOR_DEMAND</t>
  </si>
  <si>
    <t xml:space="preserve">     Supervision</t>
  </si>
  <si>
    <t>KIRKWALL_DEMAND</t>
  </si>
  <si>
    <t>DEM_SPECIFIC</t>
  </si>
  <si>
    <t>TOTAL_CUSTOMERS</t>
  </si>
  <si>
    <t>SUPPLY_VOL</t>
  </si>
  <si>
    <t>D-PTRANS</t>
  </si>
  <si>
    <t>BAD_DEBT</t>
  </si>
  <si>
    <t>Company Use Gas</t>
  </si>
  <si>
    <t xml:space="preserve"> </t>
  </si>
  <si>
    <t>STOR_LABOUR</t>
  </si>
  <si>
    <t>DIST_LABOUR</t>
  </si>
  <si>
    <t>TRANS_LABOUR</t>
  </si>
  <si>
    <t>PAN_STCLAIR</t>
  </si>
  <si>
    <t>PKWY_DEMAND</t>
  </si>
  <si>
    <t>STOR_NETPLANT</t>
  </si>
  <si>
    <t>Rate of Return</t>
  </si>
  <si>
    <t>Return on Rate Base</t>
  </si>
  <si>
    <t>TRANS_GENPLANT</t>
  </si>
  <si>
    <t>TRANS_NETPLANT</t>
  </si>
  <si>
    <t>TRANS_RATEBASE</t>
  </si>
  <si>
    <t>TRANS_PROPTAX</t>
  </si>
  <si>
    <t>DIST_NETPLANT</t>
  </si>
  <si>
    <t>Net Plant (Before Gen Plant)</t>
  </si>
  <si>
    <t>CUST_METERS</t>
  </si>
  <si>
    <t>CUST_STATIONS</t>
  </si>
  <si>
    <t>DIST_PROPTAX</t>
  </si>
  <si>
    <t>CUST_SERVICES</t>
  </si>
  <si>
    <t>STOR_DEPEXP</t>
  </si>
  <si>
    <t>TRANS_DEPEXP</t>
  </si>
  <si>
    <t>DIST_DEPEXP</t>
  </si>
  <si>
    <t>OPTIMIZATION</t>
  </si>
  <si>
    <t>COMMUNITY_EXP</t>
  </si>
  <si>
    <t>Distribution Commodity</t>
  </si>
  <si>
    <t>TRANS_COMM</t>
  </si>
  <si>
    <t>TRANS_COMPFUEL</t>
  </si>
  <si>
    <t>Match</t>
  </si>
  <si>
    <t xml:space="preserve">Match </t>
  </si>
  <si>
    <t>DIST_O&amp;M</t>
  </si>
  <si>
    <t>General Service</t>
  </si>
  <si>
    <t>Contract</t>
  </si>
  <si>
    <t>Ex-Franchise</t>
  </si>
  <si>
    <t>STOR_COMM</t>
  </si>
  <si>
    <t>DIST_COMM</t>
  </si>
  <si>
    <t>DAWN_COMP_O&amp;M</t>
  </si>
  <si>
    <t>STOR_SUPER_O&amp;M</t>
  </si>
  <si>
    <t>TRANS_DEMAND</t>
  </si>
  <si>
    <t>LOAD_BALANCING</t>
  </si>
  <si>
    <t>TRANS_FUEL</t>
  </si>
  <si>
    <t>GASINSTORAGE</t>
  </si>
  <si>
    <t>OWN_USE_GAS</t>
  </si>
  <si>
    <t>LNG_LAND</t>
  </si>
  <si>
    <t>LNG_EQUIPMENT</t>
  </si>
  <si>
    <t>TRANS_O&amp;M</t>
  </si>
  <si>
    <t>(m) = (sum f to l)</t>
  </si>
  <si>
    <t>LNG_O&amp;M</t>
  </si>
  <si>
    <t>CUST_EXCL_GS</t>
  </si>
  <si>
    <t>TRANS_LAND</t>
  </si>
  <si>
    <t>TRANS_LANDRIGHTS</t>
  </si>
  <si>
    <t>TRANS_STRUC&amp;IMP</t>
  </si>
  <si>
    <t>TRANS_MEAS&amp;REG</t>
  </si>
  <si>
    <t>TRANS_MAINS</t>
  </si>
  <si>
    <t>TRANS_COMPRESSORS</t>
  </si>
  <si>
    <t>TRANS_LINEPACK</t>
  </si>
  <si>
    <t>Distribution Customer Specific Classification Summary</t>
  </si>
  <si>
    <t>Uncollectible</t>
  </si>
  <si>
    <t>Accounts</t>
  </si>
  <si>
    <t>Distribution Customer Specific</t>
  </si>
  <si>
    <t>Uncollectable</t>
  </si>
  <si>
    <t>(l) = (f+g+h+i+j+k)</t>
  </si>
  <si>
    <t>Transport</t>
  </si>
  <si>
    <t>Distribution Demand - High Pressure &gt; 4"</t>
  </si>
  <si>
    <t>Distribution Demand - High Pressure &lt;= 4"</t>
  </si>
  <si>
    <t>Distribution Demand - Low Pressure</t>
  </si>
  <si>
    <t>HIGHPRESS&gt;4</t>
  </si>
  <si>
    <t>HIGHPRESS&lt;=4</t>
  </si>
  <si>
    <t>LOWPRESS</t>
  </si>
  <si>
    <t>Meters &amp; Regulators</t>
  </si>
  <si>
    <t xml:space="preserve">Total Taxes </t>
  </si>
  <si>
    <t xml:space="preserve">Gross Plant </t>
  </si>
  <si>
    <t>Accumulated Depreciation</t>
  </si>
  <si>
    <t>Subtotal   (sum line 1-13)</t>
  </si>
  <si>
    <t>Subtotal   (sum line 17-29)</t>
  </si>
  <si>
    <t>LANDRIGHTS_AD</t>
  </si>
  <si>
    <t>STRUC&amp;IMP_AD</t>
  </si>
  <si>
    <t>MEAS&amp;REG_AD</t>
  </si>
  <si>
    <t>MAINS_AD</t>
  </si>
  <si>
    <t>COMPRESSORS_AD</t>
  </si>
  <si>
    <t>TRANS_LANDRIGHTS_AD</t>
  </si>
  <si>
    <t>TRANS_STRUC&amp;IMP_AD</t>
  </si>
  <si>
    <t>TRANS_MEAS&amp;REG_AD</t>
  </si>
  <si>
    <t>TRANS_MAINS_AD</t>
  </si>
  <si>
    <t>TRANS_COMPRESSORS_AD</t>
  </si>
  <si>
    <t>Gas Commodity, Transportation &amp; Load Balancing</t>
  </si>
  <si>
    <t>Classification Factor</t>
  </si>
  <si>
    <t>DISTCUST_O&amp;M</t>
  </si>
  <si>
    <t>Customers</t>
  </si>
  <si>
    <t>DISTCUST_SUPER</t>
  </si>
  <si>
    <t>LNG_EQUIPMENT_AD</t>
  </si>
  <si>
    <t>LNG_STRUCTURES</t>
  </si>
  <si>
    <t>LNG_STRUCTURES_AD</t>
  </si>
  <si>
    <t>CONTRACT_CUST</t>
  </si>
  <si>
    <t>Depreciation</t>
  </si>
  <si>
    <t>Expense</t>
  </si>
  <si>
    <t>High</t>
  </si>
  <si>
    <t>Low</t>
  </si>
  <si>
    <t>Classified</t>
  </si>
  <si>
    <t xml:space="preserve">Total </t>
  </si>
  <si>
    <t>DISTCUST_LABOUR</t>
  </si>
  <si>
    <t>Gas in Storage &amp; Balancing Gas Costs</t>
  </si>
  <si>
    <t>Rate Base Amount</t>
  </si>
  <si>
    <t>Pressure  &gt; 4"</t>
  </si>
  <si>
    <t>Pressure &lt;= 4"</t>
  </si>
  <si>
    <t>Pressure &gt; 4"</t>
  </si>
  <si>
    <t>Transmission Demand - Dawn Parkway</t>
  </si>
  <si>
    <t>Transmission Demand - Albion</t>
  </si>
  <si>
    <t>ALBIONTRANS</t>
  </si>
  <si>
    <t>GASSTORALLO</t>
  </si>
  <si>
    <t>STORCOMM</t>
  </si>
  <si>
    <t>TRANSCOMM</t>
  </si>
  <si>
    <t>DISTCOMM</t>
  </si>
  <si>
    <t>Market Based Storage</t>
  </si>
  <si>
    <t>Accounting</t>
  </si>
  <si>
    <t>Large Volume</t>
  </si>
  <si>
    <t>Care</t>
  </si>
  <si>
    <t>SALESPROMO</t>
  </si>
  <si>
    <t>DAWNPARKWAY</t>
  </si>
  <si>
    <t>Operational</t>
  </si>
  <si>
    <t>Contingency</t>
  </si>
  <si>
    <t>Storage Demand - Operational Contingency</t>
  </si>
  <si>
    <t>OP_CONTINGENCY</t>
  </si>
  <si>
    <t>DEL_SPACE_OPCON</t>
  </si>
  <si>
    <t>SPACE_OPCON</t>
  </si>
  <si>
    <t>DP_GS_GENOPS</t>
  </si>
  <si>
    <t>STOR_SUPER</t>
  </si>
  <si>
    <t>TRANS_SUPER</t>
  </si>
  <si>
    <t>DIST_SUPER</t>
  </si>
  <si>
    <t>GASSUPPLY</t>
  </si>
  <si>
    <t>GS_BADDEBT</t>
  </si>
  <si>
    <t>GS_OTHERTRANS</t>
  </si>
  <si>
    <t>GASSUPPLY_CLASS</t>
  </si>
  <si>
    <t>Net Plant (excl. Gen Plant)</t>
  </si>
  <si>
    <t>TRANS_GENPLANT FACTOR</t>
  </si>
  <si>
    <t>Net Plant (Excl. Gen Plant)</t>
  </si>
  <si>
    <t>STOR_GENPLANT FACTOR</t>
  </si>
  <si>
    <t>DIST_GENPLANT FACTOR</t>
  </si>
  <si>
    <t>DAWN_O&amp;M</t>
  </si>
  <si>
    <t>2024 Cost Allocation Study - Current Rate Classes</t>
  </si>
  <si>
    <t>Functionalization Factors</t>
  </si>
  <si>
    <t xml:space="preserve">Functionalization </t>
  </si>
  <si>
    <t>(d)</t>
  </si>
  <si>
    <t>EXT</t>
  </si>
  <si>
    <t>INT</t>
  </si>
  <si>
    <t>(p)</t>
  </si>
  <si>
    <t>(q)</t>
  </si>
  <si>
    <t>(r)</t>
  </si>
  <si>
    <t>(s)</t>
  </si>
  <si>
    <t>Functionalization</t>
  </si>
  <si>
    <t>Particulars ($000s)</t>
  </si>
  <si>
    <t>Gas Supply Classification</t>
  </si>
  <si>
    <t>Storage Classification</t>
  </si>
  <si>
    <t>Transmission Classification</t>
  </si>
  <si>
    <t>Distribution Classification</t>
  </si>
  <si>
    <t>DCB Receivable/(Payable)</t>
  </si>
  <si>
    <t xml:space="preserve">Gas in Storage </t>
  </si>
  <si>
    <t>Working Cash Allowance</t>
  </si>
  <si>
    <t>Total Distribution Revenue Requirement</t>
  </si>
  <si>
    <t>Total Gas Supply Revenue Requirement</t>
  </si>
  <si>
    <t>Gas Supply Revenue Requirement</t>
  </si>
  <si>
    <t>Load Balancing - Transportation</t>
  </si>
  <si>
    <t>Load Balancing - Commodity</t>
  </si>
  <si>
    <t>Other Revenue Surcharges</t>
  </si>
  <si>
    <t>Gas Supply Classification Factors</t>
  </si>
  <si>
    <t>Storage Classification Factors</t>
  </si>
  <si>
    <t>Transmission Classification Factors</t>
  </si>
  <si>
    <t>Distribution Classification Factors</t>
  </si>
  <si>
    <t>Total Gross Plant (lines 14+15)</t>
  </si>
  <si>
    <t>Total Accumulated Depreciation (lines 30+31)</t>
  </si>
  <si>
    <t>Subtotal (sum line 33 to 45)</t>
  </si>
  <si>
    <t>Total Net Plant (lines 46+47)</t>
  </si>
  <si>
    <t>Subtotal   (sum lines 49 to 53)</t>
  </si>
  <si>
    <t>Total Rate Base (lines 48+54)</t>
  </si>
  <si>
    <t>Return on Rate Base   (line 55 x line 56)</t>
  </si>
  <si>
    <t>Total O&amp;M Expenses (sum line 64 to 101)</t>
  </si>
  <si>
    <t>Total Revenue Requirement (lines 57+60+63+102)</t>
  </si>
  <si>
    <t>Total Other Revenue (sum lines 104 to 110)</t>
  </si>
  <si>
    <t>(lines 103 - line 111)</t>
  </si>
  <si>
    <t>(lines 10 - line 111)</t>
  </si>
  <si>
    <t>(line 103 - line 111)</t>
  </si>
  <si>
    <t>Allocation Factors</t>
  </si>
  <si>
    <t>Gross Plant</t>
  </si>
  <si>
    <t xml:space="preserve">Cost of Gas </t>
  </si>
  <si>
    <t>Ex-franchise</t>
  </si>
  <si>
    <t>TRANSPT_DEM_OPT</t>
  </si>
  <si>
    <t>TRANSPT_DEMAND_OPT</t>
  </si>
  <si>
    <t xml:space="preserve">Total Revenue Requirement </t>
  </si>
  <si>
    <t>East</t>
  </si>
  <si>
    <t>South</t>
  </si>
  <si>
    <t>Rate Zones</t>
  </si>
  <si>
    <t>Union</t>
  </si>
  <si>
    <t>EGD</t>
  </si>
  <si>
    <t>North West</t>
  </si>
  <si>
    <t>North East</t>
  </si>
  <si>
    <t xml:space="preserve">Union North </t>
  </si>
  <si>
    <t>West</t>
  </si>
  <si>
    <t>Union South</t>
  </si>
  <si>
    <t>SUPPLY_VOL_RZ</t>
  </si>
  <si>
    <t>LOAD_BALANCING_RZ</t>
  </si>
  <si>
    <t>NETFROMSTOR_RZ</t>
  </si>
  <si>
    <t>TRANS_DEMAND_RZ</t>
  </si>
  <si>
    <t>TRANSPT_DEMAND_OPT_RZ</t>
  </si>
  <si>
    <t>TRANS_FUEL_RZ</t>
  </si>
  <si>
    <t>ADMIN RZ</t>
  </si>
  <si>
    <t>STORAGEXCESS_RZ</t>
  </si>
  <si>
    <t>GASSTORALLO_RZ</t>
  </si>
  <si>
    <t>OP_CONTINGENCY_RZ</t>
  </si>
  <si>
    <t>STORCOMM_RZ</t>
  </si>
  <si>
    <t>KIRKWALL_RZ</t>
  </si>
  <si>
    <t>PKWY_RZ</t>
  </si>
  <si>
    <t>D-PTRANS_RZ</t>
  </si>
  <si>
    <t>ALBIONTRANS_RZ</t>
  </si>
  <si>
    <t>PAN_STCLAIR_RZ</t>
  </si>
  <si>
    <t>TRANS_COMPFUEL_RZ</t>
  </si>
  <si>
    <t>TRANSCOMM_RZ</t>
  </si>
  <si>
    <t>HIGHPRESS&gt;4_RZ</t>
  </si>
  <si>
    <t>HIGHPRESS&lt;=4_RZ</t>
  </si>
  <si>
    <t>LOWPRESS_RZ</t>
  </si>
  <si>
    <t>DSM_PRO_RZ</t>
  </si>
  <si>
    <t>DSM_ADM_RZ</t>
  </si>
  <si>
    <t>BAD_DEBT_RZ</t>
  </si>
  <si>
    <t>DISTCOMM_RZ</t>
  </si>
  <si>
    <t>MAINS_RZ</t>
  </si>
  <si>
    <t>SERVICES_RZ</t>
  </si>
  <si>
    <t>METERS_RZ</t>
  </si>
  <si>
    <t>STATIONS_RZ</t>
  </si>
  <si>
    <t>SALESPROMO_RZ</t>
  </si>
  <si>
    <t>TOTAL_CUST_RZ</t>
  </si>
  <si>
    <t>LVCC_RZ</t>
  </si>
  <si>
    <t>LANDRIGHTS_DEP</t>
  </si>
  <si>
    <t>STRUCT_IMPROV</t>
  </si>
  <si>
    <t>STRUCT_IMPROV_DEP</t>
  </si>
  <si>
    <t>DISTCUST_A&amp;G</t>
  </si>
  <si>
    <t>DISTCUST_DEPEXP</t>
  </si>
  <si>
    <t>EGD Rate Zone</t>
  </si>
  <si>
    <t>Rate 1</t>
  </si>
  <si>
    <t>Rate 6</t>
  </si>
  <si>
    <t>Rate 100</t>
  </si>
  <si>
    <t>Rate 110</t>
  </si>
  <si>
    <t>Rate 115</t>
  </si>
  <si>
    <t>Rate 125</t>
  </si>
  <si>
    <t>Rate 135</t>
  </si>
  <si>
    <t>Rate 145</t>
  </si>
  <si>
    <t>Rate 170</t>
  </si>
  <si>
    <t>Rate 200</t>
  </si>
  <si>
    <t>Union South Rate Zone</t>
  </si>
  <si>
    <t>Rate M1</t>
  </si>
  <si>
    <t>Rate M2</t>
  </si>
  <si>
    <t>Rate M4 (F)</t>
  </si>
  <si>
    <t>Rate M4 (I)</t>
  </si>
  <si>
    <t>Rate M5 (F)</t>
  </si>
  <si>
    <t>Rate M5 (I)</t>
  </si>
  <si>
    <t>Rate M7 (F)</t>
  </si>
  <si>
    <t>Rate M7 (I)</t>
  </si>
  <si>
    <t>Rate M9</t>
  </si>
  <si>
    <t>Rate T1 (F)</t>
  </si>
  <si>
    <t>Rate T1 (I)</t>
  </si>
  <si>
    <t>Rate T2 (F)</t>
  </si>
  <si>
    <t>Rate T2 (I)</t>
  </si>
  <si>
    <t>Rate T3</t>
  </si>
  <si>
    <t>North Unb</t>
  </si>
  <si>
    <t>Total Direct</t>
  </si>
  <si>
    <t>01</t>
  </si>
  <si>
    <t>Union North</t>
  </si>
  <si>
    <t>Union North West</t>
  </si>
  <si>
    <t>Union North East</t>
  </si>
  <si>
    <t>North Unb Storage</t>
  </si>
  <si>
    <t>Rate 01</t>
  </si>
  <si>
    <t>Rate 10</t>
  </si>
  <si>
    <t>Rate 20</t>
  </si>
  <si>
    <t>Rate 25</t>
  </si>
  <si>
    <t>C1 (F)</t>
  </si>
  <si>
    <t>C1 (I)</t>
  </si>
  <si>
    <t>M12</t>
  </si>
  <si>
    <t>M13</t>
  </si>
  <si>
    <t>M16</t>
  </si>
  <si>
    <t>M17</t>
  </si>
  <si>
    <t>Rate 331</t>
  </si>
  <si>
    <t>Rate 332</t>
  </si>
  <si>
    <t>Rate 401</t>
  </si>
  <si>
    <t>Rate C1 (F)</t>
  </si>
  <si>
    <t>Rate C1 (I)</t>
  </si>
  <si>
    <t>Rate M12</t>
  </si>
  <si>
    <t>Rate M13</t>
  </si>
  <si>
    <t>Rate M16</t>
  </si>
  <si>
    <t>Rate M17</t>
  </si>
  <si>
    <t>2024 Cost Allocation Study - Current Rate Zones</t>
  </si>
  <si>
    <t>Cost Allocation Study - Current Rate Zones</t>
  </si>
  <si>
    <t xml:space="preserve">Total Allocation - EGD </t>
  </si>
  <si>
    <t>Allocation of Delivery Revenue Requirement - EGD Rate Zone</t>
  </si>
  <si>
    <t>Allocation Factors - EGD Rate Zone</t>
  </si>
  <si>
    <t>Total Allocation - Union North Rate Zone</t>
  </si>
  <si>
    <t>Allocation of Delivery Revenue Requirement - Union North Rate Zone</t>
  </si>
  <si>
    <t>Allocation of Gas Cost Revenue Requirement - Union North Rate Zone</t>
  </si>
  <si>
    <t>Allocation of Gas Cost Revenue Requirement - EGD Rate Zone</t>
  </si>
  <si>
    <t>Allocation Factors - Union North Rate Zone</t>
  </si>
  <si>
    <t>Total Allocation - Union South Rate Zone</t>
  </si>
  <si>
    <t>Allocation of Gas Cost Revenue Requirement - Union South Rate Zone</t>
  </si>
  <si>
    <t>Allocation of Delivery Revenue Requirement - Union South Rate Zone</t>
  </si>
  <si>
    <t>Allocation Factors - Union South Rate Zone</t>
  </si>
  <si>
    <t>Total Allocation - Ex-Franchise</t>
  </si>
  <si>
    <t>Allocation of Gas Cost Revenue Requirement - Ex-Franchise</t>
  </si>
  <si>
    <t>Allocation of Delivery Revenue Requirement - Ex-Franchise</t>
  </si>
  <si>
    <t>Allocation Factors - Ex-Franchise</t>
  </si>
  <si>
    <t>Total Allocation - All Rate Zones</t>
  </si>
  <si>
    <t>Allocation of Gas Cost Revenue Requirement - All Rate Zones</t>
  </si>
  <si>
    <t>Allocation Factors - Distribution - All Rate Zones</t>
  </si>
  <si>
    <t>DAWNDEMAND</t>
  </si>
  <si>
    <t>DAWN_DEMAND</t>
  </si>
  <si>
    <t>DIST_LINEPACK</t>
  </si>
  <si>
    <t>DIST_MAINS&amp;MR</t>
  </si>
  <si>
    <t>DAWNDEMAND_RZ</t>
  </si>
  <si>
    <t>HPMAINS&gt;4"</t>
  </si>
  <si>
    <t>DISTMAINS&amp;SERVICES</t>
  </si>
  <si>
    <t>Gas Supply, Storage and Transmission Allocation Factors - All Rate Zones</t>
  </si>
  <si>
    <t>Allocation of Delivery Revenue Requirement - All Rate Zones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</si>
</sst>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(* #,##0_);_(* \(#,##0\);_(* &quot;-&quot;??_);_(@_)"/>
    <numFmt numFmtId="165" formatCode="#,##0,"/>
    <numFmt numFmtId="166" formatCode="0.000%"/>
    <numFmt numFmtId="167" formatCode="0.0%"/>
    <numFmt numFmtId="168" formatCode="_-* #,##0.00_-;\-* #,##0.00_-;_-* &quot;-&quot;??_-;_-@_-"/>
    <numFmt numFmtId="169" formatCode="_(* #,##0_);_(* \(#,##0\);_(* 0_);_(@_)"/>
    <numFmt numFmtId="170" formatCode="0.000000"/>
    <numFmt numFmtId="171" formatCode="_(* #,##0.000_);_(* \(#,##0.00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i/>
      <sz val="10"/>
      <color theme="1"/>
      <name val="Arial"/>
      <family val="2"/>
    </font>
    <font>
      <i/>
      <u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1"/>
      <color rgb="FF0070C0"/>
      <name val="Calibri"/>
      <family val="2"/>
      <scheme val="minor"/>
    </font>
    <font>
      <u/>
      <sz val="10"/>
      <name val="Arial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sz val="12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i/>
      <sz val="10"/>
      <color theme="0"/>
      <name val="Arial"/>
      <family val="2"/>
    </font>
    <font>
      <b/>
      <u/>
      <sz val="10"/>
      <name val="Arial"/>
      <family val="2"/>
    </font>
    <font>
      <i/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" fillId="0" borderId="0"/>
    <xf numFmtId="0" fontId="16" fillId="0" borderId="0"/>
    <xf numFmtId="0" fontId="4" fillId="0" borderId="0"/>
    <xf numFmtId="0" fontId="18" fillId="0" borderId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7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/>
    <xf numFmtId="0" fontId="6" fillId="0" borderId="0" xfId="0" applyFont="1"/>
    <xf numFmtId="164" fontId="2" fillId="0" borderId="0" xfId="0" applyNumberFormat="1" applyFont="1"/>
    <xf numFmtId="164" fontId="2" fillId="0" borderId="0" xfId="1" applyNumberFormat="1" applyFont="1"/>
    <xf numFmtId="164" fontId="2" fillId="0" borderId="2" xfId="0" applyNumberFormat="1" applyFont="1" applyBorder="1"/>
    <xf numFmtId="164" fontId="2" fillId="0" borderId="2" xfId="1" applyNumberFormat="1" applyFont="1" applyBorder="1"/>
    <xf numFmtId="43" fontId="2" fillId="0" borderId="0" xfId="1" applyFont="1" applyBorder="1"/>
    <xf numFmtId="164" fontId="2" fillId="0" borderId="0" xfId="1" applyNumberFormat="1" applyFont="1" applyBorder="1"/>
    <xf numFmtId="43" fontId="2" fillId="0" borderId="0" xfId="0" applyNumberFormat="1" applyFont="1"/>
    <xf numFmtId="43" fontId="2" fillId="0" borderId="0" xfId="1" applyFont="1"/>
    <xf numFmtId="0" fontId="2" fillId="0" borderId="1" xfId="0" applyFont="1" applyBorder="1" applyAlignment="1">
      <alignment horizontal="center" vertical="center"/>
    </xf>
    <xf numFmtId="10" fontId="2" fillId="0" borderId="0" xfId="0" applyNumberFormat="1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2" fillId="0" borderId="0" xfId="1" applyNumberFormat="1" applyFont="1" applyFill="1"/>
    <xf numFmtId="0" fontId="2" fillId="0" borderId="4" xfId="0" applyFont="1" applyBorder="1"/>
    <xf numFmtId="164" fontId="2" fillId="0" borderId="0" xfId="1" applyNumberFormat="1" applyFont="1" applyFill="1" applyBorder="1"/>
    <xf numFmtId="43" fontId="2" fillId="0" borderId="0" xfId="1" applyFont="1" applyFill="1" applyBorder="1"/>
    <xf numFmtId="10" fontId="2" fillId="0" borderId="0" xfId="2" applyNumberFormat="1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2" fillId="2" borderId="0" xfId="0" applyFont="1" applyFill="1"/>
    <xf numFmtId="164" fontId="2" fillId="0" borderId="2" xfId="1" applyNumberFormat="1" applyFont="1" applyFill="1" applyBorder="1"/>
    <xf numFmtId="43" fontId="2" fillId="0" borderId="2" xfId="1" applyFont="1" applyFill="1" applyBorder="1"/>
    <xf numFmtId="165" fontId="4" fillId="0" borderId="0" xfId="3" applyNumberFormat="1" applyFont="1" applyFill="1" applyBorder="1"/>
    <xf numFmtId="0" fontId="4" fillId="0" borderId="0" xfId="0" applyFont="1"/>
    <xf numFmtId="0" fontId="1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64" fontId="2" fillId="0" borderId="5" xfId="0" applyNumberFormat="1" applyFont="1" applyBorder="1"/>
    <xf numFmtId="9" fontId="2" fillId="0" borderId="0" xfId="2" applyFont="1"/>
    <xf numFmtId="0" fontId="2" fillId="0" borderId="0" xfId="0" applyFont="1" applyAlignment="1">
      <alignment horizontal="left" indent="2"/>
    </xf>
    <xf numFmtId="9" fontId="2" fillId="0" borderId="0" xfId="2" applyFont="1" applyFill="1"/>
    <xf numFmtId="164" fontId="4" fillId="0" borderId="0" xfId="1" applyNumberFormat="1" applyFont="1" applyFill="1" applyBorder="1"/>
    <xf numFmtId="167" fontId="2" fillId="0" borderId="0" xfId="0" applyNumberFormat="1" applyFont="1"/>
    <xf numFmtId="0" fontId="5" fillId="0" borderId="0" xfId="0" applyFont="1"/>
    <xf numFmtId="164" fontId="4" fillId="0" borderId="2" xfId="0" applyNumberFormat="1" applyFont="1" applyBorder="1"/>
    <xf numFmtId="1" fontId="4" fillId="0" borderId="0" xfId="3" applyNumberFormat="1" applyFont="1" applyFill="1" applyBorder="1"/>
    <xf numFmtId="10" fontId="4" fillId="0" borderId="0" xfId="2" applyNumberFormat="1" applyFont="1" applyFill="1" applyBorder="1"/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64" fontId="2" fillId="2" borderId="0" xfId="1" applyNumberFormat="1" applyFont="1" applyFill="1"/>
    <xf numFmtId="164" fontId="0" fillId="0" borderId="0" xfId="1" applyNumberFormat="1" applyFont="1" applyFill="1"/>
    <xf numFmtId="10" fontId="2" fillId="0" borderId="0" xfId="2" applyNumberFormat="1" applyFont="1"/>
    <xf numFmtId="164" fontId="4" fillId="0" borderId="0" xfId="0" applyNumberFormat="1" applyFont="1"/>
    <xf numFmtId="0" fontId="9" fillId="0" borderId="0" xfId="0" applyFont="1" applyAlignment="1">
      <alignment horizontal="center"/>
    </xf>
    <xf numFmtId="43" fontId="2" fillId="0" borderId="0" xfId="0" applyNumberFormat="1" applyFont="1" applyAlignment="1">
      <alignment horizontal="center"/>
    </xf>
    <xf numFmtId="0" fontId="19" fillId="0" borderId="0" xfId="0" applyFont="1"/>
    <xf numFmtId="164" fontId="2" fillId="0" borderId="0" xfId="0" applyNumberFormat="1" applyFont="1" applyAlignment="1">
      <alignment horizontal="center"/>
    </xf>
    <xf numFmtId="1" fontId="2" fillId="0" borderId="0" xfId="0" applyNumberFormat="1" applyFont="1"/>
    <xf numFmtId="0" fontId="8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4" fillId="0" borderId="0" xfId="0" applyFont="1" applyAlignment="1">
      <alignment horizontal="left"/>
    </xf>
    <xf numFmtId="0" fontId="17" fillId="0" borderId="0" xfId="0" applyFont="1"/>
    <xf numFmtId="0" fontId="17" fillId="0" borderId="0" xfId="0" applyFont="1" applyAlignment="1">
      <alignment horizontal="left"/>
    </xf>
    <xf numFmtId="43" fontId="2" fillId="0" borderId="0" xfId="1" applyFont="1" applyFill="1"/>
    <xf numFmtId="0" fontId="7" fillId="0" borderId="0" xfId="0" applyFont="1" applyAlignment="1">
      <alignment horizontal="center"/>
    </xf>
    <xf numFmtId="10" fontId="2" fillId="0" borderId="0" xfId="2" applyNumberFormat="1" applyFont="1" applyFill="1" applyBorder="1"/>
    <xf numFmtId="1" fontId="4" fillId="0" borderId="0" xfId="0" applyNumberFormat="1" applyFont="1" applyAlignment="1">
      <alignment horizontal="right"/>
    </xf>
    <xf numFmtId="164" fontId="2" fillId="0" borderId="0" xfId="1" applyNumberFormat="1" applyFont="1" applyFill="1" applyAlignment="1">
      <alignment horizontal="right"/>
    </xf>
    <xf numFmtId="0" fontId="8" fillId="0" borderId="0" xfId="0" applyFont="1"/>
    <xf numFmtId="43" fontId="4" fillId="0" borderId="0" xfId="1" applyFont="1" applyFill="1" applyBorder="1"/>
    <xf numFmtId="43" fontId="4" fillId="0" borderId="0" xfId="3" applyFont="1" applyFill="1" applyBorder="1"/>
    <xf numFmtId="9" fontId="2" fillId="0" borderId="0" xfId="2" applyFont="1" applyFill="1" applyBorder="1"/>
    <xf numFmtId="167" fontId="2" fillId="0" borderId="0" xfId="2" applyNumberFormat="1" applyFont="1" applyFill="1" applyBorder="1"/>
    <xf numFmtId="167" fontId="4" fillId="0" borderId="0" xfId="2" applyNumberFormat="1" applyFont="1" applyFill="1" applyBorder="1"/>
    <xf numFmtId="164" fontId="0" fillId="0" borderId="0" xfId="1" applyNumberFormat="1" applyFont="1" applyFill="1" applyBorder="1"/>
    <xf numFmtId="0" fontId="21" fillId="0" borderId="0" xfId="0" applyFont="1" applyAlignment="1">
      <alignment horizontal="center"/>
    </xf>
    <xf numFmtId="0" fontId="21" fillId="0" borderId="0" xfId="0" applyFont="1"/>
    <xf numFmtId="0" fontId="21" fillId="2" borderId="0" xfId="0" applyFont="1" applyFill="1"/>
    <xf numFmtId="10" fontId="21" fillId="0" borderId="0" xfId="0" applyNumberFormat="1" applyFont="1"/>
    <xf numFmtId="0" fontId="15" fillId="0" borderId="0" xfId="0" applyFont="1"/>
    <xf numFmtId="0" fontId="23" fillId="0" borderId="0" xfId="0" applyFont="1"/>
    <xf numFmtId="164" fontId="4" fillId="0" borderId="0" xfId="1" applyNumberFormat="1" applyFont="1" applyFill="1"/>
    <xf numFmtId="0" fontId="4" fillId="0" borderId="1" xfId="0" applyFont="1" applyBorder="1"/>
    <xf numFmtId="164" fontId="4" fillId="0" borderId="2" xfId="1" applyNumberFormat="1" applyFont="1" applyFill="1" applyBorder="1"/>
    <xf numFmtId="0" fontId="4" fillId="0" borderId="0" xfId="0" applyFont="1" applyAlignment="1">
      <alignment horizontal="left" indent="2"/>
    </xf>
    <xf numFmtId="164" fontId="4" fillId="0" borderId="5" xfId="0" applyNumberFormat="1" applyFont="1" applyBorder="1"/>
    <xf numFmtId="164" fontId="2" fillId="0" borderId="0" xfId="1" applyNumberFormat="1" applyFont="1" applyFill="1" applyAlignment="1">
      <alignment horizontal="center"/>
    </xf>
    <xf numFmtId="0" fontId="7" fillId="0" borderId="0" xfId="0" applyFont="1" applyAlignment="1">
      <alignment horizontal="left"/>
    </xf>
    <xf numFmtId="166" fontId="4" fillId="0" borderId="0" xfId="2" applyNumberFormat="1" applyFont="1" applyFill="1"/>
    <xf numFmtId="10" fontId="4" fillId="0" borderId="0" xfId="2" applyNumberFormat="1" applyFont="1" applyFill="1"/>
    <xf numFmtId="164" fontId="4" fillId="0" borderId="1" xfId="0" applyNumberFormat="1" applyFont="1" applyBorder="1"/>
    <xf numFmtId="10" fontId="4" fillId="0" borderId="0" xfId="0" applyNumberFormat="1" applyFont="1"/>
    <xf numFmtId="9" fontId="4" fillId="0" borderId="0" xfId="2" applyFont="1" applyFill="1"/>
    <xf numFmtId="43" fontId="4" fillId="0" borderId="0" xfId="1" applyFont="1" applyFill="1"/>
    <xf numFmtId="164" fontId="2" fillId="0" borderId="2" xfId="0" applyNumberFormat="1" applyFont="1" applyBorder="1" applyAlignment="1">
      <alignment horizontal="left" indent="2"/>
    </xf>
    <xf numFmtId="164" fontId="4" fillId="2" borderId="0" xfId="1" applyNumberFormat="1" applyFont="1" applyFill="1"/>
    <xf numFmtId="164" fontId="4" fillId="0" borderId="2" xfId="1" applyNumberFormat="1" applyFont="1" applyBorder="1"/>
    <xf numFmtId="43" fontId="4" fillId="0" borderId="0" xfId="1" applyFont="1"/>
    <xf numFmtId="164" fontId="4" fillId="0" borderId="0" xfId="1" applyNumberFormat="1" applyFont="1"/>
    <xf numFmtId="164" fontId="4" fillId="0" borderId="3" xfId="1" applyNumberFormat="1" applyFont="1" applyBorder="1"/>
    <xf numFmtId="0" fontId="23" fillId="0" borderId="0" xfId="0" applyFont="1" applyAlignment="1">
      <alignment horizontal="center"/>
    </xf>
    <xf numFmtId="164" fontId="4" fillId="2" borderId="0" xfId="0" applyNumberFormat="1" applyFont="1" applyFill="1"/>
    <xf numFmtId="9" fontId="4" fillId="0" borderId="0" xfId="2" applyFont="1"/>
    <xf numFmtId="43" fontId="4" fillId="2" borderId="0" xfId="1" applyFont="1" applyFill="1"/>
    <xf numFmtId="164" fontId="4" fillId="0" borderId="0" xfId="1" applyNumberFormat="1" applyFont="1" applyBorder="1"/>
    <xf numFmtId="10" fontId="4" fillId="0" borderId="0" xfId="2" applyNumberFormat="1" applyFont="1"/>
    <xf numFmtId="0" fontId="10" fillId="0" borderId="0" xfId="0" applyFont="1" applyAlignment="1">
      <alignment horizontal="center"/>
    </xf>
    <xf numFmtId="10" fontId="4" fillId="0" borderId="0" xfId="2" applyNumberFormat="1" applyFont="1" applyAlignment="1">
      <alignment horizontal="right"/>
    </xf>
    <xf numFmtId="10" fontId="13" fillId="0" borderId="0" xfId="2" applyNumberFormat="1" applyFont="1" applyFill="1"/>
    <xf numFmtId="167" fontId="13" fillId="0" borderId="0" xfId="2" applyNumberFormat="1" applyFont="1" applyFill="1"/>
    <xf numFmtId="10" fontId="4" fillId="0" borderId="2" xfId="2" applyNumberFormat="1" applyFont="1" applyFill="1" applyBorder="1"/>
    <xf numFmtId="167" fontId="2" fillId="0" borderId="0" xfId="2" applyNumberFormat="1" applyFont="1" applyFill="1"/>
    <xf numFmtId="167" fontId="4" fillId="0" borderId="0" xfId="2" applyNumberFormat="1" applyFont="1" applyFill="1"/>
    <xf numFmtId="43" fontId="4" fillId="0" borderId="0" xfId="0" applyNumberFormat="1" applyFont="1"/>
    <xf numFmtId="0" fontId="20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0" fontId="4" fillId="0" borderId="1" xfId="2" applyNumberFormat="1" applyFont="1" applyBorder="1"/>
    <xf numFmtId="0" fontId="15" fillId="0" borderId="0" xfId="0" applyFont="1" applyAlignment="1">
      <alignment horizontal="left"/>
    </xf>
    <xf numFmtId="0" fontId="13" fillId="0" borderId="0" xfId="0" applyFont="1"/>
    <xf numFmtId="0" fontId="24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0" fontId="21" fillId="0" borderId="0" xfId="0" quotePrefix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0" xfId="1" applyNumberFormat="1" applyFont="1" applyFill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quotePrefix="1" applyFont="1" applyBorder="1" applyAlignment="1">
      <alignment horizontal="center"/>
    </xf>
    <xf numFmtId="164" fontId="5" fillId="0" borderId="0" xfId="1" applyNumberFormat="1" applyFont="1" applyFill="1"/>
    <xf numFmtId="164" fontId="21" fillId="0" borderId="0" xfId="1" applyNumberFormat="1" applyFont="1" applyFill="1"/>
    <xf numFmtId="164" fontId="21" fillId="0" borderId="0" xfId="0" applyNumberFormat="1" applyFont="1"/>
    <xf numFmtId="164" fontId="5" fillId="0" borderId="0" xfId="0" applyNumberFormat="1" applyFont="1"/>
    <xf numFmtId="164" fontId="2" fillId="0" borderId="0" xfId="1" applyNumberFormat="1" applyFont="1" applyFill="1" applyBorder="1" applyAlignment="1">
      <alignment horizontal="center"/>
    </xf>
    <xf numFmtId="9" fontId="2" fillId="0" borderId="0" xfId="2" applyFont="1" applyFill="1" applyAlignment="1">
      <alignment horizontal="right"/>
    </xf>
    <xf numFmtId="164" fontId="2" fillId="0" borderId="0" xfId="2" applyNumberFormat="1" applyFont="1" applyFill="1" applyAlignment="1">
      <alignment horizontal="center"/>
    </xf>
    <xf numFmtId="164" fontId="2" fillId="2" borderId="0" xfId="0" applyNumberFormat="1" applyFont="1" applyFill="1"/>
    <xf numFmtId="164" fontId="2" fillId="0" borderId="0" xfId="2" applyNumberFormat="1" applyFont="1" applyFill="1"/>
    <xf numFmtId="1" fontId="2" fillId="0" borderId="0" xfId="2" applyNumberFormat="1" applyFont="1" applyFill="1"/>
    <xf numFmtId="164" fontId="4" fillId="0" borderId="0" xfId="4" applyNumberFormat="1"/>
    <xf numFmtId="0" fontId="4" fillId="0" borderId="0" xfId="4"/>
    <xf numFmtId="0" fontId="4" fillId="3" borderId="0" xfId="0" applyFont="1" applyFill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3" borderId="0" xfId="0" applyFont="1" applyFill="1"/>
    <xf numFmtId="164" fontId="4" fillId="3" borderId="0" xfId="1" applyNumberFormat="1" applyFont="1" applyFill="1"/>
    <xf numFmtId="164" fontId="4" fillId="3" borderId="2" xfId="0" applyNumberFormat="1" applyFont="1" applyFill="1" applyBorder="1"/>
    <xf numFmtId="9" fontId="2" fillId="0" borderId="0" xfId="2" applyFont="1" applyFill="1" applyBorder="1" applyAlignment="1">
      <alignment horizontal="right"/>
    </xf>
    <xf numFmtId="43" fontId="2" fillId="0" borderId="0" xfId="1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166" fontId="4" fillId="0" borderId="0" xfId="0" applyNumberFormat="1" applyFont="1"/>
    <xf numFmtId="170" fontId="2" fillId="0" borderId="0" xfId="0" applyNumberFormat="1" applyFont="1"/>
    <xf numFmtId="0" fontId="20" fillId="0" borderId="0" xfId="10" applyFont="1" applyAlignment="1">
      <alignment horizontal="center"/>
    </xf>
    <xf numFmtId="0" fontId="2" fillId="0" borderId="4" xfId="0" applyFont="1" applyBorder="1" applyAlignment="1">
      <alignment horizontal="center"/>
    </xf>
    <xf numFmtId="9" fontId="4" fillId="0" borderId="0" xfId="2" applyFont="1" applyFill="1" applyBorder="1"/>
    <xf numFmtId="171" fontId="4" fillId="0" borderId="0" xfId="1" applyNumberFormat="1" applyFont="1" applyFill="1"/>
    <xf numFmtId="164" fontId="4" fillId="0" borderId="0" xfId="1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</cellXfs>
  <cellStyles count="17">
    <cellStyle name="Comma" xfId="1" builtinId="3"/>
    <cellStyle name="Comma 10" xfId="7" xr:uid="{284E9CCC-1877-4BF3-916A-6F7D82183A4D}"/>
    <cellStyle name="Comma 11 3" xfId="13" xr:uid="{52B0E056-AF72-4972-A4A8-C9E45F6CDC7E}"/>
    <cellStyle name="Comma 16" xfId="5" xr:uid="{DD957D5B-3221-49EA-87BB-712D49151BA9}"/>
    <cellStyle name="Comma 2" xfId="3" xr:uid="{33681C4F-EED4-4A2B-AE36-FBD9EE9DCC94}"/>
    <cellStyle name="Comma 3 10" xfId="16" xr:uid="{E847C9C6-69D8-42CD-86B0-1B4C16BBE3CE}"/>
    <cellStyle name="Comma 6" xfId="12" xr:uid="{7D1D412C-0319-41DD-AC9F-EC41AEB4783C}"/>
    <cellStyle name="Normal" xfId="0" builtinId="0"/>
    <cellStyle name="Normal 10" xfId="4" xr:uid="{AB0E1948-CF32-4ABD-8322-5FF4B3E156B3}"/>
    <cellStyle name="Normal 2" xfId="10" xr:uid="{E42D2D60-15B1-4AC0-AC75-E841CC71FD6D}"/>
    <cellStyle name="Normal 3" xfId="6" xr:uid="{D7BDECE3-6026-4AB0-8CC3-A4C377F04748}"/>
    <cellStyle name="Normal 4" xfId="9" xr:uid="{14918917-03F3-46EB-A88A-BAAD32FFA7A4}"/>
    <cellStyle name="Normal 5" xfId="11" xr:uid="{CC6F59D0-8CA5-487E-B139-1D796D4D0551}"/>
    <cellStyle name="Normal 8" xfId="8" xr:uid="{560E8F90-774F-4946-85ED-36499937FA11}"/>
    <cellStyle name="Percent" xfId="2" builtinId="5"/>
    <cellStyle name="Percent 12 2" xfId="15" xr:uid="{A289B5EB-A44E-4ABA-89ED-ABF71EC1DAAB}"/>
    <cellStyle name="Percent 2" xfId="14" xr:uid="{5DFDC748-3D53-4CF6-9529-18BDE056AD54}"/>
  </cellStyles>
  <dxfs count="3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5096C-A3D0-43B5-8EF7-7B259A68F63F}">
  <sheetPr>
    <tabColor theme="0" tint="-0.249977111117893"/>
    <pageSetUpPr fitToPage="1"/>
  </sheetPr>
  <dimension ref="B5:AT189"/>
  <sheetViews>
    <sheetView zoomScale="80" zoomScaleNormal="80" workbookViewId="0"/>
  </sheetViews>
  <sheetFormatPr defaultColWidth="9.140625" defaultRowHeight="12.75" x14ac:dyDescent="0.2"/>
  <cols>
    <col min="1" max="1" width="1.7109375" style="1" customWidth="1"/>
    <col min="2" max="2" width="5.5703125" style="18" bestFit="1" customWidth="1"/>
    <col min="3" max="3" width="1.7109375" style="1" customWidth="1"/>
    <col min="4" max="4" width="46" style="1" bestFit="1" customWidth="1"/>
    <col min="5" max="5" width="1.7109375" style="31" customWidth="1"/>
    <col min="6" max="6" width="19.7109375" style="31" customWidth="1"/>
    <col min="7" max="7" width="1.7109375" style="31" customWidth="1"/>
    <col min="8" max="8" width="13.140625" style="31" customWidth="1"/>
    <col min="9" max="9" width="1.7109375" style="31" customWidth="1"/>
    <col min="10" max="10" width="19.28515625" style="2" customWidth="1"/>
    <col min="11" max="11" width="1.7109375" style="74" customWidth="1"/>
    <col min="12" max="12" width="13.28515625" style="31" customWidth="1"/>
    <col min="13" max="13" width="1.7109375" style="31" customWidth="1"/>
    <col min="14" max="14" width="19.85546875" style="31" customWidth="1"/>
    <col min="15" max="15" width="1.7109375" style="74" customWidth="1"/>
    <col min="16" max="16" width="15.42578125" style="31" customWidth="1"/>
    <col min="17" max="17" width="1.7109375" style="31" customWidth="1"/>
    <col min="18" max="18" width="15.42578125" style="31" customWidth="1"/>
    <col min="19" max="19" width="1.7109375" style="31" customWidth="1"/>
    <col min="20" max="20" width="15.42578125" style="31" customWidth="1"/>
    <col min="21" max="21" width="1.7109375" style="31" customWidth="1"/>
    <col min="22" max="22" width="15.42578125" style="31" customWidth="1"/>
    <col min="23" max="23" width="1.7109375" style="31" customWidth="1"/>
    <col min="24" max="24" width="15.42578125" style="31" hidden="1" customWidth="1"/>
    <col min="25" max="25" width="9.140625" style="1" customWidth="1"/>
    <col min="26" max="26" width="0" style="1" hidden="1" customWidth="1"/>
    <col min="27" max="28" width="9.140625" style="1"/>
    <col min="29" max="29" width="9.85546875" style="31" customWidth="1"/>
    <col min="30" max="30" width="9.140625" style="1"/>
    <col min="31" max="31" width="1.7109375" style="1" customWidth="1"/>
    <col min="32" max="32" width="11.42578125" style="1" customWidth="1"/>
    <col min="33" max="33" width="2.140625" style="1" customWidth="1"/>
    <col min="34" max="34" width="11.42578125" style="1" customWidth="1"/>
    <col min="35" max="35" width="2" style="1" customWidth="1"/>
    <col min="36" max="36" width="11.42578125" style="1" customWidth="1"/>
    <col min="37" max="37" width="1.85546875" style="1" customWidth="1"/>
    <col min="38" max="38" width="11.42578125" style="1" customWidth="1"/>
    <col min="39" max="39" width="1.85546875" style="1" customWidth="1"/>
    <col min="40" max="40" width="11.42578125" style="1" customWidth="1"/>
    <col min="41" max="42" width="10.5703125" style="1" bestFit="1" customWidth="1"/>
    <col min="43" max="46" width="11.5703125" style="1" bestFit="1" customWidth="1"/>
    <col min="47" max="16384" width="9.140625" style="1"/>
  </cols>
  <sheetData>
    <row r="5" spans="2:29" ht="15" customHeight="1" x14ac:dyDescent="0.2"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</row>
    <row r="6" spans="2:29" ht="15" customHeight="1" x14ac:dyDescent="0.2">
      <c r="B6" s="158" t="s">
        <v>511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</row>
    <row r="7" spans="2:29" ht="15" customHeight="1" x14ac:dyDescent="0.2">
      <c r="B7" s="157" t="s">
        <v>373</v>
      </c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</row>
    <row r="10" spans="2:29" x14ac:dyDescent="0.2">
      <c r="H10" s="2" t="s">
        <v>11</v>
      </c>
      <c r="J10" s="2" t="s">
        <v>130</v>
      </c>
      <c r="L10" s="2" t="s">
        <v>137</v>
      </c>
      <c r="N10" s="2" t="s">
        <v>139</v>
      </c>
      <c r="R10" s="2"/>
      <c r="S10" s="2"/>
      <c r="T10" s="2"/>
      <c r="U10" s="2"/>
    </row>
    <row r="11" spans="2:29" x14ac:dyDescent="0.2">
      <c r="B11" s="18" t="s">
        <v>2</v>
      </c>
      <c r="F11" s="2" t="s">
        <v>3</v>
      </c>
      <c r="H11" s="2" t="s">
        <v>130</v>
      </c>
      <c r="J11" s="2" t="s">
        <v>131</v>
      </c>
      <c r="L11" s="2" t="s">
        <v>138</v>
      </c>
      <c r="N11" s="2" t="s">
        <v>104</v>
      </c>
      <c r="P11" s="2"/>
      <c r="Q11" s="2"/>
      <c r="R11" s="2"/>
      <c r="S11" s="2"/>
      <c r="T11" s="2"/>
      <c r="U11" s="2"/>
    </row>
    <row r="12" spans="2:29" x14ac:dyDescent="0.2">
      <c r="B12" s="4" t="s">
        <v>4</v>
      </c>
      <c r="D12" s="5" t="s">
        <v>374</v>
      </c>
      <c r="F12" s="33" t="s">
        <v>5</v>
      </c>
      <c r="H12" s="33" t="s">
        <v>131</v>
      </c>
      <c r="J12" s="33" t="s">
        <v>6</v>
      </c>
      <c r="K12" s="73" t="s">
        <v>253</v>
      </c>
      <c r="L12" s="33" t="s">
        <v>142</v>
      </c>
      <c r="N12" s="33" t="s">
        <v>6</v>
      </c>
      <c r="O12" s="73" t="s">
        <v>253</v>
      </c>
      <c r="P12" s="33" t="s">
        <v>7</v>
      </c>
      <c r="Q12" s="2"/>
      <c r="R12" s="33" t="s">
        <v>8</v>
      </c>
      <c r="S12" s="2"/>
      <c r="T12" s="33" t="s">
        <v>9</v>
      </c>
      <c r="U12" s="2"/>
      <c r="V12" s="33" t="s">
        <v>10</v>
      </c>
      <c r="X12" s="33" t="s">
        <v>11</v>
      </c>
      <c r="Z12" s="104" t="s">
        <v>84</v>
      </c>
      <c r="AB12" s="19"/>
    </row>
    <row r="13" spans="2:29" x14ac:dyDescent="0.2">
      <c r="F13" s="2" t="s">
        <v>12</v>
      </c>
      <c r="H13" s="2" t="s">
        <v>13</v>
      </c>
      <c r="J13" s="2" t="s">
        <v>14</v>
      </c>
      <c r="K13" s="73"/>
      <c r="L13" s="2" t="s">
        <v>192</v>
      </c>
      <c r="N13" s="2" t="s">
        <v>15</v>
      </c>
      <c r="O13" s="73"/>
      <c r="P13" s="2" t="s">
        <v>16</v>
      </c>
      <c r="Q13" s="2"/>
      <c r="R13" s="2" t="s">
        <v>59</v>
      </c>
      <c r="S13" s="2"/>
      <c r="T13" s="2" t="s">
        <v>61</v>
      </c>
      <c r="U13" s="2"/>
      <c r="V13" s="2" t="s">
        <v>62</v>
      </c>
      <c r="X13" s="2" t="s">
        <v>140</v>
      </c>
    </row>
    <row r="14" spans="2:29" s="74" customFormat="1" x14ac:dyDescent="0.2">
      <c r="B14" s="73"/>
      <c r="E14" s="31"/>
      <c r="F14" s="31"/>
      <c r="G14" s="31"/>
      <c r="H14" s="31"/>
      <c r="I14" s="31"/>
      <c r="J14" s="2"/>
      <c r="L14" s="31"/>
      <c r="M14" s="31"/>
      <c r="N14" s="31"/>
      <c r="P14" s="74">
        <v>4</v>
      </c>
      <c r="R14" s="74">
        <v>6</v>
      </c>
      <c r="T14" s="74">
        <v>8</v>
      </c>
      <c r="V14" s="74">
        <v>10</v>
      </c>
      <c r="Z14" s="149" t="str">
        <f t="shared" ref="Z14:Z61" si="0">IF(ROUND(F14,4)=ROUND(X14,4), "", "check")</f>
        <v/>
      </c>
      <c r="AC14" s="31"/>
    </row>
    <row r="15" spans="2:29" x14ac:dyDescent="0.2">
      <c r="D15" s="6"/>
      <c r="E15" s="77"/>
      <c r="F15" s="77"/>
      <c r="Z15" s="51" t="str">
        <f t="shared" si="0"/>
        <v/>
      </c>
    </row>
    <row r="16" spans="2:29" x14ac:dyDescent="0.2">
      <c r="D16" s="6" t="s">
        <v>406</v>
      </c>
      <c r="E16" s="78"/>
      <c r="F16" s="78"/>
      <c r="Z16" s="51" t="str">
        <f t="shared" si="0"/>
        <v/>
      </c>
    </row>
    <row r="17" spans="2:37" x14ac:dyDescent="0.2">
      <c r="Z17" s="51" t="str">
        <f t="shared" si="0"/>
        <v/>
      </c>
    </row>
    <row r="18" spans="2:37" x14ac:dyDescent="0.2">
      <c r="B18" s="18">
        <v>1</v>
      </c>
      <c r="D18" s="1" t="s">
        <v>76</v>
      </c>
      <c r="F18" s="50">
        <v>203561.2984920314</v>
      </c>
      <c r="H18" s="50"/>
      <c r="K18" s="73">
        <v>0</v>
      </c>
      <c r="L18" s="50">
        <f>F18-H18</f>
        <v>203561.2984920314</v>
      </c>
      <c r="N18" s="2" t="s">
        <v>18</v>
      </c>
      <c r="O18" s="73">
        <v>57</v>
      </c>
      <c r="P18" s="79">
        <f ca="1">OFFSET('Function Factors'!$B$9,$O18-1,P$14)*$L18+OFFSET('Function Factors'!$B$9,$K18-1,P$14)*$H18</f>
        <v>0</v>
      </c>
      <c r="R18" s="79">
        <f ca="1">OFFSET('Function Factors'!$B$9,$O18-1,R$14)*$L18+OFFSET('Function Factors'!$B$9,$K18-1,R$14)*$H18</f>
        <v>13017.78562077151</v>
      </c>
      <c r="S18" s="79"/>
      <c r="T18" s="79">
        <f ca="1">OFFSET('Function Factors'!$B$9,$O18-1,T$14)*$L18+OFFSET('Function Factors'!$B$9,$K18-1,T$14)*$H18</f>
        <v>79166.942309318154</v>
      </c>
      <c r="U18" s="79"/>
      <c r="V18" s="79">
        <f ca="1">OFFSET('Function Factors'!$B$9,$O18-1,V$14)*$L18+OFFSET('Function Factors'!$B$9,$K18-1,V$14)*$H18</f>
        <v>111376.57056194174</v>
      </c>
      <c r="X18" s="79">
        <f ca="1">P18+R18+T18+V18</f>
        <v>203561.2984920314</v>
      </c>
      <c r="Z18" s="51" t="str">
        <f ca="1">IF(ROUND(F18,4)=ROUND(X18,4), "", "check")</f>
        <v/>
      </c>
    </row>
    <row r="19" spans="2:37" x14ac:dyDescent="0.2">
      <c r="B19" s="18">
        <f>B18+1</f>
        <v>2</v>
      </c>
      <c r="D19" s="1" t="s">
        <v>75</v>
      </c>
      <c r="F19" s="50">
        <v>232661.74701999093</v>
      </c>
      <c r="H19" s="50"/>
      <c r="K19" s="73">
        <v>0</v>
      </c>
      <c r="L19" s="50">
        <f>F19-H19</f>
        <v>232661.74701999093</v>
      </c>
      <c r="N19" s="2" t="s">
        <v>160</v>
      </c>
      <c r="O19" s="73">
        <v>60</v>
      </c>
      <c r="P19" s="79">
        <f ca="1">OFFSET('Function Factors'!$B$9,$O19-1,P$14)*$L19+OFFSET('Function Factors'!$B$9,$K19-1,P$14)*$H19</f>
        <v>0</v>
      </c>
      <c r="R19" s="79">
        <f ca="1">OFFSET('Function Factors'!$B$9,$O19-1,R$14)*$L19+OFFSET('Function Factors'!$B$9,$K19-1,R$14)*$H19</f>
        <v>74787.01496</v>
      </c>
      <c r="S19" s="79"/>
      <c r="T19" s="79">
        <f ca="1">OFFSET('Function Factors'!$B$9,$O19-1,T$14)*$L19+OFFSET('Function Factors'!$B$9,$K19-1,T$14)*$H19</f>
        <v>66946.67524576078</v>
      </c>
      <c r="U19" s="79"/>
      <c r="V19" s="79">
        <f ca="1">OFFSET('Function Factors'!$B$9,$O19-1,V$14)*$L19+OFFSET('Function Factors'!$B$9,$K19-1,V$14)*$H19</f>
        <v>90928.056814230149</v>
      </c>
      <c r="X19" s="79">
        <f ca="1">P19+R19+T19+V19</f>
        <v>232661.74701999093</v>
      </c>
      <c r="Z19" s="51" t="str">
        <f t="shared" ref="Z19:Z39" ca="1" si="1">IF(ROUND(F19,4)=ROUND(X19,4), "", "check")</f>
        <v/>
      </c>
    </row>
    <row r="20" spans="2:37" x14ac:dyDescent="0.2">
      <c r="B20" s="18">
        <f t="shared" ref="B20:B31" si="2">B19+1</f>
        <v>3</v>
      </c>
      <c r="D20" s="1" t="s">
        <v>19</v>
      </c>
      <c r="F20" s="50">
        <v>626100.87781287322</v>
      </c>
      <c r="H20" s="50"/>
      <c r="K20" s="73">
        <v>0</v>
      </c>
      <c r="L20" s="50">
        <f t="shared" ref="L20:L30" si="3">F20-H20</f>
        <v>626100.87781287322</v>
      </c>
      <c r="N20" s="2" t="s">
        <v>20</v>
      </c>
      <c r="O20" s="73">
        <v>102</v>
      </c>
      <c r="P20" s="79">
        <f ca="1">OFFSET('Function Factors'!$B$9,$O20-1,P$14)*$L20+OFFSET('Function Factors'!$B$9,$K20-1,P$14)*$H20</f>
        <v>0</v>
      </c>
      <c r="R20" s="79">
        <f ca="1">OFFSET('Function Factors'!$B$9,$O20-1,R$14)*$L20+OFFSET('Function Factors'!$B$9,$K20-1,R$14)*$H20</f>
        <v>79798.549934962299</v>
      </c>
      <c r="S20" s="79"/>
      <c r="T20" s="79">
        <f ca="1">OFFSET('Function Factors'!$B$9,$O20-1,T$14)*$L20+OFFSET('Function Factors'!$B$9,$K20-1,T$14)*$H20</f>
        <v>211517.76996137522</v>
      </c>
      <c r="U20" s="79"/>
      <c r="V20" s="79">
        <f ca="1">OFFSET('Function Factors'!$B$9,$O20-1,V$14)*$L20+OFFSET('Function Factors'!$B$9,$K20-1,V$14)*$H20</f>
        <v>334784.5579165357</v>
      </c>
      <c r="X20" s="79">
        <f t="shared" ref="X20:X30" ca="1" si="4">P20+R20+T20+V20</f>
        <v>626100.87781287322</v>
      </c>
      <c r="Z20" s="51" t="str">
        <f t="shared" ca="1" si="1"/>
        <v/>
      </c>
    </row>
    <row r="21" spans="2:37" x14ac:dyDescent="0.2">
      <c r="B21" s="18">
        <f t="shared" si="2"/>
        <v>4</v>
      </c>
      <c r="D21" s="1" t="s">
        <v>21</v>
      </c>
      <c r="F21" s="50">
        <v>1330757.548565086</v>
      </c>
      <c r="H21" s="50"/>
      <c r="K21" s="73">
        <v>0</v>
      </c>
      <c r="L21" s="50">
        <f t="shared" si="3"/>
        <v>1330757.548565086</v>
      </c>
      <c r="N21" s="2" t="s">
        <v>22</v>
      </c>
      <c r="O21" s="73">
        <v>75</v>
      </c>
      <c r="P21" s="79">
        <f ca="1">OFFSET('Function Factors'!$B$9,$O21-1,P$14)*$L21+OFFSET('Function Factors'!$B$9,$K21-1,P$14)*$H21</f>
        <v>0</v>
      </c>
      <c r="R21" s="79">
        <f ca="1">OFFSET('Function Factors'!$B$9,$O21-1,R$14)*$L21+OFFSET('Function Factors'!$B$9,$K21-1,R$14)*$H21</f>
        <v>40301.815387977447</v>
      </c>
      <c r="S21" s="79"/>
      <c r="T21" s="79">
        <f ca="1">OFFSET('Function Factors'!$B$9,$O21-1,T$14)*$L21+OFFSET('Function Factors'!$B$9,$K21-1,T$14)*$H21</f>
        <v>251233.18487320884</v>
      </c>
      <c r="U21" s="79"/>
      <c r="V21" s="79">
        <f ca="1">OFFSET('Function Factors'!$B$9,$O21-1,V$14)*$L21+OFFSET('Function Factors'!$B$9,$K21-1,V$14)*$H21</f>
        <v>1039222.5483038996</v>
      </c>
      <c r="X21" s="79">
        <f t="shared" ca="1" si="4"/>
        <v>1330757.548565086</v>
      </c>
      <c r="Z21" s="51" t="str">
        <f t="shared" ca="1" si="1"/>
        <v/>
      </c>
    </row>
    <row r="22" spans="2:37" x14ac:dyDescent="0.2">
      <c r="B22" s="18">
        <f t="shared" si="2"/>
        <v>5</v>
      </c>
      <c r="D22" s="1" t="s">
        <v>23</v>
      </c>
      <c r="F22" s="50">
        <v>10785857.555032887</v>
      </c>
      <c r="H22" s="50"/>
      <c r="K22" s="73">
        <v>0</v>
      </c>
      <c r="L22" s="50">
        <f t="shared" si="3"/>
        <v>10785857.555032887</v>
      </c>
      <c r="N22" s="2" t="s">
        <v>24</v>
      </c>
      <c r="O22" s="73">
        <v>69</v>
      </c>
      <c r="P22" s="79">
        <f ca="1">OFFSET('Function Factors'!$B$9,$O22-1,P$14)*$L22+OFFSET('Function Factors'!$B$9,$K22-1,P$14)*$H22</f>
        <v>0</v>
      </c>
      <c r="R22" s="79">
        <f ca="1">OFFSET('Function Factors'!$B$9,$O22-1,R$14)*$L22+OFFSET('Function Factors'!$B$9,$K22-1,R$14)*$H22</f>
        <v>0</v>
      </c>
      <c r="S22" s="79"/>
      <c r="T22" s="79">
        <f ca="1">OFFSET('Function Factors'!$B$9,$O22-1,T$14)*$L22+OFFSET('Function Factors'!$B$9,$K22-1,T$14)*$H22</f>
        <v>1996976.7673333895</v>
      </c>
      <c r="U22" s="79"/>
      <c r="V22" s="79">
        <f ca="1">OFFSET('Function Factors'!$B$9,$O22-1,V$14)*$L22+OFFSET('Function Factors'!$B$9,$K22-1,V$14)*$H22</f>
        <v>8788880.7876994964</v>
      </c>
      <c r="X22" s="79">
        <f t="shared" ca="1" si="4"/>
        <v>10785857.555032887</v>
      </c>
      <c r="Z22" s="51" t="str">
        <f t="shared" ca="1" si="1"/>
        <v/>
      </c>
    </row>
    <row r="23" spans="2:37" x14ac:dyDescent="0.2">
      <c r="B23" s="18">
        <f t="shared" si="2"/>
        <v>6</v>
      </c>
      <c r="D23" s="1" t="s">
        <v>25</v>
      </c>
      <c r="F23" s="50">
        <v>1791346.1557923511</v>
      </c>
      <c r="H23" s="50"/>
      <c r="K23" s="73">
        <v>0</v>
      </c>
      <c r="L23" s="50">
        <f t="shared" si="3"/>
        <v>1791346.1557923511</v>
      </c>
      <c r="N23" s="2" t="s">
        <v>26</v>
      </c>
      <c r="O23" s="73">
        <v>24</v>
      </c>
      <c r="P23" s="79">
        <f ca="1">OFFSET('Function Factors'!$B$9,$O23-1,P$14)*$L23+OFFSET('Function Factors'!$B$9,$K23-1,P$14)*$H23</f>
        <v>0</v>
      </c>
      <c r="R23" s="79">
        <f ca="1">OFFSET('Function Factors'!$B$9,$O23-1,R$14)*$L23+OFFSET('Function Factors'!$B$9,$K23-1,R$14)*$H23</f>
        <v>376124.00347801473</v>
      </c>
      <c r="S23" s="79"/>
      <c r="T23" s="79">
        <f ca="1">OFFSET('Function Factors'!$B$9,$O23-1,T$14)*$L23+OFFSET('Function Factors'!$B$9,$K23-1,T$14)*$H23</f>
        <v>1377669.911911838</v>
      </c>
      <c r="U23" s="79"/>
      <c r="V23" s="79">
        <f ca="1">OFFSET('Function Factors'!$B$9,$O23-1,V$14)*$L23+OFFSET('Function Factors'!$B$9,$K23-1,V$14)*$H23</f>
        <v>37552.240402498595</v>
      </c>
      <c r="X23" s="79">
        <f t="shared" ca="1" si="4"/>
        <v>1791346.1557923511</v>
      </c>
      <c r="Z23" s="51" t="str">
        <f t="shared" ca="1" si="1"/>
        <v/>
      </c>
      <c r="AK23" s="61"/>
    </row>
    <row r="24" spans="2:37" x14ac:dyDescent="0.2">
      <c r="B24" s="18">
        <f t="shared" si="2"/>
        <v>7</v>
      </c>
      <c r="D24" s="1" t="s">
        <v>27</v>
      </c>
      <c r="F24" s="50">
        <v>30022.717863727081</v>
      </c>
      <c r="H24" s="50"/>
      <c r="K24" s="73">
        <v>0</v>
      </c>
      <c r="L24" s="50">
        <f t="shared" si="3"/>
        <v>30022.717863727081</v>
      </c>
      <c r="N24" s="2" t="s">
        <v>28</v>
      </c>
      <c r="O24" s="73">
        <v>99</v>
      </c>
      <c r="P24" s="79">
        <f ca="1">OFFSET('Function Factors'!$B$9,$O24-1,P$14)*$L24+OFFSET('Function Factors'!$B$9,$K24-1,P$14)*$H24</f>
        <v>0</v>
      </c>
      <c r="R24" s="79">
        <f ca="1">OFFSET('Function Factors'!$B$9,$O24-1,R$14)*$L24+OFFSET('Function Factors'!$B$9,$K24-1,R$14)*$H24</f>
        <v>30022.717863727081</v>
      </c>
      <c r="S24" s="79"/>
      <c r="T24" s="79">
        <f ca="1">OFFSET('Function Factors'!$B$9,$O24-1,T$14)*$L24+OFFSET('Function Factors'!$B$9,$K24-1,T$14)*$H24</f>
        <v>0</v>
      </c>
      <c r="U24" s="79"/>
      <c r="V24" s="79">
        <f ca="1">OFFSET('Function Factors'!$B$9,$O24-1,V$14)*$L24+OFFSET('Function Factors'!$B$9,$K24-1,V$14)*$H24</f>
        <v>0</v>
      </c>
      <c r="X24" s="79">
        <f t="shared" ca="1" si="4"/>
        <v>30022.717863727081</v>
      </c>
      <c r="Z24" s="51" t="str">
        <f t="shared" ca="1" si="1"/>
        <v/>
      </c>
      <c r="AK24" s="61"/>
    </row>
    <row r="25" spans="2:37" x14ac:dyDescent="0.2">
      <c r="B25" s="18">
        <f t="shared" si="2"/>
        <v>8</v>
      </c>
      <c r="D25" s="1" t="s">
        <v>29</v>
      </c>
      <c r="F25" s="50">
        <v>385344.82101507834</v>
      </c>
      <c r="H25" s="50"/>
      <c r="K25" s="73">
        <v>0</v>
      </c>
      <c r="L25" s="50">
        <f t="shared" si="3"/>
        <v>385344.82101507834</v>
      </c>
      <c r="N25" s="2" t="s">
        <v>28</v>
      </c>
      <c r="O25" s="73">
        <v>99</v>
      </c>
      <c r="P25" s="79">
        <f ca="1">OFFSET('Function Factors'!$B$9,$O25-1,P$14)*$L25+OFFSET('Function Factors'!$B$9,$K25-1,P$14)*$H25</f>
        <v>0</v>
      </c>
      <c r="R25" s="79">
        <f ca="1">OFFSET('Function Factors'!$B$9,$O25-1,R$14)*$L25+OFFSET('Function Factors'!$B$9,$K25-1,R$14)*$H25</f>
        <v>385344.82101507834</v>
      </c>
      <c r="S25" s="79"/>
      <c r="T25" s="79">
        <f ca="1">OFFSET('Function Factors'!$B$9,$O25-1,T$14)*$L25+OFFSET('Function Factors'!$B$9,$K25-1,T$14)*$H25</f>
        <v>0</v>
      </c>
      <c r="U25" s="79"/>
      <c r="V25" s="79">
        <f ca="1">OFFSET('Function Factors'!$B$9,$O25-1,V$14)*$L25+OFFSET('Function Factors'!$B$9,$K25-1,V$14)*$H25</f>
        <v>0</v>
      </c>
      <c r="X25" s="79">
        <f t="shared" ca="1" si="4"/>
        <v>385344.82101507834</v>
      </c>
      <c r="Z25" s="51" t="str">
        <f t="shared" ca="1" si="1"/>
        <v/>
      </c>
    </row>
    <row r="26" spans="2:37" x14ac:dyDescent="0.2">
      <c r="B26" s="18">
        <f t="shared" si="2"/>
        <v>9</v>
      </c>
      <c r="D26" s="1" t="s">
        <v>30</v>
      </c>
      <c r="F26" s="50">
        <v>68466.485990000001</v>
      </c>
      <c r="H26" s="50"/>
      <c r="K26" s="73">
        <v>0</v>
      </c>
      <c r="L26" s="50">
        <f t="shared" si="3"/>
        <v>68466.485990000001</v>
      </c>
      <c r="N26" s="2" t="s">
        <v>28</v>
      </c>
      <c r="O26" s="73">
        <v>99</v>
      </c>
      <c r="P26" s="79">
        <f ca="1">OFFSET('Function Factors'!$B$9,$O26-1,P$14)*$L26+OFFSET('Function Factors'!$B$9,$K26-1,P$14)*$H26</f>
        <v>0</v>
      </c>
      <c r="R26" s="79">
        <f ca="1">OFFSET('Function Factors'!$B$9,$O26-1,R$14)*$L26+OFFSET('Function Factors'!$B$9,$K26-1,R$14)*$H26</f>
        <v>68466.485990000001</v>
      </c>
      <c r="S26" s="79"/>
      <c r="T26" s="79">
        <f ca="1">OFFSET('Function Factors'!$B$9,$O26-1,T$14)*$L26+OFFSET('Function Factors'!$B$9,$K26-1,T$14)*$H26</f>
        <v>0</v>
      </c>
      <c r="U26" s="79"/>
      <c r="V26" s="79">
        <f ca="1">OFFSET('Function Factors'!$B$9,$O26-1,V$14)*$L26+OFFSET('Function Factors'!$B$9,$K26-1,V$14)*$H26</f>
        <v>0</v>
      </c>
      <c r="X26" s="79">
        <f t="shared" ca="1" si="4"/>
        <v>68466.485990000001</v>
      </c>
      <c r="Z26" s="51" t="str">
        <f t="shared" ca="1" si="1"/>
        <v/>
      </c>
    </row>
    <row r="27" spans="2:37" x14ac:dyDescent="0.2">
      <c r="B27" s="18">
        <f t="shared" si="2"/>
        <v>10</v>
      </c>
      <c r="D27" s="1" t="s">
        <v>31</v>
      </c>
      <c r="F27" s="50">
        <v>5648597.565263316</v>
      </c>
      <c r="H27" s="50"/>
      <c r="K27" s="73">
        <v>0</v>
      </c>
      <c r="L27" s="50">
        <f t="shared" si="3"/>
        <v>5648597.565263316</v>
      </c>
      <c r="N27" s="2" t="s">
        <v>32</v>
      </c>
      <c r="O27" s="73">
        <v>36</v>
      </c>
      <c r="P27" s="79">
        <f ca="1">OFFSET('Function Factors'!$B$9,$O27-1,P$14)*$L27+OFFSET('Function Factors'!$B$9,$K27-1,P$14)*$H27</f>
        <v>0</v>
      </c>
      <c r="R27" s="79">
        <f ca="1">OFFSET('Function Factors'!$B$9,$O27-1,R$14)*$L27+OFFSET('Function Factors'!$B$9,$K27-1,R$14)*$H27</f>
        <v>0</v>
      </c>
      <c r="S27" s="79"/>
      <c r="T27" s="79">
        <f ca="1">OFFSET('Function Factors'!$B$9,$O27-1,T$14)*$L27+OFFSET('Function Factors'!$B$9,$K27-1,T$14)*$H27</f>
        <v>0</v>
      </c>
      <c r="U27" s="79"/>
      <c r="V27" s="79">
        <f ca="1">OFFSET('Function Factors'!$B$9,$O27-1,V$14)*$L27+OFFSET('Function Factors'!$B$9,$K27-1,V$14)*$H27</f>
        <v>5648597.565263316</v>
      </c>
      <c r="X27" s="79">
        <f t="shared" ca="1" si="4"/>
        <v>5648597.565263316</v>
      </c>
      <c r="Z27" s="51" t="str">
        <f t="shared" ca="1" si="1"/>
        <v/>
      </c>
    </row>
    <row r="28" spans="2:37" x14ac:dyDescent="0.2">
      <c r="B28" s="18">
        <f t="shared" si="2"/>
        <v>11</v>
      </c>
      <c r="D28" s="1" t="s">
        <v>293</v>
      </c>
      <c r="F28" s="50">
        <v>1686509.739595745</v>
      </c>
      <c r="H28" s="50"/>
      <c r="K28" s="73">
        <v>0</v>
      </c>
      <c r="L28" s="50">
        <f t="shared" si="3"/>
        <v>1686509.739595745</v>
      </c>
      <c r="N28" s="2" t="s">
        <v>32</v>
      </c>
      <c r="O28" s="73">
        <v>36</v>
      </c>
      <c r="P28" s="79">
        <f ca="1">OFFSET('Function Factors'!$B$9,$O28-1,P$14)*$L28+OFFSET('Function Factors'!$B$9,$K28-1,P$14)*$H28</f>
        <v>0</v>
      </c>
      <c r="R28" s="79">
        <f ca="1">OFFSET('Function Factors'!$B$9,$O28-1,R$14)*$L28+OFFSET('Function Factors'!$B$9,$K28-1,R$14)*$H28</f>
        <v>0</v>
      </c>
      <c r="S28" s="79"/>
      <c r="T28" s="79">
        <f ca="1">OFFSET('Function Factors'!$B$9,$O28-1,T$14)*$L28+OFFSET('Function Factors'!$B$9,$K28-1,T$14)*$H28</f>
        <v>0</v>
      </c>
      <c r="U28" s="79"/>
      <c r="V28" s="79">
        <f ca="1">OFFSET('Function Factors'!$B$9,$O28-1,V$14)*$L28+OFFSET('Function Factors'!$B$9,$K28-1,V$14)*$H28</f>
        <v>1686509.739595745</v>
      </c>
      <c r="X28" s="79">
        <f t="shared" ca="1" si="4"/>
        <v>1686509.739595745</v>
      </c>
      <c r="Z28" s="51" t="str">
        <f t="shared" ca="1" si="1"/>
        <v/>
      </c>
    </row>
    <row r="29" spans="2:37" x14ac:dyDescent="0.2">
      <c r="B29" s="18">
        <f>B28+1</f>
        <v>12</v>
      </c>
      <c r="D29" s="1" t="s">
        <v>34</v>
      </c>
      <c r="F29" s="50">
        <v>421046.57844368438</v>
      </c>
      <c r="H29" s="50"/>
      <c r="K29" s="73">
        <v>0</v>
      </c>
      <c r="L29" s="50">
        <f t="shared" si="3"/>
        <v>421046.57844368438</v>
      </c>
      <c r="N29" s="2" t="s">
        <v>32</v>
      </c>
      <c r="O29" s="73">
        <v>36</v>
      </c>
      <c r="P29" s="79">
        <f ca="1">OFFSET('Function Factors'!$B$9,$O29-1,P$14)*$L29+OFFSET('Function Factors'!$B$9,$K29-1,P$14)*$H29</f>
        <v>0</v>
      </c>
      <c r="R29" s="79">
        <f ca="1">OFFSET('Function Factors'!$B$9,$O29-1,R$14)*$L29+OFFSET('Function Factors'!$B$9,$K29-1,R$14)*$H29</f>
        <v>0</v>
      </c>
      <c r="S29" s="79"/>
      <c r="T29" s="79">
        <f ca="1">OFFSET('Function Factors'!$B$9,$O29-1,T$14)*$L29+OFFSET('Function Factors'!$B$9,$K29-1,T$14)*$H29</f>
        <v>0</v>
      </c>
      <c r="U29" s="79"/>
      <c r="V29" s="79">
        <f ca="1">OFFSET('Function Factors'!$B$9,$O29-1,V$14)*$L29+OFFSET('Function Factors'!$B$9,$K29-1,V$14)*$H29</f>
        <v>421046.57844368438</v>
      </c>
      <c r="X29" s="79">
        <f t="shared" ca="1" si="4"/>
        <v>421046.57844368438</v>
      </c>
      <c r="Z29" s="51" t="str">
        <f t="shared" ca="1" si="1"/>
        <v/>
      </c>
    </row>
    <row r="30" spans="2:37" x14ac:dyDescent="0.2">
      <c r="B30" s="18">
        <f>B29+1</f>
        <v>13</v>
      </c>
      <c r="D30" s="1" t="s">
        <v>77</v>
      </c>
      <c r="F30" s="50">
        <v>7182.6654800000015</v>
      </c>
      <c r="H30" s="50"/>
      <c r="K30" s="73">
        <v>0</v>
      </c>
      <c r="L30" s="50">
        <f t="shared" si="3"/>
        <v>7182.6654800000015</v>
      </c>
      <c r="N30" s="2" t="s">
        <v>83</v>
      </c>
      <c r="O30" s="73">
        <v>66</v>
      </c>
      <c r="P30" s="79">
        <f ca="1">OFFSET('Function Factors'!$B$9,$O30-1,P$14)*$L30+OFFSET('Function Factors'!$B$9,$K30-1,P$14)*$H30</f>
        <v>0</v>
      </c>
      <c r="R30" s="79">
        <f ca="1">OFFSET('Function Factors'!$B$9,$O30-1,R$14)*$L30+OFFSET('Function Factors'!$B$9,$K30-1,R$14)*$H30</f>
        <v>477.03131475162303</v>
      </c>
      <c r="S30" s="79"/>
      <c r="T30" s="79">
        <f ca="1">OFFSET('Function Factors'!$B$9,$O30-1,T$14)*$L30+OFFSET('Function Factors'!$B$9,$K30-1,T$14)*$H30</f>
        <v>4318.2255996879157</v>
      </c>
      <c r="U30" s="79"/>
      <c r="V30" s="79">
        <f ca="1">OFFSET('Function Factors'!$B$9,$O30-1,V$14)*$L30+OFFSET('Function Factors'!$B$9,$K30-1,V$14)*$H30</f>
        <v>2387.408565560464</v>
      </c>
      <c r="X30" s="79">
        <f t="shared" ca="1" si="4"/>
        <v>7182.6654800000024</v>
      </c>
      <c r="Z30" s="51" t="str">
        <f t="shared" ca="1" si="1"/>
        <v/>
      </c>
    </row>
    <row r="31" spans="2:37" x14ac:dyDescent="0.2">
      <c r="B31" s="18">
        <f t="shared" si="2"/>
        <v>14</v>
      </c>
      <c r="D31" s="1" t="s">
        <v>297</v>
      </c>
      <c r="F31" s="41">
        <f>SUM(F18:F30)</f>
        <v>23217455.756366771</v>
      </c>
      <c r="H31" s="41">
        <f>SUM(H18:H30)</f>
        <v>0</v>
      </c>
      <c r="L31" s="41">
        <f>SUM(L18:L30)</f>
        <v>23217455.756366771</v>
      </c>
      <c r="P31" s="81">
        <f ca="1">SUM(P18:P30)</f>
        <v>0</v>
      </c>
      <c r="Q31" s="67"/>
      <c r="R31" s="81">
        <f ca="1">SUM(R18:R30)</f>
        <v>1068340.2255652831</v>
      </c>
      <c r="S31" s="38"/>
      <c r="T31" s="81">
        <f ca="1">SUM(T18:T30)</f>
        <v>3987829.4772345782</v>
      </c>
      <c r="U31" s="38"/>
      <c r="V31" s="81">
        <f ca="1">SUM(V18:V30)</f>
        <v>18161286.05356691</v>
      </c>
      <c r="X31" s="81">
        <f ca="1">SUM(X18:X30)</f>
        <v>23217455.756366771</v>
      </c>
      <c r="Z31" s="51" t="str">
        <f t="shared" ca="1" si="1"/>
        <v/>
      </c>
    </row>
    <row r="32" spans="2:37" x14ac:dyDescent="0.2">
      <c r="X32" s="50"/>
      <c r="Z32" s="51" t="str">
        <f t="shared" si="1"/>
        <v/>
      </c>
    </row>
    <row r="33" spans="2:37" x14ac:dyDescent="0.2">
      <c r="B33" s="18">
        <f>B31+1</f>
        <v>15</v>
      </c>
      <c r="D33" s="1" t="s">
        <v>196</v>
      </c>
      <c r="F33" s="50">
        <v>824120.01861700765</v>
      </c>
      <c r="H33" s="50"/>
      <c r="K33" s="73">
        <v>0</v>
      </c>
      <c r="L33" s="50">
        <f t="shared" ref="L33" si="5">F33-H33</f>
        <v>824120.01861700765</v>
      </c>
      <c r="N33" s="2" t="s">
        <v>119</v>
      </c>
      <c r="O33" s="73">
        <v>45</v>
      </c>
      <c r="P33" s="79">
        <f ca="1">OFFSET('Function Factors'!$B$9,$O33-1,P$14)*$L33+OFFSET('Function Factors'!$B$9,$K33-1,P$14)*$H33</f>
        <v>0</v>
      </c>
      <c r="R33" s="79">
        <f ca="1">OFFSET('Function Factors'!$B$9,$O33-1,R$14)*$L33+OFFSET('Function Factors'!$B$9,$K33-1,R$14)*$H33</f>
        <v>43180.32742920662</v>
      </c>
      <c r="S33" s="79"/>
      <c r="T33" s="79">
        <f ca="1">OFFSET('Function Factors'!$B$9,$O33-1,T$14)*$L33+OFFSET('Function Factors'!$B$9,$K33-1,T$14)*$H33</f>
        <v>101710.50916156213</v>
      </c>
      <c r="U33" s="79"/>
      <c r="V33" s="79">
        <f ca="1">OFFSET('Function Factors'!$B$9,$O33-1,V$14)*$L33+OFFSET('Function Factors'!$B$9,$K33-1,V$14)*$H33</f>
        <v>679229.182026239</v>
      </c>
      <c r="W33" s="79"/>
      <c r="X33" s="79">
        <f ca="1">P33+R33+T33+V33</f>
        <v>824120.01861700776</v>
      </c>
      <c r="Z33" s="51" t="str">
        <f t="shared" ca="1" si="1"/>
        <v/>
      </c>
    </row>
    <row r="34" spans="2:37" x14ac:dyDescent="0.2">
      <c r="X34" s="50"/>
      <c r="Z34" s="51" t="str">
        <f t="shared" si="1"/>
        <v/>
      </c>
    </row>
    <row r="35" spans="2:37" x14ac:dyDescent="0.2">
      <c r="B35" s="18">
        <f>B33+1</f>
        <v>16</v>
      </c>
      <c r="D35" s="1" t="s">
        <v>392</v>
      </c>
      <c r="F35" s="41">
        <f>F31+F33</f>
        <v>24041575.774983779</v>
      </c>
      <c r="H35" s="41">
        <f>H31+H33</f>
        <v>0</v>
      </c>
      <c r="L35" s="41">
        <f>L31+L33</f>
        <v>24041575.774983779</v>
      </c>
      <c r="P35" s="41">
        <f ca="1">P31+P33</f>
        <v>0</v>
      </c>
      <c r="Q35" s="111"/>
      <c r="R35" s="41">
        <f ca="1">R31+R33</f>
        <v>1111520.5529944897</v>
      </c>
      <c r="S35" s="50"/>
      <c r="T35" s="41">
        <f ca="1">T31+T33</f>
        <v>4089539.9863961404</v>
      </c>
      <c r="U35" s="50"/>
      <c r="V35" s="41">
        <f ca="1">V31+V33</f>
        <v>18840515.235593148</v>
      </c>
      <c r="X35" s="41">
        <f ca="1">X31+X33</f>
        <v>24041575.774983779</v>
      </c>
      <c r="Z35" s="51" t="str">
        <f t="shared" ca="1" si="1"/>
        <v/>
      </c>
    </row>
    <row r="36" spans="2:37" x14ac:dyDescent="0.2">
      <c r="D36" s="6"/>
      <c r="E36" s="77"/>
      <c r="F36" s="77"/>
      <c r="H36" s="77"/>
      <c r="L36" s="77"/>
      <c r="Z36" s="51" t="str">
        <f t="shared" si="1"/>
        <v/>
      </c>
    </row>
    <row r="37" spans="2:37" x14ac:dyDescent="0.2">
      <c r="F37" s="50"/>
      <c r="Z37" s="51" t="str">
        <f t="shared" si="1"/>
        <v/>
      </c>
    </row>
    <row r="38" spans="2:37" x14ac:dyDescent="0.2">
      <c r="D38" s="6" t="s">
        <v>296</v>
      </c>
      <c r="E38" s="78"/>
      <c r="F38" s="78"/>
      <c r="Z38" s="51" t="str">
        <f t="shared" si="1"/>
        <v/>
      </c>
    </row>
    <row r="39" spans="2:37" x14ac:dyDescent="0.2">
      <c r="Z39" s="51" t="str">
        <f t="shared" si="1"/>
        <v/>
      </c>
    </row>
    <row r="40" spans="2:37" x14ac:dyDescent="0.2">
      <c r="B40" s="18">
        <f>B35+1</f>
        <v>17</v>
      </c>
      <c r="D40" s="1" t="s">
        <v>76</v>
      </c>
      <c r="F40" s="50">
        <v>0</v>
      </c>
      <c r="H40" s="50"/>
      <c r="K40" s="73">
        <v>0</v>
      </c>
      <c r="L40" s="50">
        <f>F40-H40</f>
        <v>0</v>
      </c>
      <c r="N40" s="2" t="s">
        <v>18</v>
      </c>
      <c r="O40" s="73">
        <v>57</v>
      </c>
      <c r="P40" s="79">
        <f ca="1">OFFSET('Function Factors'!$B$9,$O40-1,P$14)*$L40+OFFSET('Function Factors'!$B$9,$K40-1,P$14)*$H40</f>
        <v>0</v>
      </c>
      <c r="R40" s="79">
        <f ca="1">OFFSET('Function Factors'!$B$9,$O40-1,R$14)*$L40+OFFSET('Function Factors'!$B$9,$K40-1,R$14)*$H40</f>
        <v>0</v>
      </c>
      <c r="S40" s="79"/>
      <c r="T40" s="79">
        <f ca="1">OFFSET('Function Factors'!$B$9,$O40-1,T$14)*$L40+OFFSET('Function Factors'!$B$9,$K40-1,T$14)*$H40</f>
        <v>0</v>
      </c>
      <c r="U40" s="79"/>
      <c r="V40" s="79">
        <f ca="1">OFFSET('Function Factors'!$B$9,$O40-1,V$14)*$L40+OFFSET('Function Factors'!$B$9,$K40-1,V$14)*$H40</f>
        <v>0</v>
      </c>
      <c r="X40" s="79">
        <f ca="1">P40+R40+T40+V40</f>
        <v>0</v>
      </c>
      <c r="Z40" s="51" t="str">
        <f ca="1">IF(ROUND(F40,4)=ROUND(X40,4), "", "check")</f>
        <v/>
      </c>
    </row>
    <row r="41" spans="2:37" x14ac:dyDescent="0.2">
      <c r="B41" s="18">
        <f>B40+1</f>
        <v>18</v>
      </c>
      <c r="D41" s="1" t="s">
        <v>75</v>
      </c>
      <c r="F41" s="50">
        <v>-87329.187361001794</v>
      </c>
      <c r="H41" s="50"/>
      <c r="K41" s="73">
        <v>0</v>
      </c>
      <c r="L41" s="50">
        <f>F41-H41</f>
        <v>-87329.187361001794</v>
      </c>
      <c r="N41" s="2" t="s">
        <v>299</v>
      </c>
      <c r="O41" s="73">
        <v>63</v>
      </c>
      <c r="P41" s="79">
        <f ca="1">OFFSET('Function Factors'!$B$9,$O41-1,P$14)*$L41+OFFSET('Function Factors'!$B$9,$K41-1,P$14)*$H41</f>
        <v>0</v>
      </c>
      <c r="R41" s="79">
        <f ca="1">OFFSET('Function Factors'!$B$9,$O41-1,R$14)*$L41+OFFSET('Function Factors'!$B$9,$K41-1,R$14)*$H41</f>
        <v>-48713.415889674274</v>
      </c>
      <c r="S41" s="79"/>
      <c r="T41" s="79">
        <f ca="1">OFFSET('Function Factors'!$B$9,$O41-1,T$14)*$L41+OFFSET('Function Factors'!$B$9,$K41-1,T$14)*$H41</f>
        <v>-17684.967853226444</v>
      </c>
      <c r="U41" s="79"/>
      <c r="V41" s="79">
        <f ca="1">OFFSET('Function Factors'!$B$9,$O41-1,V$14)*$L41+OFFSET('Function Factors'!$B$9,$K41-1,V$14)*$H41</f>
        <v>-20930.803618101087</v>
      </c>
      <c r="X41" s="79">
        <f ca="1">P41+R41+T41+V41</f>
        <v>-87329.187361001794</v>
      </c>
      <c r="Z41" s="51" t="str">
        <f t="shared" ref="Z41:Z59" ca="1" si="6">IF(ROUND(F41,4)=ROUND(X41,4), "", "check")</f>
        <v/>
      </c>
    </row>
    <row r="42" spans="2:37" x14ac:dyDescent="0.2">
      <c r="B42" s="18">
        <f t="shared" ref="B42:B53" si="7">B41+1</f>
        <v>19</v>
      </c>
      <c r="D42" s="1" t="s">
        <v>19</v>
      </c>
      <c r="F42" s="50">
        <v>-215727.48722479556</v>
      </c>
      <c r="H42" s="50"/>
      <c r="K42" s="73">
        <v>0</v>
      </c>
      <c r="L42" s="50">
        <f t="shared" ref="L42:L52" si="8">F42-H42</f>
        <v>-215727.48722479556</v>
      </c>
      <c r="N42" s="2" t="s">
        <v>300</v>
      </c>
      <c r="O42" s="73">
        <v>105</v>
      </c>
      <c r="P42" s="79">
        <f ca="1">OFFSET('Function Factors'!$B$9,$O42-1,P$14)*$L42+OFFSET('Function Factors'!$B$9,$K42-1,P$14)*$H42</f>
        <v>0</v>
      </c>
      <c r="R42" s="79">
        <f ca="1">OFFSET('Function Factors'!$B$9,$O42-1,R$14)*$L42+OFFSET('Function Factors'!$B$9,$K42-1,R$14)*$H42</f>
        <v>-30467.610982604227</v>
      </c>
      <c r="S42" s="79"/>
      <c r="T42" s="79">
        <f ca="1">OFFSET('Function Factors'!$B$9,$O42-1,T$14)*$L42+OFFSET('Function Factors'!$B$9,$K42-1,T$14)*$H42</f>
        <v>-77738.765516644649</v>
      </c>
      <c r="U42" s="79"/>
      <c r="V42" s="79">
        <f ca="1">OFFSET('Function Factors'!$B$9,$O42-1,V$14)*$L42+OFFSET('Function Factors'!$B$9,$K42-1,V$14)*$H42</f>
        <v>-107521.11072554668</v>
      </c>
      <c r="X42" s="79">
        <f t="shared" ref="X42:X52" ca="1" si="9">P42+R42+T42+V42</f>
        <v>-215727.48722479556</v>
      </c>
      <c r="Z42" s="51" t="str">
        <f t="shared" ca="1" si="6"/>
        <v/>
      </c>
    </row>
    <row r="43" spans="2:37" x14ac:dyDescent="0.2">
      <c r="B43" s="18">
        <f t="shared" si="7"/>
        <v>20</v>
      </c>
      <c r="D43" s="1" t="s">
        <v>21</v>
      </c>
      <c r="F43" s="50">
        <v>-493428.31677845947</v>
      </c>
      <c r="H43" s="50"/>
      <c r="K43" s="73">
        <v>0</v>
      </c>
      <c r="L43" s="50">
        <f t="shared" si="8"/>
        <v>-493428.31677845947</v>
      </c>
      <c r="N43" s="2" t="s">
        <v>301</v>
      </c>
      <c r="O43" s="73">
        <v>78</v>
      </c>
      <c r="P43" s="79">
        <f ca="1">OFFSET('Function Factors'!$B$9,$O43-1,P$14)*$L43+OFFSET('Function Factors'!$B$9,$K43-1,P$14)*$H43</f>
        <v>0</v>
      </c>
      <c r="R43" s="79">
        <f ca="1">OFFSET('Function Factors'!$B$9,$O43-1,R$14)*$L43+OFFSET('Function Factors'!$B$9,$K43-1,R$14)*$H43</f>
        <v>-30169.664755768776</v>
      </c>
      <c r="S43" s="79"/>
      <c r="T43" s="79">
        <f ca="1">OFFSET('Function Factors'!$B$9,$O43-1,T$14)*$L43+OFFSET('Function Factors'!$B$9,$K43-1,T$14)*$H43</f>
        <v>-91934.117047230378</v>
      </c>
      <c r="U43" s="79"/>
      <c r="V43" s="79">
        <f ca="1">OFFSET('Function Factors'!$B$9,$O43-1,V$14)*$L43+OFFSET('Function Factors'!$B$9,$K43-1,V$14)*$H43</f>
        <v>-371324.53497546032</v>
      </c>
      <c r="X43" s="79">
        <f t="shared" ca="1" si="9"/>
        <v>-493428.31677845947</v>
      </c>
      <c r="Z43" s="51" t="str">
        <f t="shared" ca="1" si="6"/>
        <v/>
      </c>
    </row>
    <row r="44" spans="2:37" x14ac:dyDescent="0.2">
      <c r="B44" s="18">
        <f t="shared" si="7"/>
        <v>21</v>
      </c>
      <c r="D44" s="1" t="s">
        <v>23</v>
      </c>
      <c r="F44" s="50">
        <v>-3864910.4766098866</v>
      </c>
      <c r="H44" s="50"/>
      <c r="K44" s="73">
        <v>0</v>
      </c>
      <c r="L44" s="50">
        <f t="shared" si="8"/>
        <v>-3864910.4766098866</v>
      </c>
      <c r="N44" s="2" t="s">
        <v>302</v>
      </c>
      <c r="O44" s="73">
        <v>72</v>
      </c>
      <c r="P44" s="79">
        <f ca="1">OFFSET('Function Factors'!$B$9,$O44-1,P$14)*$L44+OFFSET('Function Factors'!$B$9,$K44-1,P$14)*$H44</f>
        <v>0</v>
      </c>
      <c r="R44" s="79">
        <f ca="1">OFFSET('Function Factors'!$B$9,$O44-1,R$14)*$L44+OFFSET('Function Factors'!$B$9,$K44-1,R$14)*$H44</f>
        <v>0</v>
      </c>
      <c r="S44" s="79"/>
      <c r="T44" s="79">
        <f ca="1">OFFSET('Function Factors'!$B$9,$O44-1,T$14)*$L44+OFFSET('Function Factors'!$B$9,$K44-1,T$14)*$H44</f>
        <v>-700300.98840433965</v>
      </c>
      <c r="U44" s="79"/>
      <c r="V44" s="79">
        <f ca="1">OFFSET('Function Factors'!$B$9,$O44-1,V$14)*$L44+OFFSET('Function Factors'!$B$9,$K44-1,V$14)*$H44</f>
        <v>-3164609.488205547</v>
      </c>
      <c r="X44" s="79">
        <f t="shared" ca="1" si="9"/>
        <v>-3864910.4766098866</v>
      </c>
      <c r="Z44" s="51" t="str">
        <f t="shared" ca="1" si="6"/>
        <v/>
      </c>
    </row>
    <row r="45" spans="2:37" x14ac:dyDescent="0.2">
      <c r="B45" s="18">
        <f t="shared" si="7"/>
        <v>22</v>
      </c>
      <c r="D45" s="1" t="s">
        <v>25</v>
      </c>
      <c r="F45" s="50">
        <v>-690225.13613837527</v>
      </c>
      <c r="H45" s="50"/>
      <c r="K45" s="73">
        <v>0</v>
      </c>
      <c r="L45" s="50">
        <f t="shared" si="8"/>
        <v>-690225.13613837527</v>
      </c>
      <c r="N45" s="2" t="s">
        <v>303</v>
      </c>
      <c r="O45" s="73">
        <v>27</v>
      </c>
      <c r="P45" s="79">
        <f ca="1">OFFSET('Function Factors'!$B$9,$O45-1,P$14)*$L45+OFFSET('Function Factors'!$B$9,$K45-1,P$14)*$H45</f>
        <v>0</v>
      </c>
      <c r="R45" s="79">
        <f ca="1">OFFSET('Function Factors'!$B$9,$O45-1,R$14)*$L45+OFFSET('Function Factors'!$B$9,$K45-1,R$14)*$H45</f>
        <v>-153844.17287634031</v>
      </c>
      <c r="S45" s="79"/>
      <c r="T45" s="79">
        <f ca="1">OFFSET('Function Factors'!$B$9,$O45-1,T$14)*$L45+OFFSET('Function Factors'!$B$9,$K45-1,T$14)*$H45</f>
        <v>-529309.68232222286</v>
      </c>
      <c r="U45" s="79"/>
      <c r="V45" s="79">
        <f ca="1">OFFSET('Function Factors'!$B$9,$O45-1,V$14)*$L45+OFFSET('Function Factors'!$B$9,$K45-1,V$14)*$H45</f>
        <v>-7071.2809398120935</v>
      </c>
      <c r="X45" s="79">
        <f t="shared" ca="1" si="9"/>
        <v>-690225.13613837527</v>
      </c>
      <c r="Z45" s="51" t="str">
        <f t="shared" ca="1" si="6"/>
        <v/>
      </c>
      <c r="AK45" s="61"/>
    </row>
    <row r="46" spans="2:37" x14ac:dyDescent="0.2">
      <c r="B46" s="18">
        <f t="shared" si="7"/>
        <v>23</v>
      </c>
      <c r="D46" s="1" t="s">
        <v>27</v>
      </c>
      <c r="F46" s="50">
        <v>-17354.751934163171</v>
      </c>
      <c r="H46" s="50"/>
      <c r="K46" s="73">
        <v>0</v>
      </c>
      <c r="L46" s="50">
        <f t="shared" si="8"/>
        <v>-17354.751934163171</v>
      </c>
      <c r="N46" s="2" t="s">
        <v>28</v>
      </c>
      <c r="O46" s="73">
        <v>99</v>
      </c>
      <c r="P46" s="79">
        <f ca="1">OFFSET('Function Factors'!$B$9,$O46-1,P$14)*$L46+OFFSET('Function Factors'!$B$9,$K46-1,P$14)*$H46</f>
        <v>0</v>
      </c>
      <c r="R46" s="79">
        <f ca="1">OFFSET('Function Factors'!$B$9,$O46-1,R$14)*$L46+OFFSET('Function Factors'!$B$9,$K46-1,R$14)*$H46</f>
        <v>-17354.751934163171</v>
      </c>
      <c r="S46" s="79"/>
      <c r="T46" s="79">
        <f ca="1">OFFSET('Function Factors'!$B$9,$O46-1,T$14)*$L46+OFFSET('Function Factors'!$B$9,$K46-1,T$14)*$H46</f>
        <v>0</v>
      </c>
      <c r="U46" s="79"/>
      <c r="V46" s="79">
        <f ca="1">OFFSET('Function Factors'!$B$9,$O46-1,V$14)*$L46+OFFSET('Function Factors'!$B$9,$K46-1,V$14)*$H46</f>
        <v>0</v>
      </c>
      <c r="X46" s="79">
        <f t="shared" ca="1" si="9"/>
        <v>-17354.751934163171</v>
      </c>
      <c r="Z46" s="51" t="str">
        <f t="shared" ca="1" si="6"/>
        <v/>
      </c>
      <c r="AK46" s="61"/>
    </row>
    <row r="47" spans="2:37" x14ac:dyDescent="0.2">
      <c r="B47" s="18">
        <f t="shared" si="7"/>
        <v>24</v>
      </c>
      <c r="D47" s="1" t="s">
        <v>29</v>
      </c>
      <c r="F47" s="50">
        <v>-127950.16722804983</v>
      </c>
      <c r="H47" s="50"/>
      <c r="K47" s="73">
        <v>0</v>
      </c>
      <c r="L47" s="50">
        <f t="shared" si="8"/>
        <v>-127950.16722804983</v>
      </c>
      <c r="N47" s="2" t="s">
        <v>28</v>
      </c>
      <c r="O47" s="73">
        <v>99</v>
      </c>
      <c r="P47" s="79">
        <f ca="1">OFFSET('Function Factors'!$B$9,$O47-1,P$14)*$L47+OFFSET('Function Factors'!$B$9,$K47-1,P$14)*$H47</f>
        <v>0</v>
      </c>
      <c r="R47" s="79">
        <f ca="1">OFFSET('Function Factors'!$B$9,$O47-1,R$14)*$L47+OFFSET('Function Factors'!$B$9,$K47-1,R$14)*$H47</f>
        <v>-127950.16722804983</v>
      </c>
      <c r="S47" s="79"/>
      <c r="T47" s="79">
        <f ca="1">OFFSET('Function Factors'!$B$9,$O47-1,T$14)*$L47+OFFSET('Function Factors'!$B$9,$K47-1,T$14)*$H47</f>
        <v>0</v>
      </c>
      <c r="U47" s="79"/>
      <c r="V47" s="79">
        <f ca="1">OFFSET('Function Factors'!$B$9,$O47-1,V$14)*$L47+OFFSET('Function Factors'!$B$9,$K47-1,V$14)*$H47</f>
        <v>0</v>
      </c>
      <c r="X47" s="79">
        <f t="shared" ca="1" si="9"/>
        <v>-127950.16722804983</v>
      </c>
      <c r="Z47" s="51" t="str">
        <f t="shared" ca="1" si="6"/>
        <v/>
      </c>
    </row>
    <row r="48" spans="2:37" x14ac:dyDescent="0.2">
      <c r="B48" s="18">
        <f t="shared" si="7"/>
        <v>25</v>
      </c>
      <c r="D48" s="1" t="s">
        <v>30</v>
      </c>
      <c r="F48" s="50">
        <v>0</v>
      </c>
      <c r="H48" s="50"/>
      <c r="K48" s="73">
        <v>0</v>
      </c>
      <c r="L48" s="50">
        <f t="shared" si="8"/>
        <v>0</v>
      </c>
      <c r="N48" s="2"/>
      <c r="O48" s="73">
        <v>0</v>
      </c>
      <c r="P48" s="79">
        <f ca="1">OFFSET('Function Factors'!$B$9,$O48-1,P$14)*$L48+OFFSET('Function Factors'!$B$9,$K48-1,P$14)*$H48</f>
        <v>0</v>
      </c>
      <c r="R48" s="79">
        <f ca="1">OFFSET('Function Factors'!$B$9,$O48-1,R$14)*$L48+OFFSET('Function Factors'!$B$9,$K48-1,R$14)*$H48</f>
        <v>0</v>
      </c>
      <c r="S48" s="79"/>
      <c r="T48" s="79">
        <f ca="1">OFFSET('Function Factors'!$B$9,$O48-1,T$14)*$L48+OFFSET('Function Factors'!$B$9,$K48-1,T$14)*$H48</f>
        <v>0</v>
      </c>
      <c r="U48" s="79"/>
      <c r="V48" s="79">
        <f ca="1">OFFSET('Function Factors'!$B$9,$O48-1,V$14)*$L48+OFFSET('Function Factors'!$B$9,$K48-1,V$14)*$H48</f>
        <v>0</v>
      </c>
      <c r="X48" s="79">
        <f t="shared" ca="1" si="9"/>
        <v>0</v>
      </c>
      <c r="Z48" s="51" t="str">
        <f t="shared" ca="1" si="6"/>
        <v/>
      </c>
    </row>
    <row r="49" spans="2:26" x14ac:dyDescent="0.2">
      <c r="B49" s="18">
        <f t="shared" si="7"/>
        <v>26</v>
      </c>
      <c r="D49" s="1" t="s">
        <v>31</v>
      </c>
      <c r="F49" s="50">
        <v>-2151619.3783299127</v>
      </c>
      <c r="H49" s="50"/>
      <c r="K49" s="73">
        <v>0</v>
      </c>
      <c r="L49" s="50">
        <f t="shared" si="8"/>
        <v>-2151619.3783299127</v>
      </c>
      <c r="N49" s="2" t="s">
        <v>32</v>
      </c>
      <c r="O49" s="73">
        <v>36</v>
      </c>
      <c r="P49" s="79">
        <f ca="1">OFFSET('Function Factors'!$B$9,$O49-1,P$14)*$L49+OFFSET('Function Factors'!$B$9,$K49-1,P$14)*$H49</f>
        <v>0</v>
      </c>
      <c r="R49" s="79">
        <f ca="1">OFFSET('Function Factors'!$B$9,$O49-1,R$14)*$L49+OFFSET('Function Factors'!$B$9,$K49-1,R$14)*$H49</f>
        <v>0</v>
      </c>
      <c r="S49" s="79"/>
      <c r="T49" s="79">
        <f ca="1">OFFSET('Function Factors'!$B$9,$O49-1,T$14)*$L49+OFFSET('Function Factors'!$B$9,$K49-1,T$14)*$H49</f>
        <v>0</v>
      </c>
      <c r="U49" s="79"/>
      <c r="V49" s="79">
        <f ca="1">OFFSET('Function Factors'!$B$9,$O49-1,V$14)*$L49+OFFSET('Function Factors'!$B$9,$K49-1,V$14)*$H49</f>
        <v>-2151619.3783299127</v>
      </c>
      <c r="X49" s="79">
        <f t="shared" ca="1" si="9"/>
        <v>-2151619.3783299127</v>
      </c>
      <c r="Z49" s="51" t="str">
        <f t="shared" ca="1" si="6"/>
        <v/>
      </c>
    </row>
    <row r="50" spans="2:26" x14ac:dyDescent="0.2">
      <c r="B50" s="18">
        <f t="shared" si="7"/>
        <v>27</v>
      </c>
      <c r="D50" s="1" t="s">
        <v>293</v>
      </c>
      <c r="F50" s="50">
        <v>-656728.98608636635</v>
      </c>
      <c r="H50" s="50"/>
      <c r="K50" s="73">
        <v>0</v>
      </c>
      <c r="L50" s="50">
        <f t="shared" si="8"/>
        <v>-656728.98608636635</v>
      </c>
      <c r="N50" s="2" t="s">
        <v>32</v>
      </c>
      <c r="O50" s="73">
        <v>36</v>
      </c>
      <c r="P50" s="79">
        <f ca="1">OFFSET('Function Factors'!$B$9,$O50-1,P$14)*$L50+OFFSET('Function Factors'!$B$9,$K50-1,P$14)*$H50</f>
        <v>0</v>
      </c>
      <c r="R50" s="79">
        <f ca="1">OFFSET('Function Factors'!$B$9,$O50-1,R$14)*$L50+OFFSET('Function Factors'!$B$9,$K50-1,R$14)*$H50</f>
        <v>0</v>
      </c>
      <c r="S50" s="79"/>
      <c r="T50" s="79">
        <f ca="1">OFFSET('Function Factors'!$B$9,$O50-1,T$14)*$L50+OFFSET('Function Factors'!$B$9,$K50-1,T$14)*$H50</f>
        <v>0</v>
      </c>
      <c r="U50" s="79"/>
      <c r="V50" s="79">
        <f ca="1">OFFSET('Function Factors'!$B$9,$O50-1,V$14)*$L50+OFFSET('Function Factors'!$B$9,$K50-1,V$14)*$H50</f>
        <v>-656728.98608636635</v>
      </c>
      <c r="X50" s="79">
        <f t="shared" ca="1" si="9"/>
        <v>-656728.98608636635</v>
      </c>
      <c r="Z50" s="51" t="str">
        <f t="shared" ca="1" si="6"/>
        <v/>
      </c>
    </row>
    <row r="51" spans="2:26" x14ac:dyDescent="0.2">
      <c r="B51" s="18">
        <f>B50+1</f>
        <v>28</v>
      </c>
      <c r="D51" s="1" t="s">
        <v>34</v>
      </c>
      <c r="F51" s="50">
        <v>-167236.19894237144</v>
      </c>
      <c r="H51" s="50"/>
      <c r="K51" s="73">
        <v>0</v>
      </c>
      <c r="L51" s="50">
        <f t="shared" si="8"/>
        <v>-167236.19894237144</v>
      </c>
      <c r="N51" s="2" t="s">
        <v>32</v>
      </c>
      <c r="O51" s="73">
        <v>36</v>
      </c>
      <c r="P51" s="79">
        <f ca="1">OFFSET('Function Factors'!$B$9,$O51-1,P$14)*$L51+OFFSET('Function Factors'!$B$9,$K51-1,P$14)*$H51</f>
        <v>0</v>
      </c>
      <c r="R51" s="79">
        <f ca="1">OFFSET('Function Factors'!$B$9,$O51-1,R$14)*$L51+OFFSET('Function Factors'!$B$9,$K51-1,R$14)*$H51</f>
        <v>0</v>
      </c>
      <c r="S51" s="79"/>
      <c r="T51" s="79">
        <f ca="1">OFFSET('Function Factors'!$B$9,$O51-1,T$14)*$L51+OFFSET('Function Factors'!$B$9,$K51-1,T$14)*$H51</f>
        <v>0</v>
      </c>
      <c r="U51" s="79"/>
      <c r="V51" s="79">
        <f ca="1">OFFSET('Function Factors'!$B$9,$O51-1,V$14)*$L51+OFFSET('Function Factors'!$B$9,$K51-1,V$14)*$H51</f>
        <v>-167236.19894237144</v>
      </c>
      <c r="X51" s="79">
        <f t="shared" ca="1" si="9"/>
        <v>-167236.19894237144</v>
      </c>
      <c r="Z51" s="51" t="str">
        <f t="shared" ca="1" si="6"/>
        <v/>
      </c>
    </row>
    <row r="52" spans="2:26" x14ac:dyDescent="0.2">
      <c r="B52" s="18">
        <f>B51+1</f>
        <v>29</v>
      </c>
      <c r="D52" s="1" t="s">
        <v>77</v>
      </c>
      <c r="F52" s="50">
        <v>0</v>
      </c>
      <c r="H52" s="50"/>
      <c r="K52" s="73">
        <v>0</v>
      </c>
      <c r="L52" s="50">
        <f t="shared" si="8"/>
        <v>0</v>
      </c>
      <c r="N52" s="2"/>
      <c r="O52" s="73">
        <v>0</v>
      </c>
      <c r="P52" s="79">
        <f ca="1">OFFSET('Function Factors'!$B$9,$O52-1,P$14)*$L52+OFFSET('Function Factors'!$B$9,$K52-1,P$14)*$H52</f>
        <v>0</v>
      </c>
      <c r="R52" s="79">
        <f ca="1">OFFSET('Function Factors'!$B$9,$O52-1,R$14)*$L52+OFFSET('Function Factors'!$B$9,$K52-1,R$14)*$H52</f>
        <v>0</v>
      </c>
      <c r="S52" s="79"/>
      <c r="T52" s="79">
        <f ca="1">OFFSET('Function Factors'!$B$9,$O52-1,T$14)*$L52+OFFSET('Function Factors'!$B$9,$K52-1,T$14)*$H52</f>
        <v>0</v>
      </c>
      <c r="U52" s="79"/>
      <c r="V52" s="79">
        <f ca="1">OFFSET('Function Factors'!$B$9,$O52-1,V$14)*$L52+OFFSET('Function Factors'!$B$9,$K52-1,V$14)*$H52</f>
        <v>0</v>
      </c>
      <c r="X52" s="79">
        <f t="shared" ca="1" si="9"/>
        <v>0</v>
      </c>
      <c r="Z52" s="51" t="str">
        <f t="shared" ca="1" si="6"/>
        <v/>
      </c>
    </row>
    <row r="53" spans="2:26" x14ac:dyDescent="0.2">
      <c r="B53" s="18">
        <f t="shared" si="7"/>
        <v>30</v>
      </c>
      <c r="D53" s="1" t="s">
        <v>298</v>
      </c>
      <c r="F53" s="41">
        <f>SUM(F40:F52)</f>
        <v>-8472510.0866333805</v>
      </c>
      <c r="H53" s="41">
        <f>SUM(H40:H52)</f>
        <v>0</v>
      </c>
      <c r="L53" s="41">
        <f>SUM(L40:L52)</f>
        <v>-8472510.0866333805</v>
      </c>
      <c r="P53" s="81">
        <f ca="1">SUM(P40:P52)</f>
        <v>0</v>
      </c>
      <c r="Q53" s="67"/>
      <c r="R53" s="81">
        <f ca="1">SUM(R40:R52)</f>
        <v>-408499.78366660059</v>
      </c>
      <c r="S53" s="38"/>
      <c r="T53" s="81">
        <f ca="1">SUM(T40:T52)</f>
        <v>-1416968.5211436641</v>
      </c>
      <c r="U53" s="38"/>
      <c r="V53" s="81">
        <f ca="1">SUM(V40:V52)</f>
        <v>-6647041.7818231182</v>
      </c>
      <c r="X53" s="81">
        <f ca="1">SUM(X40:X52)</f>
        <v>-8472510.0866333805</v>
      </c>
      <c r="Z53" s="51" t="str">
        <f t="shared" ca="1" si="6"/>
        <v/>
      </c>
    </row>
    <row r="54" spans="2:26" x14ac:dyDescent="0.2">
      <c r="X54" s="50"/>
      <c r="Z54" s="51" t="str">
        <f t="shared" si="6"/>
        <v/>
      </c>
    </row>
    <row r="55" spans="2:26" x14ac:dyDescent="0.2">
      <c r="B55" s="18">
        <f>B53+1</f>
        <v>31</v>
      </c>
      <c r="D55" s="1" t="s">
        <v>196</v>
      </c>
      <c r="F55" s="50">
        <v>-412039.15295051294</v>
      </c>
      <c r="H55" s="50"/>
      <c r="K55" s="73">
        <v>0</v>
      </c>
      <c r="L55" s="50">
        <f t="shared" ref="L55" si="10">F55-H55</f>
        <v>-412039.15295051294</v>
      </c>
      <c r="N55" s="2" t="s">
        <v>119</v>
      </c>
      <c r="O55" s="73">
        <v>45</v>
      </c>
      <c r="P55" s="79">
        <f ca="1">OFFSET('Function Factors'!$B$9,$O55-1,P$14)*$L55+OFFSET('Function Factors'!$B$9,$K55-1,P$14)*$H55</f>
        <v>0</v>
      </c>
      <c r="R55" s="79">
        <f ca="1">OFFSET('Function Factors'!$B$9,$O55-1,R$14)*$L55+OFFSET('Function Factors'!$B$9,$K55-1,R$14)*$H55</f>
        <v>-21589.070931578164</v>
      </c>
      <c r="S55" s="79"/>
      <c r="T55" s="79">
        <f ca="1">OFFSET('Function Factors'!$B$9,$O55-1,T$14)*$L55+OFFSET('Function Factors'!$B$9,$K55-1,T$14)*$H55</f>
        <v>-50852.680549399003</v>
      </c>
      <c r="U55" s="79"/>
      <c r="V55" s="79">
        <f ca="1">OFFSET('Function Factors'!$B$9,$O55-1,V$14)*$L55+OFFSET('Function Factors'!$B$9,$K55-1,V$14)*$H55</f>
        <v>-339597.40146953578</v>
      </c>
      <c r="W55" s="79"/>
      <c r="X55" s="79">
        <f ca="1">P55+R55+T55+V55</f>
        <v>-412039.15295051294</v>
      </c>
      <c r="Z55" s="51" t="str">
        <f t="shared" ca="1" si="6"/>
        <v/>
      </c>
    </row>
    <row r="56" spans="2:26" x14ac:dyDescent="0.2">
      <c r="X56" s="50"/>
      <c r="Z56" s="51" t="str">
        <f t="shared" si="6"/>
        <v/>
      </c>
    </row>
    <row r="57" spans="2:26" x14ac:dyDescent="0.2">
      <c r="B57" s="18">
        <f>B55+1</f>
        <v>32</v>
      </c>
      <c r="D57" s="1" t="s">
        <v>393</v>
      </c>
      <c r="F57" s="41">
        <f>F53+F55</f>
        <v>-8884549.2395838927</v>
      </c>
      <c r="H57" s="41">
        <f>H53+H55</f>
        <v>0</v>
      </c>
      <c r="L57" s="41">
        <f>L53+L55</f>
        <v>-8884549.2395838927</v>
      </c>
      <c r="P57" s="41">
        <f ca="1">P53+P55</f>
        <v>0</v>
      </c>
      <c r="Q57" s="111"/>
      <c r="R57" s="41">
        <f ca="1">R53+R55</f>
        <v>-430088.85459817876</v>
      </c>
      <c r="S57" s="50"/>
      <c r="T57" s="41">
        <f ca="1">T53+T55</f>
        <v>-1467821.2016930631</v>
      </c>
      <c r="U57" s="50"/>
      <c r="V57" s="41">
        <f ca="1">V53+V55</f>
        <v>-6986639.1832926543</v>
      </c>
      <c r="X57" s="41">
        <f ca="1">X53+X55</f>
        <v>-8884549.2395838927</v>
      </c>
      <c r="Z57" s="51" t="str">
        <f t="shared" ca="1" si="6"/>
        <v/>
      </c>
    </row>
    <row r="58" spans="2:26" x14ac:dyDescent="0.2">
      <c r="D58" s="6"/>
      <c r="E58" s="77"/>
      <c r="F58" s="77"/>
      <c r="H58" s="77"/>
      <c r="L58" s="77"/>
      <c r="Z58" s="51" t="str">
        <f t="shared" si="6"/>
        <v/>
      </c>
    </row>
    <row r="59" spans="2:26" x14ac:dyDescent="0.2">
      <c r="F59" s="50"/>
      <c r="Z59" s="51" t="str">
        <f t="shared" si="6"/>
        <v/>
      </c>
    </row>
    <row r="60" spans="2:26" x14ac:dyDescent="0.2">
      <c r="D60" s="6" t="s">
        <v>17</v>
      </c>
      <c r="E60" s="78"/>
      <c r="F60" s="78"/>
      <c r="Z60" s="51" t="str">
        <f t="shared" si="0"/>
        <v/>
      </c>
    </row>
    <row r="61" spans="2:26" x14ac:dyDescent="0.2">
      <c r="Z61" s="51" t="str">
        <f t="shared" si="0"/>
        <v/>
      </c>
    </row>
    <row r="62" spans="2:26" x14ac:dyDescent="0.2">
      <c r="B62" s="18">
        <f>B57+1</f>
        <v>33</v>
      </c>
      <c r="D62" s="1" t="s">
        <v>76</v>
      </c>
      <c r="F62" s="50">
        <f>F18+F40</f>
        <v>203561.2984920314</v>
      </c>
      <c r="H62" s="50"/>
      <c r="K62" s="73">
        <v>0</v>
      </c>
      <c r="L62" s="50">
        <f>F62-H62</f>
        <v>203561.2984920314</v>
      </c>
      <c r="N62" s="2"/>
      <c r="O62" s="73">
        <v>0</v>
      </c>
      <c r="P62" s="79">
        <f ca="1">P18+P40</f>
        <v>0</v>
      </c>
      <c r="R62" s="79">
        <f ca="1">R18+R40</f>
        <v>13017.78562077151</v>
      </c>
      <c r="S62" s="79"/>
      <c r="T62" s="79">
        <f ca="1">T18+T40</f>
        <v>79166.942309318154</v>
      </c>
      <c r="U62" s="79"/>
      <c r="V62" s="79">
        <f ca="1">V18+V40</f>
        <v>111376.57056194174</v>
      </c>
      <c r="X62" s="79">
        <f ca="1">P62+R62+T62+V62</f>
        <v>203561.2984920314</v>
      </c>
      <c r="Z62" s="51" t="str">
        <f ca="1">IF(ROUND(F62,4)=ROUND(X62,4), "", "check")</f>
        <v/>
      </c>
    </row>
    <row r="63" spans="2:26" x14ac:dyDescent="0.2">
      <c r="B63" s="18">
        <f>B62+1</f>
        <v>34</v>
      </c>
      <c r="D63" s="1" t="s">
        <v>75</v>
      </c>
      <c r="F63" s="50">
        <f t="shared" ref="F63:F74" si="11">F19+F41</f>
        <v>145332.55965898914</v>
      </c>
      <c r="H63" s="50"/>
      <c r="K63" s="73">
        <v>0</v>
      </c>
      <c r="L63" s="50">
        <f>F63-H63</f>
        <v>145332.55965898914</v>
      </c>
      <c r="N63" s="2"/>
      <c r="O63" s="73">
        <v>0</v>
      </c>
      <c r="P63" s="79">
        <f t="shared" ref="P63:R74" ca="1" si="12">P19+P41</f>
        <v>0</v>
      </c>
      <c r="R63" s="79">
        <f t="shared" ca="1" si="12"/>
        <v>26073.599070325727</v>
      </c>
      <c r="S63" s="79"/>
      <c r="T63" s="79">
        <f t="shared" ref="T63:T74" ca="1" si="13">T19+T41</f>
        <v>49261.707392534336</v>
      </c>
      <c r="U63" s="79"/>
      <c r="V63" s="79">
        <f t="shared" ref="V63:V74" ca="1" si="14">V19+V41</f>
        <v>69997.253196129066</v>
      </c>
      <c r="X63" s="79">
        <f ca="1">P63+R63+T63+V63</f>
        <v>145332.55965898914</v>
      </c>
      <c r="Z63" s="51" t="str">
        <f t="shared" ref="Z63:Z126" ca="1" si="15">IF(ROUND(F63,4)=ROUND(X63,4), "", "check")</f>
        <v/>
      </c>
    </row>
    <row r="64" spans="2:26" x14ac:dyDescent="0.2">
      <c r="B64" s="18">
        <f t="shared" ref="B64:B75" si="16">B63+1</f>
        <v>35</v>
      </c>
      <c r="D64" s="1" t="s">
        <v>19</v>
      </c>
      <c r="F64" s="50">
        <f t="shared" si="11"/>
        <v>410373.39058807766</v>
      </c>
      <c r="H64" s="50"/>
      <c r="K64" s="73">
        <v>0</v>
      </c>
      <c r="L64" s="50">
        <f t="shared" ref="L64:L74" si="17">F64-H64</f>
        <v>410373.39058807766</v>
      </c>
      <c r="N64" s="2"/>
      <c r="O64" s="73">
        <v>0</v>
      </c>
      <c r="P64" s="79">
        <f t="shared" ca="1" si="12"/>
        <v>0</v>
      </c>
      <c r="R64" s="79">
        <f t="shared" ca="1" si="12"/>
        <v>49330.938952358076</v>
      </c>
      <c r="S64" s="79"/>
      <c r="T64" s="79">
        <f t="shared" ca="1" si="13"/>
        <v>133779.00444473058</v>
      </c>
      <c r="U64" s="79"/>
      <c r="V64" s="79">
        <f t="shared" ca="1" si="14"/>
        <v>227263.44719098904</v>
      </c>
      <c r="X64" s="79">
        <f t="shared" ref="X64:X74" ca="1" si="18">P64+R64+T64+V64</f>
        <v>410373.39058807772</v>
      </c>
      <c r="Z64" s="51" t="str">
        <f t="shared" ca="1" si="15"/>
        <v/>
      </c>
    </row>
    <row r="65" spans="2:37" x14ac:dyDescent="0.2">
      <c r="B65" s="18">
        <f t="shared" si="16"/>
        <v>36</v>
      </c>
      <c r="D65" s="1" t="s">
        <v>21</v>
      </c>
      <c r="F65" s="50">
        <f t="shared" si="11"/>
        <v>837329.23178662651</v>
      </c>
      <c r="H65" s="50"/>
      <c r="K65" s="73">
        <v>0</v>
      </c>
      <c r="L65" s="50">
        <f t="shared" si="17"/>
        <v>837329.23178662651</v>
      </c>
      <c r="N65" s="2"/>
      <c r="O65" s="73">
        <v>0</v>
      </c>
      <c r="P65" s="79">
        <f t="shared" ca="1" si="12"/>
        <v>0</v>
      </c>
      <c r="R65" s="79">
        <f t="shared" ca="1" si="12"/>
        <v>10132.150632208672</v>
      </c>
      <c r="S65" s="79"/>
      <c r="T65" s="79">
        <f t="shared" ca="1" si="13"/>
        <v>159299.06782597845</v>
      </c>
      <c r="U65" s="79"/>
      <c r="V65" s="79">
        <f t="shared" ca="1" si="14"/>
        <v>667898.01332843932</v>
      </c>
      <c r="X65" s="79">
        <f t="shared" ca="1" si="18"/>
        <v>837329.23178662639</v>
      </c>
      <c r="Z65" s="51" t="str">
        <f t="shared" ca="1" si="15"/>
        <v/>
      </c>
    </row>
    <row r="66" spans="2:37" x14ac:dyDescent="0.2">
      <c r="B66" s="18">
        <f t="shared" si="16"/>
        <v>37</v>
      </c>
      <c r="D66" s="1" t="s">
        <v>23</v>
      </c>
      <c r="F66" s="50">
        <f t="shared" si="11"/>
        <v>6920947.0784229999</v>
      </c>
      <c r="H66" s="50"/>
      <c r="K66" s="73">
        <v>0</v>
      </c>
      <c r="L66" s="50">
        <f t="shared" si="17"/>
        <v>6920947.0784229999</v>
      </c>
      <c r="N66" s="2"/>
      <c r="O66" s="73">
        <v>0</v>
      </c>
      <c r="P66" s="79">
        <f t="shared" ca="1" si="12"/>
        <v>0</v>
      </c>
      <c r="R66" s="79">
        <f t="shared" ca="1" si="12"/>
        <v>0</v>
      </c>
      <c r="S66" s="79"/>
      <c r="T66" s="79">
        <f t="shared" ca="1" si="13"/>
        <v>1296675.7789290498</v>
      </c>
      <c r="U66" s="79"/>
      <c r="V66" s="79">
        <f t="shared" ca="1" si="14"/>
        <v>5624271.2994939499</v>
      </c>
      <c r="X66" s="79">
        <f t="shared" ca="1" si="18"/>
        <v>6920947.0784229999</v>
      </c>
      <c r="Z66" s="51" t="str">
        <f t="shared" ca="1" si="15"/>
        <v/>
      </c>
    </row>
    <row r="67" spans="2:37" x14ac:dyDescent="0.2">
      <c r="B67" s="18">
        <f t="shared" si="16"/>
        <v>38</v>
      </c>
      <c r="D67" s="1" t="s">
        <v>25</v>
      </c>
      <c r="F67" s="50">
        <f t="shared" si="11"/>
        <v>1101121.019653976</v>
      </c>
      <c r="H67" s="50"/>
      <c r="K67" s="73">
        <v>0</v>
      </c>
      <c r="L67" s="50">
        <f t="shared" si="17"/>
        <v>1101121.019653976</v>
      </c>
      <c r="N67" s="2"/>
      <c r="O67" s="73">
        <v>0</v>
      </c>
      <c r="P67" s="79">
        <f t="shared" ca="1" si="12"/>
        <v>0</v>
      </c>
      <c r="R67" s="79">
        <f t="shared" ca="1" si="12"/>
        <v>222279.83060167442</v>
      </c>
      <c r="S67" s="79"/>
      <c r="T67" s="79">
        <f t="shared" ca="1" si="13"/>
        <v>848360.22958961513</v>
      </c>
      <c r="U67" s="79"/>
      <c r="V67" s="79">
        <f t="shared" ca="1" si="14"/>
        <v>30480.9594626865</v>
      </c>
      <c r="X67" s="79">
        <f t="shared" ca="1" si="18"/>
        <v>1101121.019653976</v>
      </c>
      <c r="Z67" s="51" t="str">
        <f t="shared" ca="1" si="15"/>
        <v/>
      </c>
      <c r="AK67" s="61"/>
    </row>
    <row r="68" spans="2:37" x14ac:dyDescent="0.2">
      <c r="B68" s="18">
        <f t="shared" si="16"/>
        <v>39</v>
      </c>
      <c r="D68" s="1" t="s">
        <v>27</v>
      </c>
      <c r="F68" s="50">
        <f t="shared" si="11"/>
        <v>12667.96592956391</v>
      </c>
      <c r="H68" s="50"/>
      <c r="K68" s="73">
        <v>0</v>
      </c>
      <c r="L68" s="50">
        <f t="shared" si="17"/>
        <v>12667.96592956391</v>
      </c>
      <c r="N68" s="2"/>
      <c r="O68" s="73">
        <v>0</v>
      </c>
      <c r="P68" s="79">
        <f t="shared" ca="1" si="12"/>
        <v>0</v>
      </c>
      <c r="R68" s="79">
        <f t="shared" ca="1" si="12"/>
        <v>12667.96592956391</v>
      </c>
      <c r="S68" s="79"/>
      <c r="T68" s="79">
        <f t="shared" ca="1" si="13"/>
        <v>0</v>
      </c>
      <c r="U68" s="79"/>
      <c r="V68" s="79">
        <f t="shared" ca="1" si="14"/>
        <v>0</v>
      </c>
      <c r="X68" s="79">
        <f t="shared" ca="1" si="18"/>
        <v>12667.96592956391</v>
      </c>
      <c r="Z68" s="51" t="str">
        <f t="shared" ca="1" si="15"/>
        <v/>
      </c>
      <c r="AK68" s="61"/>
    </row>
    <row r="69" spans="2:37" x14ac:dyDescent="0.2">
      <c r="B69" s="18">
        <f t="shared" si="16"/>
        <v>40</v>
      </c>
      <c r="D69" s="1" t="s">
        <v>29</v>
      </c>
      <c r="F69" s="50">
        <f t="shared" si="11"/>
        <v>257394.65378702851</v>
      </c>
      <c r="H69" s="50"/>
      <c r="K69" s="73">
        <v>0</v>
      </c>
      <c r="L69" s="50">
        <f t="shared" si="17"/>
        <v>257394.65378702851</v>
      </c>
      <c r="N69" s="2"/>
      <c r="O69" s="73">
        <v>0</v>
      </c>
      <c r="P69" s="79">
        <f t="shared" ca="1" si="12"/>
        <v>0</v>
      </c>
      <c r="R69" s="79">
        <f t="shared" ca="1" si="12"/>
        <v>257394.65378702851</v>
      </c>
      <c r="S69" s="79"/>
      <c r="T69" s="79">
        <f t="shared" ca="1" si="13"/>
        <v>0</v>
      </c>
      <c r="U69" s="79"/>
      <c r="V69" s="79">
        <f t="shared" ca="1" si="14"/>
        <v>0</v>
      </c>
      <c r="X69" s="79">
        <f t="shared" ca="1" si="18"/>
        <v>257394.65378702851</v>
      </c>
      <c r="Z69" s="51" t="str">
        <f t="shared" ca="1" si="15"/>
        <v/>
      </c>
    </row>
    <row r="70" spans="2:37" x14ac:dyDescent="0.2">
      <c r="B70" s="18">
        <f t="shared" si="16"/>
        <v>41</v>
      </c>
      <c r="D70" s="1" t="s">
        <v>30</v>
      </c>
      <c r="F70" s="50">
        <f t="shared" si="11"/>
        <v>68466.485990000001</v>
      </c>
      <c r="H70" s="50"/>
      <c r="K70" s="73">
        <v>0</v>
      </c>
      <c r="L70" s="50">
        <f t="shared" si="17"/>
        <v>68466.485990000001</v>
      </c>
      <c r="N70" s="2"/>
      <c r="O70" s="73">
        <v>0</v>
      </c>
      <c r="P70" s="79">
        <f t="shared" ca="1" si="12"/>
        <v>0</v>
      </c>
      <c r="R70" s="79">
        <f t="shared" ca="1" si="12"/>
        <v>68466.485990000001</v>
      </c>
      <c r="S70" s="79"/>
      <c r="T70" s="79">
        <f t="shared" ca="1" si="13"/>
        <v>0</v>
      </c>
      <c r="U70" s="79"/>
      <c r="V70" s="79">
        <f t="shared" ca="1" si="14"/>
        <v>0</v>
      </c>
      <c r="X70" s="79">
        <f t="shared" ca="1" si="18"/>
        <v>68466.485990000001</v>
      </c>
      <c r="Z70" s="51" t="str">
        <f t="shared" ca="1" si="15"/>
        <v/>
      </c>
    </row>
    <row r="71" spans="2:37" x14ac:dyDescent="0.2">
      <c r="B71" s="18">
        <f t="shared" si="16"/>
        <v>42</v>
      </c>
      <c r="D71" s="1" t="s">
        <v>31</v>
      </c>
      <c r="F71" s="50">
        <f t="shared" si="11"/>
        <v>3496978.1869334034</v>
      </c>
      <c r="H71" s="50"/>
      <c r="K71" s="73">
        <v>0</v>
      </c>
      <c r="L71" s="50">
        <f t="shared" si="17"/>
        <v>3496978.1869334034</v>
      </c>
      <c r="N71" s="2"/>
      <c r="O71" s="73">
        <v>0</v>
      </c>
      <c r="P71" s="79">
        <f t="shared" ca="1" si="12"/>
        <v>0</v>
      </c>
      <c r="R71" s="79">
        <f t="shared" ca="1" si="12"/>
        <v>0</v>
      </c>
      <c r="S71" s="79"/>
      <c r="T71" s="79">
        <f t="shared" ca="1" si="13"/>
        <v>0</v>
      </c>
      <c r="U71" s="79"/>
      <c r="V71" s="79">
        <f t="shared" ca="1" si="14"/>
        <v>3496978.1869334034</v>
      </c>
      <c r="X71" s="79">
        <f t="shared" ca="1" si="18"/>
        <v>3496978.1869334034</v>
      </c>
      <c r="Z71" s="51" t="str">
        <f t="shared" ca="1" si="15"/>
        <v/>
      </c>
    </row>
    <row r="72" spans="2:37" x14ac:dyDescent="0.2">
      <c r="B72" s="18">
        <f t="shared" si="16"/>
        <v>43</v>
      </c>
      <c r="D72" s="1" t="s">
        <v>293</v>
      </c>
      <c r="F72" s="50">
        <f t="shared" si="11"/>
        <v>1029780.7535093786</v>
      </c>
      <c r="H72" s="50"/>
      <c r="K72" s="73">
        <v>0</v>
      </c>
      <c r="L72" s="50">
        <f t="shared" si="17"/>
        <v>1029780.7535093786</v>
      </c>
      <c r="N72" s="2"/>
      <c r="O72" s="73">
        <v>0</v>
      </c>
      <c r="P72" s="79">
        <f t="shared" ca="1" si="12"/>
        <v>0</v>
      </c>
      <c r="R72" s="79">
        <f t="shared" ca="1" si="12"/>
        <v>0</v>
      </c>
      <c r="S72" s="79"/>
      <c r="T72" s="79">
        <f t="shared" ca="1" si="13"/>
        <v>0</v>
      </c>
      <c r="U72" s="79"/>
      <c r="V72" s="79">
        <f t="shared" ca="1" si="14"/>
        <v>1029780.7535093786</v>
      </c>
      <c r="X72" s="79">
        <f t="shared" ca="1" si="18"/>
        <v>1029780.7535093786</v>
      </c>
      <c r="Z72" s="51" t="str">
        <f t="shared" ca="1" si="15"/>
        <v/>
      </c>
    </row>
    <row r="73" spans="2:37" x14ac:dyDescent="0.2">
      <c r="B73" s="18">
        <f>B72+1</f>
        <v>44</v>
      </c>
      <c r="D73" s="1" t="s">
        <v>34</v>
      </c>
      <c r="F73" s="50">
        <f t="shared" si="11"/>
        <v>253810.37950131294</v>
      </c>
      <c r="H73" s="50"/>
      <c r="K73" s="73">
        <v>0</v>
      </c>
      <c r="L73" s="50">
        <f t="shared" si="17"/>
        <v>253810.37950131294</v>
      </c>
      <c r="N73" s="2"/>
      <c r="O73" s="73">
        <v>0</v>
      </c>
      <c r="P73" s="79">
        <f t="shared" ca="1" si="12"/>
        <v>0</v>
      </c>
      <c r="R73" s="79">
        <f t="shared" ca="1" si="12"/>
        <v>0</v>
      </c>
      <c r="S73" s="79"/>
      <c r="T73" s="79">
        <f t="shared" ca="1" si="13"/>
        <v>0</v>
      </c>
      <c r="U73" s="79"/>
      <c r="V73" s="79">
        <f t="shared" ca="1" si="14"/>
        <v>253810.37950131294</v>
      </c>
      <c r="X73" s="79">
        <f t="shared" ca="1" si="18"/>
        <v>253810.37950131294</v>
      </c>
      <c r="Z73" s="51" t="str">
        <f t="shared" ca="1" si="15"/>
        <v/>
      </c>
    </row>
    <row r="74" spans="2:37" x14ac:dyDescent="0.2">
      <c r="B74" s="18">
        <f>B73+1</f>
        <v>45</v>
      </c>
      <c r="D74" s="1" t="s">
        <v>77</v>
      </c>
      <c r="F74" s="50">
        <f t="shared" si="11"/>
        <v>7182.6654800000015</v>
      </c>
      <c r="H74" s="50"/>
      <c r="K74" s="73">
        <v>0</v>
      </c>
      <c r="L74" s="50">
        <f t="shared" si="17"/>
        <v>7182.6654800000015</v>
      </c>
      <c r="N74" s="2"/>
      <c r="O74" s="73">
        <v>0</v>
      </c>
      <c r="P74" s="79">
        <f t="shared" ca="1" si="12"/>
        <v>0</v>
      </c>
      <c r="R74" s="79">
        <f t="shared" ca="1" si="12"/>
        <v>477.03131475162303</v>
      </c>
      <c r="S74" s="79"/>
      <c r="T74" s="79">
        <f t="shared" ca="1" si="13"/>
        <v>4318.2255996879157</v>
      </c>
      <c r="U74" s="79"/>
      <c r="V74" s="79">
        <f t="shared" ca="1" si="14"/>
        <v>2387.408565560464</v>
      </c>
      <c r="X74" s="79">
        <f t="shared" ca="1" si="18"/>
        <v>7182.6654800000024</v>
      </c>
      <c r="Z74" s="51" t="str">
        <f t="shared" ca="1" si="15"/>
        <v/>
      </c>
    </row>
    <row r="75" spans="2:37" x14ac:dyDescent="0.2">
      <c r="B75" s="18">
        <f t="shared" si="16"/>
        <v>46</v>
      </c>
      <c r="D75" s="1" t="s">
        <v>394</v>
      </c>
      <c r="F75" s="41">
        <f>SUM(F62:F74)</f>
        <v>14744945.66973339</v>
      </c>
      <c r="H75" s="41">
        <f>SUM(H62:H74)</f>
        <v>0</v>
      </c>
      <c r="L75" s="41">
        <f>SUM(L62:L74)</f>
        <v>14744945.66973339</v>
      </c>
      <c r="P75" s="81">
        <f ca="1">SUM(P62:P74)</f>
        <v>0</v>
      </c>
      <c r="Q75" s="67"/>
      <c r="R75" s="81">
        <f ca="1">SUM(R62:R74)</f>
        <v>659840.44189868239</v>
      </c>
      <c r="S75" s="38"/>
      <c r="T75" s="81">
        <f ca="1">SUM(T62:T74)</f>
        <v>2570860.9560909146</v>
      </c>
      <c r="U75" s="38"/>
      <c r="V75" s="81">
        <f ca="1">SUM(V62:V74)</f>
        <v>11514244.271743789</v>
      </c>
      <c r="X75" s="81">
        <f ca="1">SUM(X62:X74)</f>
        <v>14744945.66973339</v>
      </c>
      <c r="Z75" s="51" t="str">
        <f t="shared" ca="1" si="15"/>
        <v/>
      </c>
    </row>
    <row r="76" spans="2:37" x14ac:dyDescent="0.2">
      <c r="X76" s="50"/>
      <c r="Z76" s="51" t="str">
        <f t="shared" si="15"/>
        <v/>
      </c>
    </row>
    <row r="77" spans="2:37" x14ac:dyDescent="0.2">
      <c r="B77" s="18">
        <f>B75+1</f>
        <v>47</v>
      </c>
      <c r="D77" s="1" t="s">
        <v>196</v>
      </c>
      <c r="F77" s="50">
        <f>F33+F55</f>
        <v>412080.8656664947</v>
      </c>
      <c r="H77" s="50"/>
      <c r="K77" s="73">
        <v>0</v>
      </c>
      <c r="L77" s="50">
        <f t="shared" ref="L77" si="19">F77-H77</f>
        <v>412080.8656664947</v>
      </c>
      <c r="N77" s="2"/>
      <c r="O77" s="73">
        <v>0</v>
      </c>
      <c r="P77" s="79">
        <f ca="1">P33+P55</f>
        <v>0</v>
      </c>
      <c r="R77" s="79">
        <f ca="1">R33+R55</f>
        <v>21591.256497628456</v>
      </c>
      <c r="S77" s="79"/>
      <c r="T77" s="79">
        <f ca="1">T33+T55</f>
        <v>50857.828612163132</v>
      </c>
      <c r="U77" s="79"/>
      <c r="V77" s="79">
        <f ca="1">V33+V55</f>
        <v>339631.78055670322</v>
      </c>
      <c r="W77" s="79"/>
      <c r="X77" s="79">
        <f ca="1">P77+R77+T77+V77</f>
        <v>412080.86566649482</v>
      </c>
      <c r="Z77" s="51" t="str">
        <f t="shared" ca="1" si="15"/>
        <v/>
      </c>
    </row>
    <row r="78" spans="2:37" x14ac:dyDescent="0.2">
      <c r="X78" s="50"/>
      <c r="Z78" s="51" t="str">
        <f t="shared" si="15"/>
        <v/>
      </c>
    </row>
    <row r="79" spans="2:37" x14ac:dyDescent="0.2">
      <c r="B79" s="18">
        <f>B77+1</f>
        <v>48</v>
      </c>
      <c r="D79" s="1" t="s">
        <v>395</v>
      </c>
      <c r="F79" s="41">
        <f>F75+F77</f>
        <v>15157026.535399884</v>
      </c>
      <c r="H79" s="41">
        <f>H75+H77</f>
        <v>0</v>
      </c>
      <c r="L79" s="41">
        <f>L75+L77</f>
        <v>15157026.535399884</v>
      </c>
      <c r="P79" s="41">
        <f ca="1">P75+P77</f>
        <v>0</v>
      </c>
      <c r="Q79" s="111"/>
      <c r="R79" s="41">
        <f ca="1">R75+R77</f>
        <v>681431.69839631079</v>
      </c>
      <c r="S79" s="50"/>
      <c r="T79" s="41">
        <f ca="1">T75+T77</f>
        <v>2621718.7847030777</v>
      </c>
      <c r="U79" s="50"/>
      <c r="V79" s="41">
        <f ca="1">V75+V77</f>
        <v>11853876.052300492</v>
      </c>
      <c r="X79" s="41">
        <f ca="1">X75+X77</f>
        <v>15157026.535399886</v>
      </c>
      <c r="Z79" s="51" t="str">
        <f t="shared" ca="1" si="15"/>
        <v/>
      </c>
    </row>
    <row r="80" spans="2:37" x14ac:dyDescent="0.2">
      <c r="D80" s="6"/>
      <c r="E80" s="77"/>
      <c r="F80" s="77"/>
      <c r="H80" s="77"/>
      <c r="L80" s="77"/>
      <c r="Z80" s="51" t="str">
        <f t="shared" si="15"/>
        <v/>
      </c>
    </row>
    <row r="81" spans="2:26" x14ac:dyDescent="0.2">
      <c r="F81" s="50"/>
      <c r="Z81" s="51" t="str">
        <f t="shared" si="15"/>
        <v/>
      </c>
    </row>
    <row r="82" spans="2:26" x14ac:dyDescent="0.2">
      <c r="D82" s="6" t="s">
        <v>36</v>
      </c>
      <c r="E82" s="78"/>
      <c r="F82" s="78"/>
      <c r="H82" s="78"/>
      <c r="L82" s="78"/>
      <c r="Z82" s="51" t="str">
        <f t="shared" si="15"/>
        <v/>
      </c>
    </row>
    <row r="83" spans="2:26" x14ac:dyDescent="0.2">
      <c r="Z83" s="51" t="str">
        <f t="shared" si="15"/>
        <v/>
      </c>
    </row>
    <row r="84" spans="2:26" x14ac:dyDescent="0.2">
      <c r="B84" s="18">
        <f>B79+1</f>
        <v>49</v>
      </c>
      <c r="D84" s="1" t="s">
        <v>41</v>
      </c>
      <c r="F84" s="50">
        <v>106990.37774285467</v>
      </c>
      <c r="H84" s="50"/>
      <c r="K84" s="73">
        <v>0</v>
      </c>
      <c r="L84" s="50">
        <f t="shared" ref="L84:L88" si="20">F84-H84</f>
        <v>106990.37774285467</v>
      </c>
      <c r="N84" s="2" t="s">
        <v>35</v>
      </c>
      <c r="O84" s="73">
        <v>81</v>
      </c>
      <c r="P84" s="79">
        <f ca="1">OFFSET('Function Factors'!$B$9,$O84-1,P$14)*$L84+OFFSET('Function Factors'!$B$9,$K84-1,P$14)*$H84</f>
        <v>0</v>
      </c>
      <c r="R84" s="79">
        <f ca="1">OFFSET('Function Factors'!$B$9,$O84-1,R$14)*$L84+OFFSET('Function Factors'!$B$9,$K84-1,R$14)*$H84</f>
        <v>4345.1165095733522</v>
      </c>
      <c r="S84" s="79"/>
      <c r="T84" s="79">
        <f ca="1">OFFSET('Function Factors'!$B$9,$O84-1,T$14)*$L84+OFFSET('Function Factors'!$B$9,$K84-1,T$14)*$H84</f>
        <v>18568.37524808753</v>
      </c>
      <c r="U84" s="79"/>
      <c r="V84" s="79">
        <f ca="1">OFFSET('Function Factors'!$B$9,$O84-1,V$14)*$L84+OFFSET('Function Factors'!$B$9,$K84-1,V$14)*$H84</f>
        <v>84076.885985193789</v>
      </c>
      <c r="X84" s="79">
        <f t="shared" ref="X84:X88" ca="1" si="21">P84+R84+T84+V84</f>
        <v>106990.37774285467</v>
      </c>
      <c r="Z84" s="51" t="str">
        <f t="shared" ca="1" si="15"/>
        <v/>
      </c>
    </row>
    <row r="85" spans="2:26" x14ac:dyDescent="0.2">
      <c r="B85" s="18">
        <f>B84+1</f>
        <v>50</v>
      </c>
      <c r="D85" s="1" t="s">
        <v>379</v>
      </c>
      <c r="F85" s="50">
        <v>-5076.4162604167295</v>
      </c>
      <c r="H85" s="50"/>
      <c r="K85" s="73">
        <v>0</v>
      </c>
      <c r="L85" s="50">
        <f t="shared" si="20"/>
        <v>-5076.4162604167295</v>
      </c>
      <c r="N85" s="2" t="s">
        <v>35</v>
      </c>
      <c r="O85" s="73">
        <v>81</v>
      </c>
      <c r="P85" s="79">
        <f ca="1">OFFSET('Function Factors'!$B$9,$O85-1,P$14)*$L85+OFFSET('Function Factors'!$B$9,$K85-1,P$14)*$H85</f>
        <v>0</v>
      </c>
      <c r="R85" s="79">
        <f ca="1">OFFSET('Function Factors'!$B$9,$O85-1,R$14)*$L85+OFFSET('Function Factors'!$B$9,$K85-1,R$14)*$H85</f>
        <v>-206.16452215560537</v>
      </c>
      <c r="S85" s="79"/>
      <c r="T85" s="79">
        <f ca="1">OFFSET('Function Factors'!$B$9,$O85-1,T$14)*$L85+OFFSET('Function Factors'!$B$9,$K85-1,T$14)*$H85</f>
        <v>-881.02130329384931</v>
      </c>
      <c r="U85" s="79"/>
      <c r="V85" s="79">
        <f ca="1">OFFSET('Function Factors'!$B$9,$O85-1,V$14)*$L85+OFFSET('Function Factors'!$B$9,$K85-1,V$14)*$H85</f>
        <v>-3989.230434967275</v>
      </c>
      <c r="X85" s="79">
        <f t="shared" ca="1" si="21"/>
        <v>-5076.4162604167295</v>
      </c>
      <c r="Z85" s="51" t="str">
        <f t="shared" ca="1" si="15"/>
        <v/>
      </c>
    </row>
    <row r="86" spans="2:26" x14ac:dyDescent="0.2">
      <c r="B86" s="18">
        <f t="shared" ref="B86:B89" si="22">B85+1</f>
        <v>51</v>
      </c>
      <c r="D86" s="1" t="s">
        <v>42</v>
      </c>
      <c r="F86" s="50">
        <v>-60186.114249104641</v>
      </c>
      <c r="H86" s="50"/>
      <c r="K86" s="73">
        <v>0</v>
      </c>
      <c r="L86" s="50">
        <f t="shared" si="20"/>
        <v>-60186.114249104641</v>
      </c>
      <c r="N86" s="2" t="s">
        <v>35</v>
      </c>
      <c r="O86" s="73">
        <v>81</v>
      </c>
      <c r="P86" s="79">
        <f ca="1">OFFSET('Function Factors'!$B$9,$O86-1,P$14)*$L86+OFFSET('Function Factors'!$B$9,$K86-1,P$14)*$H86</f>
        <v>0</v>
      </c>
      <c r="R86" s="79">
        <f ca="1">OFFSET('Function Factors'!$B$9,$O86-1,R$14)*$L86+OFFSET('Function Factors'!$B$9,$K86-1,R$14)*$H86</f>
        <v>-2444.2915726439505</v>
      </c>
      <c r="S86" s="79"/>
      <c r="T86" s="79">
        <f ca="1">OFFSET('Function Factors'!$B$9,$O86-1,T$14)*$L86+OFFSET('Function Factors'!$B$9,$K86-1,T$14)*$H86</f>
        <v>-10445.409930111951</v>
      </c>
      <c r="U86" s="79"/>
      <c r="V86" s="79">
        <f ca="1">OFFSET('Function Factors'!$B$9,$O86-1,V$14)*$L86+OFFSET('Function Factors'!$B$9,$K86-1,V$14)*$H86</f>
        <v>-47296.412746348738</v>
      </c>
      <c r="X86" s="79">
        <f t="shared" ca="1" si="21"/>
        <v>-60186.114249104641</v>
      </c>
      <c r="Z86" s="51" t="str">
        <f t="shared" ca="1" si="15"/>
        <v/>
      </c>
    </row>
    <row r="87" spans="2:26" x14ac:dyDescent="0.2">
      <c r="B87" s="18">
        <f t="shared" si="22"/>
        <v>52</v>
      </c>
      <c r="D87" s="1" t="s">
        <v>380</v>
      </c>
      <c r="F87" s="50">
        <v>450894.64997650369</v>
      </c>
      <c r="H87" s="50"/>
      <c r="K87" s="73">
        <v>0</v>
      </c>
      <c r="L87" s="50">
        <f t="shared" si="20"/>
        <v>450894.64997650369</v>
      </c>
      <c r="N87" s="2" t="s">
        <v>28</v>
      </c>
      <c r="O87" s="73">
        <v>99</v>
      </c>
      <c r="P87" s="79">
        <f ca="1">OFFSET('Function Factors'!$B$9,$O87-1,P$14)*$L87+OFFSET('Function Factors'!$B$9,$K87-1,P$14)*$H87</f>
        <v>0</v>
      </c>
      <c r="R87" s="79">
        <f ca="1">OFFSET('Function Factors'!$B$9,$O87-1,R$14)*$L87+OFFSET('Function Factors'!$B$9,$K87-1,R$14)*$H87</f>
        <v>450894.64997650369</v>
      </c>
      <c r="S87" s="79"/>
      <c r="T87" s="79">
        <f ca="1">OFFSET('Function Factors'!$B$9,$O87-1,T$14)*$L87+OFFSET('Function Factors'!$B$9,$K87-1,T$14)*$H87</f>
        <v>0</v>
      </c>
      <c r="U87" s="79"/>
      <c r="V87" s="79">
        <f ca="1">OFFSET('Function Factors'!$B$9,$O87-1,V$14)*$L87+OFFSET('Function Factors'!$B$9,$K87-1,V$14)*$H87</f>
        <v>0</v>
      </c>
      <c r="X87" s="79">
        <f t="shared" ca="1" si="21"/>
        <v>450894.64997650369</v>
      </c>
      <c r="Z87" s="51" t="str">
        <f t="shared" ca="1" si="15"/>
        <v/>
      </c>
    </row>
    <row r="88" spans="2:26" x14ac:dyDescent="0.2">
      <c r="B88" s="18">
        <f t="shared" si="22"/>
        <v>53</v>
      </c>
      <c r="D88" s="1" t="s">
        <v>381</v>
      </c>
      <c r="F88" s="50">
        <v>-130400</v>
      </c>
      <c r="H88" s="50"/>
      <c r="K88" s="73">
        <v>0</v>
      </c>
      <c r="L88" s="50">
        <f t="shared" si="20"/>
        <v>-130400</v>
      </c>
      <c r="N88" s="2" t="s">
        <v>35</v>
      </c>
      <c r="O88" s="73">
        <v>81</v>
      </c>
      <c r="P88" s="79">
        <f ca="1">OFFSET('Function Factors'!$B$9,$O88-1,P$14)*$L88+OFFSET('Function Factors'!$B$9,$K88-1,P$14)*$H88</f>
        <v>0</v>
      </c>
      <c r="R88" s="79">
        <f ca="1">OFFSET('Function Factors'!$B$9,$O88-1,R$14)*$L88+OFFSET('Function Factors'!$B$9,$K88-1,R$14)*$H88</f>
        <v>-5295.833184271617</v>
      </c>
      <c r="S88" s="79"/>
      <c r="T88" s="79">
        <f ca="1">OFFSET('Function Factors'!$B$9,$O88-1,T$14)*$L88+OFFSET('Function Factors'!$B$9,$K88-1,T$14)*$H88</f>
        <v>-22631.15789879825</v>
      </c>
      <c r="U88" s="79"/>
      <c r="V88" s="79">
        <f ca="1">OFFSET('Function Factors'!$B$9,$O88-1,V$14)*$L88+OFFSET('Function Factors'!$B$9,$K88-1,V$14)*$H88</f>
        <v>-102473.00891693014</v>
      </c>
      <c r="X88" s="79">
        <f t="shared" ca="1" si="21"/>
        <v>-130400</v>
      </c>
      <c r="Z88" s="51" t="str">
        <f t="shared" ca="1" si="15"/>
        <v/>
      </c>
    </row>
    <row r="89" spans="2:26" x14ac:dyDescent="0.2">
      <c r="B89" s="18">
        <f t="shared" si="22"/>
        <v>54</v>
      </c>
      <c r="D89" s="1" t="s">
        <v>396</v>
      </c>
      <c r="F89" s="41">
        <f>SUM(F84:F88)</f>
        <v>362222.49720983696</v>
      </c>
      <c r="H89" s="41">
        <f>SUM(H84:H88)</f>
        <v>0</v>
      </c>
      <c r="L89" s="41">
        <f>SUM(L84:L88)</f>
        <v>362222.49720983696</v>
      </c>
      <c r="P89" s="81">
        <f ca="1">SUM(P84:P88)</f>
        <v>0</v>
      </c>
      <c r="Q89" s="38"/>
      <c r="R89" s="81">
        <f ca="1">SUM(R84:R88)</f>
        <v>447293.47720700584</v>
      </c>
      <c r="S89" s="38"/>
      <c r="T89" s="81">
        <f ca="1">SUM(T84:T88)</f>
        <v>-15389.21388411652</v>
      </c>
      <c r="U89" s="38"/>
      <c r="V89" s="81">
        <f ca="1">SUM(V84:V88)</f>
        <v>-69681.766113052363</v>
      </c>
      <c r="W89" s="50"/>
      <c r="X89" s="81">
        <f ca="1">SUM(X84:X88)</f>
        <v>362222.49720983696</v>
      </c>
      <c r="Z89" s="51" t="str">
        <f t="shared" ca="1" si="15"/>
        <v/>
      </c>
    </row>
    <row r="90" spans="2:26" x14ac:dyDescent="0.2">
      <c r="Z90" s="51" t="str">
        <f t="shared" si="15"/>
        <v/>
      </c>
    </row>
    <row r="91" spans="2:26" x14ac:dyDescent="0.2">
      <c r="Z91" s="51" t="str">
        <f t="shared" si="15"/>
        <v/>
      </c>
    </row>
    <row r="92" spans="2:26" x14ac:dyDescent="0.2">
      <c r="B92" s="18">
        <f>B89+1</f>
        <v>55</v>
      </c>
      <c r="D92" s="1" t="s">
        <v>397</v>
      </c>
      <c r="F92" s="41">
        <f>F79+F89</f>
        <v>15519249.032609722</v>
      </c>
      <c r="H92" s="41">
        <f>H79+H89</f>
        <v>0</v>
      </c>
      <c r="L92" s="41">
        <f>L79+L89</f>
        <v>15519249.032609722</v>
      </c>
      <c r="P92" s="41">
        <f ca="1">P79+P89</f>
        <v>0</v>
      </c>
      <c r="Q92" s="111"/>
      <c r="R92" s="41">
        <f ca="1">R79+R89</f>
        <v>1128725.1756033166</v>
      </c>
      <c r="S92" s="50"/>
      <c r="T92" s="41">
        <f ca="1">T79+T89</f>
        <v>2606329.5708189611</v>
      </c>
      <c r="U92" s="50"/>
      <c r="V92" s="41">
        <f ca="1">V79+V89</f>
        <v>11784194.28618744</v>
      </c>
      <c r="W92" s="50"/>
      <c r="X92" s="41">
        <f ca="1">X79+X89</f>
        <v>15519249.032609724</v>
      </c>
      <c r="Z92" s="51" t="str">
        <f t="shared" ca="1" si="15"/>
        <v/>
      </c>
    </row>
    <row r="93" spans="2:26" x14ac:dyDescent="0.2">
      <c r="F93" s="112"/>
      <c r="Z93" s="51" t="str">
        <f t="shared" si="15"/>
        <v/>
      </c>
    </row>
    <row r="94" spans="2:26" x14ac:dyDescent="0.2">
      <c r="Z94" s="51" t="str">
        <f t="shared" si="15"/>
        <v/>
      </c>
    </row>
    <row r="95" spans="2:26" x14ac:dyDescent="0.2">
      <c r="B95" s="18">
        <f>B92+1</f>
        <v>56</v>
      </c>
      <c r="D95" s="1" t="s">
        <v>38</v>
      </c>
      <c r="F95" s="86">
        <v>6.0821321807016528E-2</v>
      </c>
      <c r="H95" s="90"/>
      <c r="L95" s="86">
        <f>F95</f>
        <v>6.0821321807016528E-2</v>
      </c>
      <c r="P95" s="86">
        <f>$F$95</f>
        <v>6.0821321807016528E-2</v>
      </c>
      <c r="Q95" s="150"/>
      <c r="R95" s="86">
        <f>$F$95</f>
        <v>6.0821321807016528E-2</v>
      </c>
      <c r="S95" s="150"/>
      <c r="T95" s="86">
        <f>$F$95</f>
        <v>6.0821321807016528E-2</v>
      </c>
      <c r="U95" s="150"/>
      <c r="V95" s="86">
        <f>$F$95</f>
        <v>6.0821321807016528E-2</v>
      </c>
      <c r="X95" s="86">
        <f>$F$95</f>
        <v>6.0821321807016528E-2</v>
      </c>
      <c r="Z95" s="51" t="str">
        <f>IF(ROUND(F95,4)=ROUND(X95,4), "", "check")</f>
        <v/>
      </c>
    </row>
    <row r="96" spans="2:26" x14ac:dyDescent="0.2">
      <c r="Z96" s="51" t="str">
        <f t="shared" si="15"/>
        <v/>
      </c>
    </row>
    <row r="97" spans="2:26" x14ac:dyDescent="0.2">
      <c r="B97" s="18">
        <f>B95+1</f>
        <v>57</v>
      </c>
      <c r="D97" s="1" t="s">
        <v>398</v>
      </c>
      <c r="F97" s="41">
        <f>F92*F95</f>
        <v>943901.23961558577</v>
      </c>
      <c r="H97" s="41"/>
      <c r="L97" s="41">
        <f>L92*L95</f>
        <v>943901.23961558577</v>
      </c>
      <c r="P97" s="41">
        <f ca="1">P92*P95</f>
        <v>0</v>
      </c>
      <c r="R97" s="41">
        <f ca="1">R92*R95</f>
        <v>68650.557137050564</v>
      </c>
      <c r="T97" s="41">
        <f ca="1">T92*T95</f>
        <v>158520.4095619233</v>
      </c>
      <c r="V97" s="41">
        <f ca="1">V92*V95</f>
        <v>716730.27291661175</v>
      </c>
      <c r="X97" s="81">
        <f t="shared" ref="X97" ca="1" si="23">P97+R97+T97+V97</f>
        <v>943901.23961558565</v>
      </c>
      <c r="Z97" s="51" t="str">
        <f t="shared" ca="1" si="15"/>
        <v/>
      </c>
    </row>
    <row r="98" spans="2:26" x14ac:dyDescent="0.2">
      <c r="F98" s="50"/>
      <c r="H98" s="50"/>
      <c r="L98" s="50"/>
      <c r="P98" s="50"/>
      <c r="R98" s="50"/>
      <c r="T98" s="50"/>
      <c r="V98" s="50"/>
      <c r="X98" s="91"/>
      <c r="Z98" s="51" t="str">
        <f t="shared" si="15"/>
        <v/>
      </c>
    </row>
    <row r="99" spans="2:26" x14ac:dyDescent="0.2">
      <c r="F99" s="50"/>
      <c r="H99" s="50"/>
      <c r="L99" s="50"/>
      <c r="P99" s="50"/>
      <c r="R99" s="50"/>
      <c r="T99" s="50"/>
      <c r="V99" s="50"/>
      <c r="X99" s="91"/>
      <c r="Z99" s="51" t="str">
        <f t="shared" si="15"/>
        <v/>
      </c>
    </row>
    <row r="100" spans="2:26" x14ac:dyDescent="0.2">
      <c r="D100" s="6" t="s">
        <v>70</v>
      </c>
      <c r="Z100" s="51" t="str">
        <f t="shared" si="15"/>
        <v/>
      </c>
    </row>
    <row r="101" spans="2:26" x14ac:dyDescent="0.2">
      <c r="Z101" s="51" t="str">
        <f t="shared" si="15"/>
        <v/>
      </c>
    </row>
    <row r="102" spans="2:26" x14ac:dyDescent="0.2">
      <c r="B102" s="18">
        <f>B97+1</f>
        <v>58</v>
      </c>
      <c r="D102" s="1" t="s">
        <v>195</v>
      </c>
      <c r="F102" s="50">
        <v>672899.26923475764</v>
      </c>
      <c r="H102" s="50"/>
      <c r="K102" s="73">
        <v>0</v>
      </c>
      <c r="L102" s="50">
        <f>F102-H102</f>
        <v>672899.26923475764</v>
      </c>
      <c r="N102" s="2" t="s">
        <v>198</v>
      </c>
      <c r="O102" s="73">
        <v>33</v>
      </c>
      <c r="P102" s="79">
        <f ca="1">OFFSET('Function Factors'!$B$9,$O102-1,P$14)*$L102+OFFSET('Function Factors'!$B$9,$K102-1,P$14)*$H102</f>
        <v>0</v>
      </c>
      <c r="R102" s="79">
        <f ca="1">OFFSET('Function Factors'!$B$9,$O102-1,R$14)*$L102+OFFSET('Function Factors'!$B$9,$K102-1,R$14)*$H102</f>
        <v>24853.346732706683</v>
      </c>
      <c r="S102" s="79"/>
      <c r="T102" s="79">
        <f ca="1">OFFSET('Function Factors'!$B$9,$O102-1,T$14)*$L102+OFFSET('Function Factors'!$B$9,$K102-1,T$14)*$H102</f>
        <v>82421.141572556502</v>
      </c>
      <c r="U102" s="79"/>
      <c r="V102" s="79">
        <f ca="1">OFFSET('Function Factors'!$B$9,$O102-1,V$14)*$L102+OFFSET('Function Factors'!$B$9,$K102-1,V$14)*$H102</f>
        <v>565624.78092949442</v>
      </c>
      <c r="X102" s="79">
        <f t="shared" ref="X102:X103" ca="1" si="24">P102+R102+T102+V102</f>
        <v>672899.26923475764</v>
      </c>
      <c r="Z102" s="51" t="str">
        <f t="shared" ca="1" si="15"/>
        <v/>
      </c>
    </row>
    <row r="103" spans="2:26" x14ac:dyDescent="0.2">
      <c r="B103" s="18">
        <f>B102+1</f>
        <v>59</v>
      </c>
      <c r="D103" s="1" t="s">
        <v>196</v>
      </c>
      <c r="F103" s="50">
        <v>57300.730764952459</v>
      </c>
      <c r="H103" s="50"/>
      <c r="K103" s="73">
        <v>0</v>
      </c>
      <c r="L103" s="50">
        <f>F103-H103</f>
        <v>57300.730764952459</v>
      </c>
      <c r="N103" s="2" t="s">
        <v>119</v>
      </c>
      <c r="O103" s="73">
        <v>45</v>
      </c>
      <c r="P103" s="79">
        <f ca="1">OFFSET('Function Factors'!$B$9,$O103-1,P$14)*$L103+OFFSET('Function Factors'!$B$9,$K103-1,P$14)*$H103</f>
        <v>0</v>
      </c>
      <c r="R103" s="79">
        <f ca="1">OFFSET('Function Factors'!$B$9,$O103-1,R$14)*$L103+OFFSET('Function Factors'!$B$9,$K103-1,R$14)*$H103</f>
        <v>3002.3106592115464</v>
      </c>
      <c r="S103" s="79"/>
      <c r="T103" s="79">
        <f ca="1">OFFSET('Function Factors'!$B$9,$O103-1,T$14)*$L103+OFFSET('Function Factors'!$B$9,$K103-1,T$14)*$H103</f>
        <v>7071.8904647083718</v>
      </c>
      <c r="U103" s="79"/>
      <c r="V103" s="79">
        <f ca="1">OFFSET('Function Factors'!$B$9,$O103-1,V$14)*$L103+OFFSET('Function Factors'!$B$9,$K103-1,V$14)*$H103</f>
        <v>47226.529641032546</v>
      </c>
      <c r="X103" s="79">
        <f t="shared" ca="1" si="24"/>
        <v>57300.730764952466</v>
      </c>
      <c r="Z103" s="51" t="str">
        <f t="shared" ca="1" si="15"/>
        <v/>
      </c>
    </row>
    <row r="104" spans="2:26" x14ac:dyDescent="0.2">
      <c r="B104" s="18">
        <f>B103+1</f>
        <v>60</v>
      </c>
      <c r="D104" s="1" t="s">
        <v>197</v>
      </c>
      <c r="F104" s="41">
        <f>SUM(F102:F103)</f>
        <v>730199.99999971013</v>
      </c>
      <c r="H104" s="41">
        <f>SUM(H102:H103)</f>
        <v>0</v>
      </c>
      <c r="L104" s="41">
        <f>SUM(L102:L103)</f>
        <v>730199.99999971013</v>
      </c>
      <c r="P104" s="81">
        <f ca="1">SUM(P102:P103)</f>
        <v>0</v>
      </c>
      <c r="R104" s="81">
        <f ca="1">SUM(R102:R103)</f>
        <v>27855.65739191823</v>
      </c>
      <c r="T104" s="81">
        <f ca="1">SUM(T102:T103)</f>
        <v>89493.032037264871</v>
      </c>
      <c r="V104" s="81">
        <f ca="1">SUM(V102:V103)</f>
        <v>612851.31057052698</v>
      </c>
      <c r="X104" s="81">
        <f ca="1">SUM(X102:X103)</f>
        <v>730199.99999971013</v>
      </c>
      <c r="Z104" s="51" t="str">
        <f t="shared" ca="1" si="15"/>
        <v/>
      </c>
    </row>
    <row r="105" spans="2:26" x14ac:dyDescent="0.2">
      <c r="Z105" s="51" t="str">
        <f t="shared" si="15"/>
        <v/>
      </c>
    </row>
    <row r="106" spans="2:26" x14ac:dyDescent="0.2">
      <c r="D106" s="6" t="s">
        <v>69</v>
      </c>
      <c r="F106" s="50"/>
      <c r="H106" s="50"/>
      <c r="L106" s="50"/>
      <c r="P106" s="50"/>
      <c r="R106" s="50"/>
      <c r="T106" s="50"/>
      <c r="V106" s="50"/>
      <c r="X106" s="91"/>
      <c r="Z106" s="51" t="str">
        <f t="shared" si="15"/>
        <v/>
      </c>
    </row>
    <row r="107" spans="2:26" x14ac:dyDescent="0.2">
      <c r="F107" s="50"/>
      <c r="H107" s="50"/>
      <c r="L107" s="50"/>
      <c r="P107" s="50"/>
      <c r="R107" s="50"/>
      <c r="T107" s="50"/>
      <c r="V107" s="50"/>
      <c r="X107" s="91"/>
      <c r="Z107" s="51" t="str">
        <f t="shared" si="15"/>
        <v/>
      </c>
    </row>
    <row r="108" spans="2:26" x14ac:dyDescent="0.2">
      <c r="B108" s="18">
        <f>B104+1</f>
        <v>61</v>
      </c>
      <c r="D108" s="1" t="s">
        <v>39</v>
      </c>
      <c r="F108" s="50">
        <v>121807.67104598368</v>
      </c>
      <c r="H108" s="50"/>
      <c r="K108" s="73">
        <v>0</v>
      </c>
      <c r="L108" s="50">
        <f>F108-H108</f>
        <v>121807.67104598368</v>
      </c>
      <c r="N108" s="2" t="s">
        <v>43</v>
      </c>
      <c r="O108" s="73">
        <v>93</v>
      </c>
      <c r="P108" s="79">
        <f ca="1">OFFSET('Function Factors'!$B$9,$O108-1,P$14)*$L108+OFFSET('Function Factors'!$B$9,$K108-1,P$14)*$H108</f>
        <v>0</v>
      </c>
      <c r="R108" s="79">
        <f ca="1">OFFSET('Function Factors'!$B$9,$O108-1,R$14)*$L108+OFFSET('Function Factors'!$B$9,$K108-1,R$14)*$H108</f>
        <v>8859.1519217401892</v>
      </c>
      <c r="S108" s="79"/>
      <c r="T108" s="79">
        <f ca="1">OFFSET('Function Factors'!$B$9,$O108-1,T$14)*$L108+OFFSET('Function Factors'!$B$9,$K108-1,T$14)*$H108</f>
        <v>20456.591316541941</v>
      </c>
      <c r="U108" s="79"/>
      <c r="V108" s="79">
        <f ca="1">OFFSET('Function Factors'!$B$9,$O108-1,V$14)*$L108+OFFSET('Function Factors'!$B$9,$K108-1,V$14)*$H108</f>
        <v>92491.927807701548</v>
      </c>
      <c r="X108" s="79">
        <f ca="1">P108+R108+T108+V108</f>
        <v>121807.67104598368</v>
      </c>
      <c r="Z108" s="51" t="str">
        <f t="shared" ca="1" si="15"/>
        <v/>
      </c>
    </row>
    <row r="109" spans="2:26" x14ac:dyDescent="0.2">
      <c r="B109" s="18">
        <f>B108+1</f>
        <v>62</v>
      </c>
      <c r="D109" s="1" t="s">
        <v>40</v>
      </c>
      <c r="F109" s="50">
        <v>125582.50292039152</v>
      </c>
      <c r="H109" s="50"/>
      <c r="K109" s="73">
        <v>0</v>
      </c>
      <c r="L109" s="50">
        <f>F109-H109</f>
        <v>125582.50292039152</v>
      </c>
      <c r="N109" s="2" t="s">
        <v>124</v>
      </c>
      <c r="O109" s="73">
        <v>90</v>
      </c>
      <c r="P109" s="79">
        <f ca="1">OFFSET('Function Factors'!$B$9,$O109-1,P$14)*$L109+OFFSET('Function Factors'!$B$9,$K109-1,P$14)*$H109</f>
        <v>0</v>
      </c>
      <c r="R109" s="79">
        <f ca="1">OFFSET('Function Factors'!$B$9,$O109-1,R$14)*$L109+OFFSET('Function Factors'!$B$9,$K109-1,R$14)*$H109</f>
        <v>4332.8583914291694</v>
      </c>
      <c r="S109" s="79"/>
      <c r="T109" s="79">
        <f ca="1">OFFSET('Function Factors'!$B$9,$O109-1,T$14)*$L109+OFFSET('Function Factors'!$B$9,$K109-1,T$14)*$H109</f>
        <v>25970.862333656336</v>
      </c>
      <c r="U109" s="79"/>
      <c r="V109" s="79">
        <f ca="1">OFFSET('Function Factors'!$B$9,$O109-1,V$14)*$L109+OFFSET('Function Factors'!$B$9,$K109-1,V$14)*$H109</f>
        <v>95278.782195306019</v>
      </c>
      <c r="W109" s="30"/>
      <c r="X109" s="79">
        <f ca="1">P109+R109+T109+V109</f>
        <v>125582.50292039153</v>
      </c>
      <c r="Z109" s="51" t="str">
        <f t="shared" ca="1" si="15"/>
        <v/>
      </c>
    </row>
    <row r="110" spans="2:26" x14ac:dyDescent="0.2">
      <c r="B110" s="18">
        <f>B109+1</f>
        <v>63</v>
      </c>
      <c r="D110" s="1" t="s">
        <v>294</v>
      </c>
      <c r="F110" s="41">
        <f>SUM(F108:F109)</f>
        <v>247390.17396637518</v>
      </c>
      <c r="H110" s="41">
        <f>SUM(H108:H109)</f>
        <v>0</v>
      </c>
      <c r="L110" s="41">
        <f>SUM(L108:L109)</f>
        <v>247390.17396637518</v>
      </c>
      <c r="P110" s="81">
        <f ca="1">SUM(P108:P109)</f>
        <v>0</v>
      </c>
      <c r="R110" s="81">
        <f ca="1">SUM(R108:R109)</f>
        <v>13192.010313169358</v>
      </c>
      <c r="T110" s="81">
        <f ca="1">SUM(T108:T109)</f>
        <v>46427.45365019828</v>
      </c>
      <c r="V110" s="81">
        <f ca="1">SUM(V108:V109)</f>
        <v>187770.71000300755</v>
      </c>
      <c r="X110" s="81">
        <f ca="1">SUM(X108:X109)</f>
        <v>247390.17396637521</v>
      </c>
      <c r="Z110" s="51" t="str">
        <f t="shared" ca="1" si="15"/>
        <v/>
      </c>
    </row>
    <row r="111" spans="2:26" x14ac:dyDescent="0.2">
      <c r="Z111" s="51" t="str">
        <f t="shared" si="15"/>
        <v/>
      </c>
    </row>
    <row r="112" spans="2:26" x14ac:dyDescent="0.2">
      <c r="Z112" s="51" t="str">
        <f t="shared" si="15"/>
        <v/>
      </c>
    </row>
    <row r="113" spans="2:40" x14ac:dyDescent="0.2">
      <c r="D113" s="6" t="s">
        <v>74</v>
      </c>
      <c r="Z113" s="51" t="str">
        <f t="shared" si="15"/>
        <v/>
      </c>
      <c r="AC113" s="2" t="s">
        <v>181</v>
      </c>
      <c r="AD113" s="18" t="s">
        <v>189</v>
      </c>
    </row>
    <row r="114" spans="2:40" x14ac:dyDescent="0.2">
      <c r="F114" s="50"/>
      <c r="Z114" s="51" t="str">
        <f t="shared" si="15"/>
        <v/>
      </c>
      <c r="AC114" s="33" t="s">
        <v>187</v>
      </c>
      <c r="AD114" s="4" t="s">
        <v>188</v>
      </c>
      <c r="AF114" s="4" t="s">
        <v>407</v>
      </c>
      <c r="AG114" s="18"/>
      <c r="AH114" s="4" t="s">
        <v>8</v>
      </c>
      <c r="AI114" s="18"/>
      <c r="AJ114" s="4" t="s">
        <v>9</v>
      </c>
      <c r="AK114" s="18"/>
      <c r="AL114" s="4" t="s">
        <v>10</v>
      </c>
      <c r="AN114" s="4" t="s">
        <v>11</v>
      </c>
    </row>
    <row r="115" spans="2:40" x14ac:dyDescent="0.2">
      <c r="D115" s="1" t="s">
        <v>7</v>
      </c>
      <c r="Z115" s="51" t="str">
        <f t="shared" si="15"/>
        <v/>
      </c>
    </row>
    <row r="116" spans="2:40" x14ac:dyDescent="0.2">
      <c r="B116" s="18">
        <f>B110+1</f>
        <v>64</v>
      </c>
      <c r="D116" s="36" t="s">
        <v>309</v>
      </c>
      <c r="F116" s="79">
        <v>2247538.0139059885</v>
      </c>
      <c r="H116" s="79"/>
      <c r="K116" s="73">
        <v>0</v>
      </c>
      <c r="L116" s="50">
        <f t="shared" ref="L116:L159" si="25">F116-H116</f>
        <v>2247538.0139059885</v>
      </c>
      <c r="N116" s="2" t="s">
        <v>353</v>
      </c>
      <c r="O116" s="73">
        <v>39</v>
      </c>
      <c r="P116" s="79">
        <f ca="1">OFFSET('Function Factors'!$B$9,$O116-1,P$14)*$L116+OFFSET('Function Factors'!$B$9,$K116-1,P$14)*$H116</f>
        <v>2247538.0139059885</v>
      </c>
      <c r="R116" s="79">
        <f ca="1">OFFSET('Function Factors'!$B$9,$O116-1,R$14)*$L116+OFFSET('Function Factors'!$B$9,$K116-1,R$14)*$H116</f>
        <v>0</v>
      </c>
      <c r="S116" s="79"/>
      <c r="T116" s="79">
        <f ca="1">OFFSET('Function Factors'!$B$9,$O116-1,T$14)*$L116+OFFSET('Function Factors'!$B$9,$K116-1,T$14)*$H116</f>
        <v>0</v>
      </c>
      <c r="U116" s="79"/>
      <c r="V116" s="79">
        <f ca="1">OFFSET('Function Factors'!$B$9,$O116-1,V$14)*$L116+OFFSET('Function Factors'!$B$9,$K116-1,V$14)*$H116</f>
        <v>0</v>
      </c>
      <c r="X116" s="79">
        <f t="shared" ref="X116:X131" ca="1" si="26">P116+R116+T116+V116</f>
        <v>2247538.0139059885</v>
      </c>
      <c r="Z116" s="51" t="str">
        <f t="shared" ca="1" si="15"/>
        <v/>
      </c>
      <c r="AC116" s="93">
        <v>0</v>
      </c>
      <c r="AD116" s="37">
        <f>IFERROR(AC116/F116,0)</f>
        <v>0</v>
      </c>
      <c r="AF116" s="8">
        <f ca="1">$AD116*P116</f>
        <v>0</v>
      </c>
      <c r="AH116" s="8">
        <f ca="1">$AD116*R116</f>
        <v>0</v>
      </c>
      <c r="AJ116" s="8">
        <f ca="1">$AD116*T116</f>
        <v>0</v>
      </c>
      <c r="AL116" s="8">
        <f ca="1">$AD116*V116</f>
        <v>0</v>
      </c>
      <c r="AN116" s="8">
        <f ca="1">SUM(AF116:AL116)</f>
        <v>0</v>
      </c>
    </row>
    <row r="117" spans="2:40" x14ac:dyDescent="0.2">
      <c r="B117" s="18">
        <f t="shared" ref="B117:B122" si="27">B116+1</f>
        <v>65</v>
      </c>
      <c r="D117" s="36" t="s">
        <v>105</v>
      </c>
      <c r="F117" s="79">
        <v>24266.29553468162</v>
      </c>
      <c r="H117" s="79"/>
      <c r="K117" s="73">
        <v>0</v>
      </c>
      <c r="L117" s="50">
        <f t="shared" si="25"/>
        <v>24266.29553468162</v>
      </c>
      <c r="N117" s="2" t="s">
        <v>108</v>
      </c>
      <c r="O117" s="73">
        <v>21</v>
      </c>
      <c r="P117" s="79">
        <f ca="1">OFFSET('Function Factors'!$B$9,$O117-1,P$14)*$L117+OFFSET('Function Factors'!$B$9,$K117-1,P$14)*$H117</f>
        <v>0</v>
      </c>
      <c r="R117" s="79">
        <f ca="1">OFFSET('Function Factors'!$B$9,$O117-1,R$14)*$L117+OFFSET('Function Factors'!$B$9,$K117-1,R$14)*$H117</f>
        <v>5732.3451488280325</v>
      </c>
      <c r="S117" s="79"/>
      <c r="T117" s="79">
        <f ca="1">OFFSET('Function Factors'!$B$9,$O117-1,T$14)*$L117+OFFSET('Function Factors'!$B$9,$K117-1,T$14)*$H117</f>
        <v>18533.95038585359</v>
      </c>
      <c r="U117" s="79"/>
      <c r="V117" s="79">
        <f ca="1">OFFSET('Function Factors'!$B$9,$O117-1,V$14)*$L117+OFFSET('Function Factors'!$B$9,$K117-1,V$14)*$H117</f>
        <v>0</v>
      </c>
      <c r="X117" s="79">
        <f t="shared" ca="1" si="26"/>
        <v>24266.295534681623</v>
      </c>
      <c r="Z117" s="51" t="str">
        <f t="shared" ca="1" si="15"/>
        <v/>
      </c>
      <c r="AC117" s="93">
        <v>0</v>
      </c>
      <c r="AD117" s="37">
        <f t="shared" ref="AD117:AD122" si="28">IFERROR(AC117/F117,0)</f>
        <v>0</v>
      </c>
      <c r="AF117" s="8">
        <f t="shared" ref="AF117:AF157" ca="1" si="29">$AD117*P117</f>
        <v>0</v>
      </c>
      <c r="AH117" s="8">
        <f t="shared" ref="AH117:AH157" ca="1" si="30">$AD117*R117</f>
        <v>0</v>
      </c>
      <c r="AJ117" s="8">
        <f t="shared" ref="AJ117:AJ157" ca="1" si="31">$AD117*T117</f>
        <v>0</v>
      </c>
      <c r="AL117" s="8">
        <f t="shared" ref="AL117:AL157" ca="1" si="32">$AD117*V117</f>
        <v>0</v>
      </c>
      <c r="AN117" s="8">
        <f t="shared" ref="AN117:AN160" ca="1" si="33">SUM(AF117:AL117)</f>
        <v>0</v>
      </c>
    </row>
    <row r="118" spans="2:40" x14ac:dyDescent="0.2">
      <c r="B118" s="18">
        <f t="shared" si="27"/>
        <v>66</v>
      </c>
      <c r="D118" s="36" t="s">
        <v>106</v>
      </c>
      <c r="F118" s="79">
        <v>34752.348132451392</v>
      </c>
      <c r="H118" s="79"/>
      <c r="K118" s="73">
        <v>0</v>
      </c>
      <c r="L118" s="50">
        <f t="shared" si="25"/>
        <v>34752.348132451392</v>
      </c>
      <c r="N118" s="2" t="s">
        <v>107</v>
      </c>
      <c r="O118" s="73">
        <v>111</v>
      </c>
      <c r="P118" s="79">
        <f ca="1">OFFSET('Function Factors'!$B$9,$O118-1,P$14)*$L118+OFFSET('Function Factors'!$B$9,$K118-1,P$14)*$H118</f>
        <v>0</v>
      </c>
      <c r="R118" s="79">
        <f ca="1">OFFSET('Function Factors'!$B$9,$O118-1,R$14)*$L118+OFFSET('Function Factors'!$B$9,$K118-1,R$14)*$H118</f>
        <v>7509.5133219631934</v>
      </c>
      <c r="S118" s="79"/>
      <c r="T118" s="79">
        <f ca="1">OFFSET('Function Factors'!$B$9,$O118-1,T$14)*$L118+OFFSET('Function Factors'!$B$9,$K118-1,T$14)*$H118</f>
        <v>10628.242000188779</v>
      </c>
      <c r="U118" s="79"/>
      <c r="V118" s="79">
        <f ca="1">OFFSET('Function Factors'!$B$9,$O118-1,V$14)*$L118+OFFSET('Function Factors'!$B$9,$K118-1,V$14)*$H118</f>
        <v>16614.592810299422</v>
      </c>
      <c r="X118" s="79">
        <f t="shared" ca="1" si="26"/>
        <v>34752.348132451392</v>
      </c>
      <c r="Z118" s="51" t="str">
        <f t="shared" ca="1" si="15"/>
        <v/>
      </c>
      <c r="AC118" s="93">
        <v>0</v>
      </c>
      <c r="AD118" s="37">
        <f t="shared" si="28"/>
        <v>0</v>
      </c>
      <c r="AF118" s="8">
        <f t="shared" ca="1" si="29"/>
        <v>0</v>
      </c>
      <c r="AH118" s="8">
        <f t="shared" ca="1" si="30"/>
        <v>0</v>
      </c>
      <c r="AJ118" s="8">
        <f t="shared" ca="1" si="31"/>
        <v>0</v>
      </c>
      <c r="AL118" s="8">
        <f t="shared" ca="1" si="32"/>
        <v>0</v>
      </c>
      <c r="AN118" s="8">
        <f t="shared" ca="1" si="33"/>
        <v>0</v>
      </c>
    </row>
    <row r="119" spans="2:40" x14ac:dyDescent="0.2">
      <c r="B119" s="18">
        <f t="shared" si="27"/>
        <v>67</v>
      </c>
      <c r="D119" s="36" t="s">
        <v>224</v>
      </c>
      <c r="F119" s="79">
        <v>2669.6763905361131</v>
      </c>
      <c r="H119" s="79"/>
      <c r="K119" s="73">
        <v>0</v>
      </c>
      <c r="L119" s="50">
        <f t="shared" si="25"/>
        <v>2669.6763905361131</v>
      </c>
      <c r="N119" s="2" t="s">
        <v>266</v>
      </c>
      <c r="O119" s="73">
        <v>87</v>
      </c>
      <c r="P119" s="79">
        <f ca="1">OFFSET('Function Factors'!$B$9,$O119-1,P$14)*$L119+OFFSET('Function Factors'!$B$9,$K119-1,P$14)*$H119</f>
        <v>0</v>
      </c>
      <c r="R119" s="79">
        <f ca="1">OFFSET('Function Factors'!$B$9,$O119-1,R$14)*$L119+OFFSET('Function Factors'!$B$9,$K119-1,R$14)*$H119</f>
        <v>192.8819400195122</v>
      </c>
      <c r="S119" s="79"/>
      <c r="T119" s="79">
        <f ca="1">OFFSET('Function Factors'!$B$9,$O119-1,T$14)*$L119+OFFSET('Function Factors'!$B$9,$K119-1,T$14)*$H119</f>
        <v>751.50387464030882</v>
      </c>
      <c r="U119" s="79"/>
      <c r="V119" s="79">
        <f ca="1">OFFSET('Function Factors'!$B$9,$O119-1,V$14)*$L119+OFFSET('Function Factors'!$B$9,$K119-1,V$14)*$H119</f>
        <v>1725.290575876292</v>
      </c>
      <c r="X119" s="79">
        <f t="shared" ca="1" si="26"/>
        <v>2669.6763905361131</v>
      </c>
      <c r="Z119" s="51"/>
      <c r="AC119" s="93">
        <v>0</v>
      </c>
      <c r="AD119" s="37">
        <f t="shared" si="28"/>
        <v>0</v>
      </c>
      <c r="AF119" s="8">
        <f t="shared" ca="1" si="29"/>
        <v>0</v>
      </c>
      <c r="AH119" s="8">
        <f t="shared" ca="1" si="30"/>
        <v>0</v>
      </c>
      <c r="AJ119" s="8">
        <f t="shared" ca="1" si="31"/>
        <v>0</v>
      </c>
      <c r="AL119" s="8">
        <f t="shared" ca="1" si="32"/>
        <v>0</v>
      </c>
      <c r="AN119" s="8">
        <f t="shared" ca="1" si="33"/>
        <v>0</v>
      </c>
    </row>
    <row r="120" spans="2:40" x14ac:dyDescent="0.2">
      <c r="B120" s="18">
        <f t="shared" si="27"/>
        <v>68</v>
      </c>
      <c r="D120" s="36" t="s">
        <v>337</v>
      </c>
      <c r="F120" s="79">
        <v>13946.739835347375</v>
      </c>
      <c r="H120" s="79"/>
      <c r="K120" s="73">
        <v>0</v>
      </c>
      <c r="L120" s="50">
        <f t="shared" si="25"/>
        <v>13946.739835347375</v>
      </c>
      <c r="N120" s="2" t="s">
        <v>28</v>
      </c>
      <c r="O120" s="73">
        <v>99</v>
      </c>
      <c r="P120" s="79">
        <f ca="1">OFFSET('Function Factors'!$B$9,$O120-1,P$14)*$L120+OFFSET('Function Factors'!$B$9,$K120-1,P$14)*$H120</f>
        <v>0</v>
      </c>
      <c r="R120" s="79">
        <f ca="1">OFFSET('Function Factors'!$B$9,$O120-1,R$14)*$L120+OFFSET('Function Factors'!$B$9,$K120-1,R$14)*$H120</f>
        <v>13946.739835347375</v>
      </c>
      <c r="S120" s="79"/>
      <c r="T120" s="79">
        <f ca="1">OFFSET('Function Factors'!$B$9,$O120-1,T$14)*$L120+OFFSET('Function Factors'!$B$9,$K120-1,T$14)*$H120</f>
        <v>0</v>
      </c>
      <c r="U120" s="79"/>
      <c r="V120" s="79">
        <f ca="1">OFFSET('Function Factors'!$B$9,$O120-1,V$14)*$L120+OFFSET('Function Factors'!$B$9,$K120-1,V$14)*$H120</f>
        <v>0</v>
      </c>
      <c r="X120" s="79">
        <f t="shared" ca="1" si="26"/>
        <v>13946.739835347375</v>
      </c>
      <c r="Z120" s="51" t="str">
        <f t="shared" ca="1" si="15"/>
        <v/>
      </c>
      <c r="AC120" s="93">
        <v>0</v>
      </c>
      <c r="AD120" s="37">
        <f t="shared" si="28"/>
        <v>0</v>
      </c>
      <c r="AF120" s="8">
        <f t="shared" ca="1" si="29"/>
        <v>0</v>
      </c>
      <c r="AH120" s="8">
        <f t="shared" ca="1" si="30"/>
        <v>0</v>
      </c>
      <c r="AJ120" s="8">
        <f t="shared" ca="1" si="31"/>
        <v>0</v>
      </c>
      <c r="AL120" s="8">
        <f t="shared" ca="1" si="32"/>
        <v>0</v>
      </c>
      <c r="AN120" s="8">
        <f t="shared" ca="1" si="33"/>
        <v>0</v>
      </c>
    </row>
    <row r="121" spans="2:40" x14ac:dyDescent="0.2">
      <c r="B121" s="18">
        <f t="shared" si="27"/>
        <v>69</v>
      </c>
      <c r="D121" s="36" t="s">
        <v>203</v>
      </c>
      <c r="F121" s="79">
        <v>15221.404780000001</v>
      </c>
      <c r="H121" s="79"/>
      <c r="K121" s="73">
        <v>0</v>
      </c>
      <c r="L121" s="50">
        <f>F121-H121</f>
        <v>15221.404780000001</v>
      </c>
      <c r="N121" s="2" t="s">
        <v>73</v>
      </c>
      <c r="O121" s="73">
        <v>108</v>
      </c>
      <c r="P121" s="79">
        <f ca="1">OFFSET('Function Factors'!$B$9,$O121-1,P$14)*$L121+OFFSET('Function Factors'!$B$9,$K121-1,P$14)*$H121</f>
        <v>0</v>
      </c>
      <c r="R121" s="79">
        <f ca="1">OFFSET('Function Factors'!$B$9,$O121-1,R$14)*$L121+OFFSET('Function Factors'!$B$9,$K121-1,R$14)*$H121</f>
        <v>0</v>
      </c>
      <c r="S121" s="79"/>
      <c r="T121" s="79">
        <f ca="1">OFFSET('Function Factors'!$B$9,$O121-1,T$14)*$L121+OFFSET('Function Factors'!$B$9,$K121-1,T$14)*$H121</f>
        <v>15221.404780000001</v>
      </c>
      <c r="U121" s="79"/>
      <c r="V121" s="79">
        <f ca="1">OFFSET('Function Factors'!$B$9,$O121-1,V$14)*$L121+OFFSET('Function Factors'!$B$9,$K121-1,V$14)*$H121</f>
        <v>0</v>
      </c>
      <c r="X121" s="79">
        <f t="shared" ca="1" si="26"/>
        <v>15221.404780000001</v>
      </c>
      <c r="Z121" s="51" t="str">
        <f t="shared" ca="1" si="15"/>
        <v/>
      </c>
      <c r="AC121" s="93">
        <v>0</v>
      </c>
      <c r="AD121" s="37">
        <f t="shared" si="28"/>
        <v>0</v>
      </c>
      <c r="AF121" s="8">
        <f t="shared" ca="1" si="29"/>
        <v>0</v>
      </c>
      <c r="AH121" s="8">
        <f t="shared" ca="1" si="30"/>
        <v>0</v>
      </c>
      <c r="AJ121" s="8">
        <f t="shared" ca="1" si="31"/>
        <v>0</v>
      </c>
      <c r="AL121" s="8">
        <f t="shared" ca="1" si="32"/>
        <v>0</v>
      </c>
      <c r="AN121" s="8">
        <f t="shared" ca="1" si="33"/>
        <v>0</v>
      </c>
    </row>
    <row r="122" spans="2:40" x14ac:dyDescent="0.2">
      <c r="B122" s="18">
        <f t="shared" si="27"/>
        <v>70</v>
      </c>
      <c r="D122" s="36" t="s">
        <v>117</v>
      </c>
      <c r="F122" s="79">
        <v>12004.512029052725</v>
      </c>
      <c r="H122" s="79"/>
      <c r="K122" s="73">
        <v>0</v>
      </c>
      <c r="L122" s="50">
        <f t="shared" si="25"/>
        <v>12004.512029052725</v>
      </c>
      <c r="N122" s="2" t="s">
        <v>355</v>
      </c>
      <c r="O122" s="73">
        <v>51</v>
      </c>
      <c r="P122" s="79">
        <f ca="1">OFFSET('Function Factors'!$B$9,$O122-1,P$14)*$L122+OFFSET('Function Factors'!$B$9,$K122-1,P$14)*$H122</f>
        <v>0</v>
      </c>
      <c r="R122" s="79">
        <f ca="1">OFFSET('Function Factors'!$B$9,$O122-1,R$14)*$L122+OFFSET('Function Factors'!$B$9,$K122-1,R$14)*$H122</f>
        <v>0</v>
      </c>
      <c r="S122" s="79"/>
      <c r="T122" s="79">
        <f ca="1">OFFSET('Function Factors'!$B$9,$O122-1,T$14)*$L122+OFFSET('Function Factors'!$B$9,$K122-1,T$14)*$H122</f>
        <v>1294.5219427863499</v>
      </c>
      <c r="U122" s="79"/>
      <c r="V122" s="79">
        <f ca="1">OFFSET('Function Factors'!$B$9,$O122-1,V$14)*$L122+OFFSET('Function Factors'!$B$9,$K122-1,V$14)*$H122</f>
        <v>10709.990086266376</v>
      </c>
      <c r="X122" s="79">
        <f t="shared" ca="1" si="26"/>
        <v>12004.512029052727</v>
      </c>
      <c r="Z122" s="51" t="str">
        <f t="shared" ca="1" si="15"/>
        <v/>
      </c>
      <c r="AC122" s="93">
        <v>0</v>
      </c>
      <c r="AD122" s="37">
        <f t="shared" si="28"/>
        <v>0</v>
      </c>
      <c r="AF122" s="8">
        <f t="shared" ca="1" si="29"/>
        <v>0</v>
      </c>
      <c r="AH122" s="8">
        <f t="shared" ca="1" si="30"/>
        <v>0</v>
      </c>
      <c r="AJ122" s="8">
        <f t="shared" ca="1" si="31"/>
        <v>0</v>
      </c>
      <c r="AL122" s="8">
        <f t="shared" ca="1" si="32"/>
        <v>0</v>
      </c>
      <c r="AN122" s="8">
        <f t="shared" ca="1" si="33"/>
        <v>0</v>
      </c>
    </row>
    <row r="123" spans="2:40" x14ac:dyDescent="0.2">
      <c r="D123" s="1" t="s">
        <v>8</v>
      </c>
      <c r="Z123" s="51" t="str">
        <f t="shared" si="15"/>
        <v/>
      </c>
      <c r="AF123" s="8"/>
      <c r="AH123" s="8"/>
      <c r="AJ123" s="8"/>
      <c r="AL123" s="8"/>
      <c r="AN123" s="8"/>
    </row>
    <row r="124" spans="2:40" x14ac:dyDescent="0.2">
      <c r="B124" s="18">
        <f>B122+1</f>
        <v>71</v>
      </c>
      <c r="D124" s="36" t="s">
        <v>71</v>
      </c>
      <c r="F124" s="79">
        <v>1640.1810497976596</v>
      </c>
      <c r="H124" s="79"/>
      <c r="K124" s="73">
        <v>0</v>
      </c>
      <c r="L124" s="50">
        <f t="shared" si="25"/>
        <v>1640.1810497976596</v>
      </c>
      <c r="N124" s="2" t="s">
        <v>28</v>
      </c>
      <c r="O124" s="73">
        <v>99</v>
      </c>
      <c r="P124" s="79">
        <f ca="1">OFFSET('Function Factors'!$B$9,$O124-1,P$14)*$L124+OFFSET('Function Factors'!$B$9,$K124-1,P$14)*$H124</f>
        <v>0</v>
      </c>
      <c r="R124" s="79">
        <f ca="1">OFFSET('Function Factors'!$B$9,$O124-1,R$14)*$L124+OFFSET('Function Factors'!$B$9,$K124-1,R$14)*$H124</f>
        <v>1640.1810497976596</v>
      </c>
      <c r="S124" s="79"/>
      <c r="T124" s="79">
        <f ca="1">OFFSET('Function Factors'!$B$9,$O124-1,T$14)*$L124+OFFSET('Function Factors'!$B$9,$K124-1,T$14)*$H124</f>
        <v>0</v>
      </c>
      <c r="U124" s="79"/>
      <c r="V124" s="79">
        <f ca="1">OFFSET('Function Factors'!$B$9,$O124-1,V$14)*$L124+OFFSET('Function Factors'!$B$9,$K124-1,V$14)*$H124</f>
        <v>0</v>
      </c>
      <c r="X124" s="79">
        <f t="shared" ca="1" si="26"/>
        <v>1640.1810497976596</v>
      </c>
      <c r="Z124" s="51" t="str">
        <f t="shared" ca="1" si="15"/>
        <v/>
      </c>
      <c r="AC124" s="93">
        <v>579.59980981929994</v>
      </c>
      <c r="AD124" s="37">
        <f>IFERROR(AC124/F124,0)</f>
        <v>0.35337550686297836</v>
      </c>
      <c r="AF124" s="8">
        <f t="shared" ca="1" si="29"/>
        <v>0</v>
      </c>
      <c r="AH124" s="8">
        <f t="shared" ca="1" si="30"/>
        <v>579.59980981929994</v>
      </c>
      <c r="AJ124" s="8">
        <f t="shared" ca="1" si="31"/>
        <v>0</v>
      </c>
      <c r="AL124" s="8">
        <f t="shared" ca="1" si="32"/>
        <v>0</v>
      </c>
      <c r="AN124" s="8">
        <f t="shared" ca="1" si="33"/>
        <v>579.59980981929994</v>
      </c>
    </row>
    <row r="125" spans="2:40" x14ac:dyDescent="0.2">
      <c r="B125" s="18">
        <f t="shared" ref="B125:B131" si="34">B124+1</f>
        <v>72</v>
      </c>
      <c r="D125" s="36" t="s">
        <v>171</v>
      </c>
      <c r="F125" s="79">
        <v>17097.195056345034</v>
      </c>
      <c r="H125" s="79"/>
      <c r="K125" s="73">
        <v>0</v>
      </c>
      <c r="L125" s="50">
        <f t="shared" si="25"/>
        <v>17097.195056345034</v>
      </c>
      <c r="N125" s="2" t="s">
        <v>261</v>
      </c>
      <c r="O125" s="73">
        <v>96</v>
      </c>
      <c r="P125" s="79">
        <f ca="1">OFFSET('Function Factors'!$B$9,$O125-1,P$14)*$L125+OFFSET('Function Factors'!$B$9,$K125-1,P$14)*$H125</f>
        <v>0</v>
      </c>
      <c r="R125" s="79">
        <f ca="1">OFFSET('Function Factors'!$B$9,$O125-1,R$14)*$L125+OFFSET('Function Factors'!$B$9,$K125-1,R$14)*$H125</f>
        <v>14117.785878445757</v>
      </c>
      <c r="S125" s="79"/>
      <c r="T125" s="79">
        <f ca="1">OFFSET('Function Factors'!$B$9,$O125-1,T$14)*$L125+OFFSET('Function Factors'!$B$9,$K125-1,T$14)*$H125</f>
        <v>2979.4091778992783</v>
      </c>
      <c r="U125" s="79"/>
      <c r="V125" s="79">
        <f ca="1">OFFSET('Function Factors'!$B$9,$O125-1,V$14)*$L125+OFFSET('Function Factors'!$B$9,$K125-1,V$14)*$H125</f>
        <v>0</v>
      </c>
      <c r="X125" s="79">
        <f t="shared" ca="1" si="26"/>
        <v>17097.195056345034</v>
      </c>
      <c r="Z125" s="51" t="str">
        <f t="shared" ca="1" si="15"/>
        <v/>
      </c>
      <c r="AC125" s="93">
        <v>7301.1076114910002</v>
      </c>
      <c r="AD125" s="37">
        <f>IFERROR(AC125/F125,0)</f>
        <v>0.42703540478012186</v>
      </c>
      <c r="AF125" s="8">
        <f t="shared" ca="1" si="29"/>
        <v>0</v>
      </c>
      <c r="AH125" s="8">
        <f ca="1">$AD125*R125</f>
        <v>6028.7944072011724</v>
      </c>
      <c r="AJ125" s="8">
        <f ca="1">$AD125*T125</f>
        <v>1272.3132042898285</v>
      </c>
      <c r="AL125" s="8">
        <f t="shared" ca="1" si="32"/>
        <v>0</v>
      </c>
      <c r="AN125" s="8">
        <f t="shared" ca="1" si="33"/>
        <v>7301.1076114910011</v>
      </c>
    </row>
    <row r="126" spans="2:40" x14ac:dyDescent="0.2">
      <c r="B126" s="18">
        <f t="shared" si="34"/>
        <v>73</v>
      </c>
      <c r="D126" s="36" t="s">
        <v>179</v>
      </c>
      <c r="F126" s="79">
        <v>1307.4095306239601</v>
      </c>
      <c r="H126" s="79"/>
      <c r="K126" s="73">
        <v>0</v>
      </c>
      <c r="L126" s="50">
        <f t="shared" si="25"/>
        <v>1307.4095306239601</v>
      </c>
      <c r="N126" s="2" t="s">
        <v>28</v>
      </c>
      <c r="O126" s="73">
        <v>99</v>
      </c>
      <c r="P126" s="79">
        <f ca="1">OFFSET('Function Factors'!$B$9,$O126-1,P$14)*$L126+OFFSET('Function Factors'!$B$9,$K126-1,P$14)*$H126</f>
        <v>0</v>
      </c>
      <c r="R126" s="79">
        <f ca="1">OFFSET('Function Factors'!$B$9,$O126-1,R$14)*$L126+OFFSET('Function Factors'!$B$9,$K126-1,R$14)*$H126</f>
        <v>1307.4095306239601</v>
      </c>
      <c r="S126" s="79"/>
      <c r="T126" s="79">
        <f ca="1">OFFSET('Function Factors'!$B$9,$O126-1,T$14)*$L126+OFFSET('Function Factors'!$B$9,$K126-1,T$14)*$H126</f>
        <v>0</v>
      </c>
      <c r="U126" s="79"/>
      <c r="V126" s="79">
        <f ca="1">OFFSET('Function Factors'!$B$9,$O126-1,V$14)*$L126+OFFSET('Function Factors'!$B$9,$K126-1,V$14)*$H126</f>
        <v>0</v>
      </c>
      <c r="X126" s="79">
        <f t="shared" ca="1" si="26"/>
        <v>1307.4095306239601</v>
      </c>
      <c r="Z126" s="51" t="str">
        <f t="shared" ca="1" si="15"/>
        <v/>
      </c>
      <c r="AC126" s="93">
        <v>0</v>
      </c>
      <c r="AD126" s="37">
        <f t="shared" ref="AD126:AD131" si="35">IFERROR(AC126/F126,0)</f>
        <v>0</v>
      </c>
      <c r="AF126" s="8">
        <f t="shared" ca="1" si="29"/>
        <v>0</v>
      </c>
      <c r="AH126" s="8">
        <f t="shared" ca="1" si="30"/>
        <v>0</v>
      </c>
      <c r="AJ126" s="8">
        <f t="shared" ca="1" si="31"/>
        <v>0</v>
      </c>
      <c r="AL126" s="8">
        <f t="shared" ca="1" si="32"/>
        <v>0</v>
      </c>
      <c r="AN126" s="8">
        <f t="shared" ca="1" si="33"/>
        <v>0</v>
      </c>
    </row>
    <row r="127" spans="2:40" x14ac:dyDescent="0.2">
      <c r="B127" s="18">
        <f t="shared" si="34"/>
        <v>74</v>
      </c>
      <c r="D127" s="36" t="s">
        <v>199</v>
      </c>
      <c r="F127" s="79">
        <v>3787.5783081452309</v>
      </c>
      <c r="H127" s="79"/>
      <c r="K127" s="73">
        <v>0</v>
      </c>
      <c r="L127" s="50">
        <f t="shared" si="25"/>
        <v>3787.5783081452309</v>
      </c>
      <c r="N127" s="2" t="s">
        <v>260</v>
      </c>
      <c r="O127" s="73">
        <v>30</v>
      </c>
      <c r="P127" s="79">
        <f ca="1">OFFSET('Function Factors'!$B$9,$O127-1,P$14)*$L127+OFFSET('Function Factors'!$B$9,$K127-1,P$14)*$H127</f>
        <v>0</v>
      </c>
      <c r="R127" s="79">
        <f ca="1">OFFSET('Function Factors'!$B$9,$O127-1,R$14)*$L127+OFFSET('Function Factors'!$B$9,$K127-1,R$14)*$H127</f>
        <v>1489.5035949216872</v>
      </c>
      <c r="S127" s="79"/>
      <c r="T127" s="79">
        <f ca="1">OFFSET('Function Factors'!$B$9,$O127-1,T$14)*$L127+OFFSET('Function Factors'!$B$9,$K127-1,T$14)*$H127</f>
        <v>2298.0747132235433</v>
      </c>
      <c r="U127" s="79"/>
      <c r="V127" s="79">
        <f ca="1">OFFSET('Function Factors'!$B$9,$O127-1,V$14)*$L127+OFFSET('Function Factors'!$B$9,$K127-1,V$14)*$H127</f>
        <v>0</v>
      </c>
      <c r="X127" s="79">
        <f t="shared" ca="1" si="26"/>
        <v>3787.5783081452305</v>
      </c>
      <c r="Z127" s="51" t="str">
        <f t="shared" ref="Z127:Z180" ca="1" si="36">IF(ROUND(F127,4)=ROUND(X127,4), "", "check")</f>
        <v/>
      </c>
      <c r="AC127" s="93">
        <v>563.30980968387996</v>
      </c>
      <c r="AD127" s="37">
        <f t="shared" si="35"/>
        <v>0.14872558765913188</v>
      </c>
      <c r="AF127" s="8">
        <f t="shared" ca="1" si="29"/>
        <v>0</v>
      </c>
      <c r="AH127" s="8">
        <f t="shared" ca="1" si="30"/>
        <v>221.52729747511745</v>
      </c>
      <c r="AJ127" s="8">
        <f t="shared" ca="1" si="31"/>
        <v>341.78251220876245</v>
      </c>
      <c r="AL127" s="8">
        <f t="shared" ca="1" si="32"/>
        <v>0</v>
      </c>
      <c r="AN127" s="8">
        <f t="shared" ca="1" si="33"/>
        <v>563.30980968387985</v>
      </c>
    </row>
    <row r="128" spans="2:40" x14ac:dyDescent="0.2">
      <c r="B128" s="18">
        <f t="shared" si="34"/>
        <v>75</v>
      </c>
      <c r="D128" s="36" t="s">
        <v>21</v>
      </c>
      <c r="F128" s="79">
        <v>417.64292401249998</v>
      </c>
      <c r="H128" s="79"/>
      <c r="K128" s="73">
        <v>0</v>
      </c>
      <c r="L128" s="50">
        <f t="shared" si="25"/>
        <v>417.64292401249998</v>
      </c>
      <c r="N128" s="2" t="s">
        <v>28</v>
      </c>
      <c r="O128" s="73">
        <v>99</v>
      </c>
      <c r="P128" s="79">
        <f ca="1">OFFSET('Function Factors'!$B$9,$O128-1,P$14)*$L128+OFFSET('Function Factors'!$B$9,$K128-1,P$14)*$H128</f>
        <v>0</v>
      </c>
      <c r="R128" s="79">
        <f ca="1">OFFSET('Function Factors'!$B$9,$O128-1,R$14)*$L128+OFFSET('Function Factors'!$B$9,$K128-1,R$14)*$H128</f>
        <v>417.64292401249998</v>
      </c>
      <c r="S128" s="79"/>
      <c r="T128" s="79">
        <f ca="1">OFFSET('Function Factors'!$B$9,$O128-1,T$14)*$L128+OFFSET('Function Factors'!$B$9,$K128-1,T$14)*$H128</f>
        <v>0</v>
      </c>
      <c r="U128" s="79"/>
      <c r="V128" s="79">
        <f ca="1">OFFSET('Function Factors'!$B$9,$O128-1,V$14)*$L128+OFFSET('Function Factors'!$B$9,$K128-1,V$14)*$H128</f>
        <v>0</v>
      </c>
      <c r="X128" s="79">
        <f t="shared" ca="1" si="26"/>
        <v>417.64292401249998</v>
      </c>
      <c r="Z128" s="51" t="str">
        <f t="shared" ca="1" si="36"/>
        <v/>
      </c>
      <c r="AC128" s="93">
        <v>0</v>
      </c>
      <c r="AD128" s="37">
        <f t="shared" si="35"/>
        <v>0</v>
      </c>
      <c r="AF128" s="8">
        <f t="shared" ca="1" si="29"/>
        <v>0</v>
      </c>
      <c r="AH128" s="8">
        <f t="shared" ca="1" si="30"/>
        <v>0</v>
      </c>
      <c r="AJ128" s="8">
        <f t="shared" ca="1" si="31"/>
        <v>0</v>
      </c>
      <c r="AL128" s="8">
        <f t="shared" ca="1" si="32"/>
        <v>0</v>
      </c>
      <c r="AN128" s="8">
        <f t="shared" ca="1" si="33"/>
        <v>0</v>
      </c>
    </row>
    <row r="129" spans="2:46" x14ac:dyDescent="0.2">
      <c r="B129" s="18">
        <f t="shared" si="34"/>
        <v>76</v>
      </c>
      <c r="D129" s="36" t="s">
        <v>200</v>
      </c>
      <c r="F129" s="79">
        <v>191.86462860127</v>
      </c>
      <c r="H129" s="79"/>
      <c r="K129" s="73">
        <v>0</v>
      </c>
      <c r="L129" s="50">
        <f t="shared" si="25"/>
        <v>191.86462860127</v>
      </c>
      <c r="N129" s="2" t="s">
        <v>28</v>
      </c>
      <c r="O129" s="73">
        <v>99</v>
      </c>
      <c r="P129" s="79">
        <f ca="1">OFFSET('Function Factors'!$B$9,$O129-1,P$14)*$L129+OFFSET('Function Factors'!$B$9,$K129-1,P$14)*$H129</f>
        <v>0</v>
      </c>
      <c r="R129" s="79">
        <f ca="1">OFFSET('Function Factors'!$B$9,$O129-1,R$14)*$L129+OFFSET('Function Factors'!$B$9,$K129-1,R$14)*$H129</f>
        <v>191.86462860127</v>
      </c>
      <c r="S129" s="79"/>
      <c r="T129" s="79">
        <f ca="1">OFFSET('Function Factors'!$B$9,$O129-1,T$14)*$L129+OFFSET('Function Factors'!$B$9,$K129-1,T$14)*$H129</f>
        <v>0</v>
      </c>
      <c r="U129" s="79"/>
      <c r="V129" s="79">
        <f ca="1">OFFSET('Function Factors'!$B$9,$O129-1,V$14)*$L129+OFFSET('Function Factors'!$B$9,$K129-1,V$14)*$H129</f>
        <v>0</v>
      </c>
      <c r="X129" s="79">
        <f t="shared" ca="1" si="26"/>
        <v>191.86462860127</v>
      </c>
      <c r="Z129" s="51" t="str">
        <f t="shared" ca="1" si="36"/>
        <v/>
      </c>
      <c r="AC129" s="93">
        <v>0</v>
      </c>
      <c r="AD129" s="37">
        <f t="shared" si="35"/>
        <v>0</v>
      </c>
      <c r="AF129" s="8">
        <f t="shared" ca="1" si="29"/>
        <v>0</v>
      </c>
      <c r="AH129" s="8">
        <f t="shared" ca="1" si="30"/>
        <v>0</v>
      </c>
      <c r="AJ129" s="8">
        <f t="shared" ca="1" si="31"/>
        <v>0</v>
      </c>
      <c r="AL129" s="8">
        <f t="shared" ca="1" si="32"/>
        <v>0</v>
      </c>
      <c r="AN129" s="8">
        <f t="shared" ca="1" si="33"/>
        <v>0</v>
      </c>
    </row>
    <row r="130" spans="2:46" x14ac:dyDescent="0.2">
      <c r="B130" s="18">
        <f t="shared" si="34"/>
        <v>77</v>
      </c>
      <c r="D130" s="36" t="s">
        <v>180</v>
      </c>
      <c r="F130" s="79">
        <v>4026.3844920256997</v>
      </c>
      <c r="H130" s="79"/>
      <c r="K130" s="73">
        <v>0</v>
      </c>
      <c r="L130" s="50">
        <f t="shared" si="25"/>
        <v>4026.3844920256997</v>
      </c>
      <c r="N130" s="2" t="s">
        <v>28</v>
      </c>
      <c r="O130" s="73">
        <v>99</v>
      </c>
      <c r="P130" s="79">
        <f ca="1">OFFSET('Function Factors'!$B$9,$O130-1,P$14)*$L130+OFFSET('Function Factors'!$B$9,$K130-1,P$14)*$H130</f>
        <v>0</v>
      </c>
      <c r="R130" s="79">
        <f ca="1">OFFSET('Function Factors'!$B$9,$O130-1,R$14)*$L130+OFFSET('Function Factors'!$B$9,$K130-1,R$14)*$H130</f>
        <v>4026.3844920256997</v>
      </c>
      <c r="S130" s="79"/>
      <c r="T130" s="79">
        <f ca="1">OFFSET('Function Factors'!$B$9,$O130-1,T$14)*$L130+OFFSET('Function Factors'!$B$9,$K130-1,T$14)*$H130</f>
        <v>0</v>
      </c>
      <c r="U130" s="79"/>
      <c r="V130" s="79">
        <f ca="1">OFFSET('Function Factors'!$B$9,$O130-1,V$14)*$L130+OFFSET('Function Factors'!$B$9,$K130-1,V$14)*$H130</f>
        <v>0</v>
      </c>
      <c r="X130" s="79">
        <f t="shared" ca="1" si="26"/>
        <v>4026.3844920256997</v>
      </c>
      <c r="Z130" s="51" t="str">
        <f t="shared" ca="1" si="36"/>
        <v/>
      </c>
      <c r="AC130" s="93">
        <v>0</v>
      </c>
      <c r="AD130" s="37">
        <f t="shared" si="35"/>
        <v>0</v>
      </c>
      <c r="AF130" s="8">
        <f t="shared" ca="1" si="29"/>
        <v>0</v>
      </c>
      <c r="AH130" s="8">
        <f t="shared" ca="1" si="30"/>
        <v>0</v>
      </c>
      <c r="AJ130" s="8">
        <f t="shared" ca="1" si="31"/>
        <v>0</v>
      </c>
      <c r="AL130" s="8">
        <f t="shared" ca="1" si="32"/>
        <v>0</v>
      </c>
      <c r="AN130" s="8">
        <f t="shared" ca="1" si="33"/>
        <v>0</v>
      </c>
    </row>
    <row r="131" spans="2:46" x14ac:dyDescent="0.2">
      <c r="B131" s="18">
        <f t="shared" si="34"/>
        <v>78</v>
      </c>
      <c r="D131" s="36" t="s">
        <v>201</v>
      </c>
      <c r="F131" s="79">
        <v>1816.3293445332881</v>
      </c>
      <c r="H131" s="79"/>
      <c r="K131" s="73">
        <v>0</v>
      </c>
      <c r="L131" s="50">
        <f t="shared" si="25"/>
        <v>1816.3293445332881</v>
      </c>
      <c r="N131" s="2" t="s">
        <v>28</v>
      </c>
      <c r="O131" s="73">
        <v>99</v>
      </c>
      <c r="P131" s="79">
        <f ca="1">OFFSET('Function Factors'!$B$9,$O131-1,P$14)*$L131+OFFSET('Function Factors'!$B$9,$K131-1,P$14)*$H131</f>
        <v>0</v>
      </c>
      <c r="R131" s="79">
        <f ca="1">OFFSET('Function Factors'!$B$9,$O131-1,R$14)*$L131+OFFSET('Function Factors'!$B$9,$K131-1,R$14)*$H131</f>
        <v>1816.3293445332881</v>
      </c>
      <c r="S131" s="79"/>
      <c r="T131" s="79">
        <f ca="1">OFFSET('Function Factors'!$B$9,$O131-1,T$14)*$L131+OFFSET('Function Factors'!$B$9,$K131-1,T$14)*$H131</f>
        <v>0</v>
      </c>
      <c r="U131" s="79"/>
      <c r="V131" s="79">
        <f ca="1">OFFSET('Function Factors'!$B$9,$O131-1,V$14)*$L131+OFFSET('Function Factors'!$B$9,$K131-1,V$14)*$H131</f>
        <v>0</v>
      </c>
      <c r="X131" s="79">
        <f t="shared" ca="1" si="26"/>
        <v>1816.3293445332881</v>
      </c>
      <c r="Z131" s="51" t="str">
        <f t="shared" ca="1" si="36"/>
        <v/>
      </c>
      <c r="AC131" s="93">
        <v>366.20012159340001</v>
      </c>
      <c r="AD131" s="37">
        <f t="shared" si="35"/>
        <v>0.20161548493150419</v>
      </c>
      <c r="AF131" s="8">
        <f t="shared" ca="1" si="29"/>
        <v>0</v>
      </c>
      <c r="AH131" s="8">
        <f t="shared" ca="1" si="30"/>
        <v>366.20012159340001</v>
      </c>
      <c r="AJ131" s="8">
        <f t="shared" ca="1" si="31"/>
        <v>0</v>
      </c>
      <c r="AL131" s="8">
        <f t="shared" ca="1" si="32"/>
        <v>0</v>
      </c>
      <c r="AN131" s="8">
        <f t="shared" ca="1" si="33"/>
        <v>366.20012159340001</v>
      </c>
    </row>
    <row r="132" spans="2:46" x14ac:dyDescent="0.2">
      <c r="D132" s="1" t="s">
        <v>9</v>
      </c>
      <c r="Z132" s="51" t="str">
        <f t="shared" si="36"/>
        <v/>
      </c>
      <c r="AF132" s="8"/>
      <c r="AH132" s="8"/>
      <c r="AJ132" s="8"/>
      <c r="AL132" s="8"/>
      <c r="AN132" s="8"/>
    </row>
    <row r="133" spans="2:46" x14ac:dyDescent="0.2">
      <c r="B133" s="18">
        <f>B131+1</f>
        <v>79</v>
      </c>
      <c r="D133" s="1" t="s">
        <v>214</v>
      </c>
      <c r="F133" s="79">
        <v>3740.6240013717302</v>
      </c>
      <c r="K133" s="73">
        <v>0</v>
      </c>
      <c r="L133" s="50">
        <f>F133-H133</f>
        <v>3740.6240013717302</v>
      </c>
      <c r="N133" s="2" t="s">
        <v>73</v>
      </c>
      <c r="O133" s="73">
        <v>108</v>
      </c>
      <c r="P133" s="79">
        <f ca="1">OFFSET('Function Factors'!$B$9,$O133-1,P$14)*$L133+OFFSET('Function Factors'!$B$9,$K133-1,P$14)*$H133</f>
        <v>0</v>
      </c>
      <c r="R133" s="79">
        <f ca="1">OFFSET('Function Factors'!$B$9,$O133-1,R$14)*$L133+OFFSET('Function Factors'!$B$9,$K133-1,R$14)*$H133</f>
        <v>0</v>
      </c>
      <c r="S133" s="79"/>
      <c r="T133" s="79">
        <f ca="1">OFFSET('Function Factors'!$B$9,$O133-1,T$14)*$L133+OFFSET('Function Factors'!$B$9,$K133-1,T$14)*$H133</f>
        <v>3740.6240013717302</v>
      </c>
      <c r="U133" s="79"/>
      <c r="V133" s="79">
        <f ca="1">OFFSET('Function Factors'!$B$9,$O133-1,V$14)*$L133+OFFSET('Function Factors'!$B$9,$K133-1,V$14)*$H133</f>
        <v>0</v>
      </c>
      <c r="X133" s="79">
        <f t="shared" ref="X133:X136" ca="1" si="37">P133+R133+T133+V133</f>
        <v>3740.6240013717302</v>
      </c>
      <c r="Z133" s="51" t="str">
        <f t="shared" ca="1" si="36"/>
        <v/>
      </c>
      <c r="AC133" s="93">
        <v>1805.5576216432</v>
      </c>
      <c r="AD133" s="37">
        <f t="shared" ref="AD133:AD136" si="38">IFERROR(AC133/F133,0)</f>
        <v>0.48268888318662373</v>
      </c>
      <c r="AF133" s="8">
        <f t="shared" ca="1" si="29"/>
        <v>0</v>
      </c>
      <c r="AH133" s="8">
        <f t="shared" ca="1" si="30"/>
        <v>0</v>
      </c>
      <c r="AJ133" s="8">
        <f t="shared" ca="1" si="31"/>
        <v>1805.5576216432</v>
      </c>
      <c r="AL133" s="8">
        <f t="shared" ca="1" si="32"/>
        <v>0</v>
      </c>
      <c r="AN133" s="8">
        <f t="shared" ca="1" si="33"/>
        <v>1805.5576216432</v>
      </c>
    </row>
    <row r="134" spans="2:46" x14ac:dyDescent="0.2">
      <c r="B134" s="18">
        <f>B133+1</f>
        <v>80</v>
      </c>
      <c r="D134" s="36" t="s">
        <v>202</v>
      </c>
      <c r="F134" s="79">
        <v>184.23818852302003</v>
      </c>
      <c r="H134" s="79"/>
      <c r="K134" s="73">
        <v>0</v>
      </c>
      <c r="L134" s="50">
        <f t="shared" ref="L134:L136" si="39">F134-H134</f>
        <v>184.23818852302003</v>
      </c>
      <c r="N134" s="2" t="s">
        <v>73</v>
      </c>
      <c r="O134" s="73">
        <v>108</v>
      </c>
      <c r="P134" s="79">
        <f ca="1">OFFSET('Function Factors'!$B$9,$O134-1,P$14)*$L134+OFFSET('Function Factors'!$B$9,$K134-1,P$14)*$H134</f>
        <v>0</v>
      </c>
      <c r="R134" s="79">
        <f ca="1">OFFSET('Function Factors'!$B$9,$O134-1,R$14)*$L134+OFFSET('Function Factors'!$B$9,$K134-1,R$14)*$H134</f>
        <v>0</v>
      </c>
      <c r="S134" s="79"/>
      <c r="T134" s="79">
        <f ca="1">OFFSET('Function Factors'!$B$9,$O134-1,T$14)*$L134+OFFSET('Function Factors'!$B$9,$K134-1,T$14)*$H134</f>
        <v>184.23818852302003</v>
      </c>
      <c r="U134" s="79"/>
      <c r="V134" s="79">
        <f ca="1">OFFSET('Function Factors'!$B$9,$O134-1,V$14)*$L134+OFFSET('Function Factors'!$B$9,$K134-1,V$14)*$H134</f>
        <v>0</v>
      </c>
      <c r="X134" s="79">
        <f t="shared" ca="1" si="37"/>
        <v>184.23818852302003</v>
      </c>
      <c r="Z134" s="51" t="str">
        <f t="shared" ca="1" si="36"/>
        <v/>
      </c>
      <c r="AC134" s="93">
        <v>131.92818852177001</v>
      </c>
      <c r="AD134" s="37">
        <f t="shared" si="38"/>
        <v>0.71607406466269052</v>
      </c>
      <c r="AF134" s="8">
        <f t="shared" ca="1" si="29"/>
        <v>0</v>
      </c>
      <c r="AH134" s="8">
        <f t="shared" ca="1" si="30"/>
        <v>0</v>
      </c>
      <c r="AJ134" s="8">
        <f t="shared" ca="1" si="31"/>
        <v>131.92818852177001</v>
      </c>
      <c r="AL134" s="8">
        <f t="shared" ca="1" si="32"/>
        <v>0</v>
      </c>
      <c r="AN134" s="8">
        <f t="shared" ca="1" si="33"/>
        <v>131.92818852177001</v>
      </c>
    </row>
    <row r="135" spans="2:46" x14ac:dyDescent="0.2">
      <c r="B135" s="18">
        <f t="shared" ref="B135:B136" si="40">B134+1</f>
        <v>81</v>
      </c>
      <c r="D135" s="36" t="s">
        <v>199</v>
      </c>
      <c r="F135" s="79">
        <v>5613.0094337191604</v>
      </c>
      <c r="H135" s="79"/>
      <c r="K135" s="73">
        <v>0</v>
      </c>
      <c r="L135" s="50">
        <f t="shared" si="39"/>
        <v>5613.0094337191604</v>
      </c>
      <c r="N135" s="2" t="s">
        <v>73</v>
      </c>
      <c r="O135" s="73">
        <v>108</v>
      </c>
      <c r="P135" s="79">
        <f ca="1">OFFSET('Function Factors'!$B$9,$O135-1,P$14)*$L135+OFFSET('Function Factors'!$B$9,$K135-1,P$14)*$H135</f>
        <v>0</v>
      </c>
      <c r="R135" s="79">
        <f ca="1">OFFSET('Function Factors'!$B$9,$O135-1,R$14)*$L135+OFFSET('Function Factors'!$B$9,$K135-1,R$14)*$H135</f>
        <v>0</v>
      </c>
      <c r="S135" s="79"/>
      <c r="T135" s="79">
        <f ca="1">OFFSET('Function Factors'!$B$9,$O135-1,T$14)*$L135+OFFSET('Function Factors'!$B$9,$K135-1,T$14)*$H135</f>
        <v>5613.0094337191604</v>
      </c>
      <c r="U135" s="79"/>
      <c r="V135" s="79">
        <f ca="1">OFFSET('Function Factors'!$B$9,$O135-1,V$14)*$L135+OFFSET('Function Factors'!$B$9,$K135-1,V$14)*$H135</f>
        <v>0</v>
      </c>
      <c r="X135" s="79">
        <f t="shared" ca="1" si="37"/>
        <v>5613.0094337191604</v>
      </c>
      <c r="Z135" s="51" t="str">
        <f t="shared" ca="1" si="36"/>
        <v/>
      </c>
      <c r="AC135" s="93">
        <v>740.08452798859992</v>
      </c>
      <c r="AD135" s="37">
        <f t="shared" si="38"/>
        <v>0.13185164513401193</v>
      </c>
      <c r="AF135" s="8">
        <f t="shared" ca="1" si="29"/>
        <v>0</v>
      </c>
      <c r="AH135" s="8">
        <f t="shared" ca="1" si="30"/>
        <v>0</v>
      </c>
      <c r="AJ135" s="8">
        <f t="shared" ca="1" si="31"/>
        <v>740.08452798860003</v>
      </c>
      <c r="AL135" s="8">
        <f t="shared" ca="1" si="32"/>
        <v>0</v>
      </c>
      <c r="AN135" s="8">
        <f t="shared" ca="1" si="33"/>
        <v>740.08452798860003</v>
      </c>
    </row>
    <row r="136" spans="2:46" x14ac:dyDescent="0.2">
      <c r="B136" s="18">
        <f t="shared" si="40"/>
        <v>82</v>
      </c>
      <c r="D136" s="36" t="s">
        <v>21</v>
      </c>
      <c r="F136" s="79">
        <v>2500.134475710754</v>
      </c>
      <c r="H136" s="79"/>
      <c r="K136" s="73">
        <v>0</v>
      </c>
      <c r="L136" s="50">
        <f t="shared" si="39"/>
        <v>2500.134475710754</v>
      </c>
      <c r="N136" s="2" t="s">
        <v>73</v>
      </c>
      <c r="O136" s="73">
        <v>108</v>
      </c>
      <c r="P136" s="79">
        <f ca="1">OFFSET('Function Factors'!$B$9,$O136-1,P$14)*$L136+OFFSET('Function Factors'!$B$9,$K136-1,P$14)*$H136</f>
        <v>0</v>
      </c>
      <c r="R136" s="79">
        <f ca="1">OFFSET('Function Factors'!$B$9,$O136-1,R$14)*$L136+OFFSET('Function Factors'!$B$9,$K136-1,R$14)*$H136</f>
        <v>0</v>
      </c>
      <c r="S136" s="79"/>
      <c r="T136" s="79">
        <f ca="1">OFFSET('Function Factors'!$B$9,$O136-1,T$14)*$L136+OFFSET('Function Factors'!$B$9,$K136-1,T$14)*$H136</f>
        <v>2500.134475710754</v>
      </c>
      <c r="U136" s="79"/>
      <c r="V136" s="79">
        <f ca="1">OFFSET('Function Factors'!$B$9,$O136-1,V$14)*$L136+OFFSET('Function Factors'!$B$9,$K136-1,V$14)*$H136</f>
        <v>0</v>
      </c>
      <c r="X136" s="79">
        <f t="shared" ca="1" si="37"/>
        <v>2500.134475710754</v>
      </c>
      <c r="Z136" s="51" t="str">
        <f t="shared" ca="1" si="36"/>
        <v/>
      </c>
      <c r="AC136" s="93">
        <v>1026.9737405468377</v>
      </c>
      <c r="AD136" s="37">
        <f t="shared" si="38"/>
        <v>0.41076740092345759</v>
      </c>
      <c r="AF136" s="8">
        <f t="shared" ca="1" si="29"/>
        <v>0</v>
      </c>
      <c r="AH136" s="8">
        <f t="shared" ca="1" si="30"/>
        <v>0</v>
      </c>
      <c r="AJ136" s="8">
        <f t="shared" ca="1" si="31"/>
        <v>1026.9737405468377</v>
      </c>
      <c r="AL136" s="8">
        <f t="shared" ca="1" si="32"/>
        <v>0</v>
      </c>
      <c r="AN136" s="8">
        <f t="shared" ca="1" si="33"/>
        <v>1026.9737405468377</v>
      </c>
    </row>
    <row r="137" spans="2:46" x14ac:dyDescent="0.2">
      <c r="D137" s="1" t="s">
        <v>10</v>
      </c>
      <c r="Z137" s="51" t="str">
        <f t="shared" si="36"/>
        <v/>
      </c>
      <c r="AD137" s="37"/>
      <c r="AF137" s="8"/>
      <c r="AH137" s="8"/>
      <c r="AJ137" s="8"/>
      <c r="AL137" s="8"/>
      <c r="AN137" s="8"/>
    </row>
    <row r="138" spans="2:46" x14ac:dyDescent="0.2">
      <c r="B138" s="18">
        <f>B136+1</f>
        <v>83</v>
      </c>
      <c r="D138" s="1" t="s">
        <v>217</v>
      </c>
      <c r="F138" s="79">
        <v>10616.772187581613</v>
      </c>
      <c r="K138" s="73">
        <v>0</v>
      </c>
      <c r="L138" s="50">
        <f t="shared" si="25"/>
        <v>10616.772187581613</v>
      </c>
      <c r="N138" s="2" t="s">
        <v>32</v>
      </c>
      <c r="O138" s="73">
        <v>36</v>
      </c>
      <c r="P138" s="79">
        <f ca="1">OFFSET('Function Factors'!$B$9,$O138-1,P$14)*$L138+OFFSET('Function Factors'!$B$9,$K138-1,P$14)*$H138</f>
        <v>0</v>
      </c>
      <c r="R138" s="79">
        <f ca="1">OFFSET('Function Factors'!$B$9,$O138-1,R$14)*$L138+OFFSET('Function Factors'!$B$9,$K138-1,R$14)*$H138</f>
        <v>0</v>
      </c>
      <c r="S138" s="79"/>
      <c r="T138" s="79">
        <f ca="1">OFFSET('Function Factors'!$B$9,$O138-1,T$14)*$L138+OFFSET('Function Factors'!$B$9,$K138-1,T$14)*$H138</f>
        <v>0</v>
      </c>
      <c r="U138" s="79"/>
      <c r="V138" s="79">
        <f ca="1">OFFSET('Function Factors'!$B$9,$O138-1,V$14)*$L138+OFFSET('Function Factors'!$B$9,$K138-1,V$14)*$H138</f>
        <v>10616.772187581613</v>
      </c>
      <c r="X138" s="79">
        <f t="shared" ref="X138:X143" ca="1" si="41">P138+R138+T138+V138</f>
        <v>10616.772187581613</v>
      </c>
      <c r="Z138" s="51" t="str">
        <f t="shared" ca="1" si="36"/>
        <v/>
      </c>
      <c r="AC138" s="93">
        <v>7329.8580613904187</v>
      </c>
      <c r="AD138" s="37">
        <f>IFERROR(AC138/F138,0)</f>
        <v>0.69040363039569763</v>
      </c>
      <c r="AF138" s="8">
        <f t="shared" ca="1" si="29"/>
        <v>0</v>
      </c>
      <c r="AH138" s="8">
        <f t="shared" ca="1" si="30"/>
        <v>0</v>
      </c>
      <c r="AJ138" s="8">
        <f t="shared" ca="1" si="31"/>
        <v>0</v>
      </c>
      <c r="AL138" s="8">
        <f t="shared" ca="1" si="32"/>
        <v>7329.8580613904187</v>
      </c>
      <c r="AN138" s="8">
        <f t="shared" ca="1" si="33"/>
        <v>7329.8580613904187</v>
      </c>
      <c r="AO138" s="61"/>
      <c r="AP138" s="61"/>
      <c r="AQ138" s="61"/>
      <c r="AR138" s="61"/>
      <c r="AS138" s="61"/>
      <c r="AT138" s="61"/>
    </row>
    <row r="139" spans="2:46" x14ac:dyDescent="0.2">
      <c r="B139" s="18">
        <f>B138+1</f>
        <v>84</v>
      </c>
      <c r="D139" s="36" t="s">
        <v>204</v>
      </c>
      <c r="F139" s="79">
        <v>22130.98895566666</v>
      </c>
      <c r="H139" s="79"/>
      <c r="K139" s="73">
        <v>0</v>
      </c>
      <c r="L139" s="50">
        <f t="shared" si="25"/>
        <v>22130.98895566666</v>
      </c>
      <c r="N139" s="2" t="s">
        <v>32</v>
      </c>
      <c r="O139" s="73">
        <v>36</v>
      </c>
      <c r="P139" s="79">
        <f ca="1">OFFSET('Function Factors'!$B$9,$O139-1,P$14)*$L139+OFFSET('Function Factors'!$B$9,$K139-1,P$14)*$H139</f>
        <v>0</v>
      </c>
      <c r="R139" s="79">
        <f ca="1">OFFSET('Function Factors'!$B$9,$O139-1,R$14)*$L139+OFFSET('Function Factors'!$B$9,$K139-1,R$14)*$H139</f>
        <v>0</v>
      </c>
      <c r="S139" s="79"/>
      <c r="T139" s="79">
        <f ca="1">OFFSET('Function Factors'!$B$9,$O139-1,T$14)*$L139+OFFSET('Function Factors'!$B$9,$K139-1,T$14)*$H139</f>
        <v>0</v>
      </c>
      <c r="U139" s="79"/>
      <c r="V139" s="79">
        <f ca="1">OFFSET('Function Factors'!$B$9,$O139-1,V$14)*$L139+OFFSET('Function Factors'!$B$9,$K139-1,V$14)*$H139</f>
        <v>22130.98895566666</v>
      </c>
      <c r="X139" s="79">
        <f t="shared" ca="1" si="41"/>
        <v>22130.98895566666</v>
      </c>
      <c r="Z139" s="51" t="str">
        <f t="shared" ca="1" si="36"/>
        <v/>
      </c>
      <c r="AC139" s="93">
        <v>5485.71519527688</v>
      </c>
      <c r="AD139" s="37">
        <f>IFERROR(AC139/F139,0)</f>
        <v>0.24787483317017595</v>
      </c>
      <c r="AF139" s="8">
        <f t="shared" ca="1" si="29"/>
        <v>0</v>
      </c>
      <c r="AH139" s="8">
        <f t="shared" ca="1" si="30"/>
        <v>0</v>
      </c>
      <c r="AJ139" s="8">
        <f t="shared" ca="1" si="31"/>
        <v>0</v>
      </c>
      <c r="AL139" s="8">
        <f t="shared" ca="1" si="32"/>
        <v>5485.71519527688</v>
      </c>
      <c r="AN139" s="8">
        <f t="shared" ca="1" si="33"/>
        <v>5485.71519527688</v>
      </c>
    </row>
    <row r="140" spans="2:46" x14ac:dyDescent="0.2">
      <c r="B140" s="18">
        <f t="shared" ref="B140:B143" si="42">B139+1</f>
        <v>85</v>
      </c>
      <c r="D140" s="36" t="s">
        <v>178</v>
      </c>
      <c r="F140" s="79">
        <v>0</v>
      </c>
      <c r="H140" s="79"/>
      <c r="K140" s="73">
        <v>0</v>
      </c>
      <c r="L140" s="50">
        <f t="shared" si="25"/>
        <v>0</v>
      </c>
      <c r="N140" s="2" t="s">
        <v>32</v>
      </c>
      <c r="O140" s="73">
        <v>36</v>
      </c>
      <c r="P140" s="79">
        <f ca="1">OFFSET('Function Factors'!$B$9,$O140-1,P$14)*$L140+OFFSET('Function Factors'!$B$9,$K140-1,P$14)*$H140</f>
        <v>0</v>
      </c>
      <c r="R140" s="79">
        <f ca="1">OFFSET('Function Factors'!$B$9,$O140-1,R$14)*$L140+OFFSET('Function Factors'!$B$9,$K140-1,R$14)*$H140</f>
        <v>0</v>
      </c>
      <c r="S140" s="79"/>
      <c r="T140" s="79">
        <f ca="1">OFFSET('Function Factors'!$B$9,$O140-1,T$14)*$L140+OFFSET('Function Factors'!$B$9,$K140-1,T$14)*$H140</f>
        <v>0</v>
      </c>
      <c r="U140" s="79"/>
      <c r="V140" s="79">
        <f ca="1">OFFSET('Function Factors'!$B$9,$O140-1,V$14)*$L140+OFFSET('Function Factors'!$B$9,$K140-1,V$14)*$H140</f>
        <v>0</v>
      </c>
      <c r="X140" s="79">
        <f t="shared" ca="1" si="41"/>
        <v>0</v>
      </c>
      <c r="Z140" s="51" t="str">
        <f t="shared" ca="1" si="36"/>
        <v/>
      </c>
      <c r="AC140" s="93">
        <v>0</v>
      </c>
      <c r="AD140" s="37">
        <f t="shared" ref="AD140:AD143" si="43">IFERROR(AC140/F140,0)</f>
        <v>0</v>
      </c>
      <c r="AF140" s="8">
        <f t="shared" ca="1" si="29"/>
        <v>0</v>
      </c>
      <c r="AH140" s="8">
        <f t="shared" ca="1" si="30"/>
        <v>0</v>
      </c>
      <c r="AJ140" s="8">
        <f t="shared" ca="1" si="31"/>
        <v>0</v>
      </c>
      <c r="AL140" s="8">
        <f t="shared" ca="1" si="32"/>
        <v>0</v>
      </c>
      <c r="AN140" s="8">
        <f t="shared" ca="1" si="33"/>
        <v>0</v>
      </c>
    </row>
    <row r="141" spans="2:46" x14ac:dyDescent="0.2">
      <c r="B141" s="18">
        <f t="shared" si="42"/>
        <v>86</v>
      </c>
      <c r="D141" s="36" t="s">
        <v>205</v>
      </c>
      <c r="F141" s="79">
        <v>59329.65715247715</v>
      </c>
      <c r="H141" s="79"/>
      <c r="K141" s="73">
        <v>0</v>
      </c>
      <c r="L141" s="50">
        <f t="shared" si="25"/>
        <v>59329.65715247715</v>
      </c>
      <c r="N141" s="2" t="s">
        <v>32</v>
      </c>
      <c r="O141" s="73">
        <v>36</v>
      </c>
      <c r="P141" s="79">
        <f ca="1">OFFSET('Function Factors'!$B$9,$O141-1,P$14)*$L141+OFFSET('Function Factors'!$B$9,$K141-1,P$14)*$H141</f>
        <v>0</v>
      </c>
      <c r="R141" s="79">
        <f ca="1">OFFSET('Function Factors'!$B$9,$O141-1,R$14)*$L141+OFFSET('Function Factors'!$B$9,$K141-1,R$14)*$H141</f>
        <v>0</v>
      </c>
      <c r="S141" s="79"/>
      <c r="T141" s="79">
        <f ca="1">OFFSET('Function Factors'!$B$9,$O141-1,T$14)*$L141+OFFSET('Function Factors'!$B$9,$K141-1,T$14)*$H141</f>
        <v>0</v>
      </c>
      <c r="U141" s="79"/>
      <c r="V141" s="79">
        <f ca="1">OFFSET('Function Factors'!$B$9,$O141-1,V$14)*$L141+OFFSET('Function Factors'!$B$9,$K141-1,V$14)*$H141</f>
        <v>59329.65715247715</v>
      </c>
      <c r="X141" s="79">
        <f t="shared" ca="1" si="41"/>
        <v>59329.65715247715</v>
      </c>
      <c r="Z141" s="51" t="str">
        <f t="shared" ca="1" si="36"/>
        <v/>
      </c>
      <c r="AC141" s="93">
        <v>20405.421374016114</v>
      </c>
      <c r="AD141" s="37">
        <f t="shared" si="43"/>
        <v>0.34393290562212764</v>
      </c>
      <c r="AF141" s="8">
        <f t="shared" ca="1" si="29"/>
        <v>0</v>
      </c>
      <c r="AH141" s="8">
        <f t="shared" ca="1" si="30"/>
        <v>0</v>
      </c>
      <c r="AJ141" s="8">
        <f t="shared" ca="1" si="31"/>
        <v>0</v>
      </c>
      <c r="AL141" s="8">
        <f t="shared" ca="1" si="32"/>
        <v>20405.421374016114</v>
      </c>
      <c r="AN141" s="8">
        <f t="shared" ca="1" si="33"/>
        <v>20405.421374016114</v>
      </c>
    </row>
    <row r="142" spans="2:46" x14ac:dyDescent="0.2">
      <c r="B142" s="18">
        <f t="shared" si="42"/>
        <v>87</v>
      </c>
      <c r="D142" s="36" t="s">
        <v>21</v>
      </c>
      <c r="F142" s="79">
        <v>8901.2312001131213</v>
      </c>
      <c r="H142" s="79"/>
      <c r="K142" s="73">
        <v>0</v>
      </c>
      <c r="L142" s="50">
        <f t="shared" si="25"/>
        <v>8901.2312001131213</v>
      </c>
      <c r="N142" s="2" t="s">
        <v>32</v>
      </c>
      <c r="O142" s="73">
        <v>36</v>
      </c>
      <c r="P142" s="79">
        <f ca="1">OFFSET('Function Factors'!$B$9,$O142-1,P$14)*$L142+OFFSET('Function Factors'!$B$9,$K142-1,P$14)*$H142</f>
        <v>0</v>
      </c>
      <c r="R142" s="79">
        <f ca="1">OFFSET('Function Factors'!$B$9,$O142-1,R$14)*$L142+OFFSET('Function Factors'!$B$9,$K142-1,R$14)*$H142</f>
        <v>0</v>
      </c>
      <c r="S142" s="79"/>
      <c r="T142" s="79">
        <f ca="1">OFFSET('Function Factors'!$B$9,$O142-1,T$14)*$L142+OFFSET('Function Factors'!$B$9,$K142-1,T$14)*$H142</f>
        <v>0</v>
      </c>
      <c r="U142" s="79"/>
      <c r="V142" s="79">
        <f ca="1">OFFSET('Function Factors'!$B$9,$O142-1,V$14)*$L142+OFFSET('Function Factors'!$B$9,$K142-1,V$14)*$H142</f>
        <v>8901.2312001131213</v>
      </c>
      <c r="X142" s="79">
        <f t="shared" ca="1" si="41"/>
        <v>8901.2312001131213</v>
      </c>
      <c r="Z142" s="51" t="str">
        <f t="shared" ca="1" si="36"/>
        <v/>
      </c>
      <c r="AC142" s="93">
        <v>4222.653922803057</v>
      </c>
      <c r="AD142" s="37">
        <f t="shared" si="43"/>
        <v>0.47438987122920628</v>
      </c>
      <c r="AF142" s="8">
        <f t="shared" ca="1" si="29"/>
        <v>0</v>
      </c>
      <c r="AH142" s="8">
        <f t="shared" ca="1" si="30"/>
        <v>0</v>
      </c>
      <c r="AJ142" s="8">
        <f t="shared" ca="1" si="31"/>
        <v>0</v>
      </c>
      <c r="AL142" s="8">
        <f t="shared" ca="1" si="32"/>
        <v>4222.653922803057</v>
      </c>
      <c r="AN142" s="8">
        <f t="shared" ca="1" si="33"/>
        <v>4222.653922803057</v>
      </c>
    </row>
    <row r="143" spans="2:46" x14ac:dyDescent="0.2">
      <c r="B143" s="18">
        <f t="shared" si="42"/>
        <v>88</v>
      </c>
      <c r="D143" s="36" t="s">
        <v>206</v>
      </c>
      <c r="F143" s="79">
        <v>352.78073788360939</v>
      </c>
      <c r="H143" s="79"/>
      <c r="K143" s="73">
        <v>0</v>
      </c>
      <c r="L143" s="50">
        <f t="shared" si="25"/>
        <v>352.78073788360939</v>
      </c>
      <c r="N143" s="2" t="s">
        <v>32</v>
      </c>
      <c r="O143" s="73">
        <v>36</v>
      </c>
      <c r="P143" s="79">
        <f ca="1">OFFSET('Function Factors'!$B$9,$O143-1,P$14)*$L143+OFFSET('Function Factors'!$B$9,$K143-1,P$14)*$H143</f>
        <v>0</v>
      </c>
      <c r="R143" s="79">
        <f ca="1">OFFSET('Function Factors'!$B$9,$O143-1,R$14)*$L143+OFFSET('Function Factors'!$B$9,$K143-1,R$14)*$H143</f>
        <v>0</v>
      </c>
      <c r="S143" s="79"/>
      <c r="T143" s="79">
        <f ca="1">OFFSET('Function Factors'!$B$9,$O143-1,T$14)*$L143+OFFSET('Function Factors'!$B$9,$K143-1,T$14)*$H143</f>
        <v>0</v>
      </c>
      <c r="U143" s="79"/>
      <c r="V143" s="79">
        <f ca="1">OFFSET('Function Factors'!$B$9,$O143-1,V$14)*$L143+OFFSET('Function Factors'!$B$9,$K143-1,V$14)*$H143</f>
        <v>352.78073788360939</v>
      </c>
      <c r="X143" s="79">
        <f t="shared" ca="1" si="41"/>
        <v>352.78073788360939</v>
      </c>
      <c r="Z143" s="51" t="str">
        <f t="shared" ca="1" si="36"/>
        <v/>
      </c>
      <c r="AC143" s="93">
        <v>165.61362128320948</v>
      </c>
      <c r="AD143" s="37">
        <f t="shared" si="43"/>
        <v>0.46945199524427916</v>
      </c>
      <c r="AF143" s="8">
        <f t="shared" ca="1" si="29"/>
        <v>0</v>
      </c>
      <c r="AH143" s="8">
        <f t="shared" ca="1" si="30"/>
        <v>0</v>
      </c>
      <c r="AJ143" s="8">
        <f t="shared" ca="1" si="31"/>
        <v>0</v>
      </c>
      <c r="AL143" s="8">
        <f t="shared" ca="1" si="32"/>
        <v>165.61362128320948</v>
      </c>
      <c r="AN143" s="8">
        <f t="shared" ca="1" si="33"/>
        <v>165.61362128320948</v>
      </c>
    </row>
    <row r="144" spans="2:46" x14ac:dyDescent="0.2">
      <c r="D144" s="1" t="s">
        <v>207</v>
      </c>
      <c r="J144" s="31"/>
      <c r="Z144" s="51" t="str">
        <f t="shared" si="36"/>
        <v/>
      </c>
      <c r="AF144" s="8"/>
      <c r="AH144" s="8"/>
      <c r="AJ144" s="8"/>
      <c r="AL144" s="8"/>
      <c r="AN144" s="8"/>
    </row>
    <row r="145" spans="2:40" x14ac:dyDescent="0.2">
      <c r="B145" s="18">
        <f>B143+1</f>
        <v>89</v>
      </c>
      <c r="D145" s="36" t="s">
        <v>208</v>
      </c>
      <c r="F145" s="79">
        <v>197654.2230046961</v>
      </c>
      <c r="H145" s="50">
        <f ca="1">IF(K145&lt;&gt;0,OFFSET('Function Factors'!$A$8,$K145-1,3),0)</f>
        <v>2940.7050695282501</v>
      </c>
      <c r="J145" s="2" t="s">
        <v>349</v>
      </c>
      <c r="K145" s="73">
        <v>15</v>
      </c>
      <c r="L145" s="50">
        <f t="shared" ca="1" si="25"/>
        <v>194713.51793516785</v>
      </c>
      <c r="N145" s="2" t="s">
        <v>118</v>
      </c>
      <c r="O145" s="73">
        <v>42</v>
      </c>
      <c r="P145" s="79">
        <f ca="1">OFFSET('Function Factors'!$B$9,$O145-1,P$14)*$L145+OFFSET('Function Factors'!$B$9,$K145-1,P$14)*$H145</f>
        <v>2546.4739944630078</v>
      </c>
      <c r="R145" s="79">
        <f ca="1">OFFSET('Function Factors'!$B$9,$O145-1,R$14)*$L145+OFFSET('Function Factors'!$B$9,$K145-1,R$14)*$H145</f>
        <v>7271.6222767735126</v>
      </c>
      <c r="S145" s="79"/>
      <c r="T145" s="79">
        <f ca="1">OFFSET('Function Factors'!$B$9,$O145-1,T$14)*$L145+OFFSET('Function Factors'!$B$9,$K145-1,T$14)*$H145</f>
        <v>17848.649151574664</v>
      </c>
      <c r="U145" s="79"/>
      <c r="V145" s="79">
        <f ca="1">OFFSET('Function Factors'!$B$9,$O145-1,V$14)*$L145+OFFSET('Function Factors'!$B$9,$K145-1,V$14)*$H145</f>
        <v>169987.47758188492</v>
      </c>
      <c r="X145" s="79">
        <f t="shared" ref="X145" ca="1" si="44">P145+R145+T145+V145</f>
        <v>197654.2230046961</v>
      </c>
      <c r="Z145" s="51" t="str">
        <f t="shared" ca="1" si="36"/>
        <v/>
      </c>
      <c r="AC145" s="93">
        <v>81707.999598993221</v>
      </c>
      <c r="AD145" s="37">
        <f ca="1">IFERROR(AC145/L145,0)</f>
        <v>0.41963188003309998</v>
      </c>
      <c r="AF145" s="8">
        <v>0</v>
      </c>
      <c r="AH145" s="8">
        <v>3051.4045268930399</v>
      </c>
      <c r="AJ145" s="8">
        <v>7489.8621995264712</v>
      </c>
      <c r="AL145" s="8">
        <v>71166.732872573702</v>
      </c>
      <c r="AN145" s="8">
        <f t="shared" si="33"/>
        <v>81707.999598993221</v>
      </c>
    </row>
    <row r="146" spans="2:40" x14ac:dyDescent="0.2">
      <c r="D146" s="1" t="s">
        <v>209</v>
      </c>
      <c r="Z146" s="51" t="str">
        <f t="shared" si="36"/>
        <v/>
      </c>
      <c r="AF146" s="8"/>
      <c r="AH146" s="8"/>
      <c r="AJ146" s="8"/>
      <c r="AL146" s="8"/>
      <c r="AN146" s="8"/>
    </row>
    <row r="147" spans="2:40" x14ac:dyDescent="0.2">
      <c r="B147" s="18">
        <f>B145+1</f>
        <v>90</v>
      </c>
      <c r="D147" s="36" t="s">
        <v>177</v>
      </c>
      <c r="F147" s="79">
        <v>10182.521136802581</v>
      </c>
      <c r="H147" s="79"/>
      <c r="K147" s="73">
        <v>0</v>
      </c>
      <c r="L147" s="50">
        <f t="shared" si="25"/>
        <v>10182.521136802581</v>
      </c>
      <c r="N147" s="2" t="s">
        <v>32</v>
      </c>
      <c r="O147" s="73">
        <v>36</v>
      </c>
      <c r="P147" s="79">
        <f ca="1">OFFSET('Function Factors'!$B$9,$O147-1,P$14)*$L147+OFFSET('Function Factors'!$B$9,$K147-1,P$14)*$H147</f>
        <v>0</v>
      </c>
      <c r="R147" s="79">
        <f ca="1">OFFSET('Function Factors'!$B$9,$O147-1,R$14)*$L147+OFFSET('Function Factors'!$B$9,$K147-1,R$14)*$H147</f>
        <v>0</v>
      </c>
      <c r="S147" s="79"/>
      <c r="T147" s="79">
        <f ca="1">OFFSET('Function Factors'!$B$9,$O147-1,T$14)*$L147+OFFSET('Function Factors'!$B$9,$K147-1,T$14)*$H147</f>
        <v>0</v>
      </c>
      <c r="U147" s="79"/>
      <c r="V147" s="79">
        <f ca="1">OFFSET('Function Factors'!$B$9,$O147-1,V$14)*$L147+OFFSET('Function Factors'!$B$9,$K147-1,V$14)*$H147</f>
        <v>10182.521136802581</v>
      </c>
      <c r="X147" s="79">
        <f t="shared" ref="X147:X149" ca="1" si="45">P147+R147+T147+V147</f>
        <v>10182.521136802581</v>
      </c>
      <c r="Z147" s="51" t="str">
        <f t="shared" ca="1" si="36"/>
        <v/>
      </c>
      <c r="AC147" s="93">
        <v>6545.1150972226396</v>
      </c>
      <c r="AD147" s="37">
        <f t="shared" ref="AD147:AD149" si="46">IFERROR(AC147/F147,0)</f>
        <v>0.64277942655740705</v>
      </c>
      <c r="AF147" s="8">
        <f t="shared" ca="1" si="29"/>
        <v>0</v>
      </c>
      <c r="AH147" s="8">
        <f t="shared" ca="1" si="30"/>
        <v>0</v>
      </c>
      <c r="AJ147" s="8">
        <f t="shared" ca="1" si="31"/>
        <v>0</v>
      </c>
      <c r="AL147" s="8">
        <f t="shared" ca="1" si="32"/>
        <v>6545.1150972226396</v>
      </c>
      <c r="AN147" s="8">
        <f t="shared" ca="1" si="33"/>
        <v>6545.1150972226396</v>
      </c>
    </row>
    <row r="148" spans="2:40" x14ac:dyDescent="0.2">
      <c r="B148" s="18">
        <f>B147+1</f>
        <v>91</v>
      </c>
      <c r="D148" s="36" t="s">
        <v>122</v>
      </c>
      <c r="F148" s="79">
        <v>150927.52203758305</v>
      </c>
      <c r="H148" s="79"/>
      <c r="K148" s="73">
        <v>0</v>
      </c>
      <c r="L148" s="50">
        <f t="shared" si="25"/>
        <v>150927.52203758305</v>
      </c>
      <c r="N148" s="2" t="s">
        <v>32</v>
      </c>
      <c r="O148" s="73">
        <v>36</v>
      </c>
      <c r="P148" s="79">
        <f ca="1">OFFSET('Function Factors'!$B$9,$O148-1,P$14)*$L148+OFFSET('Function Factors'!$B$9,$K148-1,P$14)*$H148</f>
        <v>0</v>
      </c>
      <c r="R148" s="79">
        <f ca="1">OFFSET('Function Factors'!$B$9,$O148-1,R$14)*$L148+OFFSET('Function Factors'!$B$9,$K148-1,R$14)*$H148</f>
        <v>0</v>
      </c>
      <c r="S148" s="79"/>
      <c r="T148" s="79">
        <f ca="1">OFFSET('Function Factors'!$B$9,$O148-1,T$14)*$L148+OFFSET('Function Factors'!$B$9,$K148-1,T$14)*$H148</f>
        <v>0</v>
      </c>
      <c r="U148" s="79"/>
      <c r="V148" s="79">
        <f ca="1">OFFSET('Function Factors'!$B$9,$O148-1,V$14)*$L148+OFFSET('Function Factors'!$B$9,$K148-1,V$14)*$H148</f>
        <v>150927.52203758305</v>
      </c>
      <c r="X148" s="79">
        <f t="shared" ca="1" si="45"/>
        <v>150927.52203758305</v>
      </c>
      <c r="Z148" s="51" t="str">
        <f t="shared" ca="1" si="36"/>
        <v/>
      </c>
      <c r="AC148" s="93">
        <v>0</v>
      </c>
      <c r="AD148" s="37">
        <f t="shared" si="46"/>
        <v>0</v>
      </c>
      <c r="AF148" s="8">
        <f t="shared" ca="1" si="29"/>
        <v>0</v>
      </c>
      <c r="AH148" s="8">
        <f t="shared" ca="1" si="30"/>
        <v>0</v>
      </c>
      <c r="AJ148" s="8">
        <f t="shared" ca="1" si="31"/>
        <v>0</v>
      </c>
      <c r="AL148" s="8">
        <f t="shared" ca="1" si="32"/>
        <v>0</v>
      </c>
      <c r="AN148" s="8">
        <f t="shared" ca="1" si="33"/>
        <v>0</v>
      </c>
    </row>
    <row r="149" spans="2:40" x14ac:dyDescent="0.2">
      <c r="B149" s="18">
        <f t="shared" ref="B149" si="47">B148+1</f>
        <v>92</v>
      </c>
      <c r="D149" s="36" t="s">
        <v>210</v>
      </c>
      <c r="F149" s="79">
        <v>32154.405162180323</v>
      </c>
      <c r="H149" s="79"/>
      <c r="K149" s="73">
        <v>0</v>
      </c>
      <c r="L149" s="50">
        <f t="shared" si="25"/>
        <v>32154.405162180323</v>
      </c>
      <c r="N149" s="2" t="s">
        <v>32</v>
      </c>
      <c r="O149" s="73">
        <v>36</v>
      </c>
      <c r="P149" s="79">
        <f ca="1">OFFSET('Function Factors'!$B$9,$O149-1,P$14)*$L149+OFFSET('Function Factors'!$B$9,$K149-1,P$14)*$H149</f>
        <v>0</v>
      </c>
      <c r="R149" s="79">
        <f ca="1">OFFSET('Function Factors'!$B$9,$O149-1,R$14)*$L149+OFFSET('Function Factors'!$B$9,$K149-1,R$14)*$H149</f>
        <v>0</v>
      </c>
      <c r="S149" s="79"/>
      <c r="T149" s="79">
        <f ca="1">OFFSET('Function Factors'!$B$9,$O149-1,T$14)*$L149+OFFSET('Function Factors'!$B$9,$K149-1,T$14)*$H149</f>
        <v>0</v>
      </c>
      <c r="U149" s="79"/>
      <c r="V149" s="79">
        <f ca="1">OFFSET('Function Factors'!$B$9,$O149-1,V$14)*$L149+OFFSET('Function Factors'!$B$9,$K149-1,V$14)*$H149</f>
        <v>32154.405162180323</v>
      </c>
      <c r="X149" s="79">
        <f t="shared" ca="1" si="45"/>
        <v>32154.405162180323</v>
      </c>
      <c r="Z149" s="51" t="str">
        <f t="shared" ca="1" si="36"/>
        <v/>
      </c>
      <c r="AC149" s="93">
        <v>18121.6757442331</v>
      </c>
      <c r="AD149" s="37">
        <f t="shared" si="46"/>
        <v>0.56358298817319208</v>
      </c>
      <c r="AF149" s="8">
        <f t="shared" ca="1" si="29"/>
        <v>0</v>
      </c>
      <c r="AH149" s="8">
        <f t="shared" ca="1" si="30"/>
        <v>0</v>
      </c>
      <c r="AJ149" s="8">
        <f t="shared" ca="1" si="31"/>
        <v>0</v>
      </c>
      <c r="AL149" s="8">
        <f t="shared" ca="1" si="32"/>
        <v>18121.6757442331</v>
      </c>
      <c r="AN149" s="8">
        <f t="shared" ca="1" si="33"/>
        <v>18121.6757442331</v>
      </c>
    </row>
    <row r="150" spans="2:40" x14ac:dyDescent="0.2">
      <c r="D150" s="1" t="s">
        <v>72</v>
      </c>
      <c r="Z150" s="51" t="str">
        <f t="shared" si="36"/>
        <v/>
      </c>
      <c r="AF150" s="8"/>
      <c r="AH150" s="8"/>
      <c r="AJ150" s="8"/>
      <c r="AL150" s="8"/>
      <c r="AN150" s="8"/>
    </row>
    <row r="151" spans="2:40" x14ac:dyDescent="0.2">
      <c r="B151" s="18">
        <f>B149+1</f>
        <v>93</v>
      </c>
      <c r="D151" s="36" t="s">
        <v>171</v>
      </c>
      <c r="F151" s="79">
        <v>4294.5103658632952</v>
      </c>
      <c r="H151" s="50">
        <f ca="1">IF(K151&lt;&gt;0,OFFSET('Function Factors'!$A$8,$K151-1,3),0)</f>
        <v>1708.3898809221498</v>
      </c>
      <c r="J151" s="2" t="s">
        <v>153</v>
      </c>
      <c r="K151" s="73">
        <v>9</v>
      </c>
      <c r="L151" s="50">
        <f ca="1">F151-H151</f>
        <v>2586.1204849411452</v>
      </c>
      <c r="N151" s="2" t="s">
        <v>32</v>
      </c>
      <c r="O151" s="73">
        <v>36</v>
      </c>
      <c r="P151" s="79">
        <f ca="1">OFFSET('Function Factors'!$B$9,$O151-1,P$14)*$L151+OFFSET('Function Factors'!$B$9,$K151-1,P$14)*$H151</f>
        <v>1295.4715209674002</v>
      </c>
      <c r="R151" s="79">
        <f ca="1">OFFSET('Function Factors'!$B$9,$O151-1,R$14)*$L151+OFFSET('Function Factors'!$B$9,$K151-1,R$14)*$H151</f>
        <v>0</v>
      </c>
      <c r="S151" s="79"/>
      <c r="T151" s="79">
        <f ca="1">OFFSET('Function Factors'!$B$9,$O151-1,T$14)*$L151+OFFSET('Function Factors'!$B$9,$K151-1,T$14)*$H151</f>
        <v>0</v>
      </c>
      <c r="U151" s="79"/>
      <c r="V151" s="79">
        <f ca="1">OFFSET('Function Factors'!$B$9,$O151-1,V$14)*$L151+OFFSET('Function Factors'!$B$9,$K151-1,V$14)*$H151</f>
        <v>2999.0388448958947</v>
      </c>
      <c r="X151" s="79">
        <f t="shared" ref="X151:X157" ca="1" si="48">P151+R151+T151+V151</f>
        <v>4294.5103658632952</v>
      </c>
      <c r="Z151" s="51" t="str">
        <f t="shared" ca="1" si="36"/>
        <v/>
      </c>
      <c r="AC151" s="93">
        <v>4273.2481020128562</v>
      </c>
      <c r="AD151" s="37">
        <f ca="1">IFERROR(AC151/L151,0)</f>
        <v>1.6523778095010553</v>
      </c>
      <c r="AF151" s="8">
        <v>0</v>
      </c>
      <c r="AH151" s="8">
        <v>0</v>
      </c>
      <c r="AJ151" s="8">
        <v>0</v>
      </c>
      <c r="AL151" s="8">
        <v>4273.2481020128562</v>
      </c>
      <c r="AN151" s="8">
        <f t="shared" si="33"/>
        <v>4273.2481020128562</v>
      </c>
    </row>
    <row r="152" spans="2:40" x14ac:dyDescent="0.2">
      <c r="B152" s="18">
        <f>B151+1</f>
        <v>94</v>
      </c>
      <c r="D152" s="36" t="s">
        <v>211</v>
      </c>
      <c r="F152" s="79">
        <v>19535.319138357758</v>
      </c>
      <c r="H152" s="79"/>
      <c r="K152" s="73">
        <v>0</v>
      </c>
      <c r="L152" s="50">
        <f t="shared" ref="L152:L156" si="49">F152-H152</f>
        <v>19535.319138357758</v>
      </c>
      <c r="N152" s="2" t="s">
        <v>32</v>
      </c>
      <c r="O152" s="73">
        <v>36</v>
      </c>
      <c r="P152" s="79">
        <f ca="1">OFFSET('Function Factors'!$B$9,$O152-1,P$14)*$L152+OFFSET('Function Factors'!$B$9,$K152-1,P$14)*$H152</f>
        <v>0</v>
      </c>
      <c r="R152" s="79">
        <f ca="1">OFFSET('Function Factors'!$B$9,$O152-1,R$14)*$L152+OFFSET('Function Factors'!$B$9,$K152-1,R$14)*$H152</f>
        <v>0</v>
      </c>
      <c r="S152" s="79"/>
      <c r="T152" s="79">
        <f ca="1">OFFSET('Function Factors'!$B$9,$O152-1,T$14)*$L152+OFFSET('Function Factors'!$B$9,$K152-1,T$14)*$H152</f>
        <v>0</v>
      </c>
      <c r="U152" s="79"/>
      <c r="V152" s="79">
        <f ca="1">OFFSET('Function Factors'!$B$9,$O152-1,V$14)*$L152+OFFSET('Function Factors'!$B$9,$K152-1,V$14)*$H152</f>
        <v>19535.319138357758</v>
      </c>
      <c r="X152" s="79">
        <f t="shared" ca="1" si="48"/>
        <v>19535.319138357758</v>
      </c>
      <c r="Z152" s="51" t="str">
        <f t="shared" ca="1" si="36"/>
        <v/>
      </c>
      <c r="AC152" s="93">
        <v>8208.9423951896006</v>
      </c>
      <c r="AD152" s="37">
        <f t="shared" ref="AD152:AD157" si="50">IFERROR(AC152/F152,0)</f>
        <v>0.42021030406773724</v>
      </c>
      <c r="AF152" s="8">
        <f t="shared" ca="1" si="29"/>
        <v>0</v>
      </c>
      <c r="AH152" s="8">
        <f t="shared" ca="1" si="30"/>
        <v>0</v>
      </c>
      <c r="AJ152" s="8">
        <f t="shared" ca="1" si="31"/>
        <v>0</v>
      </c>
      <c r="AL152" s="8">
        <f t="shared" ca="1" si="32"/>
        <v>8208.9423951896006</v>
      </c>
      <c r="AN152" s="8">
        <f t="shared" ca="1" si="33"/>
        <v>8208.9423951896006</v>
      </c>
    </row>
    <row r="153" spans="2:40" x14ac:dyDescent="0.2">
      <c r="B153" s="18">
        <f>B152+1</f>
        <v>95</v>
      </c>
      <c r="D153" s="36" t="s">
        <v>172</v>
      </c>
      <c r="F153" s="79">
        <v>23437.232127810334</v>
      </c>
      <c r="H153" s="79"/>
      <c r="K153" s="73">
        <v>0</v>
      </c>
      <c r="L153" s="50">
        <f t="shared" si="49"/>
        <v>23437.232127810334</v>
      </c>
      <c r="N153" s="2" t="s">
        <v>32</v>
      </c>
      <c r="O153" s="73">
        <v>36</v>
      </c>
      <c r="P153" s="79">
        <f ca="1">OFFSET('Function Factors'!$B$9,$O153-1,P$14)*$L153+OFFSET('Function Factors'!$B$9,$K153-1,P$14)*$H153</f>
        <v>0</v>
      </c>
      <c r="R153" s="79">
        <f ca="1">OFFSET('Function Factors'!$B$9,$O153-1,R$14)*$L153+OFFSET('Function Factors'!$B$9,$K153-1,R$14)*$H153</f>
        <v>0</v>
      </c>
      <c r="S153" s="79"/>
      <c r="T153" s="79">
        <f ca="1">OFFSET('Function Factors'!$B$9,$O153-1,T$14)*$L153+OFFSET('Function Factors'!$B$9,$K153-1,T$14)*$H153</f>
        <v>0</v>
      </c>
      <c r="U153" s="79"/>
      <c r="V153" s="79">
        <f ca="1">OFFSET('Function Factors'!$B$9,$O153-1,V$14)*$L153+OFFSET('Function Factors'!$B$9,$K153-1,V$14)*$H153</f>
        <v>23437.232127810334</v>
      </c>
      <c r="X153" s="79">
        <f t="shared" ca="1" si="48"/>
        <v>23437.232127810334</v>
      </c>
      <c r="Z153" s="51" t="str">
        <f t="shared" ca="1" si="36"/>
        <v/>
      </c>
      <c r="AC153" s="93">
        <v>430.97034567832998</v>
      </c>
      <c r="AD153" s="37">
        <f t="shared" si="50"/>
        <v>1.8388278245832015E-2</v>
      </c>
      <c r="AF153" s="8">
        <f t="shared" ca="1" si="29"/>
        <v>0</v>
      </c>
      <c r="AH153" s="8">
        <f t="shared" ca="1" si="30"/>
        <v>0</v>
      </c>
      <c r="AJ153" s="8">
        <f t="shared" ca="1" si="31"/>
        <v>0</v>
      </c>
      <c r="AL153" s="8">
        <f t="shared" ca="1" si="32"/>
        <v>430.97034567832998</v>
      </c>
      <c r="AN153" s="8">
        <f t="shared" ca="1" si="33"/>
        <v>430.97034567832998</v>
      </c>
    </row>
    <row r="154" spans="2:40" x14ac:dyDescent="0.2">
      <c r="B154" s="18">
        <f t="shared" ref="B154:B157" si="51">B153+1</f>
        <v>96</v>
      </c>
      <c r="D154" s="36" t="s">
        <v>173</v>
      </c>
      <c r="F154" s="79">
        <v>47499.389818864729</v>
      </c>
      <c r="H154" s="79"/>
      <c r="K154" s="73">
        <v>0</v>
      </c>
      <c r="L154" s="50">
        <f t="shared" si="49"/>
        <v>47499.389818864729</v>
      </c>
      <c r="N154" s="2" t="s">
        <v>32</v>
      </c>
      <c r="O154" s="73">
        <v>36</v>
      </c>
      <c r="P154" s="79">
        <f ca="1">OFFSET('Function Factors'!$B$9,$O154-1,P$14)*$L154+OFFSET('Function Factors'!$B$9,$K154-1,P$14)*$H154</f>
        <v>0</v>
      </c>
      <c r="R154" s="79">
        <f ca="1">OFFSET('Function Factors'!$B$9,$O154-1,R$14)*$L154+OFFSET('Function Factors'!$B$9,$K154-1,R$14)*$H154</f>
        <v>0</v>
      </c>
      <c r="S154" s="79"/>
      <c r="T154" s="79">
        <f ca="1">OFFSET('Function Factors'!$B$9,$O154-1,T$14)*$L154+OFFSET('Function Factors'!$B$9,$K154-1,T$14)*$H154</f>
        <v>0</v>
      </c>
      <c r="U154" s="79"/>
      <c r="V154" s="79">
        <f ca="1">OFFSET('Function Factors'!$B$9,$O154-1,V$14)*$L154+OFFSET('Function Factors'!$B$9,$K154-1,V$14)*$H154</f>
        <v>47499.389818864729</v>
      </c>
      <c r="X154" s="79">
        <f t="shared" ca="1" si="48"/>
        <v>47499.389818864729</v>
      </c>
      <c r="Z154" s="51" t="str">
        <f t="shared" ca="1" si="36"/>
        <v/>
      </c>
      <c r="AC154" s="93">
        <v>4988.9291576484293</v>
      </c>
      <c r="AD154" s="37">
        <f t="shared" si="50"/>
        <v>0.10503143675473152</v>
      </c>
      <c r="AF154" s="8">
        <f t="shared" ca="1" si="29"/>
        <v>0</v>
      </c>
      <c r="AH154" s="8">
        <f t="shared" ca="1" si="30"/>
        <v>0</v>
      </c>
      <c r="AJ154" s="8">
        <f t="shared" ca="1" si="31"/>
        <v>0</v>
      </c>
      <c r="AL154" s="8">
        <f t="shared" ca="1" si="32"/>
        <v>4988.9291576484293</v>
      </c>
      <c r="AN154" s="8">
        <f t="shared" ca="1" si="33"/>
        <v>4988.9291576484293</v>
      </c>
    </row>
    <row r="155" spans="2:40" x14ac:dyDescent="0.2">
      <c r="B155" s="18">
        <f t="shared" si="51"/>
        <v>97</v>
      </c>
      <c r="D155" s="36" t="s">
        <v>174</v>
      </c>
      <c r="F155" s="79">
        <v>6052.9452734375218</v>
      </c>
      <c r="H155" s="79"/>
      <c r="K155" s="73">
        <v>0</v>
      </c>
      <c r="L155" s="50">
        <f t="shared" si="49"/>
        <v>6052.9452734375218</v>
      </c>
      <c r="N155" s="2" t="s">
        <v>32</v>
      </c>
      <c r="O155" s="73">
        <v>36</v>
      </c>
      <c r="P155" s="79">
        <f ca="1">OFFSET('Function Factors'!$B$9,$O155-1,P$14)*$L155+OFFSET('Function Factors'!$B$9,$K155-1,P$14)*$H155</f>
        <v>0</v>
      </c>
      <c r="R155" s="79">
        <f ca="1">OFFSET('Function Factors'!$B$9,$O155-1,R$14)*$L155+OFFSET('Function Factors'!$B$9,$K155-1,R$14)*$H155</f>
        <v>0</v>
      </c>
      <c r="S155" s="79"/>
      <c r="T155" s="79">
        <f ca="1">OFFSET('Function Factors'!$B$9,$O155-1,T$14)*$L155+OFFSET('Function Factors'!$B$9,$K155-1,T$14)*$H155</f>
        <v>0</v>
      </c>
      <c r="U155" s="79"/>
      <c r="V155" s="79">
        <f ca="1">OFFSET('Function Factors'!$B$9,$O155-1,V$14)*$L155+OFFSET('Function Factors'!$B$9,$K155-1,V$14)*$H155</f>
        <v>6052.9452734375218</v>
      </c>
      <c r="X155" s="79">
        <f t="shared" ca="1" si="48"/>
        <v>6052.9452734375218</v>
      </c>
      <c r="Z155" s="51" t="str">
        <f t="shared" ca="1" si="36"/>
        <v/>
      </c>
      <c r="AC155" s="93">
        <v>5323.0427163833365</v>
      </c>
      <c r="AD155" s="37">
        <f t="shared" si="50"/>
        <v>0.87941365334042298</v>
      </c>
      <c r="AF155" s="8">
        <f t="shared" ca="1" si="29"/>
        <v>0</v>
      </c>
      <c r="AH155" s="8">
        <f t="shared" ca="1" si="30"/>
        <v>0</v>
      </c>
      <c r="AJ155" s="8">
        <f t="shared" ca="1" si="31"/>
        <v>0</v>
      </c>
      <c r="AL155" s="8">
        <f t="shared" ca="1" si="32"/>
        <v>5323.0427163833365</v>
      </c>
      <c r="AN155" s="8">
        <f t="shared" ca="1" si="33"/>
        <v>5323.0427163833365</v>
      </c>
    </row>
    <row r="156" spans="2:40" x14ac:dyDescent="0.2">
      <c r="B156" s="18">
        <f t="shared" si="51"/>
        <v>98</v>
      </c>
      <c r="D156" s="36" t="s">
        <v>175</v>
      </c>
      <c r="F156" s="79">
        <v>6258.7532042938401</v>
      </c>
      <c r="H156" s="79"/>
      <c r="K156" s="73">
        <v>0</v>
      </c>
      <c r="L156" s="50">
        <f t="shared" si="49"/>
        <v>6258.7532042938401</v>
      </c>
      <c r="N156" s="2" t="s">
        <v>32</v>
      </c>
      <c r="O156" s="73">
        <v>36</v>
      </c>
      <c r="P156" s="79">
        <f ca="1">OFFSET('Function Factors'!$B$9,$O156-1,P$14)*$L156+OFFSET('Function Factors'!$B$9,$K156-1,P$14)*$H156</f>
        <v>0</v>
      </c>
      <c r="R156" s="79">
        <f ca="1">OFFSET('Function Factors'!$B$9,$O156-1,R$14)*$L156+OFFSET('Function Factors'!$B$9,$K156-1,R$14)*$H156</f>
        <v>0</v>
      </c>
      <c r="S156" s="79"/>
      <c r="T156" s="79">
        <f ca="1">OFFSET('Function Factors'!$B$9,$O156-1,T$14)*$L156+OFFSET('Function Factors'!$B$9,$K156-1,T$14)*$H156</f>
        <v>0</v>
      </c>
      <c r="U156" s="79"/>
      <c r="V156" s="79">
        <f ca="1">OFFSET('Function Factors'!$B$9,$O156-1,V$14)*$L156+OFFSET('Function Factors'!$B$9,$K156-1,V$14)*$H156</f>
        <v>6258.7532042938401</v>
      </c>
      <c r="X156" s="79">
        <f t="shared" ca="1" si="48"/>
        <v>6258.7532042938401</v>
      </c>
      <c r="Z156" s="51" t="str">
        <f t="shared" ca="1" si="36"/>
        <v/>
      </c>
      <c r="AC156" s="93">
        <v>1248.1922043138802</v>
      </c>
      <c r="AD156" s="37">
        <f t="shared" si="50"/>
        <v>0.19943144641932095</v>
      </c>
      <c r="AF156" s="8">
        <f t="shared" ca="1" si="29"/>
        <v>0</v>
      </c>
      <c r="AH156" s="8">
        <f t="shared" ca="1" si="30"/>
        <v>0</v>
      </c>
      <c r="AJ156" s="8">
        <f t="shared" ca="1" si="31"/>
        <v>0</v>
      </c>
      <c r="AL156" s="8">
        <f t="shared" ca="1" si="32"/>
        <v>1248.1922043138802</v>
      </c>
      <c r="AN156" s="8">
        <f t="shared" ca="1" si="33"/>
        <v>1248.1922043138802</v>
      </c>
    </row>
    <row r="157" spans="2:40" x14ac:dyDescent="0.2">
      <c r="B157" s="18">
        <f t="shared" si="51"/>
        <v>99</v>
      </c>
      <c r="D157" s="36" t="s">
        <v>176</v>
      </c>
      <c r="F157" s="79">
        <v>21966.003061248291</v>
      </c>
      <c r="H157" s="50">
        <f ca="1">IF(K157&lt;&gt;0,OFFSET('Function Factors'!$A$8,$K157-1,3),0)</f>
        <v>10151.221525209376</v>
      </c>
      <c r="J157" s="2" t="s">
        <v>354</v>
      </c>
      <c r="K157" s="73">
        <v>18</v>
      </c>
      <c r="L157" s="50">
        <f ca="1">F157-H157</f>
        <v>11814.781536038916</v>
      </c>
      <c r="N157" s="2" t="s">
        <v>32</v>
      </c>
      <c r="O157" s="73">
        <v>36</v>
      </c>
      <c r="P157" s="79">
        <f ca="1">OFFSET('Function Factors'!$B$9,$O157-1,P$14)*$L157+OFFSET('Function Factors'!$B$9,$K157-1,P$14)*$H157</f>
        <v>10151.221525209376</v>
      </c>
      <c r="R157" s="79">
        <f ca="1">OFFSET('Function Factors'!$B$9,$O157-1,R$14)*$L157+OFFSET('Function Factors'!$B$9,$K157-1,R$14)*$H157</f>
        <v>0</v>
      </c>
      <c r="S157" s="79"/>
      <c r="T157" s="79">
        <f ca="1">OFFSET('Function Factors'!$B$9,$O157-1,T$14)*$L157+OFFSET('Function Factors'!$B$9,$K157-1,T$14)*$H157</f>
        <v>0</v>
      </c>
      <c r="U157" s="79"/>
      <c r="V157" s="79">
        <f ca="1">OFFSET('Function Factors'!$B$9,$O157-1,V$14)*$L157+OFFSET('Function Factors'!$B$9,$K157-1,V$14)*$H157</f>
        <v>11814.781536038916</v>
      </c>
      <c r="X157" s="79">
        <f t="shared" ca="1" si="48"/>
        <v>21966.003061248291</v>
      </c>
      <c r="Z157" s="51" t="str">
        <f t="shared" ca="1" si="36"/>
        <v/>
      </c>
      <c r="AC157" s="93">
        <v>0</v>
      </c>
      <c r="AD157" s="37">
        <f t="shared" si="50"/>
        <v>0</v>
      </c>
      <c r="AF157" s="8">
        <f t="shared" ca="1" si="29"/>
        <v>0</v>
      </c>
      <c r="AH157" s="8">
        <f t="shared" ca="1" si="30"/>
        <v>0</v>
      </c>
      <c r="AJ157" s="8">
        <f t="shared" ca="1" si="31"/>
        <v>0</v>
      </c>
      <c r="AL157" s="8">
        <f t="shared" ca="1" si="32"/>
        <v>0</v>
      </c>
      <c r="AN157" s="8">
        <f t="shared" ca="1" si="33"/>
        <v>0</v>
      </c>
    </row>
    <row r="158" spans="2:40" x14ac:dyDescent="0.2">
      <c r="D158" s="1" t="s">
        <v>212</v>
      </c>
      <c r="Z158" s="51" t="str">
        <f t="shared" si="36"/>
        <v/>
      </c>
      <c r="AF158" s="8"/>
      <c r="AH158" s="8"/>
      <c r="AJ158" s="8"/>
      <c r="AL158" s="8"/>
      <c r="AN158" s="8"/>
    </row>
    <row r="159" spans="2:40" x14ac:dyDescent="0.2">
      <c r="B159" s="18">
        <f>B157+1</f>
        <v>100</v>
      </c>
      <c r="D159" s="36" t="s">
        <v>87</v>
      </c>
      <c r="F159" s="79">
        <v>176362.21253862113</v>
      </c>
      <c r="H159" s="50">
        <f ca="1">IF(K159&lt;&gt;0,OFFSET('Function Factors'!$A$8,$K159-1,3),0)</f>
        <v>2531.2823068200137</v>
      </c>
      <c r="J159" s="2" t="s">
        <v>154</v>
      </c>
      <c r="K159" s="73">
        <v>12</v>
      </c>
      <c r="L159" s="50">
        <f t="shared" ca="1" si="25"/>
        <v>173830.93023180112</v>
      </c>
      <c r="N159" s="2" t="s">
        <v>88</v>
      </c>
      <c r="O159" s="73">
        <v>54</v>
      </c>
      <c r="P159" s="79">
        <f ca="1">OFFSET('Function Factors'!$B$9,$O159-1,P$14)*$L159+OFFSET('Function Factors'!$B$9,$K159-1,P$14)*$H159</f>
        <v>2104.1517941099964</v>
      </c>
      <c r="R159" s="79">
        <f ca="1">OFFSET('Function Factors'!$B$9,$O159-1,R$14)*$L159+OFFSET('Function Factors'!$B$9,$K159-1,R$14)*$H159</f>
        <v>10406.168494020048</v>
      </c>
      <c r="S159" s="79"/>
      <c r="T159" s="79">
        <f ca="1">OFFSET('Function Factors'!$B$9,$O159-1,T$14)*$L159+OFFSET('Function Factors'!$B$9,$K159-1,T$14)*$H159</f>
        <v>12393.267122205594</v>
      </c>
      <c r="U159" s="79"/>
      <c r="V159" s="79">
        <f ca="1">OFFSET('Function Factors'!$B$9,$O159-1,V$14)*$L159+OFFSET('Function Factors'!$B$9,$K159-1,V$14)*$H159</f>
        <v>151458.62512828552</v>
      </c>
      <c r="X159" s="79">
        <f t="shared" ref="X159:X160" ca="1" si="52">P159+R159+T159+V159</f>
        <v>176362.21253862116</v>
      </c>
      <c r="Z159" s="51" t="str">
        <f t="shared" ca="1" si="36"/>
        <v/>
      </c>
      <c r="AC159" s="93">
        <v>0</v>
      </c>
      <c r="AD159" s="37">
        <f t="shared" ref="AD159" si="53">IFERROR(AC159/F159,0)</f>
        <v>0</v>
      </c>
      <c r="AF159" s="8"/>
      <c r="AH159" s="8"/>
      <c r="AJ159" s="8"/>
      <c r="AL159" s="8"/>
      <c r="AN159" s="8"/>
    </row>
    <row r="160" spans="2:40" x14ac:dyDescent="0.2">
      <c r="B160" s="18">
        <f>B159+1</f>
        <v>101</v>
      </c>
      <c r="D160" s="36" t="s">
        <v>213</v>
      </c>
      <c r="F160" s="38">
        <v>218020.94145853553</v>
      </c>
      <c r="H160" s="50">
        <f ca="1">IF(K160&lt;&gt;0,OFFSET('Function Factors'!$A$8,$K160-1,3),0)</f>
        <v>5865.9645385754357</v>
      </c>
      <c r="J160" s="2" t="s">
        <v>155</v>
      </c>
      <c r="K160" s="73">
        <v>6</v>
      </c>
      <c r="L160" s="50">
        <f ca="1">F160-H160</f>
        <v>212154.97691996009</v>
      </c>
      <c r="N160" s="2" t="s">
        <v>37</v>
      </c>
      <c r="O160" s="73">
        <v>84</v>
      </c>
      <c r="P160" s="79">
        <f ca="1">OFFSET('Function Factors'!$B$9,$O160-1,P$14)*$L160+OFFSET('Function Factors'!$B$9,$K160-1,P$14)*$H160</f>
        <v>4758.6044086021757</v>
      </c>
      <c r="R160" s="79">
        <f ca="1">OFFSET('Function Factors'!$B$9,$O160-1,R$14)*$L160+OFFSET('Function Factors'!$B$9,$K160-1,R$14)*$H160</f>
        <v>13722.89977979701</v>
      </c>
      <c r="S160" s="79"/>
      <c r="T160" s="79">
        <f ca="1">OFFSET('Function Factors'!$B$9,$O160-1,T$14)*$L160+OFFSET('Function Factors'!$B$9,$K160-1,T$14)*$H160</f>
        <v>15289.379593203619</v>
      </c>
      <c r="U160" s="79"/>
      <c r="V160" s="79">
        <f ca="1">OFFSET('Function Factors'!$B$9,$O160-1,V$14)*$L160+OFFSET('Function Factors'!$B$9,$K160-1,V$14)*$H160</f>
        <v>184250.05767693275</v>
      </c>
      <c r="X160" s="38">
        <f t="shared" ca="1" si="52"/>
        <v>218020.94145853556</v>
      </c>
      <c r="Z160" s="51" t="str">
        <f t="shared" ca="1" si="36"/>
        <v/>
      </c>
      <c r="AC160" s="93">
        <v>121615.23698714731</v>
      </c>
      <c r="AD160" s="37">
        <f ca="1">IFERROR(AC160/L160,0)</f>
        <v>0.57323772815864327</v>
      </c>
      <c r="AF160" s="8">
        <v>0</v>
      </c>
      <c r="AH160" s="8">
        <v>7866.4838935195839</v>
      </c>
      <c r="AJ160" s="8">
        <v>8764.4492229631633</v>
      </c>
      <c r="AL160" s="8">
        <v>104984.30387066457</v>
      </c>
      <c r="AN160" s="8">
        <f t="shared" si="33"/>
        <v>121615.23698714732</v>
      </c>
    </row>
    <row r="161" spans="2:40" x14ac:dyDescent="0.2">
      <c r="X161" s="50"/>
      <c r="Z161" s="51" t="str">
        <f t="shared" si="36"/>
        <v/>
      </c>
    </row>
    <row r="162" spans="2:40" x14ac:dyDescent="0.2">
      <c r="B162" s="18">
        <f>B160+1</f>
        <v>102</v>
      </c>
      <c r="D162" s="1" t="s">
        <v>399</v>
      </c>
      <c r="F162" s="81">
        <f>SUM(F116:F160)</f>
        <v>3408398.9906034837</v>
      </c>
      <c r="H162" s="81">
        <f ca="1">SUM(H116:H160)</f>
        <v>23197.563321055226</v>
      </c>
      <c r="L162" s="81">
        <f ca="1">SUM(L116:L160)</f>
        <v>3385201.4272824293</v>
      </c>
      <c r="P162" s="81">
        <f ca="1">SUM(P116:P160)</f>
        <v>2268393.9371493408</v>
      </c>
      <c r="Q162" s="50"/>
      <c r="R162" s="81">
        <f ca="1">SUM(R116:R160)</f>
        <v>83789.27223971051</v>
      </c>
      <c r="S162" s="50"/>
      <c r="T162" s="81">
        <f ca="1">SUM(T116:T160)</f>
        <v>109276.40884090039</v>
      </c>
      <c r="U162" s="50"/>
      <c r="V162" s="81">
        <f ca="1">SUM(V116:V160)</f>
        <v>946939.3723735325</v>
      </c>
      <c r="X162" s="81">
        <f ca="1">SUM(X116:X160)</f>
        <v>3408398.9906034842</v>
      </c>
      <c r="Z162" s="51" t="str">
        <f t="shared" ca="1" si="36"/>
        <v/>
      </c>
      <c r="AC162" s="81">
        <f>SUM(AC116:AC161)</f>
        <v>302587.37595488038</v>
      </c>
      <c r="AF162" s="81">
        <f ca="1">SUM(AF116:AF161)</f>
        <v>0</v>
      </c>
      <c r="AH162" s="81">
        <f ca="1">SUM(AH116:AH161)</f>
        <v>18114.010056501611</v>
      </c>
      <c r="AJ162" s="81">
        <f ca="1">SUM(AJ116:AJ161)</f>
        <v>21572.951217688635</v>
      </c>
      <c r="AL162" s="81">
        <f ca="1">SUM(AL116:AL161)</f>
        <v>262900.4146806901</v>
      </c>
      <c r="AN162" s="81">
        <f ca="1">SUM(AN116:AN161)</f>
        <v>302587.37595488038</v>
      </c>
    </row>
    <row r="163" spans="2:40" x14ac:dyDescent="0.2">
      <c r="Z163" s="51" t="str">
        <f t="shared" si="36"/>
        <v/>
      </c>
    </row>
    <row r="164" spans="2:40" ht="13.5" thickBot="1" x14ac:dyDescent="0.25">
      <c r="B164" s="18">
        <f>B162+1</f>
        <v>103</v>
      </c>
      <c r="D164" s="1" t="s">
        <v>400</v>
      </c>
      <c r="F164" s="83">
        <f>F162+F104+F110+F97</f>
        <v>5329890.4041851545</v>
      </c>
      <c r="H164" s="83">
        <f ca="1">H162+H104+H110+H97</f>
        <v>23197.563321055226</v>
      </c>
      <c r="L164" s="83">
        <f ca="1">L162+L104+L110+L97</f>
        <v>5306692.8408641005</v>
      </c>
      <c r="P164" s="83">
        <f ca="1">P162+P104+P110+P97</f>
        <v>2268393.9371493408</v>
      </c>
      <c r="R164" s="83">
        <f ca="1">R162+R104+R110+R97</f>
        <v>193487.49708184868</v>
      </c>
      <c r="T164" s="83">
        <f ca="1">T162+T104+T110+T97</f>
        <v>403717.30409028684</v>
      </c>
      <c r="V164" s="83">
        <f ca="1">V162+V104+V110+V97</f>
        <v>2464291.6658636788</v>
      </c>
      <c r="X164" s="83">
        <f ca="1">X162+X104+X110+X97</f>
        <v>5329890.4041851554</v>
      </c>
      <c r="Z164" s="51" t="str">
        <f t="shared" ca="1" si="36"/>
        <v/>
      </c>
      <c r="AF164" s="24"/>
      <c r="AH164" s="24"/>
      <c r="AJ164" s="24"/>
      <c r="AL164" s="24"/>
      <c r="AN164" s="24"/>
    </row>
    <row r="165" spans="2:40" ht="13.5" thickTop="1" x14ac:dyDescent="0.2">
      <c r="F165" s="50"/>
      <c r="H165" s="50"/>
      <c r="L165" s="50"/>
      <c r="P165" s="50"/>
      <c r="R165" s="50"/>
      <c r="T165" s="50"/>
      <c r="V165" s="50"/>
      <c r="X165" s="50"/>
      <c r="Z165" s="51" t="str">
        <f t="shared" si="36"/>
        <v/>
      </c>
    </row>
    <row r="166" spans="2:40" x14ac:dyDescent="0.2">
      <c r="F166" s="50"/>
      <c r="H166" s="50"/>
      <c r="L166" s="50"/>
      <c r="P166" s="50"/>
      <c r="R166" s="50"/>
      <c r="T166" s="50"/>
      <c r="V166" s="50"/>
      <c r="X166" s="50"/>
      <c r="Z166" s="51" t="str">
        <f t="shared" si="36"/>
        <v/>
      </c>
      <c r="AH166" s="24"/>
      <c r="AJ166" s="24"/>
      <c r="AL166" s="24"/>
      <c r="AN166" s="24"/>
    </row>
    <row r="167" spans="2:40" x14ac:dyDescent="0.2">
      <c r="F167" s="50"/>
      <c r="H167" s="50"/>
      <c r="L167" s="50"/>
      <c r="P167" s="50"/>
      <c r="R167" s="50"/>
      <c r="T167" s="50"/>
      <c r="V167" s="50"/>
      <c r="X167" s="50"/>
      <c r="Z167" s="51" t="str">
        <f t="shared" si="36"/>
        <v/>
      </c>
    </row>
    <row r="168" spans="2:40" x14ac:dyDescent="0.2">
      <c r="D168" s="6" t="s">
        <v>109</v>
      </c>
      <c r="X168" s="50"/>
      <c r="Z168" s="51" t="str">
        <f t="shared" si="36"/>
        <v/>
      </c>
    </row>
    <row r="169" spans="2:40" x14ac:dyDescent="0.2">
      <c r="D169" s="6"/>
      <c r="F169" s="79"/>
      <c r="H169" s="79"/>
      <c r="L169" s="50"/>
      <c r="N169" s="2"/>
      <c r="P169" s="79"/>
      <c r="R169" s="79"/>
      <c r="S169" s="79"/>
      <c r="T169" s="79"/>
      <c r="U169" s="79"/>
      <c r="V169" s="79"/>
      <c r="X169" s="79"/>
      <c r="Z169" s="51" t="str">
        <f t="shared" si="36"/>
        <v/>
      </c>
    </row>
    <row r="170" spans="2:40" x14ac:dyDescent="0.2">
      <c r="B170" s="18">
        <f>B164+1</f>
        <v>104</v>
      </c>
      <c r="D170" s="1" t="s">
        <v>123</v>
      </c>
      <c r="F170" s="79">
        <v>2942.6114096800702</v>
      </c>
      <c r="H170" s="79"/>
      <c r="K170" s="73">
        <v>0</v>
      </c>
      <c r="L170" s="50">
        <f t="shared" ref="L170" si="54">F170-H170</f>
        <v>2942.6114096800702</v>
      </c>
      <c r="N170" s="2" t="s">
        <v>353</v>
      </c>
      <c r="O170" s="73">
        <v>39</v>
      </c>
      <c r="P170" s="79">
        <f ca="1">OFFSET('Function Factors'!$B$9,$O170-1,P$14)*$L170+OFFSET('Function Factors'!$B$9,$K170-1,P$14)*$H170</f>
        <v>2942.6114096800702</v>
      </c>
      <c r="R170" s="79">
        <f ca="1">OFFSET('Function Factors'!$B$9,$O170-1,R$14)*$L170+OFFSET('Function Factors'!$B$9,$K170-1,R$14)*$H170</f>
        <v>0</v>
      </c>
      <c r="S170" s="79"/>
      <c r="T170" s="79">
        <f ca="1">OFFSET('Function Factors'!$B$9,$O170-1,T$14)*$L170+OFFSET('Function Factors'!$B$9,$K170-1,T$14)*$H170</f>
        <v>0</v>
      </c>
      <c r="U170" s="79"/>
      <c r="V170" s="79">
        <f ca="1">OFFSET('Function Factors'!$B$9,$O170-1,V$14)*$L170+OFFSET('Function Factors'!$B$9,$K170-1,V$14)*$H170</f>
        <v>0</v>
      </c>
      <c r="X170" s="79">
        <f t="shared" ref="X170:X176" ca="1" si="55">P170+R170+T170+V170</f>
        <v>2942.6114096800702</v>
      </c>
      <c r="Z170" s="51" t="str">
        <f t="shared" ca="1" si="36"/>
        <v/>
      </c>
    </row>
    <row r="171" spans="2:40" x14ac:dyDescent="0.2">
      <c r="B171" s="18">
        <f t="shared" ref="B171:B176" si="56">B170+1</f>
        <v>105</v>
      </c>
      <c r="D171" s="1" t="s">
        <v>134</v>
      </c>
      <c r="F171" s="79">
        <v>2421.6385455058507</v>
      </c>
      <c r="H171" s="79"/>
      <c r="K171" s="73">
        <v>0</v>
      </c>
      <c r="L171" s="50">
        <f>F171-H171</f>
        <v>2421.6385455058507</v>
      </c>
      <c r="N171" s="2" t="s">
        <v>353</v>
      </c>
      <c r="O171" s="73">
        <v>39</v>
      </c>
      <c r="P171" s="79">
        <f ca="1">OFFSET('Function Factors'!$B$9,$O171-1,P$14)*$L171+OFFSET('Function Factors'!$B$9,$K171-1,P$14)*$H171</f>
        <v>2421.6385455058507</v>
      </c>
      <c r="R171" s="79">
        <f ca="1">OFFSET('Function Factors'!$B$9,$O171-1,R$14)*$L171+OFFSET('Function Factors'!$B$9,$K171-1,R$14)*$H171</f>
        <v>0</v>
      </c>
      <c r="S171" s="79"/>
      <c r="T171" s="79">
        <f ca="1">OFFSET('Function Factors'!$B$9,$O171-1,T$14)*$L171+OFFSET('Function Factors'!$B$9,$K171-1,T$14)*$H171</f>
        <v>0</v>
      </c>
      <c r="U171" s="79"/>
      <c r="V171" s="79">
        <f ca="1">OFFSET('Function Factors'!$B$9,$O171-1,V$14)*$L171+OFFSET('Function Factors'!$B$9,$K171-1,V$14)*$H171</f>
        <v>0</v>
      </c>
      <c r="X171" s="79">
        <f t="shared" ca="1" si="55"/>
        <v>2421.6385455058507</v>
      </c>
      <c r="Z171" s="51" t="str">
        <f t="shared" ca="1" si="36"/>
        <v/>
      </c>
    </row>
    <row r="172" spans="2:40" x14ac:dyDescent="0.2">
      <c r="B172" s="18">
        <f t="shared" si="56"/>
        <v>106</v>
      </c>
      <c r="D172" s="1" t="s">
        <v>110</v>
      </c>
      <c r="F172" s="79">
        <v>15336.5926054518</v>
      </c>
      <c r="H172" s="79"/>
      <c r="K172" s="73">
        <v>0</v>
      </c>
      <c r="L172" s="50">
        <f>F172-H172</f>
        <v>15336.5926054518</v>
      </c>
      <c r="N172" s="2" t="s">
        <v>353</v>
      </c>
      <c r="O172" s="73">
        <v>39</v>
      </c>
      <c r="P172" s="79">
        <f ca="1">OFFSET('Function Factors'!$B$9,$O172-1,P$14)*$L172+OFFSET('Function Factors'!$B$9,$K172-1,P$14)*$H172</f>
        <v>15336.5926054518</v>
      </c>
      <c r="R172" s="79">
        <f ca="1">OFFSET('Function Factors'!$B$9,$O172-1,R$14)*$L172+OFFSET('Function Factors'!$B$9,$K172-1,R$14)*$H172</f>
        <v>0</v>
      </c>
      <c r="S172" s="79"/>
      <c r="T172" s="79">
        <f ca="1">OFFSET('Function Factors'!$B$9,$O172-1,T$14)*$L172+OFFSET('Function Factors'!$B$9,$K172-1,T$14)*$H172</f>
        <v>0</v>
      </c>
      <c r="U172" s="79"/>
      <c r="V172" s="79">
        <f ca="1">OFFSET('Function Factors'!$B$9,$O172-1,V$14)*$L172+OFFSET('Function Factors'!$B$9,$K172-1,V$14)*$H172</f>
        <v>0</v>
      </c>
      <c r="X172" s="79">
        <f t="shared" ca="1" si="55"/>
        <v>15336.5926054518</v>
      </c>
      <c r="Z172" s="51" t="str">
        <f ca="1">IF(ROUND(F172,4)=ROUND(X172,4), "", "check")</f>
        <v/>
      </c>
    </row>
    <row r="173" spans="2:40" x14ac:dyDescent="0.2">
      <c r="B173" s="18">
        <f t="shared" si="56"/>
        <v>107</v>
      </c>
      <c r="D173" s="1" t="s">
        <v>125</v>
      </c>
      <c r="F173" s="79">
        <v>26870.623617239937</v>
      </c>
      <c r="H173" s="79"/>
      <c r="K173" s="73">
        <v>0</v>
      </c>
      <c r="L173" s="50">
        <f>F173-H173</f>
        <v>26870.623617239937</v>
      </c>
      <c r="N173" s="2" t="s">
        <v>32</v>
      </c>
      <c r="O173" s="73">
        <v>36</v>
      </c>
      <c r="P173" s="79">
        <f ca="1">OFFSET('Function Factors'!$B$9,$O173-1,P$14)*$L173+OFFSET('Function Factors'!$B$9,$K173-1,P$14)*$H173</f>
        <v>0</v>
      </c>
      <c r="R173" s="79">
        <f ca="1">OFFSET('Function Factors'!$B$9,$O173-1,R$14)*$L173+OFFSET('Function Factors'!$B$9,$K173-1,R$14)*$H173</f>
        <v>0</v>
      </c>
      <c r="S173" s="79"/>
      <c r="T173" s="79">
        <f ca="1">OFFSET('Function Factors'!$B$9,$O173-1,T$14)*$L173+OFFSET('Function Factors'!$B$9,$K173-1,T$14)*$H173</f>
        <v>0</v>
      </c>
      <c r="U173" s="79"/>
      <c r="V173" s="79">
        <f ca="1">OFFSET('Function Factors'!$B$9,$O173-1,V$14)*$L173+OFFSET('Function Factors'!$B$9,$K173-1,V$14)*$H173</f>
        <v>26870.623617239937</v>
      </c>
      <c r="X173" s="79">
        <f t="shared" ca="1" si="55"/>
        <v>26870.623617239937</v>
      </c>
      <c r="Z173" s="51" t="str">
        <f t="shared" ca="1" si="36"/>
        <v/>
      </c>
    </row>
    <row r="174" spans="2:40" x14ac:dyDescent="0.2">
      <c r="B174" s="18">
        <f>B173+1</f>
        <v>108</v>
      </c>
      <c r="D174" s="1" t="s">
        <v>126</v>
      </c>
      <c r="F174" s="79">
        <v>14283.139384300001</v>
      </c>
      <c r="H174" s="79"/>
      <c r="K174" s="73">
        <v>0</v>
      </c>
      <c r="L174" s="50">
        <f t="shared" ref="L174:L176" si="57">F174-H174</f>
        <v>14283.139384300001</v>
      </c>
      <c r="N174" s="2" t="s">
        <v>32</v>
      </c>
      <c r="O174" s="73">
        <v>36</v>
      </c>
      <c r="P174" s="79">
        <f ca="1">OFFSET('Function Factors'!$B$9,$O174-1,P$14)*$L174+OFFSET('Function Factors'!$B$9,$K174-1,P$14)*$H174</f>
        <v>0</v>
      </c>
      <c r="R174" s="79">
        <f ca="1">OFFSET('Function Factors'!$B$9,$O174-1,R$14)*$L174+OFFSET('Function Factors'!$B$9,$K174-1,R$14)*$H174</f>
        <v>0</v>
      </c>
      <c r="S174" s="79"/>
      <c r="T174" s="79">
        <f ca="1">OFFSET('Function Factors'!$B$9,$O174-1,T$14)*$L174+OFFSET('Function Factors'!$B$9,$K174-1,T$14)*$H174</f>
        <v>0</v>
      </c>
      <c r="U174" s="79"/>
      <c r="V174" s="79">
        <f ca="1">OFFSET('Function Factors'!$B$9,$O174-1,V$14)*$L174+OFFSET('Function Factors'!$B$9,$K174-1,V$14)*$H174</f>
        <v>14283.139384300001</v>
      </c>
      <c r="X174" s="79">
        <f t="shared" ca="1" si="55"/>
        <v>14283.139384300001</v>
      </c>
      <c r="Z174" s="51" t="e">
        <f ca="1">IF(ROUND(#REF!,4)=ROUND(X174,4), "", "check")</f>
        <v>#REF!</v>
      </c>
    </row>
    <row r="175" spans="2:40" x14ac:dyDescent="0.2">
      <c r="B175" s="18">
        <f t="shared" si="56"/>
        <v>109</v>
      </c>
      <c r="D175" s="1" t="s">
        <v>127</v>
      </c>
      <c r="F175" s="79">
        <v>17761.652743977927</v>
      </c>
      <c r="H175" s="79"/>
      <c r="K175" s="73">
        <v>0</v>
      </c>
      <c r="L175" s="50">
        <f t="shared" si="57"/>
        <v>17761.652743977927</v>
      </c>
      <c r="N175" s="2" t="s">
        <v>32</v>
      </c>
      <c r="O175" s="73">
        <v>36</v>
      </c>
      <c r="P175" s="79">
        <f ca="1">OFFSET('Function Factors'!$B$9,$O175-1,P$14)*$L175+OFFSET('Function Factors'!$B$9,$K175-1,P$14)*$H175</f>
        <v>0</v>
      </c>
      <c r="R175" s="79">
        <f ca="1">OFFSET('Function Factors'!$B$9,$O175-1,R$14)*$L175+OFFSET('Function Factors'!$B$9,$K175-1,R$14)*$H175</f>
        <v>0</v>
      </c>
      <c r="S175" s="79"/>
      <c r="T175" s="79">
        <f ca="1">OFFSET('Function Factors'!$B$9,$O175-1,T$14)*$L175+OFFSET('Function Factors'!$B$9,$K175-1,T$14)*$H175</f>
        <v>0</v>
      </c>
      <c r="U175" s="79"/>
      <c r="V175" s="79">
        <f ca="1">OFFSET('Function Factors'!$B$9,$O175-1,V$14)*$L175+OFFSET('Function Factors'!$B$9,$K175-1,V$14)*$H175</f>
        <v>17761.652743977927</v>
      </c>
      <c r="X175" s="79">
        <f t="shared" ca="1" si="55"/>
        <v>17761.652743977927</v>
      </c>
      <c r="Z175" s="51" t="str">
        <f ca="1">IF(ROUND(F174,4)=ROUND(X175,4), "", "check")</f>
        <v>check</v>
      </c>
    </row>
    <row r="176" spans="2:40" x14ac:dyDescent="0.2">
      <c r="B176" s="18">
        <f t="shared" si="56"/>
        <v>110</v>
      </c>
      <c r="D176" s="1" t="s">
        <v>387</v>
      </c>
      <c r="F176" s="79">
        <v>6017.1693334783249</v>
      </c>
      <c r="H176" s="79"/>
      <c r="K176" s="73">
        <v>0</v>
      </c>
      <c r="L176" s="50">
        <f t="shared" si="57"/>
        <v>6017.1693334783249</v>
      </c>
      <c r="N176" s="2" t="s">
        <v>32</v>
      </c>
      <c r="O176" s="73">
        <v>36</v>
      </c>
      <c r="P176" s="79">
        <f ca="1">OFFSET('Function Factors'!$B$9,$O176-1,P$14)*$L176+OFFSET('Function Factors'!$B$9,$K176-1,P$14)*$H176</f>
        <v>0</v>
      </c>
      <c r="R176" s="79">
        <f ca="1">OFFSET('Function Factors'!$B$9,$O176-1,R$14)*$L176+OFFSET('Function Factors'!$B$9,$K176-1,R$14)*$H176</f>
        <v>0</v>
      </c>
      <c r="S176" s="79"/>
      <c r="T176" s="79">
        <f ca="1">OFFSET('Function Factors'!$B$9,$O176-1,T$14)*$L176+OFFSET('Function Factors'!$B$9,$K176-1,T$14)*$H176</f>
        <v>0</v>
      </c>
      <c r="U176" s="79"/>
      <c r="V176" s="79">
        <f ca="1">OFFSET('Function Factors'!$B$9,$O176-1,V$14)*$L176+OFFSET('Function Factors'!$B$9,$K176-1,V$14)*$H176</f>
        <v>6017.1693334783249</v>
      </c>
      <c r="X176" s="79">
        <f t="shared" ca="1" si="55"/>
        <v>6017.1693334783249</v>
      </c>
      <c r="Z176" s="51" t="str">
        <f ca="1">IF(ROUND(F175,4)=ROUND(X176,4), "", "check")</f>
        <v>check</v>
      </c>
    </row>
    <row r="177" spans="2:26" x14ac:dyDescent="0.2">
      <c r="F177" s="79"/>
      <c r="X177" s="79"/>
      <c r="Z177" s="51" t="str">
        <f t="shared" si="36"/>
        <v/>
      </c>
    </row>
    <row r="178" spans="2:26" x14ac:dyDescent="0.2">
      <c r="B178" s="18">
        <f>B176+1</f>
        <v>111</v>
      </c>
      <c r="D178" s="1" t="s">
        <v>401</v>
      </c>
      <c r="F178" s="41">
        <f>SUM(F170:F176)</f>
        <v>85633.427639633912</v>
      </c>
      <c r="H178" s="41">
        <f>SUM(H170:H176)</f>
        <v>0</v>
      </c>
      <c r="L178" s="41">
        <f>SUM(L170:L176)</f>
        <v>85633.427639633912</v>
      </c>
      <c r="P178" s="41">
        <f ca="1">SUM(P170:P176)</f>
        <v>20700.84256063772</v>
      </c>
      <c r="Q178" s="50"/>
      <c r="R178" s="41">
        <f ca="1">SUM(R170:R176)</f>
        <v>0</v>
      </c>
      <c r="S178" s="50"/>
      <c r="T178" s="41">
        <f ca="1">SUM(T170:T176)</f>
        <v>0</v>
      </c>
      <c r="U178" s="50"/>
      <c r="V178" s="41">
        <f ca="1">SUM(V170:V176)</f>
        <v>64932.585078996191</v>
      </c>
      <c r="X178" s="41">
        <f ca="1">SUM(X170:X176)</f>
        <v>85633.427639633912</v>
      </c>
      <c r="Z178" s="51" t="str">
        <f t="shared" ca="1" si="36"/>
        <v/>
      </c>
    </row>
    <row r="179" spans="2:26" x14ac:dyDescent="0.2">
      <c r="Z179" s="51" t="str">
        <f t="shared" si="36"/>
        <v/>
      </c>
    </row>
    <row r="180" spans="2:26" ht="13.5" thickBot="1" x14ac:dyDescent="0.25">
      <c r="B180" s="18">
        <f>B178+1</f>
        <v>112</v>
      </c>
      <c r="D180" s="1" t="s">
        <v>148</v>
      </c>
      <c r="F180" s="83">
        <f>F164-F178</f>
        <v>5244256.9765455201</v>
      </c>
      <c r="H180" s="83">
        <f ca="1">H164-H178</f>
        <v>23197.563321055226</v>
      </c>
      <c r="L180" s="83">
        <f ca="1">L164-L178</f>
        <v>5221059.4132244661</v>
      </c>
      <c r="P180" s="83">
        <f ca="1">P164-P178</f>
        <v>2247693.094588703</v>
      </c>
      <c r="R180" s="83">
        <f ca="1">R164-R178</f>
        <v>193487.49708184868</v>
      </c>
      <c r="T180" s="83">
        <f ca="1">T164-T178</f>
        <v>403717.30409028684</v>
      </c>
      <c r="V180" s="83">
        <f ca="1">V164-V178</f>
        <v>2399359.0807846827</v>
      </c>
      <c r="X180" s="83">
        <f ca="1">X164-X178</f>
        <v>5244256.9765455211</v>
      </c>
      <c r="Z180" s="51" t="str">
        <f t="shared" ca="1" si="36"/>
        <v/>
      </c>
    </row>
    <row r="181" spans="2:26" ht="13.5" thickTop="1" x14ac:dyDescent="0.2">
      <c r="D181" s="1" t="s">
        <v>404</v>
      </c>
    </row>
    <row r="184" spans="2:26" x14ac:dyDescent="0.2">
      <c r="P184" s="50"/>
      <c r="R184" s="50"/>
      <c r="T184" s="50"/>
      <c r="V184" s="50"/>
      <c r="X184" s="50"/>
    </row>
    <row r="185" spans="2:26" x14ac:dyDescent="0.2">
      <c r="P185" s="50"/>
      <c r="R185" s="50"/>
      <c r="T185" s="50"/>
      <c r="V185" s="50"/>
      <c r="X185" s="50"/>
    </row>
    <row r="186" spans="2:26" x14ac:dyDescent="0.2">
      <c r="P186" s="50"/>
    </row>
    <row r="187" spans="2:26" x14ac:dyDescent="0.2">
      <c r="X187" s="50"/>
    </row>
    <row r="188" spans="2:26" x14ac:dyDescent="0.2">
      <c r="P188" s="50"/>
      <c r="R188" s="50"/>
      <c r="T188" s="50"/>
      <c r="V188" s="50"/>
      <c r="X188" s="50"/>
    </row>
    <row r="189" spans="2:26" x14ac:dyDescent="0.2">
      <c r="P189" s="50"/>
      <c r="R189" s="50"/>
      <c r="T189" s="50"/>
      <c r="V189" s="50"/>
      <c r="X189" s="50"/>
    </row>
  </sheetData>
  <mergeCells count="3">
    <mergeCell ref="B5:X5"/>
    <mergeCell ref="B6:X6"/>
    <mergeCell ref="B7:X7"/>
  </mergeCells>
  <pageMargins left="0.7" right="0.7" top="0.75" bottom="0.75" header="0.3" footer="0.3"/>
  <pageSetup scale="56" fitToHeight="4" orientation="landscape" r:id="rId1"/>
  <rowBreaks count="1" manualBreakCount="1">
    <brk id="111" max="2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94BB2-0D07-4541-AB27-3A59C07AEC13}">
  <sheetPr>
    <pageSetUpPr fitToPage="1"/>
  </sheetPr>
  <dimension ref="A6:BW162"/>
  <sheetViews>
    <sheetView topLeftCell="A28" zoomScale="80" zoomScaleNormal="80" workbookViewId="0">
      <selection activeCell="F37" sqref="F37"/>
    </sheetView>
  </sheetViews>
  <sheetFormatPr defaultColWidth="9.140625" defaultRowHeight="12.75" x14ac:dyDescent="0.2"/>
  <cols>
    <col min="1" max="1" width="6.42578125" style="1" customWidth="1"/>
    <col min="2" max="2" width="30.7109375" style="1" customWidth="1"/>
    <col min="3" max="3" width="8.28515625" style="18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1.7109375" style="1" customWidth="1"/>
    <col min="12" max="12" width="15.7109375" style="1" customWidth="1"/>
    <col min="13" max="13" width="1.7109375" style="1" customWidth="1"/>
    <col min="14" max="14" width="15.7109375" style="1" customWidth="1"/>
    <col min="15" max="15" width="1.7109375" style="1" customWidth="1"/>
    <col min="16" max="16" width="15.7109375" style="1" customWidth="1"/>
    <col min="17" max="17" width="1.7109375" style="1" customWidth="1"/>
    <col min="18" max="18" width="15.7109375" style="1" customWidth="1"/>
    <col min="19" max="19" width="1.7109375" style="1" customWidth="1"/>
    <col min="20" max="20" width="15.7109375" style="1" customWidth="1"/>
    <col min="21" max="21" width="1.7109375" style="1" customWidth="1"/>
    <col min="22" max="22" width="15.7109375" style="1" customWidth="1"/>
    <col min="23" max="23" width="1.7109375" style="1" customWidth="1"/>
    <col min="24" max="24" width="15.7109375" style="1" customWidth="1"/>
    <col min="25" max="25" width="9.140625" style="1"/>
    <col min="26" max="27" width="9.140625" style="1" customWidth="1"/>
    <col min="28" max="28" width="25.85546875" style="1" bestFit="1" customWidth="1"/>
    <col min="29" max="29" width="1.7109375" style="1" customWidth="1"/>
    <col min="30" max="30" width="11.7109375" style="1" customWidth="1"/>
    <col min="31" max="31" width="1.7109375" style="1" customWidth="1"/>
    <col min="32" max="32" width="11.7109375" style="1" customWidth="1"/>
    <col min="33" max="33" width="1.7109375" style="1" customWidth="1"/>
    <col min="34" max="34" width="11.7109375" style="1" customWidth="1"/>
    <col min="35" max="35" width="1.7109375" style="1" customWidth="1"/>
    <col min="36" max="36" width="11.7109375" style="1" customWidth="1"/>
    <col min="37" max="37" width="1.7109375" style="1" customWidth="1"/>
    <col min="38" max="38" width="11.7109375" style="1" customWidth="1"/>
    <col min="39" max="39" width="1.7109375" style="1" customWidth="1"/>
    <col min="40" max="40" width="11.7109375" style="1" customWidth="1"/>
    <col min="41" max="41" width="1.7109375" style="1" customWidth="1"/>
    <col min="42" max="42" width="11.7109375" style="1" customWidth="1"/>
    <col min="43" max="43" width="1.7109375" style="1" customWidth="1"/>
    <col min="44" max="44" width="11.7109375" style="1" customWidth="1"/>
    <col min="45" max="45" width="1.7109375" style="1" customWidth="1"/>
    <col min="46" max="46" width="11.7109375" style="1" customWidth="1"/>
    <col min="47" max="47" width="1.7109375" style="1" customWidth="1"/>
    <col min="48" max="48" width="11.7109375" style="1" customWidth="1"/>
    <col min="49" max="71" width="9.140625" style="1" customWidth="1"/>
    <col min="72" max="77" width="9" style="1" customWidth="1"/>
    <col min="78" max="16384" width="9.140625" style="1"/>
  </cols>
  <sheetData>
    <row r="6" spans="1:75" x14ac:dyDescent="0.2">
      <c r="B6" s="157" t="s">
        <v>511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</row>
    <row r="7" spans="1:75" x14ac:dyDescent="0.2">
      <c r="B7" s="157" t="s">
        <v>391</v>
      </c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</row>
    <row r="9" spans="1:75" ht="15" x14ac:dyDescent="0.25">
      <c r="F9" s="159" t="s">
        <v>63</v>
      </c>
      <c r="G9" s="160"/>
      <c r="H9" s="160"/>
      <c r="I9" s="160"/>
      <c r="J9" s="160"/>
      <c r="K9" s="160"/>
      <c r="L9" s="160"/>
      <c r="N9" s="159" t="s">
        <v>64</v>
      </c>
      <c r="O9" s="159"/>
      <c r="P9" s="159"/>
      <c r="Q9" s="159"/>
      <c r="R9" s="159"/>
      <c r="S9" s="159"/>
      <c r="T9" s="159"/>
      <c r="U9" s="159"/>
      <c r="V9" s="159"/>
      <c r="W9"/>
      <c r="X9"/>
    </row>
    <row r="10" spans="1:75" x14ac:dyDescent="0.2">
      <c r="F10" s="18"/>
      <c r="H10" s="18"/>
      <c r="J10" s="18"/>
      <c r="L10" s="18" t="s">
        <v>114</v>
      </c>
      <c r="V10" s="18" t="s">
        <v>68</v>
      </c>
      <c r="X10" s="2"/>
      <c r="AX10" s="18"/>
    </row>
    <row r="11" spans="1:75" x14ac:dyDescent="0.2">
      <c r="A11" s="18" t="s">
        <v>2</v>
      </c>
      <c r="B11" s="18" t="s">
        <v>10</v>
      </c>
      <c r="F11" s="18" t="s">
        <v>320</v>
      </c>
      <c r="G11" s="18"/>
      <c r="H11" s="18" t="s">
        <v>320</v>
      </c>
      <c r="I11" s="3"/>
      <c r="J11" s="2" t="s">
        <v>321</v>
      </c>
      <c r="K11" s="3"/>
      <c r="L11" s="2" t="s">
        <v>128</v>
      </c>
      <c r="M11" s="3"/>
      <c r="N11" s="2" t="s">
        <v>10</v>
      </c>
      <c r="O11" s="2"/>
      <c r="P11" s="2" t="s">
        <v>10</v>
      </c>
      <c r="Q11" s="2"/>
      <c r="R11" s="2" t="s">
        <v>10</v>
      </c>
      <c r="S11" s="2"/>
      <c r="T11" s="2" t="s">
        <v>185</v>
      </c>
      <c r="U11" s="2"/>
      <c r="V11" s="2" t="s">
        <v>128</v>
      </c>
      <c r="W11" s="2"/>
      <c r="X11" s="2" t="s">
        <v>10</v>
      </c>
      <c r="AX11" s="18"/>
    </row>
    <row r="12" spans="1:75" x14ac:dyDescent="0.2">
      <c r="A12" s="4" t="s">
        <v>4</v>
      </c>
      <c r="B12" s="4" t="s">
        <v>310</v>
      </c>
      <c r="D12" s="4" t="s">
        <v>11</v>
      </c>
      <c r="F12" s="4" t="s">
        <v>329</v>
      </c>
      <c r="G12" s="18"/>
      <c r="H12" s="4" t="s">
        <v>328</v>
      </c>
      <c r="I12" s="18"/>
      <c r="J12" s="4" t="s">
        <v>129</v>
      </c>
      <c r="K12" s="18"/>
      <c r="L12" s="4" t="s">
        <v>104</v>
      </c>
      <c r="M12" s="18"/>
      <c r="N12" s="33" t="s">
        <v>23</v>
      </c>
      <c r="O12" s="2"/>
      <c r="P12" s="33" t="s">
        <v>31</v>
      </c>
      <c r="Q12" s="2"/>
      <c r="R12" s="33" t="s">
        <v>33</v>
      </c>
      <c r="S12" s="2"/>
      <c r="T12" s="33" t="s">
        <v>183</v>
      </c>
      <c r="U12" s="2"/>
      <c r="V12" s="33" t="s">
        <v>104</v>
      </c>
      <c r="W12" s="2"/>
      <c r="X12" s="33" t="s">
        <v>49</v>
      </c>
      <c r="AX12" s="18"/>
      <c r="BE12" s="18"/>
      <c r="BG12" s="18"/>
      <c r="BI12" s="18"/>
      <c r="BK12" s="18"/>
      <c r="BU12" s="18"/>
      <c r="BW12" s="2"/>
    </row>
    <row r="13" spans="1:75" x14ac:dyDescent="0.2">
      <c r="A13" s="18"/>
      <c r="B13" s="18"/>
      <c r="D13" s="18" t="s">
        <v>12</v>
      </c>
      <c r="F13" s="18" t="s">
        <v>13</v>
      </c>
      <c r="G13" s="18"/>
      <c r="H13" s="18" t="s">
        <v>14</v>
      </c>
      <c r="I13" s="18"/>
      <c r="J13" s="18" t="s">
        <v>366</v>
      </c>
      <c r="K13" s="18"/>
      <c r="L13" s="18" t="s">
        <v>15</v>
      </c>
      <c r="M13" s="18"/>
      <c r="N13" s="2" t="s">
        <v>16</v>
      </c>
      <c r="O13" s="2"/>
      <c r="P13" s="2" t="s">
        <v>59</v>
      </c>
      <c r="Q13" s="2"/>
      <c r="R13" s="2" t="s">
        <v>61</v>
      </c>
      <c r="S13" s="2"/>
      <c r="T13" s="2" t="s">
        <v>62</v>
      </c>
      <c r="U13" s="2"/>
      <c r="V13" s="2" t="s">
        <v>82</v>
      </c>
      <c r="W13" s="2"/>
      <c r="X13" s="2" t="s">
        <v>143</v>
      </c>
      <c r="AX13" s="18"/>
      <c r="AZ13" s="18"/>
      <c r="BE13" s="18"/>
      <c r="BF13" s="18"/>
      <c r="BG13" s="18"/>
      <c r="BH13" s="3"/>
      <c r="BI13" s="2"/>
      <c r="BJ13" s="3"/>
      <c r="BK13" s="2"/>
      <c r="BL13" s="3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</row>
    <row r="14" spans="1:75" x14ac:dyDescent="0.2">
      <c r="D14" s="18"/>
      <c r="E14" s="18"/>
      <c r="F14" s="57"/>
      <c r="G14" s="18"/>
      <c r="H14" s="57"/>
      <c r="I14" s="18"/>
      <c r="J14" s="57"/>
      <c r="K14" s="18"/>
      <c r="L14" s="57"/>
      <c r="N14" s="57"/>
      <c r="O14" s="18"/>
      <c r="P14" s="57"/>
      <c r="R14" s="57"/>
      <c r="T14" s="57"/>
      <c r="U14" s="18"/>
      <c r="V14" s="57"/>
      <c r="W14" s="18"/>
      <c r="X14" s="57"/>
      <c r="AX14" s="18"/>
      <c r="AZ14" s="18"/>
      <c r="BC14" s="18"/>
      <c r="BE14" s="18"/>
      <c r="BF14" s="18"/>
      <c r="BG14" s="18"/>
      <c r="BH14" s="18"/>
      <c r="BI14" s="18"/>
      <c r="BJ14" s="18"/>
      <c r="BK14" s="18"/>
      <c r="BL14" s="18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</row>
    <row r="15" spans="1:75" x14ac:dyDescent="0.2">
      <c r="C15" s="2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AX15" s="18"/>
      <c r="BC15" s="18"/>
      <c r="BD15" s="18"/>
      <c r="BE15" s="57"/>
      <c r="BF15" s="18"/>
      <c r="BG15" s="57"/>
      <c r="BH15" s="18"/>
      <c r="BI15" s="57"/>
      <c r="BJ15" s="18"/>
      <c r="BK15" s="57"/>
      <c r="BM15" s="57"/>
      <c r="BN15" s="18"/>
      <c r="BO15" s="57"/>
      <c r="BQ15" s="57"/>
      <c r="BS15" s="57"/>
      <c r="BT15" s="18"/>
      <c r="BU15" s="57"/>
      <c r="BV15" s="18"/>
      <c r="BW15" s="57"/>
    </row>
    <row r="16" spans="1:75" x14ac:dyDescent="0.2">
      <c r="A16" s="18">
        <v>1</v>
      </c>
      <c r="C16" s="2" t="s">
        <v>367</v>
      </c>
      <c r="D16" s="132">
        <f>SUM(F16:X16)</f>
        <v>2997.5801668116578</v>
      </c>
      <c r="E16" s="37"/>
      <c r="F16" s="20">
        <v>0</v>
      </c>
      <c r="G16" s="20">
        <v>0</v>
      </c>
      <c r="H16" s="20">
        <v>0</v>
      </c>
      <c r="I16" s="20">
        <v>0</v>
      </c>
      <c r="J16" s="20">
        <v>555.13564532871271</v>
      </c>
      <c r="K16" s="20">
        <v>0</v>
      </c>
      <c r="L16" s="20">
        <v>0</v>
      </c>
      <c r="N16" s="20">
        <v>743.31836001507804</v>
      </c>
      <c r="O16" s="20">
        <v>0</v>
      </c>
      <c r="P16" s="20">
        <v>1075.1892896787629</v>
      </c>
      <c r="Q16" s="20">
        <v>0</v>
      </c>
      <c r="R16" s="20">
        <v>535.55380859214858</v>
      </c>
      <c r="S16" s="20">
        <v>0</v>
      </c>
      <c r="T16" s="20">
        <v>88.383063196955845</v>
      </c>
      <c r="U16" s="20">
        <v>0</v>
      </c>
      <c r="V16" s="20">
        <v>0</v>
      </c>
      <c r="W16" s="20">
        <v>0</v>
      </c>
      <c r="X16" s="20">
        <v>0</v>
      </c>
      <c r="AX16" s="18"/>
    </row>
    <row r="17" spans="1:75" x14ac:dyDescent="0.2">
      <c r="A17" s="18">
        <v>2</v>
      </c>
      <c r="B17" s="2" t="s">
        <v>248</v>
      </c>
      <c r="C17" s="2"/>
      <c r="D17" s="131">
        <f>SUM(F17:X17)</f>
        <v>1.0000000000000002</v>
      </c>
      <c r="F17" s="24">
        <f>IFERROR(F16/$D16,0)</f>
        <v>0</v>
      </c>
      <c r="H17" s="24">
        <f>IFERROR(H16/$D16,0)</f>
        <v>0</v>
      </c>
      <c r="J17" s="24">
        <f>IFERROR(J16/$D16,0)</f>
        <v>0.18519459511876091</v>
      </c>
      <c r="L17" s="24">
        <f>IFERROR(L16/$D16,0)</f>
        <v>0</v>
      </c>
      <c r="N17" s="24">
        <f>IFERROR(N16/$D16,0)</f>
        <v>0.24797280427889279</v>
      </c>
      <c r="P17" s="24">
        <f>IFERROR(P16/$D16,0)</f>
        <v>0.35868574978676077</v>
      </c>
      <c r="R17" s="24">
        <f>IFERROR(R16/$D16,0)</f>
        <v>0.17866204698097676</v>
      </c>
      <c r="T17" s="24">
        <f>IFERROR(T16/$D16,0)</f>
        <v>2.9484803834608865E-2</v>
      </c>
      <c r="V17" s="24">
        <f>IFERROR(V16/$D16,0)</f>
        <v>0</v>
      </c>
      <c r="X17" s="24">
        <f>IFERROR(X16/$D16,0)</f>
        <v>0</v>
      </c>
      <c r="AX17" s="18"/>
      <c r="AZ17" s="2"/>
      <c r="BA17" s="31"/>
      <c r="BC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</row>
    <row r="18" spans="1:75" x14ac:dyDescent="0.2">
      <c r="A18" s="18"/>
      <c r="B18" s="2"/>
      <c r="C18" s="2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AX18" s="18"/>
      <c r="AZ18" s="2"/>
      <c r="BA18" s="31"/>
      <c r="BC18" s="63"/>
      <c r="BE18" s="63"/>
      <c r="BG18" s="63"/>
      <c r="BI18" s="63"/>
      <c r="BK18" s="63"/>
      <c r="BM18" s="63"/>
      <c r="BO18" s="63"/>
      <c r="BQ18" s="63"/>
      <c r="BS18" s="63"/>
      <c r="BU18" s="63"/>
      <c r="BW18" s="63"/>
    </row>
    <row r="19" spans="1:75" x14ac:dyDescent="0.2">
      <c r="A19" s="18">
        <v>3</v>
      </c>
      <c r="B19" s="2"/>
      <c r="C19" s="2" t="s">
        <v>368</v>
      </c>
      <c r="D19" s="84">
        <f>SUM(F19:X19)</f>
        <v>1</v>
      </c>
      <c r="E19" s="20"/>
      <c r="F19" s="20">
        <v>0</v>
      </c>
      <c r="G19" s="20"/>
      <c r="H19" s="20">
        <v>0</v>
      </c>
      <c r="I19" s="20"/>
      <c r="J19" s="20">
        <v>0</v>
      </c>
      <c r="K19" s="20"/>
      <c r="L19" s="20">
        <v>0</v>
      </c>
      <c r="M19" s="20"/>
      <c r="N19" s="20">
        <v>0</v>
      </c>
      <c r="O19" s="20"/>
      <c r="P19" s="20">
        <v>0</v>
      </c>
      <c r="Q19" s="20"/>
      <c r="R19" s="20">
        <v>1</v>
      </c>
      <c r="S19" s="20"/>
      <c r="T19" s="20">
        <v>0</v>
      </c>
      <c r="U19" s="20"/>
      <c r="V19" s="20">
        <v>0</v>
      </c>
      <c r="W19" s="20"/>
      <c r="X19" s="20">
        <v>0</v>
      </c>
      <c r="AX19" s="18"/>
      <c r="AZ19" s="2"/>
      <c r="BA19" s="31"/>
      <c r="BC19" s="17"/>
      <c r="BE19" s="63"/>
      <c r="BG19" s="63"/>
      <c r="BI19" s="63"/>
      <c r="BK19" s="63"/>
    </row>
    <row r="20" spans="1:75" x14ac:dyDescent="0.2">
      <c r="A20" s="18">
        <v>4</v>
      </c>
      <c r="B20" s="2" t="s">
        <v>240</v>
      </c>
      <c r="C20" s="2"/>
      <c r="D20" s="131">
        <f>SUM(F20:X20)</f>
        <v>1</v>
      </c>
      <c r="F20" s="24">
        <f>IFERROR(F19/$D19,0)</f>
        <v>0</v>
      </c>
      <c r="H20" s="24">
        <f>IFERROR(H19/$D19,0)</f>
        <v>0</v>
      </c>
      <c r="J20" s="24">
        <f>IFERROR(J19/$D19,0)</f>
        <v>0</v>
      </c>
      <c r="L20" s="24">
        <f>IFERROR(L19/$D19,0)</f>
        <v>0</v>
      </c>
      <c r="N20" s="24">
        <f>IFERROR(N19/$D19,0)</f>
        <v>0</v>
      </c>
      <c r="P20" s="24">
        <f>IFERROR(P19/$D19,0)</f>
        <v>0</v>
      </c>
      <c r="R20" s="24">
        <f>IFERROR(R19/$D19,0)</f>
        <v>1</v>
      </c>
      <c r="T20" s="24">
        <f>IFERROR(T19/$D19,0)</f>
        <v>0</v>
      </c>
      <c r="V20" s="24">
        <f>IFERROR(V19/$D19,0)</f>
        <v>0</v>
      </c>
      <c r="X20" s="24">
        <f>IFERROR(X19/$D19,0)</f>
        <v>0</v>
      </c>
      <c r="AX20" s="18"/>
      <c r="AZ20" s="2"/>
      <c r="BA20" s="31"/>
      <c r="BC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</row>
    <row r="21" spans="1:75" x14ac:dyDescent="0.2">
      <c r="A21" s="18"/>
      <c r="B21" s="2"/>
      <c r="C21" s="2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AX21" s="18"/>
      <c r="AZ21" s="2"/>
      <c r="BA21" s="31"/>
      <c r="BC21" s="63"/>
      <c r="BE21" s="63"/>
      <c r="BG21" s="63"/>
      <c r="BI21" s="63"/>
      <c r="BK21" s="63"/>
      <c r="BM21" s="63"/>
      <c r="BO21" s="63"/>
      <c r="BQ21" s="63"/>
      <c r="BS21" s="63"/>
      <c r="BU21" s="63"/>
      <c r="BW21" s="63"/>
    </row>
    <row r="22" spans="1:75" x14ac:dyDescent="0.2">
      <c r="A22" s="18">
        <v>5</v>
      </c>
      <c r="B22" s="31"/>
      <c r="C22" s="2" t="s">
        <v>368</v>
      </c>
      <c r="D22" s="132">
        <f>SUM(F22:X22)</f>
        <v>1</v>
      </c>
      <c r="E22" s="37"/>
      <c r="F22" s="20">
        <v>0</v>
      </c>
      <c r="G22" s="20"/>
      <c r="H22" s="20">
        <v>0</v>
      </c>
      <c r="I22" s="20"/>
      <c r="J22" s="20">
        <v>0</v>
      </c>
      <c r="K22" s="20"/>
      <c r="L22" s="20">
        <v>0</v>
      </c>
      <c r="M22" s="20"/>
      <c r="N22" s="20">
        <v>0</v>
      </c>
      <c r="O22" s="20"/>
      <c r="P22" s="20">
        <v>1</v>
      </c>
      <c r="Q22" s="20"/>
      <c r="R22" s="20">
        <v>0</v>
      </c>
      <c r="S22" s="20"/>
      <c r="T22" s="20">
        <v>0</v>
      </c>
      <c r="U22" s="20"/>
      <c r="V22" s="20">
        <v>0</v>
      </c>
      <c r="W22" s="20"/>
      <c r="X22" s="20">
        <v>0</v>
      </c>
      <c r="AX22" s="18"/>
      <c r="AZ22" s="31"/>
      <c r="BA22" s="31"/>
    </row>
    <row r="23" spans="1:75" x14ac:dyDescent="0.2">
      <c r="A23" s="18">
        <v>6</v>
      </c>
      <c r="B23" s="2" t="s">
        <v>243</v>
      </c>
      <c r="C23" s="2"/>
      <c r="D23" s="131">
        <f>SUM(F23:X23)</f>
        <v>1</v>
      </c>
      <c r="F23" s="24">
        <f>IFERROR(F22/$D22,0)</f>
        <v>0</v>
      </c>
      <c r="H23" s="24">
        <f>IFERROR(H22/$D22,0)</f>
        <v>0</v>
      </c>
      <c r="J23" s="24">
        <f>IFERROR(J22/$D22,0)</f>
        <v>0</v>
      </c>
      <c r="L23" s="24">
        <f>IFERROR(L22/$D22,0)</f>
        <v>0</v>
      </c>
      <c r="N23" s="24">
        <f>IFERROR(N22/$D22,0)</f>
        <v>0</v>
      </c>
      <c r="P23" s="24">
        <f>IFERROR(P22/$D22,0)</f>
        <v>1</v>
      </c>
      <c r="R23" s="24">
        <f>IFERROR(R22/$D22,0)</f>
        <v>0</v>
      </c>
      <c r="T23" s="24">
        <f>IFERROR(T22/$D22,0)</f>
        <v>0</v>
      </c>
      <c r="V23" s="24">
        <f>IFERROR(V22/$D22,0)</f>
        <v>0</v>
      </c>
      <c r="X23" s="24">
        <f>IFERROR(X22/$D22,0)</f>
        <v>0</v>
      </c>
      <c r="AX23" s="18"/>
      <c r="AZ23" s="2"/>
      <c r="BA23" s="31"/>
      <c r="BC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</row>
    <row r="24" spans="1:75" x14ac:dyDescent="0.2">
      <c r="A24" s="18"/>
      <c r="B24" s="2"/>
      <c r="C24" s="2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AX24" s="18"/>
      <c r="AZ24" s="2"/>
      <c r="BA24" s="31"/>
      <c r="BC24" s="63"/>
      <c r="BE24" s="63"/>
      <c r="BG24" s="63"/>
      <c r="BI24" s="63"/>
      <c r="BK24" s="63"/>
      <c r="BM24" s="63"/>
      <c r="BO24" s="63"/>
      <c r="BQ24" s="63"/>
      <c r="BS24" s="63"/>
      <c r="BU24" s="63"/>
      <c r="BW24" s="63"/>
    </row>
    <row r="25" spans="1:75" x14ac:dyDescent="0.2">
      <c r="A25" s="18">
        <v>7</v>
      </c>
      <c r="B25" s="31"/>
      <c r="C25" s="2" t="s">
        <v>368</v>
      </c>
      <c r="D25" s="132">
        <f>SUM(F25:X25)</f>
        <v>1</v>
      </c>
      <c r="E25" s="37"/>
      <c r="F25" s="20">
        <v>0</v>
      </c>
      <c r="G25" s="20"/>
      <c r="H25" s="20">
        <v>0</v>
      </c>
      <c r="I25" s="20"/>
      <c r="J25" s="20">
        <v>0</v>
      </c>
      <c r="K25" s="20"/>
      <c r="L25" s="20">
        <v>0</v>
      </c>
      <c r="M25" s="20"/>
      <c r="N25" s="20">
        <v>0</v>
      </c>
      <c r="O25" s="20"/>
      <c r="P25" s="20">
        <v>0</v>
      </c>
      <c r="Q25" s="20"/>
      <c r="R25" s="20">
        <v>0</v>
      </c>
      <c r="S25" s="20"/>
      <c r="T25" s="20">
        <v>0</v>
      </c>
      <c r="U25" s="20"/>
      <c r="V25" s="20">
        <v>1</v>
      </c>
      <c r="W25" s="20"/>
      <c r="X25" s="20">
        <v>0</v>
      </c>
      <c r="AX25" s="18"/>
      <c r="AZ25" s="31"/>
      <c r="BA25" s="31"/>
    </row>
    <row r="26" spans="1:75" x14ac:dyDescent="0.2">
      <c r="A26" s="18">
        <v>8</v>
      </c>
      <c r="B26" s="2" t="s">
        <v>182</v>
      </c>
      <c r="C26" s="2"/>
      <c r="D26" s="131">
        <f>SUM(F26:X26)</f>
        <v>1</v>
      </c>
      <c r="F26" s="24">
        <f>IFERROR(F25/$D25,0)</f>
        <v>0</v>
      </c>
      <c r="H26" s="24">
        <f>IFERROR(H25/$D25,0)</f>
        <v>0</v>
      </c>
      <c r="J26" s="24">
        <f>IFERROR(J25/$D25,0)</f>
        <v>0</v>
      </c>
      <c r="L26" s="24">
        <f>IFERROR(L25/$D25,0)</f>
        <v>0</v>
      </c>
      <c r="N26" s="24">
        <f>IFERROR(N25/$D25,0)</f>
        <v>0</v>
      </c>
      <c r="P26" s="24">
        <f>IFERROR(P25/$D25,0)</f>
        <v>0</v>
      </c>
      <c r="R26" s="24">
        <f>IFERROR(R25/$D25,0)</f>
        <v>0</v>
      </c>
      <c r="T26" s="24">
        <f>IFERROR(T25/$D25,0)</f>
        <v>0</v>
      </c>
      <c r="V26" s="24">
        <f>IFERROR(V25/$D25,0)</f>
        <v>1</v>
      </c>
      <c r="X26" s="24">
        <f>IFERROR(X25/$D25,0)</f>
        <v>0</v>
      </c>
      <c r="AX26" s="18"/>
      <c r="AZ26" s="2"/>
      <c r="BA26" s="31"/>
      <c r="BC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</row>
    <row r="27" spans="1:75" x14ac:dyDescent="0.2">
      <c r="A27" s="18"/>
      <c r="B27" s="2"/>
      <c r="C27" s="2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AX27" s="18"/>
      <c r="AZ27" s="2"/>
      <c r="BA27" s="31"/>
      <c r="BC27" s="63"/>
      <c r="BE27" s="63"/>
      <c r="BG27" s="63"/>
      <c r="BI27" s="63"/>
      <c r="BK27" s="63"/>
      <c r="BM27" s="63"/>
      <c r="BO27" s="63"/>
      <c r="BQ27" s="63"/>
      <c r="BS27" s="63"/>
      <c r="BU27" s="63"/>
      <c r="BW27" s="63"/>
    </row>
    <row r="28" spans="1:75" x14ac:dyDescent="0.2">
      <c r="A28" s="18">
        <v>9</v>
      </c>
      <c r="B28" s="2"/>
      <c r="C28" s="2" t="s">
        <v>368</v>
      </c>
      <c r="D28" s="132">
        <f>SUM(F28:X28)</f>
        <v>1</v>
      </c>
      <c r="E28" s="37"/>
      <c r="F28" s="20">
        <v>0</v>
      </c>
      <c r="G28" s="20"/>
      <c r="H28" s="20">
        <v>0</v>
      </c>
      <c r="I28" s="20"/>
      <c r="J28" s="20">
        <v>0</v>
      </c>
      <c r="K28" s="20"/>
      <c r="L28" s="20">
        <v>0</v>
      </c>
      <c r="M28" s="20"/>
      <c r="N28" s="20">
        <v>0</v>
      </c>
      <c r="O28" s="20"/>
      <c r="P28" s="20">
        <v>0</v>
      </c>
      <c r="Q28" s="20"/>
      <c r="R28" s="20">
        <v>0</v>
      </c>
      <c r="S28" s="20"/>
      <c r="T28" s="20">
        <v>1</v>
      </c>
      <c r="U28" s="20"/>
      <c r="V28" s="20">
        <v>0</v>
      </c>
      <c r="W28" s="20"/>
      <c r="X28" s="20">
        <v>0</v>
      </c>
      <c r="AX28" s="18"/>
      <c r="AZ28" s="2"/>
      <c r="BA28" s="31"/>
      <c r="BE28" s="63"/>
      <c r="BG28" s="63"/>
      <c r="BI28" s="63"/>
      <c r="BK28" s="63"/>
      <c r="BM28" s="63"/>
      <c r="BO28" s="63"/>
      <c r="BQ28" s="63"/>
      <c r="BW28" s="63"/>
    </row>
    <row r="29" spans="1:75" x14ac:dyDescent="0.2">
      <c r="A29" s="18">
        <v>10</v>
      </c>
      <c r="B29" s="2" t="s">
        <v>241</v>
      </c>
      <c r="C29" s="2"/>
      <c r="D29" s="131">
        <f>SUM(F29:X29)</f>
        <v>1</v>
      </c>
      <c r="F29" s="24">
        <f>IFERROR(F28/$D28,0)</f>
        <v>0</v>
      </c>
      <c r="H29" s="24">
        <f>IFERROR(H28/$D28,0)</f>
        <v>0</v>
      </c>
      <c r="J29" s="24">
        <f>IFERROR(J28/$D28,0)</f>
        <v>0</v>
      </c>
      <c r="L29" s="24">
        <f>IFERROR(L28/$D28,0)</f>
        <v>0</v>
      </c>
      <c r="N29" s="24">
        <f>IFERROR(N28/$D28,0)</f>
        <v>0</v>
      </c>
      <c r="P29" s="24">
        <f>IFERROR(P28/$D28,0)</f>
        <v>0</v>
      </c>
      <c r="R29" s="24">
        <f>IFERROR(R28/$D28,0)</f>
        <v>0</v>
      </c>
      <c r="T29" s="24">
        <f>IFERROR(T28/$D28,0)</f>
        <v>1</v>
      </c>
      <c r="V29" s="24">
        <f>IFERROR(V28/$D28,0)</f>
        <v>0</v>
      </c>
      <c r="X29" s="24">
        <f>IFERROR(X28/$D28,0)</f>
        <v>0</v>
      </c>
      <c r="AC29" s="77"/>
      <c r="AD29" s="40"/>
      <c r="AX29" s="18"/>
      <c r="AZ29" s="2"/>
      <c r="BA29" s="31"/>
      <c r="BC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</row>
    <row r="30" spans="1:75" x14ac:dyDescent="0.2">
      <c r="A30" s="18"/>
      <c r="B30" s="2"/>
      <c r="C30" s="2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AE30" s="18"/>
      <c r="AG30" s="18"/>
      <c r="AI30" s="18"/>
      <c r="AK30" s="18"/>
      <c r="AU30" s="18"/>
      <c r="AX30" s="18"/>
      <c r="AZ30" s="2"/>
      <c r="BA30" s="31"/>
      <c r="BC30" s="63"/>
      <c r="BE30" s="63"/>
      <c r="BG30" s="63"/>
      <c r="BI30" s="63"/>
      <c r="BK30" s="63"/>
      <c r="BM30" s="63"/>
      <c r="BO30" s="63"/>
      <c r="BQ30" s="63"/>
      <c r="BS30" s="63"/>
      <c r="BU30" s="63"/>
      <c r="BW30" s="63"/>
    </row>
    <row r="31" spans="1:75" x14ac:dyDescent="0.2">
      <c r="A31" s="18">
        <v>11</v>
      </c>
      <c r="B31" s="31"/>
      <c r="C31" s="2" t="s">
        <v>368</v>
      </c>
      <c r="D31" s="132">
        <f>SUM(F31:X31)</f>
        <v>1</v>
      </c>
      <c r="E31" s="37"/>
      <c r="F31" s="20">
        <v>0</v>
      </c>
      <c r="G31" s="20"/>
      <c r="H31" s="20">
        <v>0</v>
      </c>
      <c r="I31" s="20"/>
      <c r="J31" s="20">
        <v>0</v>
      </c>
      <c r="K31" s="20"/>
      <c r="L31" s="20">
        <v>1</v>
      </c>
      <c r="M31" s="20"/>
      <c r="N31" s="20">
        <v>0</v>
      </c>
      <c r="O31" s="20"/>
      <c r="P31" s="20">
        <v>0</v>
      </c>
      <c r="Q31" s="20"/>
      <c r="R31" s="20">
        <v>0</v>
      </c>
      <c r="S31" s="20"/>
      <c r="T31" s="20">
        <v>0</v>
      </c>
      <c r="U31" s="20"/>
      <c r="V31" s="20">
        <v>0</v>
      </c>
      <c r="W31" s="20"/>
      <c r="X31" s="20">
        <v>0</v>
      </c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Z31" s="31"/>
      <c r="BA31" s="31"/>
    </row>
    <row r="32" spans="1:75" x14ac:dyDescent="0.2">
      <c r="A32" s="18">
        <v>12</v>
      </c>
      <c r="B32" s="2" t="s">
        <v>219</v>
      </c>
      <c r="C32" s="2"/>
      <c r="D32" s="131">
        <f>SUM(F32:X32)</f>
        <v>1</v>
      </c>
      <c r="F32" s="24">
        <f>IFERROR(F31/$D31,0)</f>
        <v>0</v>
      </c>
      <c r="H32" s="24">
        <f>IFERROR(H31/$D31,0)</f>
        <v>0</v>
      </c>
      <c r="J32" s="24">
        <f>IFERROR(J31/$D31,0)</f>
        <v>0</v>
      </c>
      <c r="L32" s="24">
        <f>IFERROR(L31/$D31,0)</f>
        <v>1</v>
      </c>
      <c r="N32" s="24">
        <f>IFERROR(N31/$D31,0)</f>
        <v>0</v>
      </c>
      <c r="P32" s="24">
        <f>IFERROR(P31/$D31,0)</f>
        <v>0</v>
      </c>
      <c r="R32" s="24">
        <f>IFERROR(R31/$D31,0)</f>
        <v>0</v>
      </c>
      <c r="T32" s="24">
        <f>IFERROR(T31/$D31,0)</f>
        <v>0</v>
      </c>
      <c r="V32" s="24">
        <f>IFERROR(V31/$D31,0)</f>
        <v>0</v>
      </c>
      <c r="X32" s="24">
        <f>IFERROR(X31/$D31,0)</f>
        <v>0</v>
      </c>
      <c r="AX32" s="18"/>
      <c r="AZ32" s="2"/>
      <c r="BA32" s="31"/>
      <c r="BC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</row>
    <row r="33" spans="1:75" x14ac:dyDescent="0.2">
      <c r="A33" s="18"/>
      <c r="B33" s="2"/>
      <c r="C33" s="2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S33" s="22"/>
      <c r="AU33" s="22"/>
      <c r="AW33" s="22"/>
      <c r="AX33" s="18"/>
      <c r="AZ33" s="2"/>
      <c r="BA33" s="31"/>
      <c r="BC33" s="63"/>
      <c r="BE33" s="63"/>
      <c r="BG33" s="63"/>
      <c r="BI33" s="63"/>
      <c r="BK33" s="63"/>
      <c r="BM33" s="63"/>
      <c r="BO33" s="63"/>
      <c r="BQ33" s="63"/>
      <c r="BS33" s="63"/>
      <c r="BU33" s="63"/>
      <c r="BW33" s="63"/>
    </row>
    <row r="34" spans="1:75" x14ac:dyDescent="0.2">
      <c r="A34" s="18">
        <v>13</v>
      </c>
      <c r="B34" s="2"/>
      <c r="C34" s="2" t="s">
        <v>368</v>
      </c>
      <c r="D34" s="132">
        <f>SUM(F34:X34)</f>
        <v>1</v>
      </c>
      <c r="E34" s="37"/>
      <c r="F34" s="20">
        <v>0</v>
      </c>
      <c r="G34" s="20"/>
      <c r="H34" s="20">
        <v>0</v>
      </c>
      <c r="I34" s="20"/>
      <c r="J34" s="20">
        <v>0</v>
      </c>
      <c r="K34" s="20"/>
      <c r="L34" s="20">
        <v>0</v>
      </c>
      <c r="M34" s="20"/>
      <c r="N34" s="20">
        <v>0</v>
      </c>
      <c r="O34" s="20"/>
      <c r="P34" s="20">
        <v>0</v>
      </c>
      <c r="Q34" s="20"/>
      <c r="R34" s="20">
        <v>0</v>
      </c>
      <c r="S34" s="20"/>
      <c r="T34" s="20">
        <v>0</v>
      </c>
      <c r="U34" s="20"/>
      <c r="V34" s="20">
        <v>0</v>
      </c>
      <c r="W34" s="20"/>
      <c r="X34" s="20">
        <v>1</v>
      </c>
      <c r="AE34" s="63"/>
      <c r="AF34" s="63"/>
      <c r="AG34" s="63"/>
      <c r="AH34" s="63"/>
      <c r="AI34" s="63"/>
      <c r="AJ34" s="63"/>
      <c r="AK34" s="63"/>
      <c r="AL34" s="17"/>
      <c r="AM34" s="63"/>
      <c r="AN34" s="17"/>
      <c r="AO34" s="63"/>
      <c r="AP34" s="17"/>
      <c r="AQ34" s="63"/>
      <c r="AR34" s="17"/>
      <c r="AS34" s="63"/>
      <c r="AT34" s="17"/>
      <c r="AU34" s="63"/>
      <c r="AV34" s="17"/>
      <c r="AW34" s="63"/>
      <c r="AX34" s="18"/>
      <c r="AZ34" s="2"/>
      <c r="BA34" s="31"/>
      <c r="BE34" s="63"/>
      <c r="BG34" s="63"/>
      <c r="BI34" s="63"/>
      <c r="BK34" s="63"/>
      <c r="BM34" s="63"/>
      <c r="BO34" s="63"/>
      <c r="BQ34" s="63"/>
      <c r="BW34" s="63"/>
    </row>
    <row r="35" spans="1:75" ht="15" x14ac:dyDescent="0.25">
      <c r="A35" s="18">
        <v>14</v>
      </c>
      <c r="B35" s="2" t="s">
        <v>259</v>
      </c>
      <c r="C35" s="2"/>
      <c r="D35" s="131">
        <f>SUM(F35:X35)</f>
        <v>1</v>
      </c>
      <c r="F35" s="24">
        <f>IFERROR(F34/$D34,0)</f>
        <v>0</v>
      </c>
      <c r="H35" s="24">
        <f>IFERROR(H34/$D34,0)</f>
        <v>0</v>
      </c>
      <c r="J35" s="24">
        <f>IFERROR(J34/$D34,0)</f>
        <v>0</v>
      </c>
      <c r="L35" s="24">
        <f>IFERROR(L34/$D34,0)</f>
        <v>0</v>
      </c>
      <c r="N35" s="24">
        <f>IFERROR(N34/$D34,0)</f>
        <v>0</v>
      </c>
      <c r="P35" s="24">
        <f>IFERROR(P34/$D34,0)</f>
        <v>0</v>
      </c>
      <c r="R35" s="24">
        <f>IFERROR(R34/$D34,0)</f>
        <v>0</v>
      </c>
      <c r="T35" s="24">
        <f>IFERROR(T34/$D34,0)</f>
        <v>0</v>
      </c>
      <c r="V35" s="24">
        <f>IFERROR(V34/$D34,0)</f>
        <v>0</v>
      </c>
      <c r="X35" s="24">
        <f>IFERROR(X34/$D34,0)</f>
        <v>1</v>
      </c>
      <c r="AC35"/>
      <c r="AD35"/>
      <c r="AE35"/>
      <c r="AF35"/>
      <c r="AG35"/>
      <c r="AH35"/>
      <c r="AI35"/>
      <c r="AJ35"/>
      <c r="AK35"/>
      <c r="AX35" s="18"/>
      <c r="AZ35" s="2"/>
      <c r="BA35" s="31"/>
      <c r="BC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</row>
    <row r="36" spans="1:75" x14ac:dyDescent="0.2">
      <c r="A36" s="18"/>
      <c r="B36" s="2"/>
      <c r="C36" s="2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152"/>
      <c r="AE36" s="8"/>
      <c r="AF36" s="8"/>
      <c r="AG36" s="8"/>
      <c r="AH36" s="8"/>
      <c r="AI36" s="8"/>
      <c r="AJ36" s="8"/>
      <c r="AK36" s="8"/>
      <c r="AM36" s="8"/>
      <c r="AO36" s="8"/>
      <c r="AQ36" s="8"/>
      <c r="AS36" s="8"/>
      <c r="AU36" s="8"/>
      <c r="AW36" s="8"/>
      <c r="AX36" s="18"/>
      <c r="AZ36" s="2"/>
      <c r="BA36" s="31"/>
      <c r="BC36" s="63"/>
      <c r="BE36" s="63"/>
      <c r="BG36" s="63"/>
      <c r="BI36" s="63"/>
      <c r="BK36" s="63"/>
      <c r="BM36" s="63"/>
      <c r="BO36" s="63"/>
      <c r="BQ36" s="63"/>
      <c r="BS36" s="63"/>
      <c r="BU36" s="63"/>
      <c r="BW36" s="63"/>
    </row>
    <row r="37" spans="1:75" x14ac:dyDescent="0.2">
      <c r="A37" s="18">
        <v>15</v>
      </c>
      <c r="B37" s="31"/>
      <c r="C37" s="2" t="s">
        <v>368</v>
      </c>
      <c r="D37" s="132">
        <f>SUM(F37:X37)</f>
        <v>565624.7809294943</v>
      </c>
      <c r="E37" s="37"/>
      <c r="F37" s="20">
        <v>65998.109144076559</v>
      </c>
      <c r="G37" s="20">
        <v>0</v>
      </c>
      <c r="H37" s="20">
        <v>12623.099331602007</v>
      </c>
      <c r="I37" s="20">
        <v>0</v>
      </c>
      <c r="J37" s="20">
        <v>66951.463350500839</v>
      </c>
      <c r="K37" s="20">
        <v>0</v>
      </c>
      <c r="L37" s="20">
        <v>0</v>
      </c>
      <c r="M37" s="20">
        <v>0</v>
      </c>
      <c r="N37" s="20">
        <v>87766.206660509022</v>
      </c>
      <c r="O37" s="20">
        <v>0</v>
      </c>
      <c r="P37" s="20">
        <v>167835.01764249537</v>
      </c>
      <c r="Q37" s="20">
        <v>0</v>
      </c>
      <c r="R37" s="20">
        <v>150968.24809454841</v>
      </c>
      <c r="S37" s="20">
        <v>0</v>
      </c>
      <c r="T37" s="20">
        <v>13482.636705762121</v>
      </c>
      <c r="U37" s="20">
        <v>0</v>
      </c>
      <c r="V37" s="20">
        <v>0</v>
      </c>
      <c r="W37" s="20">
        <v>0</v>
      </c>
      <c r="X37" s="20">
        <v>0</v>
      </c>
      <c r="AE37" s="69"/>
      <c r="AF37" s="70"/>
      <c r="AG37" s="69"/>
      <c r="AH37" s="70"/>
      <c r="AI37" s="69"/>
      <c r="AJ37" s="70"/>
      <c r="AK37" s="69"/>
      <c r="AM37" s="69"/>
      <c r="AO37" s="69"/>
      <c r="AQ37" s="69"/>
      <c r="AS37" s="69"/>
      <c r="AU37" s="69"/>
      <c r="AW37" s="69"/>
      <c r="AX37" s="18"/>
      <c r="AZ37" s="31"/>
      <c r="BA37" s="31"/>
    </row>
    <row r="38" spans="1:75" x14ac:dyDescent="0.2">
      <c r="A38" s="18">
        <v>16</v>
      </c>
      <c r="B38" s="2" t="s">
        <v>246</v>
      </c>
      <c r="C38" s="2"/>
      <c r="D38" s="131">
        <f>SUM(F38:X38)</f>
        <v>0.99999999999999989</v>
      </c>
      <c r="F38" s="24">
        <f>IFERROR(F37/$D37,0)</f>
        <v>0.11668178511489809</v>
      </c>
      <c r="H38" s="24">
        <f>IFERROR(H37/$D37,0)</f>
        <v>2.2317090334794735E-2</v>
      </c>
      <c r="J38" s="24">
        <f>IFERROR(J37/$D37,0)</f>
        <v>0.11836727386745527</v>
      </c>
      <c r="L38" s="24">
        <f>IFERROR(L37/$D37,0)</f>
        <v>0</v>
      </c>
      <c r="N38" s="24">
        <f>IFERROR(N37/$D37,0)</f>
        <v>0.15516683430362144</v>
      </c>
      <c r="P38" s="24">
        <f>IFERROR(P37/$D37,0)</f>
        <v>0.29672500799326923</v>
      </c>
      <c r="R38" s="24">
        <f>IFERROR(R37/$D37,0)</f>
        <v>0.26690529337569241</v>
      </c>
      <c r="T38" s="24">
        <f>IFERROR(T37/$D37,0)</f>
        <v>2.3836715010268874E-2</v>
      </c>
      <c r="V38" s="24">
        <f>IFERROR(V37/$D37,0)</f>
        <v>0</v>
      </c>
      <c r="X38" s="24">
        <f>IFERROR(X37/$D37,0)</f>
        <v>0</v>
      </c>
      <c r="AX38" s="18"/>
      <c r="AZ38" s="2"/>
      <c r="BA38" s="31"/>
      <c r="BC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</row>
    <row r="39" spans="1:75" x14ac:dyDescent="0.2">
      <c r="A39" s="18"/>
      <c r="B39" s="2"/>
      <c r="C39" s="2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AB39" s="77" t="s">
        <v>121</v>
      </c>
      <c r="AC39" s="40"/>
      <c r="AD39" s="18"/>
      <c r="AF39" s="18"/>
      <c r="AH39" s="18"/>
      <c r="AJ39" s="18" t="s">
        <v>114</v>
      </c>
      <c r="AT39" s="18" t="s">
        <v>68</v>
      </c>
      <c r="AV39" s="2"/>
      <c r="AW39" s="43"/>
      <c r="AX39" s="18"/>
      <c r="AZ39" s="2"/>
      <c r="BA39" s="31"/>
      <c r="BC39" s="63"/>
      <c r="BE39" s="63"/>
      <c r="BG39" s="63"/>
      <c r="BI39" s="63"/>
      <c r="BK39" s="63"/>
      <c r="BM39" s="63"/>
      <c r="BO39" s="63"/>
      <c r="BQ39" s="63"/>
      <c r="BS39" s="63"/>
      <c r="BU39" s="63"/>
      <c r="BW39" s="63"/>
    </row>
    <row r="40" spans="1:75" x14ac:dyDescent="0.2">
      <c r="A40" s="18">
        <v>17</v>
      </c>
      <c r="B40" s="31"/>
      <c r="C40" s="2" t="s">
        <v>367</v>
      </c>
      <c r="D40" s="132">
        <f>SUM(F40:X40)</f>
        <v>679229.182026239</v>
      </c>
      <c r="E40" s="37"/>
      <c r="F40" s="20">
        <v>89712.926291450407</v>
      </c>
      <c r="G40" s="20">
        <v>0</v>
      </c>
      <c r="H40" s="20">
        <v>17158.903407876005</v>
      </c>
      <c r="I40" s="20">
        <v>0</v>
      </c>
      <c r="J40" s="20">
        <v>91008.845170942455</v>
      </c>
      <c r="K40" s="20">
        <v>0</v>
      </c>
      <c r="L40" s="20">
        <v>27745.880803275784</v>
      </c>
      <c r="M40" s="20">
        <v>0</v>
      </c>
      <c r="N40" s="20">
        <v>120035.97023118011</v>
      </c>
      <c r="O40" s="20">
        <v>0</v>
      </c>
      <c r="P40" s="20">
        <v>165405.34043375903</v>
      </c>
      <c r="Q40" s="20">
        <v>0</v>
      </c>
      <c r="R40" s="20">
        <v>59613.482751113945</v>
      </c>
      <c r="S40" s="20">
        <v>0</v>
      </c>
      <c r="T40" s="20">
        <v>14621.986908025916</v>
      </c>
      <c r="U40" s="20">
        <v>0</v>
      </c>
      <c r="V40" s="20">
        <v>93925.846028615342</v>
      </c>
      <c r="W40" s="20">
        <v>0</v>
      </c>
      <c r="X40" s="20">
        <v>-1.3031943624612084E-13</v>
      </c>
      <c r="AD40" s="18" t="s">
        <v>320</v>
      </c>
      <c r="AE40" s="18"/>
      <c r="AF40" s="18" t="s">
        <v>320</v>
      </c>
      <c r="AG40" s="3"/>
      <c r="AH40" s="2" t="s">
        <v>321</v>
      </c>
      <c r="AI40" s="3"/>
      <c r="AJ40" s="2" t="s">
        <v>128</v>
      </c>
      <c r="AK40" s="3"/>
      <c r="AL40" s="2" t="s">
        <v>10</v>
      </c>
      <c r="AM40" s="2"/>
      <c r="AN40" s="2" t="s">
        <v>10</v>
      </c>
      <c r="AO40" s="2"/>
      <c r="AP40" s="2" t="s">
        <v>10</v>
      </c>
      <c r="AQ40" s="2"/>
      <c r="AR40" s="2" t="s">
        <v>185</v>
      </c>
      <c r="AS40" s="2"/>
      <c r="AT40" s="2" t="s">
        <v>128</v>
      </c>
      <c r="AU40" s="2"/>
      <c r="AV40" s="2" t="s">
        <v>10</v>
      </c>
      <c r="AX40" s="18"/>
      <c r="AZ40" s="31"/>
      <c r="BA40" s="31"/>
    </row>
    <row r="41" spans="1:75" x14ac:dyDescent="0.2">
      <c r="A41" s="18">
        <v>18</v>
      </c>
      <c r="B41" s="2" t="s">
        <v>121</v>
      </c>
      <c r="C41" s="2"/>
      <c r="D41" s="131">
        <f>SUM(F41:X41)</f>
        <v>1</v>
      </c>
      <c r="F41" s="24">
        <f>IFERROR(F40/$D40,0)</f>
        <v>0.13208049457448776</v>
      </c>
      <c r="H41" s="24">
        <f>IFERROR(H40/$D40,0)</f>
        <v>2.5262317730060584E-2</v>
      </c>
      <c r="J41" s="24">
        <f>IFERROR(J40/$D40,0)</f>
        <v>0.13398842037300265</v>
      </c>
      <c r="L41" s="24">
        <f>IFERROR(L40/$D40,0)</f>
        <v>4.0849070589849809E-2</v>
      </c>
      <c r="N41" s="24">
        <f>IFERROR(N40/$D40,0)</f>
        <v>0.17672381194384998</v>
      </c>
      <c r="P41" s="24">
        <f>IFERROR(P40/$D40,0)</f>
        <v>0.24351919029793589</v>
      </c>
      <c r="R41" s="24">
        <f>IFERROR(R40/$D40,0)</f>
        <v>8.7766374485381049E-2</v>
      </c>
      <c r="T41" s="24">
        <f>IFERROR(T40/$D40,0)</f>
        <v>2.1527324347882716E-2</v>
      </c>
      <c r="V41" s="24">
        <f>IFERROR(V40/$D40,0)</f>
        <v>0.13828299565754956</v>
      </c>
      <c r="X41" s="24">
        <f>IFERROR(X40/$D40,0)</f>
        <v>-1.9186371801246685E-19</v>
      </c>
      <c r="AD41" s="4" t="s">
        <v>329</v>
      </c>
      <c r="AE41" s="18"/>
      <c r="AF41" s="4" t="s">
        <v>328</v>
      </c>
      <c r="AG41" s="18"/>
      <c r="AH41" s="4" t="s">
        <v>129</v>
      </c>
      <c r="AI41" s="18"/>
      <c r="AJ41" s="4" t="s">
        <v>104</v>
      </c>
      <c r="AK41" s="18"/>
      <c r="AL41" s="33" t="s">
        <v>23</v>
      </c>
      <c r="AM41" s="2"/>
      <c r="AN41" s="33" t="s">
        <v>31</v>
      </c>
      <c r="AO41" s="2"/>
      <c r="AP41" s="33" t="s">
        <v>33</v>
      </c>
      <c r="AQ41" s="2"/>
      <c r="AR41" s="33" t="s">
        <v>183</v>
      </c>
      <c r="AS41" s="2"/>
      <c r="AT41" s="33" t="s">
        <v>104</v>
      </c>
      <c r="AU41" s="2"/>
      <c r="AV41" s="33" t="s">
        <v>49</v>
      </c>
      <c r="AX41" s="18"/>
      <c r="AZ41" s="2"/>
      <c r="BA41" s="31"/>
      <c r="BC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</row>
    <row r="42" spans="1:75" x14ac:dyDescent="0.2">
      <c r="A42" s="18"/>
      <c r="B42" s="2"/>
      <c r="C42" s="2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AX42" s="18"/>
      <c r="AZ42" s="2"/>
      <c r="BA42" s="31"/>
      <c r="BC42" s="63"/>
      <c r="BE42" s="63"/>
      <c r="BG42" s="63"/>
      <c r="BI42" s="63"/>
      <c r="BK42" s="63"/>
      <c r="BM42" s="63"/>
      <c r="BO42" s="63"/>
      <c r="BQ42" s="63"/>
      <c r="BS42" s="63"/>
      <c r="BU42" s="63"/>
      <c r="BW42" s="63"/>
    </row>
    <row r="43" spans="1:75" x14ac:dyDescent="0.2">
      <c r="A43" s="18">
        <v>19</v>
      </c>
      <c r="B43" s="31"/>
      <c r="C43" s="2" t="s">
        <v>367</v>
      </c>
      <c r="D43" s="132">
        <f>SUM(F43:X43)</f>
        <v>262901.04556261015</v>
      </c>
      <c r="E43" s="37"/>
      <c r="F43" s="20">
        <v>28361.276863598931</v>
      </c>
      <c r="G43" s="20">
        <v>0</v>
      </c>
      <c r="H43" s="20">
        <v>5424.5071512386949</v>
      </c>
      <c r="I43" s="20">
        <v>0</v>
      </c>
      <c r="J43" s="20">
        <v>28770.960458297835</v>
      </c>
      <c r="K43" s="20">
        <v>0</v>
      </c>
      <c r="L43" s="20">
        <v>26860.637168250098</v>
      </c>
      <c r="M43" s="20">
        <v>0</v>
      </c>
      <c r="N43" s="20">
        <v>36280.47941768368</v>
      </c>
      <c r="O43" s="20">
        <v>0</v>
      </c>
      <c r="P43" s="20">
        <v>50889.81898798082</v>
      </c>
      <c r="Q43" s="20">
        <v>0</v>
      </c>
      <c r="R43" s="20">
        <v>21964.012250434997</v>
      </c>
      <c r="S43" s="20">
        <v>0</v>
      </c>
      <c r="T43" s="20">
        <v>4920.67725021771</v>
      </c>
      <c r="U43" s="20">
        <v>0</v>
      </c>
      <c r="V43" s="20">
        <v>59428.676014907382</v>
      </c>
      <c r="W43" s="20">
        <v>0</v>
      </c>
      <c r="X43" s="20">
        <v>0</v>
      </c>
      <c r="AB43" s="27" t="s">
        <v>239</v>
      </c>
      <c r="AC43" s="27"/>
      <c r="AD43" s="47">
        <v>1876482.8936762945</v>
      </c>
      <c r="AE43" s="47"/>
      <c r="AF43" s="47">
        <v>358904.67572666483</v>
      </c>
      <c r="AG43" s="47"/>
      <c r="AH43" s="47">
        <v>1903589.0166117887</v>
      </c>
      <c r="AI43" s="47"/>
      <c r="AJ43" s="47">
        <v>0</v>
      </c>
      <c r="AK43" s="47"/>
      <c r="AL43" s="47">
        <v>2561829.997756701</v>
      </c>
      <c r="AM43" s="47"/>
      <c r="AN43" s="47">
        <v>3496978.1869334034</v>
      </c>
      <c r="AO43" s="47"/>
      <c r="AP43" s="47">
        <v>1029780.7535093786</v>
      </c>
      <c r="AQ43" s="27"/>
      <c r="AR43" s="47">
        <v>284291.33896399941</v>
      </c>
      <c r="AS43" s="27"/>
      <c r="AT43" s="47">
        <v>0</v>
      </c>
      <c r="AU43" s="27"/>
      <c r="AV43" s="47">
        <v>0</v>
      </c>
      <c r="AX43" s="18"/>
      <c r="AZ43" s="31"/>
      <c r="BA43" s="31"/>
    </row>
    <row r="44" spans="1:75" x14ac:dyDescent="0.2">
      <c r="A44" s="18">
        <v>20</v>
      </c>
      <c r="B44" s="2" t="s">
        <v>227</v>
      </c>
      <c r="C44" s="2"/>
      <c r="D44" s="131">
        <f>SUM(F44:X44)</f>
        <v>1</v>
      </c>
      <c r="F44" s="24">
        <f>IFERROR(F43/$D43,0)</f>
        <v>0.10787814404809837</v>
      </c>
      <c r="H44" s="24">
        <f>IFERROR(H43/$D43,0)</f>
        <v>2.0633265796376771E-2</v>
      </c>
      <c r="J44" s="24">
        <f>IFERROR(J43/$D43,0)</f>
        <v>0.10943646266878769</v>
      </c>
      <c r="L44" s="24">
        <f>IFERROR(L43/$D43,0)</f>
        <v>0.10217014204248652</v>
      </c>
      <c r="N44" s="24">
        <f>IFERROR(N43/$D43,0)</f>
        <v>0.13800051399583896</v>
      </c>
      <c r="P44" s="24">
        <f>IFERROR(P43/$D43,0)</f>
        <v>0.193570241910131</v>
      </c>
      <c r="R44" s="24">
        <f>IFERROR(R43/$D43,0)</f>
        <v>8.3544788509425094E-2</v>
      </c>
      <c r="T44" s="24">
        <f>IFERROR(T43/$D43,0)</f>
        <v>1.871684169109113E-2</v>
      </c>
      <c r="V44" s="24">
        <f>IFERROR(V43/$D43,0)</f>
        <v>0.22604959933776445</v>
      </c>
      <c r="X44" s="24">
        <f>IFERROR(X43/$D43,0)</f>
        <v>0</v>
      </c>
      <c r="AD44" s="24">
        <f>AD43/SUM($AD$43:$AV$43)</f>
        <v>0.16300436289113387</v>
      </c>
      <c r="AE44" s="24"/>
      <c r="AF44" s="24">
        <f>AF43/SUM($AD$43:$AV$43)</f>
        <v>3.1176957809009559E-2</v>
      </c>
      <c r="AG44" s="24"/>
      <c r="AH44" s="24">
        <f>AH43/SUM($AD$43:$AV$43)</f>
        <v>0.1653589893651822</v>
      </c>
      <c r="AI44" s="24"/>
      <c r="AJ44" s="24">
        <f>AJ43/SUM($AD$43:$AV$43)</f>
        <v>0</v>
      </c>
      <c r="AK44" s="17"/>
      <c r="AL44" s="24">
        <f>AL43/SUM($AD$43:$AV$43)</f>
        <v>0.22253838179233776</v>
      </c>
      <c r="AM44" s="17"/>
      <c r="AN44" s="24">
        <f>AN43/SUM($AD$43:$AV$43)</f>
        <v>0.3037718613509538</v>
      </c>
      <c r="AO44" s="17"/>
      <c r="AP44" s="24">
        <f>AP43/SUM($AD$43:$AV$43)</f>
        <v>8.9453922659795251E-2</v>
      </c>
      <c r="AQ44" s="17"/>
      <c r="AR44" s="24">
        <f>AR43/SUM($AD$43:$AV$43)</f>
        <v>2.4695524131587519E-2</v>
      </c>
      <c r="AS44" s="17"/>
      <c r="AT44" s="24">
        <f>AT43/SUM($AD$43:$AV$43)</f>
        <v>0</v>
      </c>
      <c r="AU44" s="17"/>
      <c r="AV44" s="24">
        <f>AV43/SUM($AD$43:$AV$43)</f>
        <v>0</v>
      </c>
      <c r="AX44" s="18"/>
      <c r="AZ44" s="2"/>
      <c r="BA44" s="31"/>
      <c r="BC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</row>
    <row r="45" spans="1:75" ht="15" x14ac:dyDescent="0.25">
      <c r="A45" s="18"/>
      <c r="B45" s="2"/>
      <c r="C45" s="2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AB45"/>
      <c r="AC45"/>
      <c r="AD45"/>
      <c r="AE45"/>
      <c r="AF45"/>
      <c r="AG45"/>
      <c r="AH45"/>
      <c r="AI45"/>
      <c r="AJ45"/>
      <c r="AX45" s="18"/>
      <c r="AZ45" s="2"/>
      <c r="BA45" s="31"/>
      <c r="BC45" s="63"/>
      <c r="BE45" s="63"/>
      <c r="BG45" s="63"/>
      <c r="BI45" s="63"/>
      <c r="BK45" s="63"/>
      <c r="BM45" s="63"/>
      <c r="BO45" s="63"/>
      <c r="BQ45" s="63"/>
      <c r="BS45" s="63"/>
      <c r="BU45" s="63"/>
      <c r="BW45" s="63"/>
    </row>
    <row r="46" spans="1:75" x14ac:dyDescent="0.2">
      <c r="A46" s="18">
        <v>21</v>
      </c>
      <c r="B46" s="31"/>
      <c r="C46" s="2" t="s">
        <v>367</v>
      </c>
      <c r="D46" s="132">
        <f>SUM(F46:X46)</f>
        <v>2387.4085655604631</v>
      </c>
      <c r="E46" s="37"/>
      <c r="F46" s="20">
        <v>1798.630220824065</v>
      </c>
      <c r="G46" s="20">
        <v>0</v>
      </c>
      <c r="H46" s="20">
        <v>344.01421847888167</v>
      </c>
      <c r="I46" s="20">
        <v>0</v>
      </c>
      <c r="J46" s="20">
        <v>244.76412625751686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20">
        <v>0</v>
      </c>
      <c r="AB46" s="27" t="s">
        <v>37</v>
      </c>
      <c r="AC46" s="27"/>
      <c r="AD46" s="133">
        <v>77417.491331341895</v>
      </c>
      <c r="AE46" s="133"/>
      <c r="AF46" s="133">
        <v>14807.222445503588</v>
      </c>
      <c r="AG46" s="133"/>
      <c r="AH46" s="133">
        <v>78535.800506691565</v>
      </c>
      <c r="AI46" s="133"/>
      <c r="AJ46" s="133">
        <v>62922.408509695902</v>
      </c>
      <c r="AK46" s="27"/>
      <c r="AL46" s="133">
        <v>100282.65840407935</v>
      </c>
      <c r="AM46" s="27"/>
      <c r="AN46" s="133">
        <v>140859.83113323466</v>
      </c>
      <c r="AO46" s="27"/>
      <c r="AP46" s="133">
        <v>65804.693164442724</v>
      </c>
      <c r="AQ46" s="27"/>
      <c r="AR46" s="133">
        <v>14018.914691042375</v>
      </c>
      <c r="AS46" s="27"/>
      <c r="AT46" s="133">
        <v>200498.17514143622</v>
      </c>
      <c r="AU46" s="27"/>
      <c r="AV46" s="133">
        <v>0</v>
      </c>
      <c r="AX46" s="18"/>
      <c r="AZ46" s="31"/>
      <c r="BA46" s="31"/>
    </row>
    <row r="47" spans="1:75" x14ac:dyDescent="0.2">
      <c r="A47" s="18">
        <v>22</v>
      </c>
      <c r="B47" s="2" t="s">
        <v>534</v>
      </c>
      <c r="C47" s="2"/>
      <c r="D47" s="131">
        <f>SUM(F47:X47)</f>
        <v>1.0000000000000002</v>
      </c>
      <c r="F47" s="24">
        <f>IFERROR(F46/$D46,0)</f>
        <v>0.75338182444772384</v>
      </c>
      <c r="H47" s="24">
        <f>IFERROR(H46/$D46,0)</f>
        <v>0.14409524345411803</v>
      </c>
      <c r="J47" s="24">
        <f>IFERROR(J46/$D46,0)</f>
        <v>0.1025229320981583</v>
      </c>
      <c r="L47" s="24">
        <f>IFERROR(L46/$D46,0)</f>
        <v>0</v>
      </c>
      <c r="N47" s="24">
        <f>IFERROR(N46/$D46,0)</f>
        <v>0</v>
      </c>
      <c r="P47" s="24">
        <f>IFERROR(P46/$D46,0)</f>
        <v>0</v>
      </c>
      <c r="R47" s="24">
        <f>IFERROR(R46/$D46,0)</f>
        <v>0</v>
      </c>
      <c r="T47" s="24">
        <f>IFERROR(T46/$D46,0)</f>
        <v>0</v>
      </c>
      <c r="V47" s="24">
        <f>IFERROR(V46/$D46,0)</f>
        <v>0</v>
      </c>
      <c r="X47" s="24">
        <f>IFERROR(X46/$D46,0)</f>
        <v>0</v>
      </c>
      <c r="AD47" s="37">
        <f>AD46/SUM($AD$46:$AV$46)</f>
        <v>0.10251973629825893</v>
      </c>
      <c r="AE47" s="109"/>
      <c r="AF47" s="37">
        <f>AF46/SUM($AD$46:$AV$46)</f>
        <v>1.9608392293746731E-2</v>
      </c>
      <c r="AG47" s="109"/>
      <c r="AH47" s="37">
        <f>AH46/SUM($AD$46:$AV$46)</f>
        <v>0.10400065178370242</v>
      </c>
      <c r="AI47" s="109"/>
      <c r="AJ47" s="37">
        <f>AJ46/SUM($AD$46:$AV$46)</f>
        <v>8.3324693383002899E-2</v>
      </c>
      <c r="AL47" s="37">
        <f>AL46/SUM($AD$46:$AV$46)</f>
        <v>0.13279882256676054</v>
      </c>
      <c r="AN47" s="37">
        <f>AN46/SUM($AD$46:$AV$46)</f>
        <v>0.18653294616574853</v>
      </c>
      <c r="AP47" s="37">
        <f>AP46/SUM($AD$46:$AV$46)</f>
        <v>8.7141544816181984E-2</v>
      </c>
      <c r="AR47" s="37">
        <f>AR46/SUM($AD$46:$AV$46)</f>
        <v>1.8564479584623358E-2</v>
      </c>
      <c r="AT47" s="37">
        <f>AT46/SUM($AD$46:$AV$46)</f>
        <v>0.2655087331079744</v>
      </c>
      <c r="AV47" s="37">
        <f>AV46/SUM($AD$46:$AV$46)</f>
        <v>0</v>
      </c>
      <c r="AX47" s="18"/>
      <c r="AZ47" s="2"/>
      <c r="BA47" s="58"/>
      <c r="BC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</row>
    <row r="48" spans="1:75" x14ac:dyDescent="0.2">
      <c r="A48" s="18"/>
      <c r="B48" s="2"/>
      <c r="C48" s="2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152"/>
      <c r="AX48" s="18"/>
      <c r="AZ48" s="2"/>
      <c r="BA48" s="58"/>
      <c r="BC48" s="63"/>
      <c r="BE48" s="63"/>
      <c r="BG48" s="63"/>
      <c r="BI48" s="63"/>
      <c r="BK48" s="63"/>
      <c r="BM48" s="63"/>
      <c r="BO48" s="63"/>
      <c r="BQ48" s="63"/>
      <c r="BS48" s="63"/>
      <c r="BU48" s="63"/>
      <c r="BW48" s="63"/>
    </row>
    <row r="49" spans="1:75" x14ac:dyDescent="0.2">
      <c r="A49" s="18">
        <v>23</v>
      </c>
      <c r="B49" s="31"/>
      <c r="C49" s="2" t="s">
        <v>368</v>
      </c>
      <c r="D49" s="132">
        <f>SUM(F49:X49)</f>
        <v>9828103.3360033967</v>
      </c>
      <c r="E49" s="37"/>
      <c r="F49" s="20">
        <v>2750900.1750036743</v>
      </c>
      <c r="G49" s="20"/>
      <c r="H49" s="20">
        <v>526149.7126317193</v>
      </c>
      <c r="I49" s="20"/>
      <c r="J49" s="20">
        <v>2790637.4081957322</v>
      </c>
      <c r="K49" s="20"/>
      <c r="L49" s="20">
        <v>0</v>
      </c>
      <c r="M49" s="20"/>
      <c r="N49" s="20">
        <v>3760416.0401722705</v>
      </c>
      <c r="O49" s="20"/>
      <c r="P49" s="20">
        <v>0</v>
      </c>
      <c r="Q49" s="20"/>
      <c r="R49" s="20">
        <v>0</v>
      </c>
      <c r="S49" s="20"/>
      <c r="T49" s="20">
        <f>0</f>
        <v>0</v>
      </c>
      <c r="U49" s="20"/>
      <c r="V49" s="20">
        <v>0</v>
      </c>
      <c r="W49" s="20"/>
      <c r="X49" s="20">
        <v>0</v>
      </c>
      <c r="Y49" s="40"/>
      <c r="AB49" s="31" t="s">
        <v>361</v>
      </c>
      <c r="AC49" s="31"/>
      <c r="AD49" s="108">
        <f>0.5*AD44+0.5*AD47</f>
        <v>0.1327620495946964</v>
      </c>
      <c r="AE49" s="110"/>
      <c r="AF49" s="108">
        <f>0.5*AF44+0.5*AF47</f>
        <v>2.5392675051378145E-2</v>
      </c>
      <c r="AG49" s="87"/>
      <c r="AH49" s="108">
        <f>0.5*AH44+0.5*AH47</f>
        <v>0.1346798205744423</v>
      </c>
      <c r="AI49" s="87"/>
      <c r="AJ49" s="108">
        <f>0.5*AJ44+0.5*AJ47</f>
        <v>4.1662346691501449E-2</v>
      </c>
      <c r="AK49" s="31"/>
      <c r="AL49" s="108">
        <f>0.5*AL44+0.5*AL47</f>
        <v>0.17766860217954916</v>
      </c>
      <c r="AM49" s="31"/>
      <c r="AN49" s="108">
        <f>0.5*AN44+0.5*AN47</f>
        <v>0.24515240375835118</v>
      </c>
      <c r="AO49" s="31"/>
      <c r="AP49" s="108">
        <f>0.5*AP44+0.5*AP47</f>
        <v>8.8297733737988618E-2</v>
      </c>
      <c r="AQ49" s="31"/>
      <c r="AR49" s="108">
        <f>0.5*AR44+0.5*AR47</f>
        <v>2.1630001858105437E-2</v>
      </c>
      <c r="AS49" s="31"/>
      <c r="AT49" s="108">
        <f>0.5*AT44+0.5*AT47</f>
        <v>0.1327543665539872</v>
      </c>
      <c r="AU49" s="31"/>
      <c r="AV49" s="108">
        <f>0.5*AV44+0.5*AV47</f>
        <v>0</v>
      </c>
      <c r="AX49" s="18"/>
      <c r="AZ49" s="31"/>
      <c r="BA49" s="31"/>
    </row>
    <row r="50" spans="1:75" x14ac:dyDescent="0.2">
      <c r="A50" s="18">
        <v>24</v>
      </c>
      <c r="B50" s="2" t="s">
        <v>535</v>
      </c>
      <c r="C50" s="2"/>
      <c r="D50" s="131">
        <f>SUM(F50:X50)</f>
        <v>0.99999999999999989</v>
      </c>
      <c r="F50" s="24">
        <f>IFERROR(F49/$D49,0)</f>
        <v>0.2799014297017281</v>
      </c>
      <c r="H50" s="24">
        <f>IFERROR(H49/$D49,0)</f>
        <v>5.3535223902690297E-2</v>
      </c>
      <c r="J50" s="24">
        <f>IFERROR(J49/$D49,0)</f>
        <v>0.28394465471000496</v>
      </c>
      <c r="L50" s="24">
        <f>IFERROR(L49/$D49,0)</f>
        <v>0</v>
      </c>
      <c r="N50" s="24">
        <f>IFERROR(N49/$D49,0)</f>
        <v>0.38261869168557661</v>
      </c>
      <c r="P50" s="24">
        <f>IFERROR(P49/$D49,0)</f>
        <v>0</v>
      </c>
      <c r="R50" s="24">
        <f>IFERROR(R49/$D49,0)</f>
        <v>0</v>
      </c>
      <c r="T50" s="24">
        <f>IFERROR(T49/$D49,0)</f>
        <v>0</v>
      </c>
      <c r="V50" s="24">
        <f>IFERROR(V49/$D49,0)</f>
        <v>0</v>
      </c>
      <c r="X50" s="24">
        <f>IFERROR(X49/$D49,0)</f>
        <v>0</v>
      </c>
      <c r="AX50" s="18"/>
      <c r="AZ50" s="2"/>
      <c r="BA50" s="31"/>
      <c r="BC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</row>
    <row r="51" spans="1:75" x14ac:dyDescent="0.2">
      <c r="A51" s="18"/>
      <c r="B51" s="2"/>
      <c r="C51" s="2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152"/>
      <c r="AX51" s="18"/>
      <c r="AZ51" s="2"/>
      <c r="BA51" s="31"/>
      <c r="BC51" s="63"/>
      <c r="BE51" s="63"/>
      <c r="BG51" s="63"/>
      <c r="BI51" s="63"/>
      <c r="BK51" s="63"/>
      <c r="BM51" s="63"/>
      <c r="BO51" s="63"/>
      <c r="BQ51" s="63"/>
      <c r="BS51" s="63"/>
      <c r="BU51" s="63"/>
      <c r="BW51" s="63"/>
    </row>
    <row r="52" spans="1:75" x14ac:dyDescent="0.2">
      <c r="A52" s="18">
        <v>25</v>
      </c>
      <c r="B52" s="31"/>
      <c r="C52" s="2" t="s">
        <v>368</v>
      </c>
      <c r="D52" s="132">
        <f>SUM(F52:X52)</f>
        <v>11511856.863178231</v>
      </c>
      <c r="E52" s="37"/>
      <c r="F52" s="20">
        <v>1876482.8936762945</v>
      </c>
      <c r="G52" s="20"/>
      <c r="H52" s="20">
        <v>358904.67572666483</v>
      </c>
      <c r="I52" s="20"/>
      <c r="J52" s="20">
        <v>1903589.0166117887</v>
      </c>
      <c r="K52" s="20"/>
      <c r="L52" s="20">
        <v>0</v>
      </c>
      <c r="M52" s="20"/>
      <c r="N52" s="20">
        <v>2561829.997756701</v>
      </c>
      <c r="O52" s="20"/>
      <c r="P52" s="20">
        <v>3496978.1869334034</v>
      </c>
      <c r="Q52" s="20"/>
      <c r="R52" s="20">
        <v>1029780.7535093786</v>
      </c>
      <c r="S52" s="20"/>
      <c r="T52" s="20">
        <v>284291.33896399941</v>
      </c>
      <c r="U52" s="20"/>
      <c r="V52" s="20">
        <v>0</v>
      </c>
      <c r="W52" s="20"/>
      <c r="X52" s="20">
        <v>0</v>
      </c>
      <c r="AX52" s="18"/>
      <c r="AZ52" s="31"/>
      <c r="BA52" s="31"/>
    </row>
    <row r="53" spans="1:75" x14ac:dyDescent="0.2">
      <c r="A53" s="18">
        <v>26</v>
      </c>
      <c r="B53" s="2" t="s">
        <v>238</v>
      </c>
      <c r="C53" s="2"/>
      <c r="D53" s="131">
        <f>SUM(F53:X53)</f>
        <v>0.99999999999999989</v>
      </c>
      <c r="F53" s="24">
        <f>IFERROR(F52/$D52,0)</f>
        <v>0.16300436289113387</v>
      </c>
      <c r="H53" s="24">
        <f>IFERROR(H52/$D52,0)</f>
        <v>3.1176957809009559E-2</v>
      </c>
      <c r="J53" s="24">
        <f>IFERROR(J52/$D52,0)</f>
        <v>0.1653589893651822</v>
      </c>
      <c r="L53" s="24">
        <f>IFERROR(L52/$D52,0)</f>
        <v>0</v>
      </c>
      <c r="N53" s="24">
        <f>IFERROR(N52/$D52,0)</f>
        <v>0.22253838179233776</v>
      </c>
      <c r="P53" s="24">
        <f>IFERROR(P52/$D52,0)</f>
        <v>0.3037718613509538</v>
      </c>
      <c r="R53" s="24">
        <f>IFERROR(R52/$D52,0)</f>
        <v>8.9453922659795251E-2</v>
      </c>
      <c r="T53" s="24">
        <f>IFERROR(T52/$D52,0)</f>
        <v>2.4695524131587519E-2</v>
      </c>
      <c r="V53" s="24">
        <f>IFERROR(V52/$D52,0)</f>
        <v>0</v>
      </c>
      <c r="X53" s="24">
        <f>IFERROR(X52/$D52,0)</f>
        <v>0</v>
      </c>
      <c r="AX53" s="18"/>
      <c r="AZ53" s="2"/>
      <c r="BA53" s="31"/>
      <c r="BC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</row>
    <row r="54" spans="1:75" x14ac:dyDescent="0.2">
      <c r="A54" s="18"/>
      <c r="B54" s="2"/>
      <c r="C54" s="2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152"/>
      <c r="AX54" s="18"/>
      <c r="AZ54" s="2"/>
      <c r="BA54" s="31"/>
      <c r="BC54" s="63"/>
      <c r="BE54" s="63"/>
      <c r="BG54" s="63"/>
      <c r="BI54" s="63"/>
      <c r="BK54" s="63"/>
      <c r="BM54" s="63"/>
      <c r="BO54" s="63"/>
      <c r="BQ54" s="63"/>
      <c r="BS54" s="63"/>
      <c r="BU54" s="63"/>
      <c r="BW54" s="63"/>
    </row>
    <row r="55" spans="1:75" x14ac:dyDescent="0.2">
      <c r="A55" s="18">
        <v>27</v>
      </c>
      <c r="B55" s="31"/>
      <c r="C55" s="2" t="s">
        <v>367</v>
      </c>
      <c r="D55" s="132">
        <f>SUM(F55:X55)</f>
        <v>183142.69754695939</v>
      </c>
      <c r="E55" s="37"/>
      <c r="F55" s="20">
        <v>18821.462762028808</v>
      </c>
      <c r="G55" s="20">
        <v>0</v>
      </c>
      <c r="H55" s="20">
        <v>3599.8788009589762</v>
      </c>
      <c r="I55" s="20">
        <v>0</v>
      </c>
      <c r="J55" s="20">
        <v>19093.342076875037</v>
      </c>
      <c r="K55" s="20">
        <v>0</v>
      </c>
      <c r="L55" s="20">
        <v>15337.094089753184</v>
      </c>
      <c r="M55" s="20">
        <v>0</v>
      </c>
      <c r="N55" s="20">
        <v>24334.906708899634</v>
      </c>
      <c r="O55" s="20">
        <v>0</v>
      </c>
      <c r="P55" s="20">
        <v>34023.671336515705</v>
      </c>
      <c r="Q55" s="20">
        <v>0</v>
      </c>
      <c r="R55" s="20">
        <v>16064.180020722119</v>
      </c>
      <c r="S55" s="20">
        <v>0</v>
      </c>
      <c r="T55" s="20">
        <v>3404.5167172154843</v>
      </c>
      <c r="U55" s="20">
        <v>0</v>
      </c>
      <c r="V55" s="20">
        <v>48463.645033990433</v>
      </c>
      <c r="W55" s="20">
        <v>0</v>
      </c>
      <c r="X55" s="20">
        <v>0</v>
      </c>
      <c r="AX55" s="18"/>
      <c r="AZ55" s="31"/>
      <c r="BA55" s="31"/>
    </row>
    <row r="56" spans="1:75" x14ac:dyDescent="0.2">
      <c r="A56" s="18">
        <v>28</v>
      </c>
      <c r="B56" s="2" t="s">
        <v>254</v>
      </c>
      <c r="C56" s="2"/>
      <c r="D56" s="131">
        <f>SUM(F56:X56)</f>
        <v>0.99999999999999989</v>
      </c>
      <c r="F56" s="24">
        <f>IFERROR(F55/$D55,0)</f>
        <v>0.10276938700874394</v>
      </c>
      <c r="H56" s="24">
        <f>IFERROR(H55/$D55,0)</f>
        <v>1.9656141627137143E-2</v>
      </c>
      <c r="J56" s="24">
        <f>IFERROR(J55/$D55,0)</f>
        <v>0.10425390874227643</v>
      </c>
      <c r="L56" s="24">
        <f>IFERROR(L55/$D55,0)</f>
        <v>8.3743956462258712E-2</v>
      </c>
      <c r="N56" s="24">
        <f>IFERROR(N55/$D55,0)</f>
        <v>0.13287402137701915</v>
      </c>
      <c r="P56" s="24">
        <f>IFERROR(P55/$D55,0)</f>
        <v>0.18577683845566237</v>
      </c>
      <c r="R56" s="24">
        <f>IFERROR(R55/$D55,0)</f>
        <v>8.7714007906884314E-2</v>
      </c>
      <c r="T56" s="24">
        <f>IFERROR(T55/$D55,0)</f>
        <v>1.8589421051541169E-2</v>
      </c>
      <c r="V56" s="24">
        <f>IFERROR(V55/$D55,0)</f>
        <v>0.26462231736847674</v>
      </c>
      <c r="X56" s="24">
        <f>IFERROR(X55/$D55,0)</f>
        <v>0</v>
      </c>
      <c r="AX56" s="18"/>
      <c r="AZ56" s="2"/>
      <c r="BA56" s="31"/>
      <c r="BC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</row>
    <row r="57" spans="1:75" x14ac:dyDescent="0.2">
      <c r="A57" s="18"/>
      <c r="B57" s="2"/>
      <c r="C57" s="2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AX57" s="18"/>
      <c r="AZ57" s="2"/>
      <c r="BA57" s="31"/>
      <c r="BC57" s="63"/>
      <c r="BE57" s="63"/>
      <c r="BG57" s="63"/>
      <c r="BI57" s="63"/>
      <c r="BK57" s="63"/>
      <c r="BM57" s="63"/>
      <c r="BO57" s="63"/>
      <c r="BQ57" s="63"/>
      <c r="BS57" s="63"/>
      <c r="BU57" s="63"/>
      <c r="BW57" s="63"/>
    </row>
    <row r="58" spans="1:75" x14ac:dyDescent="0.2">
      <c r="A58" s="18">
        <v>29</v>
      </c>
      <c r="B58" s="2"/>
      <c r="C58" s="2" t="s">
        <v>367</v>
      </c>
      <c r="D58" s="132">
        <f>SUM(F58:X58)</f>
        <v>95278.782195306034</v>
      </c>
      <c r="E58" s="37"/>
      <c r="F58" s="20">
        <v>19694.93409386374</v>
      </c>
      <c r="G58" s="20">
        <v>0</v>
      </c>
      <c r="H58" s="20">
        <v>3766.9429112502121</v>
      </c>
      <c r="I58" s="20">
        <v>0</v>
      </c>
      <c r="J58" s="20">
        <v>21290.651503878958</v>
      </c>
      <c r="K58" s="20">
        <v>0</v>
      </c>
      <c r="L58" s="20">
        <v>0</v>
      </c>
      <c r="M58" s="20">
        <v>0</v>
      </c>
      <c r="N58" s="20">
        <v>32109.185356070346</v>
      </c>
      <c r="O58" s="20">
        <v>0</v>
      </c>
      <c r="P58" s="20">
        <v>18417.068330242779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AX58" s="18"/>
      <c r="AZ58" s="2"/>
      <c r="BA58" s="31"/>
      <c r="BC58" s="63"/>
      <c r="BE58" s="63"/>
      <c r="BG58" s="63"/>
      <c r="BI58" s="63"/>
      <c r="BK58" s="63"/>
      <c r="BM58" s="63"/>
      <c r="BO58" s="63"/>
      <c r="BQ58" s="63"/>
      <c r="BS58" s="63"/>
      <c r="BU58" s="63"/>
      <c r="BW58" s="63"/>
    </row>
    <row r="59" spans="1:75" x14ac:dyDescent="0.2">
      <c r="A59" s="18">
        <v>30</v>
      </c>
      <c r="B59" s="2" t="s">
        <v>242</v>
      </c>
      <c r="C59" s="2"/>
      <c r="D59" s="131">
        <f>SUM(F59:X59)</f>
        <v>1</v>
      </c>
      <c r="F59" s="24">
        <f>IFERROR(F58/$D58,0)</f>
        <v>0.20670849941692498</v>
      </c>
      <c r="H59" s="24">
        <f>IFERROR(H58/$D58,0)</f>
        <v>3.9536010268567359E-2</v>
      </c>
      <c r="J59" s="24">
        <f>IFERROR(J58/$D58,0)</f>
        <v>0.22345637731007706</v>
      </c>
      <c r="L59" s="24">
        <f>IFERROR(L58/$D58,0)</f>
        <v>0</v>
      </c>
      <c r="N59" s="24">
        <f>IFERROR(N58/$D58,0)</f>
        <v>0.33700247438355929</v>
      </c>
      <c r="P59" s="24">
        <f>IFERROR(P58/$D58,0)</f>
        <v>0.19329663862087132</v>
      </c>
      <c r="R59" s="24">
        <f>IFERROR(R58/$D58,0)</f>
        <v>0</v>
      </c>
      <c r="T59" s="24">
        <f>IFERROR(T58/$D58,0)</f>
        <v>0</v>
      </c>
      <c r="V59" s="24">
        <f>IFERROR(V58/$D58,0)</f>
        <v>0</v>
      </c>
      <c r="X59" s="24">
        <f>IFERROR(X58/$D58,0)</f>
        <v>0</v>
      </c>
      <c r="AX59" s="18"/>
      <c r="AZ59" s="2"/>
      <c r="BA59" s="58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</row>
    <row r="60" spans="1:75" x14ac:dyDescent="0.2">
      <c r="A60" s="18"/>
      <c r="B60" s="2"/>
      <c r="C60" s="2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152"/>
      <c r="AX60" s="18"/>
      <c r="AZ60" s="2"/>
      <c r="BA60" s="58"/>
      <c r="BC60" s="63"/>
      <c r="BE60" s="63"/>
      <c r="BG60" s="63"/>
      <c r="BI60" s="63"/>
      <c r="BK60" s="63"/>
      <c r="BM60" s="63"/>
      <c r="BO60" s="63"/>
      <c r="BQ60" s="63"/>
      <c r="BS60" s="63"/>
      <c r="BU60" s="63"/>
      <c r="BW60" s="63"/>
    </row>
    <row r="61" spans="1:75" x14ac:dyDescent="0.2">
      <c r="A61" s="18">
        <v>31</v>
      </c>
      <c r="B61" s="31"/>
      <c r="C61" s="2" t="s">
        <v>368</v>
      </c>
      <c r="D61" s="132">
        <f>SUM(F61:X61)</f>
        <v>11784194.286187444</v>
      </c>
      <c r="E61" s="37"/>
      <c r="F61" s="20">
        <v>1911781.8255558747</v>
      </c>
      <c r="G61" s="20">
        <v>0</v>
      </c>
      <c r="H61" s="20">
        <v>365656.11041462945</v>
      </c>
      <c r="I61" s="20">
        <v>0</v>
      </c>
      <c r="J61" s="20">
        <v>1937818.0001016736</v>
      </c>
      <c r="K61" s="20">
        <v>0</v>
      </c>
      <c r="L61" s="20">
        <v>13873.642578517149</v>
      </c>
      <c r="M61" s="20">
        <v>0</v>
      </c>
      <c r="N61" s="20">
        <v>2606344.1532027279</v>
      </c>
      <c r="O61" s="20">
        <v>0</v>
      </c>
      <c r="P61" s="20">
        <v>3558517.683339634</v>
      </c>
      <c r="Q61" s="20">
        <v>0</v>
      </c>
      <c r="R61" s="20">
        <v>1053355.6962321801</v>
      </c>
      <c r="S61" s="20">
        <v>0</v>
      </c>
      <c r="T61" s="20">
        <v>289881.87472631602</v>
      </c>
      <c r="U61" s="20">
        <v>0</v>
      </c>
      <c r="V61" s="20">
        <v>46965.300035888409</v>
      </c>
      <c r="W61" s="20">
        <v>0</v>
      </c>
      <c r="X61" s="20">
        <v>-6.5163016172803335E-14</v>
      </c>
      <c r="AX61" s="18"/>
      <c r="AZ61" s="31"/>
      <c r="BA61" s="31"/>
    </row>
    <row r="62" spans="1:75" x14ac:dyDescent="0.2">
      <c r="A62" s="18">
        <v>32</v>
      </c>
      <c r="B62" s="2" t="s">
        <v>86</v>
      </c>
      <c r="C62" s="2"/>
      <c r="D62" s="131">
        <f>SUM(F62:X62)</f>
        <v>0.99999999999999989</v>
      </c>
      <c r="F62" s="24">
        <f>IFERROR(F61/$D61,0)</f>
        <v>0.16223271435678238</v>
      </c>
      <c r="H62" s="24">
        <f>IFERROR(H61/$D61,0)</f>
        <v>3.1029368791316039E-2</v>
      </c>
      <c r="J62" s="24">
        <f>IFERROR(J61/$D61,0)</f>
        <v>0.16444212926572671</v>
      </c>
      <c r="L62" s="24">
        <f>IFERROR(L61/$D61,0)</f>
        <v>1.1773093893045197E-3</v>
      </c>
      <c r="N62" s="24">
        <f>IFERROR(N61/$D61,0)</f>
        <v>0.22117287698300178</v>
      </c>
      <c r="P62" s="24">
        <f>IFERROR(P61/$D61,0)</f>
        <v>0.30197377919258034</v>
      </c>
      <c r="R62" s="24">
        <f>IFERROR(R61/$D61,0)</f>
        <v>8.9387163063566033E-2</v>
      </c>
      <c r="T62" s="24">
        <f>IFERROR(T61/$D61,0)</f>
        <v>2.4599210407290552E-2</v>
      </c>
      <c r="V62" s="24">
        <f>IFERROR(V61/$D61,0)</f>
        <v>3.9854485504314573E-3</v>
      </c>
      <c r="X62" s="24">
        <f>IFERROR(X61/$D61,0)</f>
        <v>-5.529696353460718E-21</v>
      </c>
      <c r="AX62" s="18"/>
      <c r="AZ62" s="2"/>
      <c r="BA62" s="31"/>
      <c r="BC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</row>
    <row r="63" spans="1:75" x14ac:dyDescent="0.2">
      <c r="A63" s="18"/>
      <c r="B63" s="2"/>
      <c r="C63" s="2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152"/>
      <c r="AX63" s="18"/>
      <c r="AZ63" s="2"/>
      <c r="BA63" s="31"/>
      <c r="BC63" s="63"/>
      <c r="BE63" s="63"/>
      <c r="BG63" s="63"/>
      <c r="BI63" s="63"/>
      <c r="BK63" s="63"/>
      <c r="BM63" s="63"/>
      <c r="BO63" s="63"/>
      <c r="BQ63" s="63"/>
      <c r="BS63" s="63"/>
      <c r="BU63" s="63"/>
      <c r="BW63" s="63"/>
    </row>
    <row r="64" spans="1:75" x14ac:dyDescent="0.2">
      <c r="A64" s="18">
        <v>33</v>
      </c>
      <c r="B64" s="31"/>
      <c r="C64" s="2" t="s">
        <v>368</v>
      </c>
      <c r="D64" s="132">
        <f>SUM(F64:X64)</f>
        <v>90714.658046140539</v>
      </c>
      <c r="E64" s="37"/>
      <c r="F64" s="20">
        <v>13122.771190942416</v>
      </c>
      <c r="G64" s="20"/>
      <c r="H64" s="20">
        <v>2509.9210628524293</v>
      </c>
      <c r="I64" s="20"/>
      <c r="J64" s="20">
        <v>13312.331911349071</v>
      </c>
      <c r="K64" s="20"/>
      <c r="L64" s="20">
        <v>0</v>
      </c>
      <c r="M64" s="20"/>
      <c r="N64" s="20">
        <v>15545.013559340918</v>
      </c>
      <c r="O64" s="20"/>
      <c r="P64" s="20">
        <v>23350.481650231377</v>
      </c>
      <c r="Q64" s="20"/>
      <c r="R64" s="20">
        <v>19651.883397468569</v>
      </c>
      <c r="S64" s="20"/>
      <c r="T64" s="20">
        <v>3222.2552739557595</v>
      </c>
      <c r="U64" s="20"/>
      <c r="V64" s="20">
        <v>0</v>
      </c>
      <c r="W64" s="20"/>
      <c r="X64" s="20">
        <v>0</v>
      </c>
      <c r="AX64" s="18"/>
      <c r="AZ64" s="31"/>
      <c r="BA64" s="31"/>
    </row>
    <row r="65" spans="1:75" x14ac:dyDescent="0.2">
      <c r="A65" s="18">
        <v>34</v>
      </c>
      <c r="B65" s="2" t="s">
        <v>352</v>
      </c>
      <c r="C65" s="2"/>
      <c r="D65" s="131">
        <f>SUM(F65:X65)</f>
        <v>1</v>
      </c>
      <c r="F65" s="24">
        <f>IFERROR(F64/$D64,0)</f>
        <v>0.1446598760728143</v>
      </c>
      <c r="H65" s="24">
        <f>IFERROR(H64/$D64,0)</f>
        <v>2.7668307602237763E-2</v>
      </c>
      <c r="J65" s="24">
        <f>IFERROR(J64/$D64,0)</f>
        <v>0.14674951323277843</v>
      </c>
      <c r="L65" s="24">
        <f>IFERROR(L64/$D64,0)</f>
        <v>0</v>
      </c>
      <c r="N65" s="24">
        <f>IFERROR(N64/$D64,0)</f>
        <v>0.17136165085287758</v>
      </c>
      <c r="P65" s="24">
        <f>IFERROR(P64/$D64,0)</f>
        <v>0.25740582782503058</v>
      </c>
      <c r="R65" s="24">
        <f>IFERROR(R64/$D64,0)</f>
        <v>0.2166340459275386</v>
      </c>
      <c r="T65" s="24">
        <f>IFERROR(T64/$D64,0)</f>
        <v>3.5520778486722748E-2</v>
      </c>
      <c r="V65" s="24">
        <f>IFERROR(V64/$D64,0)</f>
        <v>0</v>
      </c>
      <c r="X65" s="24">
        <f>IFERROR(X64/$D64,0)</f>
        <v>0</v>
      </c>
      <c r="AX65" s="18"/>
      <c r="AZ65" s="2"/>
      <c r="BA65" s="31"/>
      <c r="BC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</row>
    <row r="66" spans="1:75" x14ac:dyDescent="0.2">
      <c r="A66" s="18"/>
      <c r="B66" s="2"/>
      <c r="C66" s="2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AX66" s="18"/>
      <c r="AZ66" s="2"/>
      <c r="BA66" s="31"/>
      <c r="BC66" s="63"/>
      <c r="BE66" s="63"/>
      <c r="BG66" s="63"/>
      <c r="BI66" s="63"/>
      <c r="BK66" s="63"/>
      <c r="BM66" s="63"/>
      <c r="BO66" s="63"/>
      <c r="BQ66" s="63"/>
      <c r="BS66" s="63"/>
      <c r="BU66" s="63"/>
      <c r="BW66" s="63"/>
    </row>
    <row r="67" spans="1:75" x14ac:dyDescent="0.2">
      <c r="A67" s="18">
        <v>35</v>
      </c>
      <c r="B67" s="31"/>
      <c r="C67" s="2" t="s">
        <v>368</v>
      </c>
      <c r="D67" s="132">
        <f>SUM(F67:X67)</f>
        <v>5028464.7475272259</v>
      </c>
      <c r="E67" s="37"/>
      <c r="F67" s="134">
        <f>F91</f>
        <v>2279749.0838851305</v>
      </c>
      <c r="G67" s="37"/>
      <c r="H67" s="134">
        <f>H91</f>
        <v>436035.20631459646</v>
      </c>
      <c r="I67" s="37"/>
      <c r="J67" s="134">
        <f>J91</f>
        <v>2312680.4573274991</v>
      </c>
      <c r="K67" s="37"/>
      <c r="L67" s="20">
        <v>0</v>
      </c>
      <c r="M67" s="135"/>
      <c r="N67" s="20">
        <v>0</v>
      </c>
      <c r="O67" s="20"/>
      <c r="P67" s="20">
        <v>0</v>
      </c>
      <c r="Q67" s="20"/>
      <c r="R67" s="20">
        <v>0</v>
      </c>
      <c r="S67" s="20"/>
      <c r="T67" s="20">
        <v>0</v>
      </c>
      <c r="U67" s="20"/>
      <c r="V67" s="20">
        <v>0</v>
      </c>
      <c r="W67" s="20"/>
      <c r="X67" s="20">
        <v>0</v>
      </c>
      <c r="AX67" s="18"/>
      <c r="AZ67" s="31"/>
      <c r="BA67" s="31"/>
    </row>
    <row r="68" spans="1:75" x14ac:dyDescent="0.2">
      <c r="A68" s="18">
        <v>36</v>
      </c>
      <c r="B68" s="2" t="s">
        <v>79</v>
      </c>
      <c r="C68" s="2"/>
      <c r="D68" s="131">
        <f>SUM(F68:X68)</f>
        <v>1</v>
      </c>
      <c r="F68" s="24">
        <f>IFERROR(F67/$D67,0)</f>
        <v>0.45336881102849713</v>
      </c>
      <c r="H68" s="24">
        <f>IFERROR(H67/$D67,0)</f>
        <v>8.6713386333078915E-2</v>
      </c>
      <c r="J68" s="24">
        <f>IFERROR(J67/$D67,0)</f>
        <v>0.45991780263842397</v>
      </c>
      <c r="L68" s="24">
        <f>IFERROR(L67/$D67,0)</f>
        <v>0</v>
      </c>
      <c r="N68" s="24">
        <f>IFERROR(N67/$D67,0)</f>
        <v>0</v>
      </c>
      <c r="P68" s="24">
        <f>IFERROR(P67/$D67,0)</f>
        <v>0</v>
      </c>
      <c r="R68" s="24">
        <f>IFERROR(R67/$D67,0)</f>
        <v>0</v>
      </c>
      <c r="T68" s="24">
        <f>IFERROR(T67/$D67,0)</f>
        <v>0</v>
      </c>
      <c r="V68" s="24">
        <f>IFERROR(V67/$D67,0)</f>
        <v>0</v>
      </c>
      <c r="X68" s="24">
        <f>IFERROR(X67/$D67,0)</f>
        <v>0</v>
      </c>
      <c r="AX68" s="18"/>
      <c r="AZ68" s="2"/>
      <c r="BA68" s="31"/>
      <c r="BC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</row>
    <row r="69" spans="1:75" x14ac:dyDescent="0.2">
      <c r="A69" s="18"/>
      <c r="B69" s="2"/>
      <c r="C69" s="2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152"/>
      <c r="AX69" s="18"/>
      <c r="AZ69" s="2"/>
      <c r="BA69" s="31"/>
      <c r="BC69" s="63"/>
      <c r="BE69" s="63"/>
      <c r="BG69" s="63"/>
      <c r="BI69" s="63"/>
      <c r="BK69" s="63"/>
      <c r="BM69" s="63"/>
      <c r="BO69" s="63"/>
      <c r="BQ69" s="63"/>
      <c r="BS69" s="63"/>
      <c r="BU69" s="63"/>
      <c r="BW69" s="63"/>
    </row>
    <row r="70" spans="1:75" x14ac:dyDescent="0.2">
      <c r="A70" s="18">
        <v>37</v>
      </c>
      <c r="B70" s="31"/>
      <c r="C70" s="2" t="s">
        <v>368</v>
      </c>
      <c r="D70" s="132">
        <f>SUM(F70:X70)</f>
        <v>14437478.352962812</v>
      </c>
      <c r="E70" s="37"/>
      <c r="F70" s="20">
        <v>2279749.0838851305</v>
      </c>
      <c r="G70" s="20"/>
      <c r="H70" s="20">
        <v>436035.20631459646</v>
      </c>
      <c r="I70" s="20"/>
      <c r="J70" s="20">
        <v>2312680.4573274991</v>
      </c>
      <c r="K70" s="20"/>
      <c r="L70" s="20">
        <v>0</v>
      </c>
      <c r="M70" s="20"/>
      <c r="N70" s="20">
        <v>3760416.0401722705</v>
      </c>
      <c r="O70" s="20"/>
      <c r="P70" s="20">
        <v>5648597.565263316</v>
      </c>
      <c r="Q70" s="20"/>
      <c r="R70" s="20">
        <v>0</v>
      </c>
      <c r="S70" s="20"/>
      <c r="T70" s="20">
        <v>0</v>
      </c>
      <c r="U70" s="20"/>
      <c r="V70" s="20">
        <v>0</v>
      </c>
      <c r="W70" s="20"/>
      <c r="X70" s="20">
        <v>0</v>
      </c>
      <c r="AX70" s="18"/>
      <c r="AZ70" s="31"/>
      <c r="BA70" s="31"/>
    </row>
    <row r="71" spans="1:75" x14ac:dyDescent="0.2">
      <c r="A71" s="18">
        <v>38</v>
      </c>
      <c r="B71" s="2" t="s">
        <v>538</v>
      </c>
      <c r="C71" s="2"/>
      <c r="D71" s="131">
        <f>SUM(F71:X71)</f>
        <v>1</v>
      </c>
      <c r="F71" s="24">
        <f>IFERROR(F70/$D70,0)</f>
        <v>0.15790493520755913</v>
      </c>
      <c r="H71" s="24">
        <f>IFERROR(H70/$D70,0)</f>
        <v>3.0201618014901802E-2</v>
      </c>
      <c r="J71" s="24">
        <f>IFERROR(J70/$D70,0)</f>
        <v>0.16018589955862328</v>
      </c>
      <c r="L71" s="24">
        <f>IFERROR(L70/$D70,0)</f>
        <v>0</v>
      </c>
      <c r="N71" s="24">
        <f>IFERROR(N70/$D70,0)</f>
        <v>0.26046210759516536</v>
      </c>
      <c r="P71" s="24">
        <f>IFERROR(P70/$D70,0)</f>
        <v>0.39124543962375047</v>
      </c>
      <c r="R71" s="24">
        <f>IFERROR(R70/$D70,0)</f>
        <v>0</v>
      </c>
      <c r="T71" s="24">
        <f>IFERROR(T70/$D70,0)</f>
        <v>0</v>
      </c>
      <c r="V71" s="24">
        <f>IFERROR(V70/$D70,0)</f>
        <v>0</v>
      </c>
      <c r="X71" s="24">
        <f>IFERROR(X70/$D70,0)</f>
        <v>0</v>
      </c>
      <c r="AX71" s="18"/>
      <c r="AZ71" s="2"/>
      <c r="BA71" s="31"/>
      <c r="BC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</row>
    <row r="72" spans="1:75" x14ac:dyDescent="0.2">
      <c r="A72" s="18"/>
      <c r="B72" s="2"/>
      <c r="C72" s="2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AX72" s="18"/>
      <c r="AZ72" s="2"/>
      <c r="BA72" s="31"/>
      <c r="BC72" s="63"/>
      <c r="BE72" s="63"/>
      <c r="BG72" s="63"/>
      <c r="BI72" s="63"/>
      <c r="BK72" s="63"/>
      <c r="BM72" s="63"/>
      <c r="BO72" s="63"/>
      <c r="BQ72" s="63"/>
      <c r="BS72" s="63"/>
      <c r="BU72" s="63"/>
      <c r="BW72" s="63"/>
    </row>
    <row r="73" spans="1:75" x14ac:dyDescent="0.2">
      <c r="A73" s="18">
        <v>39</v>
      </c>
      <c r="B73" s="31"/>
      <c r="C73" s="2" t="s">
        <v>368</v>
      </c>
      <c r="D73" s="132">
        <f>SUM(F73:X73)</f>
        <v>1</v>
      </c>
      <c r="E73" s="37"/>
      <c r="F73" s="135">
        <v>1</v>
      </c>
      <c r="G73" s="135"/>
      <c r="H73" s="20">
        <v>0</v>
      </c>
      <c r="I73" s="135"/>
      <c r="J73" s="20">
        <v>0</v>
      </c>
      <c r="K73" s="135"/>
      <c r="L73" s="20">
        <v>0</v>
      </c>
      <c r="M73" s="135"/>
      <c r="N73" s="20">
        <v>0</v>
      </c>
      <c r="O73" s="20"/>
      <c r="P73" s="20">
        <v>0</v>
      </c>
      <c r="Q73" s="20"/>
      <c r="R73" s="20">
        <v>0</v>
      </c>
      <c r="S73" s="20"/>
      <c r="T73" s="20">
        <v>0</v>
      </c>
      <c r="U73" s="20"/>
      <c r="V73" s="20">
        <v>0</v>
      </c>
      <c r="W73" s="20"/>
      <c r="X73" s="20">
        <v>0</v>
      </c>
      <c r="AX73" s="18"/>
      <c r="AZ73" s="31"/>
      <c r="BA73" s="31"/>
    </row>
    <row r="74" spans="1:75" x14ac:dyDescent="0.2">
      <c r="A74" s="18">
        <v>40</v>
      </c>
      <c r="B74" s="2" t="s">
        <v>537</v>
      </c>
      <c r="C74" s="2"/>
      <c r="D74" s="131">
        <f>SUM(F74:X74)</f>
        <v>1</v>
      </c>
      <c r="F74" s="24">
        <f>IFERROR(F73/$D73,0)</f>
        <v>1</v>
      </c>
      <c r="H74" s="24">
        <f>IFERROR(H73/$D73,0)</f>
        <v>0</v>
      </c>
      <c r="J74" s="24">
        <f>IFERROR(J73/$D73,0)</f>
        <v>0</v>
      </c>
      <c r="L74" s="24">
        <f>IFERROR(L73/$D73,0)</f>
        <v>0</v>
      </c>
      <c r="N74" s="24">
        <f>IFERROR(N73/$D73,0)</f>
        <v>0</v>
      </c>
      <c r="P74" s="24">
        <f>IFERROR(P73/$D73,0)</f>
        <v>0</v>
      </c>
      <c r="R74" s="24">
        <f>IFERROR(R73/$D73,0)</f>
        <v>0</v>
      </c>
      <c r="T74" s="24">
        <f>IFERROR(T73/$D73,0)</f>
        <v>0</v>
      </c>
      <c r="V74" s="24">
        <f>IFERROR(V73/$D73,0)</f>
        <v>0</v>
      </c>
      <c r="X74" s="24">
        <f>IFERROR(X73/$D73,0)</f>
        <v>0</v>
      </c>
      <c r="AX74" s="18"/>
      <c r="AZ74" s="2"/>
      <c r="BA74" s="31"/>
      <c r="BC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</row>
    <row r="75" spans="1:75" x14ac:dyDescent="0.2">
      <c r="A75" s="18"/>
      <c r="B75" s="2"/>
      <c r="C75" s="2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AX75" s="18"/>
      <c r="AZ75" s="2"/>
      <c r="BA75" s="31"/>
      <c r="BC75" s="63"/>
      <c r="BE75" s="63"/>
      <c r="BG75" s="63"/>
      <c r="BI75" s="63"/>
      <c r="BK75" s="63"/>
      <c r="BM75" s="63"/>
      <c r="BO75" s="63"/>
      <c r="BQ75" s="63"/>
      <c r="BS75" s="63"/>
      <c r="BU75" s="63"/>
      <c r="BW75" s="63"/>
    </row>
    <row r="76" spans="1:75" x14ac:dyDescent="0.2">
      <c r="A76" s="18">
        <v>41</v>
      </c>
      <c r="B76" s="31"/>
      <c r="C76" s="2" t="s">
        <v>367</v>
      </c>
      <c r="D76" s="132">
        <f>SUM(F76:X76)</f>
        <v>111376.57056194174</v>
      </c>
      <c r="E76" s="37"/>
      <c r="F76" s="20">
        <v>31002.810122636198</v>
      </c>
      <c r="G76" s="20">
        <v>0</v>
      </c>
      <c r="H76" s="20">
        <v>5929.7388487675689</v>
      </c>
      <c r="I76" s="20">
        <v>0</v>
      </c>
      <c r="J76" s="20">
        <v>31450.651126336241</v>
      </c>
      <c r="K76" s="20">
        <v>0</v>
      </c>
      <c r="L76" s="20">
        <v>0</v>
      </c>
      <c r="M76" s="20">
        <v>0</v>
      </c>
      <c r="N76" s="20">
        <v>42993.370464201733</v>
      </c>
      <c r="O76" s="20">
        <v>0</v>
      </c>
      <c r="P76" s="20">
        <v>0</v>
      </c>
      <c r="Q76" s="20">
        <v>0</v>
      </c>
      <c r="R76" s="20">
        <v>0</v>
      </c>
      <c r="S76" s="20">
        <v>0</v>
      </c>
      <c r="T76" s="20">
        <v>0</v>
      </c>
      <c r="U76" s="20">
        <v>0</v>
      </c>
      <c r="V76" s="20">
        <v>0</v>
      </c>
      <c r="W76" s="20">
        <v>0</v>
      </c>
      <c r="X76" s="20">
        <v>0</v>
      </c>
      <c r="AX76" s="18"/>
      <c r="AZ76" s="2"/>
      <c r="BA76" s="31"/>
      <c r="BC76" s="63"/>
      <c r="BE76" s="63"/>
      <c r="BG76" s="63"/>
      <c r="BI76" s="63"/>
      <c r="BK76" s="63"/>
      <c r="BM76" s="63"/>
      <c r="BO76" s="63"/>
      <c r="BQ76" s="63"/>
      <c r="BS76" s="63"/>
      <c r="BU76" s="63"/>
      <c r="BW76" s="63"/>
    </row>
    <row r="77" spans="1:75" x14ac:dyDescent="0.2">
      <c r="A77" s="18">
        <v>42</v>
      </c>
      <c r="B77" s="2" t="s">
        <v>18</v>
      </c>
      <c r="C77" s="2"/>
      <c r="D77" s="131">
        <f>SUM(F77:X77)</f>
        <v>1</v>
      </c>
      <c r="F77" s="24">
        <f>IFERROR(F76/$D76,0)</f>
        <v>0.27836025086976512</v>
      </c>
      <c r="H77" s="24">
        <f>IFERROR(H76/$D76,0)</f>
        <v>5.3240451010922112E-2</v>
      </c>
      <c r="J77" s="24">
        <f>IFERROR(J76/$D76,0)</f>
        <v>0.28238121328080446</v>
      </c>
      <c r="L77" s="24">
        <f>IFERROR(L76/$D76,0)</f>
        <v>0</v>
      </c>
      <c r="N77" s="24">
        <f>IFERROR(N76/$D76,0)</f>
        <v>0.3860180848385083</v>
      </c>
      <c r="P77" s="24">
        <f>IFERROR(P76/$D76,0)</f>
        <v>0</v>
      </c>
      <c r="R77" s="24">
        <f>IFERROR(R76/$D76,0)</f>
        <v>0</v>
      </c>
      <c r="T77" s="24">
        <f>IFERROR(T76/$D76,0)</f>
        <v>0</v>
      </c>
      <c r="V77" s="24">
        <f>IFERROR(V76/$D76,0)</f>
        <v>0</v>
      </c>
      <c r="X77" s="24">
        <f>IFERROR(X76/$D76,0)</f>
        <v>0</v>
      </c>
      <c r="AX77" s="18"/>
      <c r="AZ77" s="2"/>
      <c r="BA77" s="31"/>
      <c r="BC77" s="63"/>
      <c r="BE77" s="63"/>
      <c r="BG77" s="63"/>
      <c r="BI77" s="63"/>
      <c r="BK77" s="63"/>
      <c r="BM77" s="63"/>
      <c r="BO77" s="63"/>
      <c r="BQ77" s="63"/>
      <c r="BS77" s="63"/>
      <c r="BU77" s="63"/>
      <c r="BW77" s="63"/>
    </row>
    <row r="78" spans="1:75" x14ac:dyDescent="0.2">
      <c r="A78" s="18"/>
      <c r="B78" s="2"/>
      <c r="C78" s="2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AX78" s="18"/>
      <c r="AZ78" s="2"/>
      <c r="BA78" s="31"/>
      <c r="BC78" s="63"/>
      <c r="BE78" s="63"/>
      <c r="BG78" s="63"/>
      <c r="BI78" s="63"/>
      <c r="BK78" s="63"/>
      <c r="BM78" s="63"/>
      <c r="BO78" s="63"/>
      <c r="BQ78" s="63"/>
      <c r="BS78" s="63"/>
      <c r="BU78" s="63"/>
      <c r="BW78" s="63"/>
    </row>
    <row r="79" spans="1:75" x14ac:dyDescent="0.2">
      <c r="A79" s="18">
        <v>43</v>
      </c>
      <c r="B79" s="31"/>
      <c r="C79" s="2" t="s">
        <v>367</v>
      </c>
      <c r="D79" s="132">
        <f>SUM(F79:X79)</f>
        <v>90928.056814230164</v>
      </c>
      <c r="E79" s="37"/>
      <c r="F79" s="20">
        <v>25513.165801451949</v>
      </c>
      <c r="G79" s="20">
        <v>0</v>
      </c>
      <c r="H79" s="20">
        <v>4879.7644410129942</v>
      </c>
      <c r="I79" s="20">
        <v>0</v>
      </c>
      <c r="J79" s="20">
        <v>25881.707934726044</v>
      </c>
      <c r="K79" s="20">
        <v>0</v>
      </c>
      <c r="L79" s="20">
        <v>0</v>
      </c>
      <c r="M79" s="20">
        <v>0</v>
      </c>
      <c r="N79" s="20">
        <v>34653.418637039169</v>
      </c>
      <c r="O79" s="20">
        <v>0</v>
      </c>
      <c r="P79" s="20">
        <v>0</v>
      </c>
      <c r="Q79" s="20">
        <v>0</v>
      </c>
      <c r="R79" s="20">
        <v>0</v>
      </c>
      <c r="S79" s="20">
        <v>0</v>
      </c>
      <c r="T79" s="20">
        <v>0</v>
      </c>
      <c r="U79" s="20">
        <v>0</v>
      </c>
      <c r="V79" s="20">
        <v>0</v>
      </c>
      <c r="W79" s="20">
        <v>0</v>
      </c>
      <c r="X79" s="20">
        <v>0</v>
      </c>
      <c r="AX79" s="18"/>
      <c r="AZ79" s="2"/>
      <c r="BA79" s="31"/>
      <c r="BC79" s="63"/>
      <c r="BE79" s="63"/>
      <c r="BG79" s="63"/>
      <c r="BI79" s="63"/>
      <c r="BK79" s="63"/>
      <c r="BM79" s="63"/>
      <c r="BO79" s="63"/>
      <c r="BQ79" s="63"/>
      <c r="BS79" s="63"/>
      <c r="BU79" s="63"/>
      <c r="BW79" s="63"/>
    </row>
    <row r="80" spans="1:75" x14ac:dyDescent="0.2">
      <c r="A80" s="18">
        <v>44</v>
      </c>
      <c r="B80" s="2" t="s">
        <v>160</v>
      </c>
      <c r="C80" s="2"/>
      <c r="D80" s="131">
        <f>SUM(F80:X80)</f>
        <v>1</v>
      </c>
      <c r="F80" s="24">
        <f>IFERROR(F79/$D79,0)</f>
        <v>0.28058628651414402</v>
      </c>
      <c r="H80" s="24">
        <f>IFERROR(H79/$D79,0)</f>
        <v>5.3666212739842858E-2</v>
      </c>
      <c r="J80" s="24">
        <f>IFERROR(J79/$D79,0)</f>
        <v>0.28463940439861657</v>
      </c>
      <c r="L80" s="24">
        <f>IFERROR(L79/$D79,0)</f>
        <v>0</v>
      </c>
      <c r="N80" s="24">
        <f>IFERROR(N79/$D79,0)</f>
        <v>0.38110809634739645</v>
      </c>
      <c r="P80" s="24">
        <f>IFERROR(P79/$D79,0)</f>
        <v>0</v>
      </c>
      <c r="R80" s="24">
        <f>IFERROR(R79/$D79,0)</f>
        <v>0</v>
      </c>
      <c r="T80" s="24">
        <f>IFERROR(T79/$D79,0)</f>
        <v>0</v>
      </c>
      <c r="V80" s="24">
        <f>IFERROR(V79/$D79,0)</f>
        <v>0</v>
      </c>
      <c r="X80" s="24">
        <f>IFERROR(X79/$D79,0)</f>
        <v>0</v>
      </c>
      <c r="AX80" s="18"/>
      <c r="AZ80" s="2"/>
      <c r="BA80" s="31"/>
      <c r="BC80" s="63"/>
      <c r="BE80" s="63"/>
      <c r="BG80" s="63"/>
      <c r="BI80" s="63"/>
      <c r="BK80" s="63"/>
      <c r="BM80" s="63"/>
      <c r="BO80" s="63"/>
      <c r="BQ80" s="63"/>
      <c r="BS80" s="63"/>
      <c r="BU80" s="63"/>
      <c r="BW80" s="63"/>
    </row>
    <row r="81" spans="1:75" x14ac:dyDescent="0.2">
      <c r="A81" s="18"/>
      <c r="B81" s="2"/>
      <c r="C81" s="2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AX81" s="18"/>
      <c r="AZ81" s="2"/>
      <c r="BA81" s="31"/>
      <c r="BC81" s="63"/>
      <c r="BE81" s="63"/>
      <c r="BG81" s="63"/>
      <c r="BI81" s="63"/>
      <c r="BK81" s="63"/>
      <c r="BM81" s="63"/>
      <c r="BO81" s="63"/>
      <c r="BQ81" s="63"/>
      <c r="BS81" s="63"/>
      <c r="BU81" s="63"/>
      <c r="BW81" s="63"/>
    </row>
    <row r="82" spans="1:75" x14ac:dyDescent="0.2">
      <c r="A82" s="18">
        <v>45</v>
      </c>
      <c r="B82" s="31"/>
      <c r="C82" s="2" t="s">
        <v>367</v>
      </c>
      <c r="D82" s="132">
        <f>SUM(F82:X82)</f>
        <v>-20930.80361810109</v>
      </c>
      <c r="E82" s="37"/>
      <c r="F82" s="20">
        <v>-5911.2380499682513</v>
      </c>
      <c r="G82" s="20">
        <v>0</v>
      </c>
      <c r="H82" s="20">
        <v>-1130.6103469510033</v>
      </c>
      <c r="I82" s="20">
        <v>0</v>
      </c>
      <c r="J82" s="20">
        <v>-5996.6269153948342</v>
      </c>
      <c r="K82" s="20">
        <v>0</v>
      </c>
      <c r="L82" s="20">
        <v>0</v>
      </c>
      <c r="M82" s="20">
        <v>0</v>
      </c>
      <c r="N82" s="20">
        <v>-7892.3283057870012</v>
      </c>
      <c r="O82" s="20">
        <v>0</v>
      </c>
      <c r="P82" s="20">
        <v>0</v>
      </c>
      <c r="Q82" s="20">
        <v>0</v>
      </c>
      <c r="R82" s="20">
        <v>0</v>
      </c>
      <c r="S82" s="20">
        <v>0</v>
      </c>
      <c r="T82" s="20">
        <v>0</v>
      </c>
      <c r="U82" s="20">
        <v>0</v>
      </c>
      <c r="V82" s="20">
        <v>0</v>
      </c>
      <c r="W82" s="20">
        <v>0</v>
      </c>
      <c r="X82" s="20">
        <v>0</v>
      </c>
      <c r="AX82" s="18"/>
      <c r="AZ82" s="2"/>
      <c r="BA82" s="31"/>
      <c r="BC82" s="63"/>
      <c r="BE82" s="63"/>
      <c r="BG82" s="63"/>
      <c r="BI82" s="63"/>
      <c r="BK82" s="63"/>
      <c r="BM82" s="63"/>
      <c r="BO82" s="63"/>
      <c r="BQ82" s="63"/>
      <c r="BS82" s="63"/>
      <c r="BU82" s="63"/>
      <c r="BW82" s="63"/>
    </row>
    <row r="83" spans="1:75" x14ac:dyDescent="0.2">
      <c r="A83" s="18">
        <v>46</v>
      </c>
      <c r="B83" s="2" t="s">
        <v>454</v>
      </c>
      <c r="C83" s="2"/>
      <c r="D83" s="131">
        <f>SUM(F83:X83)</f>
        <v>1</v>
      </c>
      <c r="F83" s="24">
        <f>IFERROR(F82/$D82,0)</f>
        <v>0.28241811245394205</v>
      </c>
      <c r="H83" s="24">
        <f>IFERROR(H82/$D82,0)</f>
        <v>5.4016576122917916E-2</v>
      </c>
      <c r="J83" s="24">
        <f>IFERROR(J82/$D82,0)</f>
        <v>0.28649769138385656</v>
      </c>
      <c r="L83" s="24">
        <f>IFERROR(L82/$D82,0)</f>
        <v>0</v>
      </c>
      <c r="N83" s="24">
        <f>IFERROR(N82/$D82,0)</f>
        <v>0.37706762003928346</v>
      </c>
      <c r="P83" s="24">
        <f>IFERROR(P82/$D82,0)</f>
        <v>0</v>
      </c>
      <c r="R83" s="24">
        <f>IFERROR(R82/$D82,0)</f>
        <v>0</v>
      </c>
      <c r="T83" s="24">
        <f>IFERROR(T82/$D82,0)</f>
        <v>0</v>
      </c>
      <c r="V83" s="24">
        <f>IFERROR(V82/$D82,0)</f>
        <v>0</v>
      </c>
      <c r="X83" s="24">
        <f>IFERROR(X82/$D82,0)</f>
        <v>0</v>
      </c>
      <c r="AX83" s="18"/>
      <c r="AZ83" s="2"/>
      <c r="BA83" s="31"/>
      <c r="BC83" s="63"/>
      <c r="BE83" s="63"/>
      <c r="BG83" s="63"/>
      <c r="BI83" s="63"/>
      <c r="BK83" s="63"/>
      <c r="BM83" s="63"/>
      <c r="BO83" s="63"/>
      <c r="BQ83" s="63"/>
      <c r="BS83" s="63"/>
      <c r="BU83" s="63"/>
      <c r="BW83" s="63"/>
    </row>
    <row r="84" spans="1:75" x14ac:dyDescent="0.2">
      <c r="A84" s="18"/>
      <c r="B84" s="2"/>
      <c r="C84" s="2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AX84" s="18"/>
      <c r="AZ84" s="2"/>
      <c r="BA84" s="31"/>
      <c r="BC84" s="63"/>
      <c r="BE84" s="63"/>
      <c r="BG84" s="63"/>
      <c r="BI84" s="63"/>
      <c r="BK84" s="63"/>
      <c r="BM84" s="63"/>
      <c r="BO84" s="63"/>
      <c r="BQ84" s="63"/>
      <c r="BS84" s="63"/>
      <c r="BU84" s="63"/>
      <c r="BW84" s="63"/>
    </row>
    <row r="85" spans="1:75" x14ac:dyDescent="0.2">
      <c r="A85" s="18">
        <v>47</v>
      </c>
      <c r="B85" s="31"/>
      <c r="C85" s="2" t="s">
        <v>367</v>
      </c>
      <c r="D85" s="132">
        <f>SUM(F85:X85)</f>
        <v>334784.5579165357</v>
      </c>
      <c r="E85" s="37"/>
      <c r="F85" s="20">
        <v>94823.052083128496</v>
      </c>
      <c r="G85" s="20">
        <v>0</v>
      </c>
      <c r="H85" s="20">
        <v>18136.28937092709</v>
      </c>
      <c r="I85" s="20">
        <v>0</v>
      </c>
      <c r="J85" s="20">
        <v>96192.787621643583</v>
      </c>
      <c r="K85" s="20">
        <v>0</v>
      </c>
      <c r="L85" s="20">
        <v>0</v>
      </c>
      <c r="M85" s="20">
        <v>0</v>
      </c>
      <c r="N85" s="20">
        <v>125632.42884083654</v>
      </c>
      <c r="O85" s="20">
        <v>0</v>
      </c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  <c r="V85" s="20">
        <v>0</v>
      </c>
      <c r="W85" s="20">
        <v>0</v>
      </c>
      <c r="X85" s="20">
        <v>0</v>
      </c>
      <c r="AX85" s="18"/>
      <c r="AZ85" s="2"/>
      <c r="BA85" s="31"/>
      <c r="BC85" s="63"/>
      <c r="BE85" s="63"/>
      <c r="BG85" s="63"/>
      <c r="BI85" s="63"/>
      <c r="BK85" s="63"/>
      <c r="BM85" s="63"/>
      <c r="BO85" s="63"/>
      <c r="BQ85" s="63"/>
      <c r="BS85" s="63"/>
      <c r="BU85" s="63"/>
      <c r="BW85" s="63"/>
    </row>
    <row r="86" spans="1:75" x14ac:dyDescent="0.2">
      <c r="A86" s="18">
        <v>48</v>
      </c>
      <c r="B86" s="2" t="s">
        <v>455</v>
      </c>
      <c r="C86" s="2"/>
      <c r="D86" s="131">
        <f>SUM(F86:X86)</f>
        <v>1</v>
      </c>
      <c r="F86" s="24">
        <f>IFERROR(F85/$D85,0)</f>
        <v>0.2832360389417023</v>
      </c>
      <c r="H86" s="24">
        <f>IFERROR(H85/$D85,0)</f>
        <v>5.4173016473025623E-2</v>
      </c>
      <c r="J86" s="24">
        <f>IFERROR(J85/$D85,0)</f>
        <v>0.28732743296249991</v>
      </c>
      <c r="L86" s="24">
        <f>IFERROR(L85/$D85,0)</f>
        <v>0</v>
      </c>
      <c r="N86" s="24">
        <f>IFERROR(N85/$D85,0)</f>
        <v>0.37526351162277216</v>
      </c>
      <c r="P86" s="24">
        <f>IFERROR(P85/$D85,0)</f>
        <v>0</v>
      </c>
      <c r="R86" s="24">
        <f>IFERROR(R85/$D85,0)</f>
        <v>0</v>
      </c>
      <c r="T86" s="24">
        <f>IFERROR(T85/$D85,0)</f>
        <v>0</v>
      </c>
      <c r="V86" s="24">
        <f>IFERROR(V85/$D85,0)</f>
        <v>0</v>
      </c>
      <c r="X86" s="24">
        <f>IFERROR(X85/$D85,0)</f>
        <v>0</v>
      </c>
      <c r="AX86" s="18"/>
      <c r="AZ86" s="2"/>
      <c r="BA86" s="31"/>
      <c r="BC86" s="63"/>
      <c r="BE86" s="63"/>
      <c r="BG86" s="63"/>
      <c r="BI86" s="63"/>
      <c r="BK86" s="63"/>
      <c r="BM86" s="63"/>
      <c r="BO86" s="63"/>
      <c r="BQ86" s="63"/>
      <c r="BS86" s="63"/>
      <c r="BU86" s="63"/>
      <c r="BW86" s="63"/>
    </row>
    <row r="87" spans="1:75" x14ac:dyDescent="0.2">
      <c r="B87" s="2"/>
      <c r="C87" s="2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AX87" s="18"/>
      <c r="AZ87" s="2"/>
      <c r="BA87" s="31"/>
      <c r="BC87" s="63"/>
      <c r="BE87" s="63"/>
      <c r="BG87" s="63"/>
      <c r="BI87" s="63"/>
      <c r="BK87" s="63"/>
      <c r="BM87" s="63"/>
      <c r="BO87" s="63"/>
      <c r="BQ87" s="63"/>
      <c r="BS87" s="63"/>
      <c r="BU87" s="63"/>
      <c r="BW87" s="63"/>
    </row>
    <row r="88" spans="1:75" x14ac:dyDescent="0.2">
      <c r="A88" s="18">
        <v>49</v>
      </c>
      <c r="B88" s="31"/>
      <c r="C88" s="2" t="s">
        <v>367</v>
      </c>
      <c r="D88" s="132">
        <f>SUM(F88:X88)</f>
        <v>-107521.11072554669</v>
      </c>
      <c r="E88" s="37"/>
      <c r="F88" s="20">
        <v>-30629.58643017467</v>
      </c>
      <c r="G88" s="20">
        <v>0</v>
      </c>
      <c r="H88" s="20">
        <v>-5858.3543833041076</v>
      </c>
      <c r="I88" s="20">
        <v>0</v>
      </c>
      <c r="J88" s="20">
        <v>-31072.036152491659</v>
      </c>
      <c r="K88" s="20">
        <v>0</v>
      </c>
      <c r="L88" s="20">
        <v>0</v>
      </c>
      <c r="M88" s="20">
        <v>0</v>
      </c>
      <c r="N88" s="20">
        <v>-39961.133759576238</v>
      </c>
      <c r="O88" s="20">
        <v>0</v>
      </c>
      <c r="P88" s="20">
        <v>0</v>
      </c>
      <c r="Q88" s="20">
        <v>0</v>
      </c>
      <c r="R88" s="20">
        <v>0</v>
      </c>
      <c r="S88" s="20">
        <v>0</v>
      </c>
      <c r="T88" s="20">
        <v>0</v>
      </c>
      <c r="U88" s="20">
        <v>0</v>
      </c>
      <c r="V88" s="20">
        <v>0</v>
      </c>
      <c r="W88" s="20">
        <v>0</v>
      </c>
      <c r="X88" s="20">
        <v>0</v>
      </c>
      <c r="AX88" s="18"/>
      <c r="AZ88" s="2"/>
      <c r="BA88" s="31"/>
      <c r="BC88" s="63"/>
      <c r="BE88" s="63"/>
      <c r="BG88" s="63"/>
      <c r="BI88" s="63"/>
      <c r="BK88" s="63"/>
      <c r="BM88" s="63"/>
      <c r="BO88" s="63"/>
      <c r="BQ88" s="63"/>
      <c r="BS88" s="63"/>
      <c r="BU88" s="63"/>
      <c r="BW88" s="63"/>
    </row>
    <row r="89" spans="1:75" x14ac:dyDescent="0.2">
      <c r="A89" s="18">
        <v>50</v>
      </c>
      <c r="B89" s="2" t="s">
        <v>456</v>
      </c>
      <c r="C89" s="2"/>
      <c r="D89" s="131">
        <f>SUM(F89:X89)</f>
        <v>0.99999999999999989</v>
      </c>
      <c r="F89" s="24">
        <f>IFERROR(F88/$D88,0)</f>
        <v>0.28487044286919899</v>
      </c>
      <c r="H89" s="24">
        <f>IFERROR(H88/$D88,0)</f>
        <v>5.4485620021707794E-2</v>
      </c>
      <c r="J89" s="24">
        <f>IFERROR(J88/$D88,0)</f>
        <v>0.28898544614001126</v>
      </c>
      <c r="L89" s="24">
        <f>IFERROR(L88/$D88,0)</f>
        <v>0</v>
      </c>
      <c r="N89" s="24">
        <f>IFERROR(N88/$D88,0)</f>
        <v>0.37165849096908177</v>
      </c>
      <c r="P89" s="24">
        <f>IFERROR(P88/$D88,0)</f>
        <v>0</v>
      </c>
      <c r="R89" s="24">
        <f>IFERROR(R88/$D88,0)</f>
        <v>0</v>
      </c>
      <c r="T89" s="24">
        <f>IFERROR(T88/$D88,0)</f>
        <v>0</v>
      </c>
      <c r="V89" s="24">
        <f>IFERROR(V88/$D88,0)</f>
        <v>0</v>
      </c>
      <c r="X89" s="24">
        <f>IFERROR(X88/$D88,0)</f>
        <v>0</v>
      </c>
      <c r="AX89" s="18"/>
      <c r="AZ89" s="2"/>
      <c r="BA89" s="31"/>
      <c r="BC89" s="63"/>
      <c r="BE89" s="63"/>
      <c r="BG89" s="63"/>
      <c r="BI89" s="63"/>
      <c r="BK89" s="63"/>
      <c r="BM89" s="63"/>
      <c r="BO89" s="63"/>
      <c r="BQ89" s="63"/>
      <c r="BS89" s="63"/>
      <c r="BU89" s="63"/>
      <c r="BW89" s="63"/>
    </row>
    <row r="90" spans="1:75" x14ac:dyDescent="0.2">
      <c r="A90" s="18"/>
      <c r="B90" s="2"/>
      <c r="C90" s="2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AX90" s="18"/>
      <c r="AZ90" s="2"/>
      <c r="BA90" s="31"/>
      <c r="BC90" s="63"/>
      <c r="BE90" s="63"/>
      <c r="BG90" s="63"/>
      <c r="BI90" s="63"/>
      <c r="BK90" s="63"/>
      <c r="BM90" s="63"/>
      <c r="BO90" s="63"/>
      <c r="BQ90" s="63"/>
      <c r="BS90" s="63"/>
      <c r="BU90" s="63"/>
      <c r="BW90" s="63"/>
    </row>
    <row r="91" spans="1:75" x14ac:dyDescent="0.2">
      <c r="A91" s="18">
        <v>51</v>
      </c>
      <c r="B91" s="31"/>
      <c r="C91" s="2" t="s">
        <v>367</v>
      </c>
      <c r="D91" s="132">
        <f>SUM(F91:X91)</f>
        <v>8788880.7876994964</v>
      </c>
      <c r="E91" s="37"/>
      <c r="F91" s="20">
        <v>2279749.0838851305</v>
      </c>
      <c r="G91" s="20"/>
      <c r="H91" s="20">
        <v>436035.20631459646</v>
      </c>
      <c r="I91" s="20"/>
      <c r="J91" s="20">
        <v>2312680.4573274991</v>
      </c>
      <c r="K91" s="20"/>
      <c r="L91" s="20">
        <v>0</v>
      </c>
      <c r="M91" s="20"/>
      <c r="N91" s="20">
        <v>3760416.0401722705</v>
      </c>
      <c r="O91" s="20"/>
      <c r="P91" s="20">
        <v>0</v>
      </c>
      <c r="Q91" s="20"/>
      <c r="R91" s="20">
        <v>0</v>
      </c>
      <c r="S91" s="20"/>
      <c r="T91" s="20">
        <v>0</v>
      </c>
      <c r="U91" s="20"/>
      <c r="V91" s="20">
        <v>0</v>
      </c>
      <c r="W91" s="20"/>
      <c r="X91" s="20">
        <v>0</v>
      </c>
      <c r="AX91" s="18"/>
      <c r="AZ91" s="31"/>
      <c r="BA91" s="31"/>
    </row>
    <row r="92" spans="1:75" x14ac:dyDescent="0.2">
      <c r="A92" s="18">
        <v>52</v>
      </c>
      <c r="B92" s="2" t="s">
        <v>78</v>
      </c>
      <c r="D92" s="131">
        <f>SUM(F92:X92)</f>
        <v>1</v>
      </c>
      <c r="F92" s="24">
        <f>IFERROR(F91/$D91,0)</f>
        <v>0.25939014750043715</v>
      </c>
      <c r="H92" s="24">
        <f>IFERROR(H91/$D91,0)</f>
        <v>4.9612142529552886E-2</v>
      </c>
      <c r="J92" s="24">
        <f>IFERROR(J91/$D91,0)</f>
        <v>0.26313708345711295</v>
      </c>
      <c r="L92" s="24">
        <f>IFERROR(L91/$D91,0)</f>
        <v>0</v>
      </c>
      <c r="N92" s="24">
        <f>IFERROR(N91/$D91,0)</f>
        <v>0.42786062651289702</v>
      </c>
      <c r="P92" s="24">
        <f>IFERROR(P91/$D91,0)</f>
        <v>0</v>
      </c>
      <c r="R92" s="24">
        <f>IFERROR(R91/$D91,0)</f>
        <v>0</v>
      </c>
      <c r="T92" s="24">
        <f>IFERROR(T91/$D91,0)</f>
        <v>0</v>
      </c>
      <c r="V92" s="24">
        <f>IFERROR(V91/$D91,0)</f>
        <v>0</v>
      </c>
      <c r="X92" s="24">
        <f>IFERROR(X91/$D91,0)</f>
        <v>0</v>
      </c>
      <c r="AX92" s="18"/>
      <c r="AZ92" s="2"/>
      <c r="BA92" s="58"/>
      <c r="BC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</row>
    <row r="93" spans="1:75" x14ac:dyDescent="0.2">
      <c r="AX93" s="18"/>
      <c r="AZ93" s="2"/>
      <c r="BA93" s="58"/>
      <c r="BC93" s="63"/>
      <c r="BE93" s="63"/>
      <c r="BG93" s="63"/>
      <c r="BI93" s="63"/>
      <c r="BK93" s="63"/>
      <c r="BM93" s="63"/>
      <c r="BO93" s="63"/>
      <c r="BQ93" s="63"/>
      <c r="BS93" s="63"/>
      <c r="BU93" s="63"/>
      <c r="BW93" s="63"/>
    </row>
    <row r="100" spans="1:41" x14ac:dyDescent="0.2">
      <c r="A100" s="18"/>
    </row>
    <row r="101" spans="1:41" x14ac:dyDescent="0.2">
      <c r="A101" s="56"/>
      <c r="Y101" s="53"/>
    </row>
    <row r="102" spans="1:41" x14ac:dyDescent="0.2">
      <c r="A102" s="56"/>
    </row>
    <row r="103" spans="1:41" x14ac:dyDescent="0.2">
      <c r="A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</row>
    <row r="104" spans="1:41" x14ac:dyDescent="0.2">
      <c r="A104" s="56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</row>
    <row r="105" spans="1:41" x14ac:dyDescent="0.2">
      <c r="A105" s="56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</row>
    <row r="106" spans="1:41" x14ac:dyDescent="0.2">
      <c r="D106" s="63"/>
      <c r="F106" s="63"/>
      <c r="H106" s="63"/>
      <c r="J106" s="63"/>
      <c r="L106" s="63"/>
      <c r="N106" s="63"/>
      <c r="P106" s="63"/>
      <c r="R106" s="63"/>
      <c r="T106" s="63"/>
      <c r="V106" s="63"/>
      <c r="X106" s="63"/>
    </row>
    <row r="107" spans="1:41" x14ac:dyDescent="0.2">
      <c r="A107" s="3"/>
      <c r="AC107" s="8"/>
    </row>
    <row r="108" spans="1:41" x14ac:dyDescent="0.2">
      <c r="A108" s="3"/>
    </row>
    <row r="110" spans="1:41" x14ac:dyDescent="0.2">
      <c r="A110" s="3"/>
    </row>
    <row r="111" spans="1:41" x14ac:dyDescent="0.2">
      <c r="A111" s="3"/>
    </row>
    <row r="113" spans="1:25" x14ac:dyDescent="0.2">
      <c r="A113" s="3"/>
    </row>
    <row r="114" spans="1:25" x14ac:dyDescent="0.2">
      <c r="A114" s="3"/>
    </row>
    <row r="116" spans="1:25" x14ac:dyDescent="0.2">
      <c r="A116" s="3"/>
      <c r="B116" s="18"/>
      <c r="D116" s="22"/>
      <c r="E116" s="30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53"/>
    </row>
    <row r="117" spans="1:25" x14ac:dyDescent="0.2">
      <c r="A117" s="3"/>
      <c r="B117" s="62"/>
      <c r="D117" s="63"/>
      <c r="F117" s="63"/>
      <c r="H117" s="63"/>
      <c r="J117" s="63"/>
      <c r="L117" s="63"/>
      <c r="N117" s="63"/>
      <c r="P117" s="63"/>
      <c r="R117" s="63"/>
      <c r="T117" s="63"/>
      <c r="V117" s="63"/>
      <c r="X117" s="63"/>
    </row>
    <row r="119" spans="1:25" x14ac:dyDescent="0.2">
      <c r="A119" s="3"/>
    </row>
    <row r="120" spans="1:25" x14ac:dyDescent="0.2">
      <c r="A120" s="3"/>
    </row>
    <row r="121" spans="1:25" x14ac:dyDescent="0.2">
      <c r="B121" s="18"/>
      <c r="F121" s="63"/>
      <c r="H121" s="63"/>
      <c r="J121" s="63"/>
      <c r="L121" s="63"/>
      <c r="N121" s="63"/>
      <c r="P121" s="63"/>
      <c r="R121" s="63"/>
      <c r="X121" s="63"/>
    </row>
    <row r="122" spans="1:25" x14ac:dyDescent="0.2">
      <c r="A122" s="3"/>
    </row>
    <row r="123" spans="1:25" x14ac:dyDescent="0.2">
      <c r="A123" s="3"/>
    </row>
    <row r="124" spans="1:25" x14ac:dyDescent="0.2">
      <c r="B124" s="18"/>
      <c r="F124" s="63"/>
      <c r="H124" s="63"/>
      <c r="J124" s="63"/>
      <c r="L124" s="63"/>
      <c r="N124" s="63"/>
      <c r="P124" s="63"/>
      <c r="R124" s="63"/>
      <c r="X124" s="63"/>
    </row>
    <row r="125" spans="1:25" x14ac:dyDescent="0.2">
      <c r="A125" s="3"/>
    </row>
    <row r="126" spans="1:25" x14ac:dyDescent="0.2">
      <c r="A126" s="3"/>
    </row>
    <row r="128" spans="1:25" x14ac:dyDescent="0.2">
      <c r="A128" s="3"/>
    </row>
    <row r="129" spans="1:49" x14ac:dyDescent="0.2">
      <c r="A129" s="3"/>
    </row>
    <row r="131" spans="1:49" x14ac:dyDescent="0.2">
      <c r="A131" s="2"/>
      <c r="Y131" s="53"/>
    </row>
    <row r="132" spans="1:49" x14ac:dyDescent="0.2">
      <c r="A132" s="2"/>
    </row>
    <row r="134" spans="1:49" x14ac:dyDescent="0.2">
      <c r="A134" s="2"/>
    </row>
    <row r="135" spans="1:49" x14ac:dyDescent="0.2">
      <c r="A135" s="2"/>
      <c r="AA135" s="77"/>
      <c r="AB135" s="40"/>
    </row>
    <row r="136" spans="1:49" x14ac:dyDescent="0.2">
      <c r="AC136" s="18"/>
      <c r="AE136" s="18"/>
      <c r="AG136" s="18"/>
      <c r="AI136" s="18"/>
      <c r="AS136" s="18"/>
    </row>
    <row r="137" spans="1:49" x14ac:dyDescent="0.2">
      <c r="A137" s="2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</row>
    <row r="138" spans="1:49" x14ac:dyDescent="0.2">
      <c r="A138" s="2"/>
    </row>
    <row r="139" spans="1:49" x14ac:dyDescent="0.2"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Q139" s="22"/>
      <c r="AS139" s="22"/>
      <c r="AU139" s="22"/>
      <c r="AW139" s="8"/>
    </row>
    <row r="140" spans="1:49" x14ac:dyDescent="0.2">
      <c r="A140" s="2"/>
      <c r="AC140" s="63"/>
      <c r="AD140" s="63"/>
      <c r="AE140" s="63"/>
      <c r="AF140" s="63"/>
      <c r="AG140" s="63"/>
      <c r="AH140" s="63"/>
      <c r="AI140" s="63"/>
      <c r="AJ140" s="17"/>
      <c r="AK140" s="63"/>
      <c r="AL140" s="17"/>
      <c r="AM140" s="63"/>
      <c r="AN140" s="17"/>
      <c r="AO140" s="63"/>
      <c r="AP140" s="17"/>
      <c r="AQ140" s="63"/>
      <c r="AR140" s="17"/>
      <c r="AS140" s="63"/>
      <c r="AT140" s="17"/>
      <c r="AU140" s="63"/>
    </row>
    <row r="141" spans="1:49" ht="15" x14ac:dyDescent="0.25">
      <c r="A141" s="2"/>
      <c r="AA141"/>
      <c r="AB141"/>
      <c r="AC141"/>
      <c r="AD141"/>
      <c r="AE141"/>
      <c r="AF141"/>
      <c r="AG141"/>
      <c r="AH141"/>
      <c r="AI141"/>
    </row>
    <row r="142" spans="1:49" x14ac:dyDescent="0.2">
      <c r="AC142" s="8"/>
      <c r="AD142" s="8"/>
      <c r="AE142" s="8"/>
      <c r="AF142" s="8"/>
      <c r="AG142" s="8"/>
      <c r="AH142" s="8"/>
      <c r="AI142" s="8"/>
      <c r="AK142" s="8"/>
      <c r="AM142" s="8"/>
      <c r="AO142" s="8"/>
      <c r="AQ142" s="8"/>
      <c r="AS142" s="8"/>
      <c r="AU142" s="8"/>
    </row>
    <row r="143" spans="1:49" x14ac:dyDescent="0.2">
      <c r="A143" s="2"/>
      <c r="AC143" s="69"/>
      <c r="AD143" s="70"/>
      <c r="AE143" s="69"/>
      <c r="AF143" s="70"/>
      <c r="AG143" s="69"/>
      <c r="AH143" s="70"/>
      <c r="AI143" s="69"/>
      <c r="AK143" s="69"/>
      <c r="AM143" s="69"/>
      <c r="AO143" s="69"/>
      <c r="AQ143" s="69"/>
      <c r="AS143" s="69"/>
      <c r="AU143" s="69"/>
    </row>
    <row r="144" spans="1:49" x14ac:dyDescent="0.2">
      <c r="A144" s="2"/>
    </row>
    <row r="145" spans="1:47" x14ac:dyDescent="0.2">
      <c r="AA145" s="118"/>
      <c r="AB145" s="31"/>
      <c r="AC145" s="43"/>
      <c r="AD145" s="71"/>
      <c r="AE145" s="43"/>
      <c r="AF145" s="43"/>
      <c r="AG145" s="43"/>
      <c r="AH145" s="43"/>
      <c r="AI145" s="43"/>
      <c r="AJ145" s="31"/>
      <c r="AK145" s="43"/>
      <c r="AL145" s="31"/>
      <c r="AM145" s="43"/>
      <c r="AN145" s="31"/>
      <c r="AO145" s="43"/>
      <c r="AP145" s="31"/>
      <c r="AQ145" s="43"/>
      <c r="AR145" s="31"/>
      <c r="AS145" s="43"/>
      <c r="AT145" s="31"/>
      <c r="AU145" s="43"/>
    </row>
    <row r="146" spans="1:47" x14ac:dyDescent="0.2">
      <c r="A146" s="2"/>
    </row>
    <row r="147" spans="1:47" x14ac:dyDescent="0.2">
      <c r="A147" s="2"/>
    </row>
    <row r="149" spans="1:47" x14ac:dyDescent="0.2">
      <c r="A149" s="2"/>
      <c r="Y149" s="152"/>
    </row>
    <row r="150" spans="1:47" x14ac:dyDescent="0.2">
      <c r="A150" s="2"/>
    </row>
    <row r="152" spans="1:47" x14ac:dyDescent="0.2">
      <c r="A152" s="2"/>
    </row>
    <row r="153" spans="1:47" x14ac:dyDescent="0.2">
      <c r="A153" s="2"/>
    </row>
    <row r="155" spans="1:47" x14ac:dyDescent="0.2">
      <c r="A155" s="2"/>
    </row>
    <row r="156" spans="1:47" x14ac:dyDescent="0.2">
      <c r="A156" s="2"/>
    </row>
    <row r="158" spans="1:47" x14ac:dyDescent="0.2">
      <c r="A158" s="2"/>
    </row>
    <row r="159" spans="1:47" x14ac:dyDescent="0.2">
      <c r="A159" s="2"/>
    </row>
    <row r="160" spans="1:47" x14ac:dyDescent="0.2">
      <c r="B160" s="18"/>
      <c r="D160" s="17"/>
      <c r="F160" s="63"/>
      <c r="H160" s="63"/>
      <c r="J160" s="63"/>
      <c r="L160" s="63"/>
    </row>
    <row r="161" spans="1:1" x14ac:dyDescent="0.2">
      <c r="A161" s="2"/>
    </row>
    <row r="162" spans="1:1" x14ac:dyDescent="0.2">
      <c r="A162" s="2"/>
    </row>
  </sheetData>
  <mergeCells count="4">
    <mergeCell ref="F9:L9"/>
    <mergeCell ref="B6:X6"/>
    <mergeCell ref="B7:X7"/>
    <mergeCell ref="N9:V9"/>
  </mergeCells>
  <conditionalFormatting sqref="Y36">
    <cfRule type="cellIs" dxfId="15" priority="13" operator="equal">
      <formula>"check"</formula>
    </cfRule>
    <cfRule type="cellIs" dxfId="14" priority="14" operator="equal">
      <formula>"ok"</formula>
    </cfRule>
  </conditionalFormatting>
  <conditionalFormatting sqref="Y48">
    <cfRule type="cellIs" dxfId="13" priority="15" operator="equal">
      <formula>"check"</formula>
    </cfRule>
    <cfRule type="cellIs" dxfId="12" priority="16" operator="equal">
      <formula>"ok"</formula>
    </cfRule>
  </conditionalFormatting>
  <conditionalFormatting sqref="Y51">
    <cfRule type="cellIs" dxfId="11" priority="9" operator="equal">
      <formula>"check"</formula>
    </cfRule>
    <cfRule type="cellIs" dxfId="10" priority="10" operator="equal">
      <formula>"ok"</formula>
    </cfRule>
  </conditionalFormatting>
  <conditionalFormatting sqref="Y54">
    <cfRule type="cellIs" dxfId="9" priority="1" operator="equal">
      <formula>"check"</formula>
    </cfRule>
    <cfRule type="cellIs" dxfId="8" priority="2" operator="equal">
      <formula>"ok"</formula>
    </cfRule>
  </conditionalFormatting>
  <conditionalFormatting sqref="Y60">
    <cfRule type="cellIs" dxfId="7" priority="11" operator="equal">
      <formula>"check"</formula>
    </cfRule>
    <cfRule type="cellIs" dxfId="6" priority="12" operator="equal">
      <formula>"ok"</formula>
    </cfRule>
  </conditionalFormatting>
  <conditionalFormatting sqref="Y63">
    <cfRule type="cellIs" dxfId="5" priority="3" operator="equal">
      <formula>"check"</formula>
    </cfRule>
    <cfRule type="cellIs" dxfId="4" priority="4" operator="equal">
      <formula>"ok"</formula>
    </cfRule>
  </conditionalFormatting>
  <conditionalFormatting sqref="Y69">
    <cfRule type="cellIs" dxfId="3" priority="5" operator="equal">
      <formula>"check"</formula>
    </cfRule>
    <cfRule type="cellIs" dxfId="2" priority="6" operator="equal">
      <formula>"ok"</formula>
    </cfRule>
  </conditionalFormatting>
  <conditionalFormatting sqref="Y149">
    <cfRule type="cellIs" dxfId="1" priority="7" operator="equal">
      <formula>"check"</formula>
    </cfRule>
    <cfRule type="cellIs" dxfId="0" priority="8" operator="equal">
      <formula>"ok"</formula>
    </cfRule>
  </conditionalFormatting>
  <pageMargins left="0.7" right="0.7" top="0.75" bottom="0.75" header="0.3" footer="0.3"/>
  <pageSetup scale="38" fitToHeight="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2529D-88E6-4EC6-A19D-D4F6CC7E3BD6}">
  <sheetPr>
    <pageSetUpPr fitToPage="1"/>
  </sheetPr>
  <dimension ref="B5:AJ182"/>
  <sheetViews>
    <sheetView topLeftCell="A24" zoomScale="80" zoomScaleNormal="80" workbookViewId="0">
      <selection activeCell="J178" sqref="J178"/>
    </sheetView>
  </sheetViews>
  <sheetFormatPr defaultColWidth="9.140625" defaultRowHeight="12.75" x14ac:dyDescent="0.2"/>
  <cols>
    <col min="1" max="1" width="1.7109375" style="31" customWidth="1"/>
    <col min="2" max="2" width="6.140625" style="2" bestFit="1" customWidth="1"/>
    <col min="3" max="3" width="1.7109375" style="31" customWidth="1"/>
    <col min="4" max="4" width="46" style="31" bestFit="1" customWidth="1"/>
    <col min="5" max="5" width="1.7109375" style="31" customWidth="1"/>
    <col min="6" max="6" width="19.28515625" style="31" customWidth="1"/>
    <col min="7" max="7" width="1.7109375" style="31" customWidth="1"/>
    <col min="8" max="8" width="13.28515625" style="31" customWidth="1"/>
    <col min="9" max="9" width="1.7109375" style="31" customWidth="1"/>
    <col min="10" max="10" width="17.28515625" style="31" bestFit="1" customWidth="1"/>
    <col min="11" max="11" width="1.7109375" style="74" customWidth="1"/>
    <col min="12" max="12" width="13.7109375" style="31" bestFit="1" customWidth="1"/>
    <col min="13" max="13" width="1.7109375" style="74" customWidth="1"/>
    <col min="14" max="14" width="22.28515625" style="2" bestFit="1" customWidth="1"/>
    <col min="15" max="15" width="1.7109375" style="74" customWidth="1"/>
    <col min="16" max="16" width="15.28515625" style="31" customWidth="1"/>
    <col min="17" max="17" width="1.7109375" style="31" customWidth="1"/>
    <col min="18" max="18" width="15.28515625" style="31" customWidth="1"/>
    <col min="19" max="19" width="1.7109375" style="31" customWidth="1"/>
    <col min="20" max="20" width="15.28515625" style="31" customWidth="1"/>
    <col min="21" max="21" width="1.7109375" style="31" customWidth="1"/>
    <col min="22" max="22" width="15.28515625" style="31" customWidth="1"/>
    <col min="23" max="23" width="12.28515625" style="31" bestFit="1" customWidth="1"/>
    <col min="24" max="24" width="9.140625" style="31" customWidth="1"/>
    <col min="25" max="25" width="9.140625" style="31"/>
    <col min="26" max="26" width="11.28515625" style="31" customWidth="1"/>
    <col min="27" max="27" width="9.28515625" style="31" bestFit="1" customWidth="1"/>
    <col min="28" max="28" width="9.140625" style="31"/>
    <col min="29" max="29" width="11.28515625" style="31" customWidth="1"/>
    <col min="30" max="30" width="1.28515625" style="31" customWidth="1"/>
    <col min="31" max="31" width="11.28515625" style="31" customWidth="1"/>
    <col min="32" max="32" width="1.140625" style="31" customWidth="1"/>
    <col min="33" max="33" width="11.28515625" style="31" customWidth="1"/>
    <col min="34" max="34" width="1" style="31" customWidth="1"/>
    <col min="35" max="35" width="11.28515625" style="31" customWidth="1"/>
    <col min="36" max="36" width="1.28515625" style="31" customWidth="1"/>
    <col min="37" max="16384" width="9.140625" style="31"/>
  </cols>
  <sheetData>
    <row r="5" spans="2:36" ht="15" customHeight="1" x14ac:dyDescent="0.2">
      <c r="B5" s="161" t="s">
        <v>0</v>
      </c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</row>
    <row r="6" spans="2:36" ht="15" customHeight="1" x14ac:dyDescent="0.2">
      <c r="B6" s="162" t="s">
        <v>1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</row>
    <row r="7" spans="2:36" ht="15" customHeight="1" x14ac:dyDescent="0.2">
      <c r="B7" s="161" t="s">
        <v>280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</row>
    <row r="9" spans="2:36" x14ac:dyDescent="0.2">
      <c r="D9" s="53"/>
    </row>
    <row r="10" spans="2:36" x14ac:dyDescent="0.2">
      <c r="H10" s="2" t="s">
        <v>11</v>
      </c>
      <c r="J10" s="2" t="s">
        <v>130</v>
      </c>
      <c r="L10" s="2" t="s">
        <v>137</v>
      </c>
      <c r="N10" s="2" t="s">
        <v>64</v>
      </c>
      <c r="P10" s="2"/>
      <c r="R10" s="2" t="s">
        <v>10</v>
      </c>
      <c r="T10" s="2" t="s">
        <v>339</v>
      </c>
      <c r="V10" s="2"/>
    </row>
    <row r="11" spans="2:36" x14ac:dyDescent="0.2">
      <c r="B11" s="2" t="s">
        <v>2</v>
      </c>
      <c r="F11" s="2" t="s">
        <v>3</v>
      </c>
      <c r="H11" s="2" t="s">
        <v>130</v>
      </c>
      <c r="J11" s="2" t="s">
        <v>131</v>
      </c>
      <c r="L11" s="2" t="s">
        <v>138</v>
      </c>
      <c r="N11" s="2" t="s">
        <v>141</v>
      </c>
      <c r="P11" s="2" t="s">
        <v>281</v>
      </c>
      <c r="Q11" s="2"/>
      <c r="R11" s="2" t="s">
        <v>68</v>
      </c>
      <c r="S11" s="2"/>
      <c r="T11" s="2" t="s">
        <v>68</v>
      </c>
      <c r="U11" s="2"/>
      <c r="V11" s="2"/>
    </row>
    <row r="12" spans="2:36" x14ac:dyDescent="0.2">
      <c r="B12" s="33" t="s">
        <v>4</v>
      </c>
      <c r="D12" s="80" t="s">
        <v>374</v>
      </c>
      <c r="F12" s="33" t="s">
        <v>5</v>
      </c>
      <c r="H12" s="33" t="s">
        <v>131</v>
      </c>
      <c r="J12" s="33" t="s">
        <v>6</v>
      </c>
      <c r="K12" s="73" t="s">
        <v>253</v>
      </c>
      <c r="L12" s="33" t="s">
        <v>322</v>
      </c>
      <c r="N12" s="33" t="s">
        <v>6</v>
      </c>
      <c r="O12" s="73" t="s">
        <v>253</v>
      </c>
      <c r="P12" s="33" t="s">
        <v>282</v>
      </c>
      <c r="Q12" s="2"/>
      <c r="R12" s="33" t="s">
        <v>338</v>
      </c>
      <c r="S12" s="2"/>
      <c r="T12" s="33" t="s">
        <v>340</v>
      </c>
      <c r="U12" s="2"/>
      <c r="V12" s="33"/>
      <c r="X12" s="119"/>
    </row>
    <row r="13" spans="2:36" x14ac:dyDescent="0.2">
      <c r="F13" s="2" t="s">
        <v>12</v>
      </c>
      <c r="H13" s="2" t="s">
        <v>13</v>
      </c>
      <c r="J13" s="2" t="s">
        <v>14</v>
      </c>
      <c r="K13" s="73"/>
      <c r="L13" s="2" t="s">
        <v>192</v>
      </c>
      <c r="N13" s="2" t="s">
        <v>15</v>
      </c>
      <c r="O13" s="73"/>
      <c r="P13" s="2" t="s">
        <v>16</v>
      </c>
      <c r="Q13" s="2"/>
      <c r="R13" s="2" t="s">
        <v>59</v>
      </c>
      <c r="S13" s="2"/>
      <c r="T13" s="2" t="s">
        <v>61</v>
      </c>
      <c r="U13" s="2"/>
      <c r="V13" s="2" t="s">
        <v>62</v>
      </c>
    </row>
    <row r="14" spans="2:36" s="74" customFormat="1" x14ac:dyDescent="0.2">
      <c r="B14" s="73"/>
      <c r="N14" s="73"/>
      <c r="P14" s="74">
        <v>4</v>
      </c>
      <c r="R14" s="74">
        <v>6</v>
      </c>
      <c r="T14" s="74">
        <v>8</v>
      </c>
      <c r="V14" s="74">
        <v>10</v>
      </c>
      <c r="AC14" s="73"/>
      <c r="AE14" s="73"/>
      <c r="AG14" s="73"/>
      <c r="AI14" s="73"/>
    </row>
    <row r="15" spans="2:36" x14ac:dyDescent="0.2">
      <c r="D15" s="77"/>
      <c r="E15" s="77"/>
      <c r="F15" s="77"/>
      <c r="X15" s="112"/>
      <c r="AC15" s="2"/>
      <c r="AD15" s="2"/>
      <c r="AE15" s="2"/>
      <c r="AF15" s="2"/>
      <c r="AG15" s="2"/>
      <c r="AH15" s="2"/>
      <c r="AI15" s="2"/>
      <c r="AJ15" s="2"/>
    </row>
    <row r="16" spans="2:36" x14ac:dyDescent="0.2">
      <c r="B16" s="18"/>
      <c r="C16" s="1"/>
      <c r="D16" s="6" t="s">
        <v>295</v>
      </c>
      <c r="E16" s="78"/>
      <c r="F16" s="78"/>
      <c r="AC16" s="2"/>
      <c r="AD16" s="2"/>
      <c r="AE16" s="2"/>
      <c r="AF16" s="2"/>
      <c r="AG16" s="2"/>
      <c r="AH16" s="2"/>
      <c r="AI16" s="2"/>
      <c r="AJ16" s="2"/>
    </row>
    <row r="17" spans="2:35" x14ac:dyDescent="0.2">
      <c r="B17" s="18"/>
      <c r="C17" s="1"/>
      <c r="D17" s="1"/>
      <c r="X17" s="112"/>
    </row>
    <row r="18" spans="2:35" x14ac:dyDescent="0.2">
      <c r="B18" s="18">
        <v>1</v>
      </c>
      <c r="C18" s="1"/>
      <c r="D18" s="1" t="s">
        <v>76</v>
      </c>
      <c r="F18" s="50">
        <f ca="1">'Distribution Class'!AF18</f>
        <v>0</v>
      </c>
      <c r="H18" s="50"/>
      <c r="J18" s="2"/>
      <c r="K18" s="73">
        <f>_xlfn.IFNA(MATCH(J18,'Dist Cust Factors'!$B$12:$B$453,0),0)</f>
        <v>0</v>
      </c>
      <c r="L18" s="50">
        <f ca="1">F18-H18</f>
        <v>0</v>
      </c>
      <c r="O18" s="73">
        <f>_xlfn.IFNA(MATCH(N18,'Dist Cust Factors'!$B$12:$B$457,0),0)</f>
        <v>0</v>
      </c>
      <c r="P18" s="79">
        <f ca="1">OFFSET('Dist Cust Factors'!$B$12,$O18-1,P$14)*$L18+OFFSET('Dist Cust Factors'!$B$12,$K18-1,P$14)*$H18</f>
        <v>0</v>
      </c>
      <c r="R18" s="79">
        <f ca="1">OFFSET('Dist Cust Factors'!$B$12,$O18-1,R$14)*$L18+OFFSET('Dist Cust Factors'!$B$12,$K18-1,R$14)*$H18</f>
        <v>0</v>
      </c>
      <c r="S18" s="79"/>
      <c r="T18" s="79">
        <f ca="1">OFFSET('Dist Cust Factors'!$B$12,$O18-1,T$14)*$L18+OFFSET('Dist Cust Factors'!$B$12,$K18-1,T$14)*$H18</f>
        <v>0</v>
      </c>
      <c r="U18" s="79"/>
      <c r="V18" s="79">
        <f ca="1">OFFSET('Dist Cust Factors'!$B$12,$O18-1,V$14)*$L18+OFFSET('Dist Cust Factors'!$B$12,$K18-1,V$14)*$H18</f>
        <v>0</v>
      </c>
      <c r="X18" s="112"/>
      <c r="Z18" s="38"/>
      <c r="AC18" s="50"/>
      <c r="AE18" s="50"/>
      <c r="AG18" s="50"/>
      <c r="AI18" s="50"/>
    </row>
    <row r="19" spans="2:35" x14ac:dyDescent="0.2">
      <c r="B19" s="18">
        <f>B18+1</f>
        <v>2</v>
      </c>
      <c r="C19" s="1"/>
      <c r="D19" s="1" t="s">
        <v>75</v>
      </c>
      <c r="F19" s="50">
        <f ca="1">'Distribution Class'!AF19</f>
        <v>0</v>
      </c>
      <c r="H19" s="50"/>
      <c r="J19" s="2"/>
      <c r="K19" s="73">
        <f>_xlfn.IFNA(MATCH(J19,'Dist Cust Factors'!$B$12:$B$453,0),0)</f>
        <v>0</v>
      </c>
      <c r="L19" s="50">
        <f t="shared" ref="L19:L30" ca="1" si="0">F19-H19</f>
        <v>0</v>
      </c>
      <c r="O19" s="73">
        <f>_xlfn.IFNA(MATCH(N19,'Dist Cust Factors'!$B$12:$B$457,0),0)</f>
        <v>0</v>
      </c>
      <c r="P19" s="79">
        <f ca="1">OFFSET('Dist Cust Factors'!$B$12,$O19-1,P$14)*$L19+OFFSET('Dist Cust Factors'!$B$12,$K19-1,P$14)*$H19</f>
        <v>0</v>
      </c>
      <c r="R19" s="79">
        <f ca="1">OFFSET('Dist Cust Factors'!$B$12,$O19-1,R$14)*$L19+OFFSET('Dist Cust Factors'!$B$12,$K19-1,R$14)*$H19</f>
        <v>0</v>
      </c>
      <c r="S19" s="79"/>
      <c r="T19" s="79">
        <f ca="1">OFFSET('Dist Cust Factors'!$B$12,$O19-1,T$14)*$L19+OFFSET('Dist Cust Factors'!$B$12,$K19-1,T$14)*$H19</f>
        <v>0</v>
      </c>
      <c r="U19" s="79"/>
      <c r="V19" s="79">
        <f ca="1">OFFSET('Dist Cust Factors'!$B$12,$O19-1,V$14)*$L19+OFFSET('Dist Cust Factors'!$B$12,$K19-1,V$14)*$H19</f>
        <v>0</v>
      </c>
      <c r="X19" s="112"/>
      <c r="Z19" s="38"/>
      <c r="AC19" s="50"/>
      <c r="AE19" s="50"/>
      <c r="AG19" s="50"/>
      <c r="AI19" s="50"/>
    </row>
    <row r="20" spans="2:35" x14ac:dyDescent="0.2">
      <c r="B20" s="18">
        <f t="shared" ref="B20:B31" si="1">B19+1</f>
        <v>3</v>
      </c>
      <c r="C20" s="1"/>
      <c r="D20" s="1" t="s">
        <v>19</v>
      </c>
      <c r="F20" s="50">
        <f ca="1">'Distribution Class'!AF20</f>
        <v>0</v>
      </c>
      <c r="H20" s="50"/>
      <c r="J20" s="2"/>
      <c r="K20" s="73">
        <f>_xlfn.IFNA(MATCH(J20,'Dist Cust Factors'!$B$12:$B$453,0),0)</f>
        <v>0</v>
      </c>
      <c r="L20" s="50">
        <f t="shared" ca="1" si="0"/>
        <v>0</v>
      </c>
      <c r="O20" s="73">
        <f>_xlfn.IFNA(MATCH(N20,'Dist Cust Factors'!$B$12:$B$457,0),0)</f>
        <v>0</v>
      </c>
      <c r="P20" s="79">
        <f ca="1">OFFSET('Dist Cust Factors'!$B$12,$O20-1,P$14)*$L20+OFFSET('Dist Cust Factors'!$B$12,$K20-1,P$14)*$H20</f>
        <v>0</v>
      </c>
      <c r="R20" s="79">
        <f ca="1">OFFSET('Dist Cust Factors'!$B$12,$O20-1,R$14)*$L20+OFFSET('Dist Cust Factors'!$B$12,$K20-1,R$14)*$H20</f>
        <v>0</v>
      </c>
      <c r="S20" s="79"/>
      <c r="T20" s="79">
        <f ca="1">OFFSET('Dist Cust Factors'!$B$12,$O20-1,T$14)*$L20+OFFSET('Dist Cust Factors'!$B$12,$K20-1,T$14)*$H20</f>
        <v>0</v>
      </c>
      <c r="U20" s="79"/>
      <c r="V20" s="79">
        <f ca="1">OFFSET('Dist Cust Factors'!$B$12,$O20-1,V$14)*$L20+OFFSET('Dist Cust Factors'!$B$12,$K20-1,V$14)*$H20</f>
        <v>0</v>
      </c>
      <c r="X20" s="112"/>
      <c r="Z20" s="38"/>
      <c r="AC20" s="50"/>
      <c r="AE20" s="50"/>
      <c r="AG20" s="50"/>
      <c r="AI20" s="50"/>
    </row>
    <row r="21" spans="2:35" x14ac:dyDescent="0.2">
      <c r="B21" s="18">
        <f t="shared" si="1"/>
        <v>4</v>
      </c>
      <c r="C21" s="1"/>
      <c r="D21" s="1" t="s">
        <v>21</v>
      </c>
      <c r="F21" s="50">
        <f ca="1">'Distribution Class'!AF21</f>
        <v>0</v>
      </c>
      <c r="H21" s="50"/>
      <c r="J21" s="2"/>
      <c r="K21" s="73">
        <f>_xlfn.IFNA(MATCH(J21,'Dist Cust Factors'!$B$12:$B$453,0),0)</f>
        <v>0</v>
      </c>
      <c r="L21" s="50">
        <f t="shared" ca="1" si="0"/>
        <v>0</v>
      </c>
      <c r="O21" s="73">
        <f>_xlfn.IFNA(MATCH(N21,'Dist Cust Factors'!$B$12:$B$457,0),0)</f>
        <v>0</v>
      </c>
      <c r="P21" s="79">
        <f ca="1">OFFSET('Dist Cust Factors'!$B$12,$O21-1,P$14)*$L21+OFFSET('Dist Cust Factors'!$B$12,$K21-1,P$14)*$H21</f>
        <v>0</v>
      </c>
      <c r="R21" s="79">
        <f ca="1">OFFSET('Dist Cust Factors'!$B$12,$O21-1,R$14)*$L21+OFFSET('Dist Cust Factors'!$B$12,$K21-1,R$14)*$H21</f>
        <v>0</v>
      </c>
      <c r="S21" s="79"/>
      <c r="T21" s="79">
        <f ca="1">OFFSET('Dist Cust Factors'!$B$12,$O21-1,T$14)*$L21+OFFSET('Dist Cust Factors'!$B$12,$K21-1,T$14)*$H21</f>
        <v>0</v>
      </c>
      <c r="U21" s="79"/>
      <c r="V21" s="79">
        <f ca="1">OFFSET('Dist Cust Factors'!$B$12,$O21-1,V$14)*$L21+OFFSET('Dist Cust Factors'!$B$12,$K21-1,V$14)*$H21</f>
        <v>0</v>
      </c>
      <c r="X21" s="112"/>
      <c r="Z21" s="38"/>
      <c r="AC21" s="50"/>
      <c r="AE21" s="50"/>
      <c r="AG21" s="50"/>
      <c r="AI21" s="50"/>
    </row>
    <row r="22" spans="2:35" x14ac:dyDescent="0.2">
      <c r="B22" s="18">
        <f t="shared" si="1"/>
        <v>5</v>
      </c>
      <c r="C22" s="1"/>
      <c r="D22" s="1" t="s">
        <v>23</v>
      </c>
      <c r="F22" s="50">
        <f ca="1">'Distribution Class'!AF22</f>
        <v>0</v>
      </c>
      <c r="H22" s="50"/>
      <c r="J22" s="2"/>
      <c r="K22" s="73">
        <f>_xlfn.IFNA(MATCH(J22,'Dist Cust Factors'!$B$12:$B$453,0),0)</f>
        <v>0</v>
      </c>
      <c r="L22" s="50">
        <f t="shared" ca="1" si="0"/>
        <v>0</v>
      </c>
      <c r="O22" s="73">
        <f>_xlfn.IFNA(MATCH(N22,'Dist Cust Factors'!$B$12:$B$457,0),0)</f>
        <v>0</v>
      </c>
      <c r="P22" s="79">
        <f ca="1">OFFSET('Dist Cust Factors'!$B$12,$O22-1,P$14)*$L22+OFFSET('Dist Cust Factors'!$B$12,$K22-1,P$14)*$H22</f>
        <v>0</v>
      </c>
      <c r="R22" s="79">
        <f ca="1">OFFSET('Dist Cust Factors'!$B$12,$O22-1,R$14)*$L22+OFFSET('Dist Cust Factors'!$B$12,$K22-1,R$14)*$H22</f>
        <v>0</v>
      </c>
      <c r="S22" s="79"/>
      <c r="T22" s="79">
        <f ca="1">OFFSET('Dist Cust Factors'!$B$12,$O22-1,T$14)*$L22+OFFSET('Dist Cust Factors'!$B$12,$K22-1,T$14)*$H22</f>
        <v>0</v>
      </c>
      <c r="U22" s="79"/>
      <c r="V22" s="79">
        <f ca="1">OFFSET('Dist Cust Factors'!$B$12,$O22-1,V$14)*$L22+OFFSET('Dist Cust Factors'!$B$12,$K22-1,V$14)*$H22</f>
        <v>0</v>
      </c>
      <c r="X22" s="112"/>
      <c r="Z22" s="38"/>
      <c r="AC22" s="50"/>
      <c r="AE22" s="50"/>
      <c r="AG22" s="50"/>
      <c r="AI22" s="50"/>
    </row>
    <row r="23" spans="2:35" x14ac:dyDescent="0.2">
      <c r="B23" s="18">
        <f t="shared" si="1"/>
        <v>6</v>
      </c>
      <c r="C23" s="1"/>
      <c r="D23" s="1" t="s">
        <v>25</v>
      </c>
      <c r="F23" s="50">
        <f ca="1">'Distribution Class'!AF23</f>
        <v>0</v>
      </c>
      <c r="H23" s="50"/>
      <c r="K23" s="73">
        <f>_xlfn.IFNA(MATCH(J23,'Dist Cust Factors'!$B$12:$B$453,0),0)</f>
        <v>0</v>
      </c>
      <c r="L23" s="50">
        <f t="shared" ca="1" si="0"/>
        <v>0</v>
      </c>
      <c r="O23" s="73">
        <f>_xlfn.IFNA(MATCH(N23,'Dist Cust Factors'!$B$12:$B$457,0),0)</f>
        <v>0</v>
      </c>
      <c r="P23" s="79">
        <f ca="1">OFFSET('Dist Cust Factors'!$B$12,$O23-1,P$14)*$L23+OFFSET('Dist Cust Factors'!$B$12,$K23-1,P$14)*$H23</f>
        <v>0</v>
      </c>
      <c r="R23" s="79">
        <f ca="1">OFFSET('Dist Cust Factors'!$B$12,$O23-1,R$14)*$L23+OFFSET('Dist Cust Factors'!$B$12,$K23-1,R$14)*$H23</f>
        <v>0</v>
      </c>
      <c r="S23" s="79"/>
      <c r="T23" s="79">
        <f ca="1">OFFSET('Dist Cust Factors'!$B$12,$O23-1,T$14)*$L23+OFFSET('Dist Cust Factors'!$B$12,$K23-1,T$14)*$H23</f>
        <v>0</v>
      </c>
      <c r="U23" s="79"/>
      <c r="V23" s="79">
        <f ca="1">OFFSET('Dist Cust Factors'!$B$12,$O23-1,V$14)*$L23+OFFSET('Dist Cust Factors'!$B$12,$K23-1,V$14)*$H23</f>
        <v>0</v>
      </c>
      <c r="X23" s="112"/>
      <c r="Z23" s="38"/>
      <c r="AC23" s="50"/>
      <c r="AE23" s="50"/>
      <c r="AG23" s="50"/>
      <c r="AI23" s="50"/>
    </row>
    <row r="24" spans="2:35" x14ac:dyDescent="0.2">
      <c r="B24" s="18">
        <f t="shared" si="1"/>
        <v>7</v>
      </c>
      <c r="C24" s="1"/>
      <c r="D24" s="1" t="s">
        <v>27</v>
      </c>
      <c r="F24" s="50">
        <f ca="1">'Distribution Class'!AF24</f>
        <v>0</v>
      </c>
      <c r="H24" s="50"/>
      <c r="K24" s="73">
        <f>_xlfn.IFNA(MATCH(J24,'Dist Cust Factors'!$B$12:$B$453,0),0)</f>
        <v>0</v>
      </c>
      <c r="L24" s="50">
        <f t="shared" ca="1" si="0"/>
        <v>0</v>
      </c>
      <c r="O24" s="73">
        <f>_xlfn.IFNA(MATCH(N24,'Dist Cust Factors'!$B$12:$B$457,0),0)</f>
        <v>0</v>
      </c>
      <c r="P24" s="79">
        <f ca="1">OFFSET('Dist Cust Factors'!$B$12,$O24-1,P$14)*$L24+OFFSET('Dist Cust Factors'!$B$12,$K24-1,P$14)*$H24</f>
        <v>0</v>
      </c>
      <c r="R24" s="79">
        <f ca="1">OFFSET('Dist Cust Factors'!$B$12,$O24-1,R$14)*$L24+OFFSET('Dist Cust Factors'!$B$12,$K24-1,R$14)*$H24</f>
        <v>0</v>
      </c>
      <c r="S24" s="79"/>
      <c r="T24" s="79">
        <f ca="1">OFFSET('Dist Cust Factors'!$B$12,$O24-1,T$14)*$L24+OFFSET('Dist Cust Factors'!$B$12,$K24-1,T$14)*$H24</f>
        <v>0</v>
      </c>
      <c r="U24" s="79"/>
      <c r="V24" s="79">
        <f ca="1">OFFSET('Dist Cust Factors'!$B$12,$O24-1,V$14)*$L24+OFFSET('Dist Cust Factors'!$B$12,$K24-1,V$14)*$H24</f>
        <v>0</v>
      </c>
      <c r="X24" s="112"/>
      <c r="Z24" s="38"/>
      <c r="AC24" s="50"/>
      <c r="AE24" s="50"/>
      <c r="AG24" s="50"/>
      <c r="AI24" s="50"/>
    </row>
    <row r="25" spans="2:35" x14ac:dyDescent="0.2">
      <c r="B25" s="18">
        <f t="shared" si="1"/>
        <v>8</v>
      </c>
      <c r="C25" s="1"/>
      <c r="D25" s="1" t="s">
        <v>29</v>
      </c>
      <c r="F25" s="50">
        <f ca="1">'Distribution Class'!AF25</f>
        <v>0</v>
      </c>
      <c r="H25" s="50"/>
      <c r="K25" s="73">
        <f>_xlfn.IFNA(MATCH(J25,'Dist Cust Factors'!$B$12:$B$453,0),0)</f>
        <v>0</v>
      </c>
      <c r="L25" s="50">
        <f t="shared" ca="1" si="0"/>
        <v>0</v>
      </c>
      <c r="O25" s="73">
        <f>_xlfn.IFNA(MATCH(N25,'Dist Cust Factors'!$B$12:$B$457,0),0)</f>
        <v>0</v>
      </c>
      <c r="P25" s="79">
        <f ca="1">OFFSET('Dist Cust Factors'!$B$12,$O25-1,P$14)*$L25+OFFSET('Dist Cust Factors'!$B$12,$K25-1,P$14)*$H25</f>
        <v>0</v>
      </c>
      <c r="R25" s="79">
        <f ca="1">OFFSET('Dist Cust Factors'!$B$12,$O25-1,R$14)*$L25+OFFSET('Dist Cust Factors'!$B$12,$K25-1,R$14)*$H25</f>
        <v>0</v>
      </c>
      <c r="S25" s="79"/>
      <c r="T25" s="79">
        <f ca="1">OFFSET('Dist Cust Factors'!$B$12,$O25-1,T$14)*$L25+OFFSET('Dist Cust Factors'!$B$12,$K25-1,T$14)*$H25</f>
        <v>0</v>
      </c>
      <c r="U25" s="79"/>
      <c r="V25" s="79">
        <f ca="1">OFFSET('Dist Cust Factors'!$B$12,$O25-1,V$14)*$L25+OFFSET('Dist Cust Factors'!$B$12,$K25-1,V$14)*$H25</f>
        <v>0</v>
      </c>
      <c r="X25" s="112"/>
      <c r="Z25" s="38"/>
      <c r="AC25" s="50"/>
      <c r="AE25" s="50"/>
      <c r="AG25" s="50"/>
      <c r="AI25" s="50"/>
    </row>
    <row r="26" spans="2:35" x14ac:dyDescent="0.2">
      <c r="B26" s="18">
        <f t="shared" si="1"/>
        <v>9</v>
      </c>
      <c r="C26" s="1"/>
      <c r="D26" s="1" t="s">
        <v>30</v>
      </c>
      <c r="F26" s="50">
        <f ca="1">'Distribution Class'!AF26</f>
        <v>0</v>
      </c>
      <c r="H26" s="50"/>
      <c r="K26" s="73">
        <f>_xlfn.IFNA(MATCH(J26,'Dist Cust Factors'!$B$12:$B$453,0),0)</f>
        <v>0</v>
      </c>
      <c r="L26" s="50">
        <f t="shared" ca="1" si="0"/>
        <v>0</v>
      </c>
      <c r="O26" s="73">
        <f>_xlfn.IFNA(MATCH(N26,'Dist Cust Factors'!$B$12:$B$457,0),0)</f>
        <v>0</v>
      </c>
      <c r="P26" s="79">
        <f ca="1">OFFSET('Dist Cust Factors'!$B$12,$O26-1,P$14)*$L26+OFFSET('Dist Cust Factors'!$B$12,$K26-1,P$14)*$H26</f>
        <v>0</v>
      </c>
      <c r="R26" s="79">
        <f ca="1">OFFSET('Dist Cust Factors'!$B$12,$O26-1,R$14)*$L26+OFFSET('Dist Cust Factors'!$B$12,$K26-1,R$14)*$H26</f>
        <v>0</v>
      </c>
      <c r="S26" s="79"/>
      <c r="T26" s="79">
        <f ca="1">OFFSET('Dist Cust Factors'!$B$12,$O26-1,T$14)*$L26+OFFSET('Dist Cust Factors'!$B$12,$K26-1,T$14)*$H26</f>
        <v>0</v>
      </c>
      <c r="U26" s="79"/>
      <c r="V26" s="79">
        <f ca="1">OFFSET('Dist Cust Factors'!$B$12,$O26-1,V$14)*$L26+OFFSET('Dist Cust Factors'!$B$12,$K26-1,V$14)*$H26</f>
        <v>0</v>
      </c>
      <c r="X26" s="112"/>
      <c r="Z26" s="38"/>
      <c r="AC26" s="50"/>
      <c r="AE26" s="50"/>
      <c r="AG26" s="50"/>
      <c r="AI26" s="50"/>
    </row>
    <row r="27" spans="2:35" x14ac:dyDescent="0.2">
      <c r="B27" s="18">
        <f t="shared" si="1"/>
        <v>10</v>
      </c>
      <c r="C27" s="1"/>
      <c r="D27" s="1" t="s">
        <v>31</v>
      </c>
      <c r="F27" s="50">
        <f ca="1">'Distribution Class'!AF27</f>
        <v>0</v>
      </c>
      <c r="H27" s="50"/>
      <c r="K27" s="73">
        <f>_xlfn.IFNA(MATCH(J27,'Dist Cust Factors'!$B$12:$B$453,0),0)</f>
        <v>0</v>
      </c>
      <c r="L27" s="50">
        <f t="shared" ca="1" si="0"/>
        <v>0</v>
      </c>
      <c r="O27" s="73">
        <f>_xlfn.IFNA(MATCH(N27,'Dist Cust Factors'!$B$12:$B$457,0),0)</f>
        <v>0</v>
      </c>
      <c r="P27" s="79">
        <f ca="1">OFFSET('Dist Cust Factors'!$B$12,$O27-1,P$14)*$L27+OFFSET('Dist Cust Factors'!$B$12,$K27-1,P$14)*$H27</f>
        <v>0</v>
      </c>
      <c r="R27" s="79">
        <f ca="1">OFFSET('Dist Cust Factors'!$B$12,$O27-1,R$14)*$L27+OFFSET('Dist Cust Factors'!$B$12,$K27-1,R$14)*$H27</f>
        <v>0</v>
      </c>
      <c r="S27" s="79"/>
      <c r="T27" s="79">
        <f ca="1">OFFSET('Dist Cust Factors'!$B$12,$O27-1,T$14)*$L27+OFFSET('Dist Cust Factors'!$B$12,$K27-1,T$14)*$H27</f>
        <v>0</v>
      </c>
      <c r="U27" s="79"/>
      <c r="V27" s="79">
        <f ca="1">OFFSET('Dist Cust Factors'!$B$12,$O27-1,V$14)*$L27+OFFSET('Dist Cust Factors'!$B$12,$K27-1,V$14)*$H27</f>
        <v>0</v>
      </c>
      <c r="X27" s="112"/>
      <c r="Z27" s="38"/>
      <c r="AC27" s="50"/>
      <c r="AE27" s="50"/>
      <c r="AG27" s="50"/>
      <c r="AI27" s="50"/>
    </row>
    <row r="28" spans="2:35" x14ac:dyDescent="0.2">
      <c r="B28" s="18">
        <f t="shared" si="1"/>
        <v>11</v>
      </c>
      <c r="C28" s="1"/>
      <c r="D28" s="1" t="s">
        <v>293</v>
      </c>
      <c r="F28" s="50">
        <f ca="1">'Distribution Class'!AF28</f>
        <v>0</v>
      </c>
      <c r="H28" s="50"/>
      <c r="K28" s="73">
        <f>_xlfn.IFNA(MATCH(J28,'Dist Cust Factors'!$B$12:$B$453,0),0)</f>
        <v>0</v>
      </c>
      <c r="L28" s="50">
        <f t="shared" ca="1" si="0"/>
        <v>0</v>
      </c>
      <c r="O28" s="73">
        <f>_xlfn.IFNA(MATCH(N28,'Dist Cust Factors'!$B$12:$B$457,0),0)</f>
        <v>0</v>
      </c>
      <c r="P28" s="79">
        <f ca="1">OFFSET('Dist Cust Factors'!$B$12,$O28-1,P$14)*$L28+OFFSET('Dist Cust Factors'!$B$12,$K28-1,P$14)*$H28</f>
        <v>0</v>
      </c>
      <c r="R28" s="79">
        <f ca="1">OFFSET('Dist Cust Factors'!$B$12,$O28-1,R$14)*$L28+OFFSET('Dist Cust Factors'!$B$12,$K28-1,R$14)*$H28</f>
        <v>0</v>
      </c>
      <c r="S28" s="79"/>
      <c r="T28" s="79">
        <f ca="1">OFFSET('Dist Cust Factors'!$B$12,$O28-1,T$14)*$L28+OFFSET('Dist Cust Factors'!$B$12,$K28-1,T$14)*$H28</f>
        <v>0</v>
      </c>
      <c r="U28" s="79"/>
      <c r="V28" s="79">
        <f ca="1">OFFSET('Dist Cust Factors'!$B$12,$O28-1,V$14)*$L28+OFFSET('Dist Cust Factors'!$B$12,$K28-1,V$14)*$H28</f>
        <v>0</v>
      </c>
      <c r="X28" s="112"/>
      <c r="Z28" s="38"/>
      <c r="AC28" s="50"/>
      <c r="AE28" s="50"/>
      <c r="AG28" s="50"/>
      <c r="AI28" s="50"/>
    </row>
    <row r="29" spans="2:35" x14ac:dyDescent="0.2">
      <c r="B29" s="18">
        <f>B28+1</f>
        <v>12</v>
      </c>
      <c r="C29" s="1"/>
      <c r="D29" s="1" t="s">
        <v>34</v>
      </c>
      <c r="F29" s="50">
        <f ca="1">'Distribution Class'!AF29</f>
        <v>0</v>
      </c>
      <c r="H29" s="50"/>
      <c r="K29" s="73">
        <f>_xlfn.IFNA(MATCH(J29,'Dist Cust Factors'!$B$12:$B$453,0),0)</f>
        <v>0</v>
      </c>
      <c r="L29" s="50">
        <f t="shared" ca="1" si="0"/>
        <v>0</v>
      </c>
      <c r="O29" s="73">
        <f>_xlfn.IFNA(MATCH(N29,'Dist Cust Factors'!$B$12:$B$457,0),0)</f>
        <v>0</v>
      </c>
      <c r="P29" s="79">
        <f ca="1">OFFSET('Dist Cust Factors'!$B$12,$O29-1,P$14)*$L29+OFFSET('Dist Cust Factors'!$B$12,$K29-1,P$14)*$H29</f>
        <v>0</v>
      </c>
      <c r="R29" s="79">
        <f ca="1">OFFSET('Dist Cust Factors'!$B$12,$O29-1,R$14)*$L29+OFFSET('Dist Cust Factors'!$B$12,$K29-1,R$14)*$H29</f>
        <v>0</v>
      </c>
      <c r="S29" s="79"/>
      <c r="T29" s="79">
        <f ca="1">OFFSET('Dist Cust Factors'!$B$12,$O29-1,T$14)*$L29+OFFSET('Dist Cust Factors'!$B$12,$K29-1,T$14)*$H29</f>
        <v>0</v>
      </c>
      <c r="U29" s="79"/>
      <c r="V29" s="79">
        <f ca="1">OFFSET('Dist Cust Factors'!$B$12,$O29-1,V$14)*$L29+OFFSET('Dist Cust Factors'!$B$12,$K29-1,V$14)*$H29</f>
        <v>0</v>
      </c>
      <c r="X29" s="112"/>
      <c r="Z29" s="38"/>
      <c r="AC29" s="50"/>
      <c r="AE29" s="50"/>
      <c r="AG29" s="50"/>
      <c r="AI29" s="50"/>
    </row>
    <row r="30" spans="2:35" x14ac:dyDescent="0.2">
      <c r="B30" s="18">
        <f>B29+1</f>
        <v>13</v>
      </c>
      <c r="C30" s="1"/>
      <c r="D30" s="1" t="s">
        <v>77</v>
      </c>
      <c r="F30" s="50">
        <f ca="1">'Distribution Class'!AF30</f>
        <v>0</v>
      </c>
      <c r="H30" s="50"/>
      <c r="K30" s="73">
        <f>_xlfn.IFNA(MATCH(J30,'Dist Cust Factors'!$B$12:$B$453,0),0)</f>
        <v>0</v>
      </c>
      <c r="L30" s="50">
        <f t="shared" ca="1" si="0"/>
        <v>0</v>
      </c>
      <c r="O30" s="73">
        <f>_xlfn.IFNA(MATCH(N30,'Dist Cust Factors'!$B$12:$B$457,0),0)</f>
        <v>0</v>
      </c>
      <c r="P30" s="79">
        <f ca="1">OFFSET('Dist Cust Factors'!$B$12,$O30-1,P$14)*$L30+OFFSET('Dist Cust Factors'!$B$12,$K30-1,P$14)*$H30</f>
        <v>0</v>
      </c>
      <c r="R30" s="79">
        <f ca="1">OFFSET('Dist Cust Factors'!$B$12,$O30-1,R$14)*$L30+OFFSET('Dist Cust Factors'!$B$12,$K30-1,R$14)*$H30</f>
        <v>0</v>
      </c>
      <c r="S30" s="79"/>
      <c r="T30" s="79">
        <f ca="1">OFFSET('Dist Cust Factors'!$B$12,$O30-1,T$14)*$L30+OFFSET('Dist Cust Factors'!$B$12,$K30-1,T$14)*$H30</f>
        <v>0</v>
      </c>
      <c r="U30" s="79"/>
      <c r="V30" s="79">
        <f ca="1">OFFSET('Dist Cust Factors'!$B$12,$O30-1,V$14)*$L30+OFFSET('Dist Cust Factors'!$B$12,$K30-1,V$14)*$H30</f>
        <v>0</v>
      </c>
      <c r="X30" s="112"/>
      <c r="Z30" s="38"/>
      <c r="AC30" s="50"/>
      <c r="AE30" s="50"/>
      <c r="AG30" s="50"/>
      <c r="AI30" s="50"/>
    </row>
    <row r="31" spans="2:35" x14ac:dyDescent="0.2">
      <c r="B31" s="18">
        <f t="shared" si="1"/>
        <v>14</v>
      </c>
      <c r="C31" s="1"/>
      <c r="D31" s="1" t="s">
        <v>297</v>
      </c>
      <c r="F31" s="41">
        <f ca="1">SUM(F18:F30)</f>
        <v>0</v>
      </c>
      <c r="H31" s="41"/>
      <c r="L31" s="41"/>
      <c r="P31" s="81">
        <f ca="1">SUM(P18:P30)</f>
        <v>0</v>
      </c>
      <c r="Q31" s="67"/>
      <c r="R31" s="81">
        <f ca="1">SUM(R18:R30)</f>
        <v>0</v>
      </c>
      <c r="S31" s="38"/>
      <c r="T31" s="81">
        <f ca="1">SUM(T18:T30)</f>
        <v>0</v>
      </c>
      <c r="U31" s="38"/>
      <c r="V31" s="81">
        <f ca="1">SUM(V18:V30)</f>
        <v>0</v>
      </c>
      <c r="W31" s="50"/>
      <c r="X31" s="112"/>
      <c r="Z31" s="38"/>
      <c r="AC31" s="38"/>
      <c r="AE31" s="38"/>
      <c r="AG31" s="38"/>
      <c r="AI31" s="38"/>
    </row>
    <row r="32" spans="2:35" x14ac:dyDescent="0.2">
      <c r="B32" s="18"/>
      <c r="C32" s="1"/>
      <c r="D32" s="1"/>
      <c r="X32" s="112"/>
    </row>
    <row r="33" spans="2:36" x14ac:dyDescent="0.2">
      <c r="B33" s="18">
        <f>B31+1</f>
        <v>15</v>
      </c>
      <c r="C33" s="1"/>
      <c r="D33" s="1" t="s">
        <v>196</v>
      </c>
      <c r="F33" s="50">
        <f ca="1">'Distribution Class'!AF33</f>
        <v>93925.846028615342</v>
      </c>
      <c r="H33" s="50"/>
      <c r="K33" s="73">
        <f>_xlfn.IFNA(MATCH(J33,'Dist Cust Factors'!$B$12:$B$453,0),0)</f>
        <v>0</v>
      </c>
      <c r="L33" s="50">
        <f ca="1">F33-H33</f>
        <v>93925.846028615342</v>
      </c>
      <c r="N33" s="2" t="s">
        <v>311</v>
      </c>
      <c r="O33" s="73">
        <f>_xlfn.IFNA(MATCH(N33,'Dist Cust Factors'!$B$12:$B$457,0),0)</f>
        <v>17</v>
      </c>
      <c r="P33" s="79">
        <f ca="1">OFFSET('Dist Cust Factors'!$B$12,$O33-1,P$14)*$L33+OFFSET('Dist Cust Factors'!$B$12,$K33-1,P$14)*$H33</f>
        <v>366.00487070972429</v>
      </c>
      <c r="R33" s="79">
        <f ca="1">OFFSET('Dist Cust Factors'!$B$12,$O33-1,R$14)*$L33+OFFSET('Dist Cust Factors'!$B$12,$K33-1,R$14)*$H33</f>
        <v>86956.038236913955</v>
      </c>
      <c r="S33" s="79"/>
      <c r="T33" s="79">
        <f ca="1">OFFSET('Dist Cust Factors'!$B$12,$O33-1,T$14)*$L33+OFFSET('Dist Cust Factors'!$B$12,$K33-1,T$14)*$H33</f>
        <v>6603.8029209916558</v>
      </c>
      <c r="U33" s="79"/>
      <c r="V33" s="79">
        <f ca="1">OFFSET('Dist Cust Factors'!$B$12,$O33-1,V$14)*$L33+OFFSET('Dist Cust Factors'!$B$12,$K33-1,V$14)*$H33</f>
        <v>0</v>
      </c>
      <c r="X33" s="112"/>
    </row>
    <row r="34" spans="2:36" x14ac:dyDescent="0.2">
      <c r="B34" s="18"/>
      <c r="C34" s="1"/>
      <c r="D34" s="1"/>
      <c r="X34" s="112"/>
    </row>
    <row r="35" spans="2:36" x14ac:dyDescent="0.2">
      <c r="B35" s="18">
        <f>B33+1</f>
        <v>16</v>
      </c>
      <c r="C35" s="1"/>
      <c r="D35" s="1" t="s">
        <v>392</v>
      </c>
      <c r="F35" s="41">
        <f ca="1">F31+F33</f>
        <v>93925.846028615342</v>
      </c>
      <c r="H35" s="41">
        <f>H31+H33</f>
        <v>0</v>
      </c>
      <c r="L35" s="41">
        <f ca="1">L31+L33</f>
        <v>93925.846028615342</v>
      </c>
      <c r="P35" s="41">
        <f ca="1">P31+P33</f>
        <v>366.00487070972429</v>
      </c>
      <c r="Q35" s="111"/>
      <c r="R35" s="41">
        <f ca="1">R31+R33</f>
        <v>86956.038236913955</v>
      </c>
      <c r="S35" s="50"/>
      <c r="T35" s="41">
        <f ca="1">T31+T33</f>
        <v>6603.8029209916558</v>
      </c>
      <c r="U35" s="50"/>
      <c r="V35" s="41">
        <f ca="1">V31+V33</f>
        <v>0</v>
      </c>
      <c r="X35" s="112"/>
    </row>
    <row r="36" spans="2:36" x14ac:dyDescent="0.2">
      <c r="B36" s="18"/>
      <c r="C36" s="1"/>
      <c r="D36" s="6"/>
      <c r="E36" s="77"/>
      <c r="F36" s="77"/>
      <c r="H36" s="77"/>
      <c r="L36" s="77"/>
      <c r="X36" s="112"/>
    </row>
    <row r="37" spans="2:36" x14ac:dyDescent="0.2">
      <c r="B37" s="18"/>
      <c r="C37" s="1"/>
      <c r="D37" s="1"/>
      <c r="X37" s="112"/>
    </row>
    <row r="38" spans="2:36" x14ac:dyDescent="0.2">
      <c r="B38" s="18"/>
      <c r="C38" s="1"/>
      <c r="D38" s="6" t="s">
        <v>296</v>
      </c>
      <c r="E38" s="78"/>
      <c r="F38" s="78"/>
      <c r="AC38" s="2"/>
      <c r="AD38" s="2"/>
      <c r="AE38" s="2"/>
      <c r="AF38" s="2"/>
      <c r="AG38" s="2"/>
      <c r="AH38" s="2"/>
      <c r="AI38" s="2"/>
      <c r="AJ38" s="2"/>
    </row>
    <row r="39" spans="2:36" x14ac:dyDescent="0.2">
      <c r="B39" s="18"/>
      <c r="C39" s="1"/>
      <c r="D39" s="1"/>
      <c r="X39" s="112"/>
    </row>
    <row r="40" spans="2:36" x14ac:dyDescent="0.2">
      <c r="B40" s="18">
        <f>B35+1</f>
        <v>17</v>
      </c>
      <c r="C40" s="1"/>
      <c r="D40" s="1" t="s">
        <v>76</v>
      </c>
      <c r="F40" s="50">
        <f ca="1">'Distribution Class'!AF40</f>
        <v>0</v>
      </c>
      <c r="H40" s="50"/>
      <c r="J40" s="2"/>
      <c r="K40" s="73">
        <f>_xlfn.IFNA(MATCH(J40,'Dist Cust Factors'!$B$12:$B$453,0),0)</f>
        <v>0</v>
      </c>
      <c r="L40" s="50">
        <f ca="1">F40-H40</f>
        <v>0</v>
      </c>
      <c r="O40" s="73">
        <f>_xlfn.IFNA(MATCH(N40,'Dist Cust Factors'!$B$12:$B$457,0),0)</f>
        <v>0</v>
      </c>
      <c r="P40" s="79">
        <f ca="1">OFFSET('Dist Cust Factors'!$B$12,$O40-1,P$14)*$L40+OFFSET('Dist Cust Factors'!$B$12,$K40-1,P$14)*$H40</f>
        <v>0</v>
      </c>
      <c r="R40" s="79">
        <f ca="1">OFFSET('Dist Cust Factors'!$B$12,$O40-1,R$14)*$L40+OFFSET('Dist Cust Factors'!$B$12,$K40-1,R$14)*$H40</f>
        <v>0</v>
      </c>
      <c r="S40" s="79"/>
      <c r="T40" s="79">
        <f ca="1">OFFSET('Dist Cust Factors'!$B$12,$O40-1,T$14)*$L40+OFFSET('Dist Cust Factors'!$B$12,$K40-1,T$14)*$H40</f>
        <v>0</v>
      </c>
      <c r="U40" s="79"/>
      <c r="V40" s="79">
        <f ca="1">OFFSET('Dist Cust Factors'!$B$12,$O40-1,V$14)*$L40+OFFSET('Dist Cust Factors'!$B$12,$K40-1,V$14)*$H40</f>
        <v>0</v>
      </c>
      <c r="X40" s="112"/>
      <c r="Z40" s="38"/>
      <c r="AC40" s="50"/>
      <c r="AE40" s="50"/>
      <c r="AG40" s="50"/>
      <c r="AI40" s="50"/>
    </row>
    <row r="41" spans="2:36" x14ac:dyDescent="0.2">
      <c r="B41" s="18">
        <f>B40+1</f>
        <v>18</v>
      </c>
      <c r="C41" s="1"/>
      <c r="D41" s="1" t="s">
        <v>75</v>
      </c>
      <c r="F41" s="50">
        <f ca="1">'Distribution Class'!AF41</f>
        <v>0</v>
      </c>
      <c r="H41" s="50"/>
      <c r="J41" s="2"/>
      <c r="K41" s="73">
        <f>_xlfn.IFNA(MATCH(J41,'Dist Cust Factors'!$B$12:$B$453,0),0)</f>
        <v>0</v>
      </c>
      <c r="L41" s="50">
        <f t="shared" ref="L41:L52" ca="1" si="2">F41-H41</f>
        <v>0</v>
      </c>
      <c r="O41" s="73">
        <f>_xlfn.IFNA(MATCH(N41,'Dist Cust Factors'!$B$12:$B$457,0),0)</f>
        <v>0</v>
      </c>
      <c r="P41" s="79">
        <f ca="1">OFFSET('Dist Cust Factors'!$B$12,$O41-1,P$14)*$L41+OFFSET('Dist Cust Factors'!$B$12,$K41-1,P$14)*$H41</f>
        <v>0</v>
      </c>
      <c r="R41" s="79">
        <f ca="1">OFFSET('Dist Cust Factors'!$B$12,$O41-1,R$14)*$L41+OFFSET('Dist Cust Factors'!$B$12,$K41-1,R$14)*$H41</f>
        <v>0</v>
      </c>
      <c r="S41" s="79"/>
      <c r="T41" s="79">
        <f ca="1">OFFSET('Dist Cust Factors'!$B$12,$O41-1,T$14)*$L41+OFFSET('Dist Cust Factors'!$B$12,$K41-1,T$14)*$H41</f>
        <v>0</v>
      </c>
      <c r="U41" s="79"/>
      <c r="V41" s="79">
        <f ca="1">OFFSET('Dist Cust Factors'!$B$12,$O41-1,V$14)*$L41+OFFSET('Dist Cust Factors'!$B$12,$K41-1,V$14)*$H41</f>
        <v>0</v>
      </c>
      <c r="X41" s="112"/>
      <c r="Z41" s="38"/>
      <c r="AC41" s="50"/>
      <c r="AE41" s="50"/>
      <c r="AG41" s="50"/>
      <c r="AI41" s="50"/>
    </row>
    <row r="42" spans="2:36" x14ac:dyDescent="0.2">
      <c r="B42" s="18">
        <f t="shared" ref="B42:B53" si="3">B41+1</f>
        <v>19</v>
      </c>
      <c r="C42" s="1"/>
      <c r="D42" s="1" t="s">
        <v>19</v>
      </c>
      <c r="F42" s="50">
        <f ca="1">'Distribution Class'!AF42</f>
        <v>0</v>
      </c>
      <c r="H42" s="50"/>
      <c r="J42" s="2"/>
      <c r="K42" s="73">
        <f>_xlfn.IFNA(MATCH(J42,'Dist Cust Factors'!$B$12:$B$453,0),0)</f>
        <v>0</v>
      </c>
      <c r="L42" s="50">
        <f t="shared" ca="1" si="2"/>
        <v>0</v>
      </c>
      <c r="O42" s="73">
        <f>_xlfn.IFNA(MATCH(N42,'Dist Cust Factors'!$B$12:$B$457,0),0)</f>
        <v>0</v>
      </c>
      <c r="P42" s="79">
        <f ca="1">OFFSET('Dist Cust Factors'!$B$12,$O42-1,P$14)*$L42+OFFSET('Dist Cust Factors'!$B$12,$K42-1,P$14)*$H42</f>
        <v>0</v>
      </c>
      <c r="R42" s="79">
        <f ca="1">OFFSET('Dist Cust Factors'!$B$12,$O42-1,R$14)*$L42+OFFSET('Dist Cust Factors'!$B$12,$K42-1,R$14)*$H42</f>
        <v>0</v>
      </c>
      <c r="S42" s="79"/>
      <c r="T42" s="79">
        <f ca="1">OFFSET('Dist Cust Factors'!$B$12,$O42-1,T$14)*$L42+OFFSET('Dist Cust Factors'!$B$12,$K42-1,T$14)*$H42</f>
        <v>0</v>
      </c>
      <c r="U42" s="79"/>
      <c r="V42" s="79">
        <f ca="1">OFFSET('Dist Cust Factors'!$B$12,$O42-1,V$14)*$L42+OFFSET('Dist Cust Factors'!$B$12,$K42-1,V$14)*$H42</f>
        <v>0</v>
      </c>
      <c r="X42" s="112"/>
      <c r="Z42" s="38"/>
      <c r="AC42" s="50"/>
      <c r="AE42" s="50"/>
      <c r="AG42" s="50"/>
      <c r="AI42" s="50"/>
    </row>
    <row r="43" spans="2:36" x14ac:dyDescent="0.2">
      <c r="B43" s="18">
        <f t="shared" si="3"/>
        <v>20</v>
      </c>
      <c r="C43" s="1"/>
      <c r="D43" s="1" t="s">
        <v>21</v>
      </c>
      <c r="F43" s="50">
        <f ca="1">'Distribution Class'!AF43</f>
        <v>0</v>
      </c>
      <c r="H43" s="50"/>
      <c r="J43" s="2"/>
      <c r="K43" s="73">
        <f>_xlfn.IFNA(MATCH(J43,'Dist Cust Factors'!$B$12:$B$453,0),0)</f>
        <v>0</v>
      </c>
      <c r="L43" s="50">
        <f t="shared" ca="1" si="2"/>
        <v>0</v>
      </c>
      <c r="O43" s="73">
        <f>_xlfn.IFNA(MATCH(N43,'Dist Cust Factors'!$B$12:$B$457,0),0)</f>
        <v>0</v>
      </c>
      <c r="P43" s="79">
        <f ca="1">OFFSET('Dist Cust Factors'!$B$12,$O43-1,P$14)*$L43+OFFSET('Dist Cust Factors'!$B$12,$K43-1,P$14)*$H43</f>
        <v>0</v>
      </c>
      <c r="R43" s="79">
        <f ca="1">OFFSET('Dist Cust Factors'!$B$12,$O43-1,R$14)*$L43+OFFSET('Dist Cust Factors'!$B$12,$K43-1,R$14)*$H43</f>
        <v>0</v>
      </c>
      <c r="S43" s="79"/>
      <c r="T43" s="79">
        <f ca="1">OFFSET('Dist Cust Factors'!$B$12,$O43-1,T$14)*$L43+OFFSET('Dist Cust Factors'!$B$12,$K43-1,T$14)*$H43</f>
        <v>0</v>
      </c>
      <c r="U43" s="79"/>
      <c r="V43" s="79">
        <f ca="1">OFFSET('Dist Cust Factors'!$B$12,$O43-1,V$14)*$L43+OFFSET('Dist Cust Factors'!$B$12,$K43-1,V$14)*$H43</f>
        <v>0</v>
      </c>
      <c r="X43" s="112"/>
      <c r="Z43" s="38"/>
      <c r="AC43" s="50"/>
      <c r="AE43" s="50"/>
      <c r="AG43" s="50"/>
      <c r="AI43" s="50"/>
    </row>
    <row r="44" spans="2:36" x14ac:dyDescent="0.2">
      <c r="B44" s="18">
        <f t="shared" si="3"/>
        <v>21</v>
      </c>
      <c r="C44" s="1"/>
      <c r="D44" s="1" t="s">
        <v>23</v>
      </c>
      <c r="F44" s="50">
        <f ca="1">'Distribution Class'!AF44</f>
        <v>0</v>
      </c>
      <c r="H44" s="50"/>
      <c r="J44" s="2"/>
      <c r="K44" s="73">
        <f>_xlfn.IFNA(MATCH(J44,'Dist Cust Factors'!$B$12:$B$453,0),0)</f>
        <v>0</v>
      </c>
      <c r="L44" s="50">
        <f t="shared" ca="1" si="2"/>
        <v>0</v>
      </c>
      <c r="O44" s="73">
        <f>_xlfn.IFNA(MATCH(N44,'Dist Cust Factors'!$B$12:$B$457,0),0)</f>
        <v>0</v>
      </c>
      <c r="P44" s="79">
        <f ca="1">OFFSET('Dist Cust Factors'!$B$12,$O44-1,P$14)*$L44+OFFSET('Dist Cust Factors'!$B$12,$K44-1,P$14)*$H44</f>
        <v>0</v>
      </c>
      <c r="R44" s="79">
        <f ca="1">OFFSET('Dist Cust Factors'!$B$12,$O44-1,R$14)*$L44+OFFSET('Dist Cust Factors'!$B$12,$K44-1,R$14)*$H44</f>
        <v>0</v>
      </c>
      <c r="S44" s="79"/>
      <c r="T44" s="79">
        <f ca="1">OFFSET('Dist Cust Factors'!$B$12,$O44-1,T$14)*$L44+OFFSET('Dist Cust Factors'!$B$12,$K44-1,T$14)*$H44</f>
        <v>0</v>
      </c>
      <c r="U44" s="79"/>
      <c r="V44" s="79">
        <f ca="1">OFFSET('Dist Cust Factors'!$B$12,$O44-1,V$14)*$L44+OFFSET('Dist Cust Factors'!$B$12,$K44-1,V$14)*$H44</f>
        <v>0</v>
      </c>
      <c r="X44" s="112"/>
      <c r="Z44" s="38"/>
      <c r="AC44" s="50"/>
      <c r="AE44" s="50"/>
      <c r="AG44" s="50"/>
      <c r="AI44" s="50"/>
    </row>
    <row r="45" spans="2:36" x14ac:dyDescent="0.2">
      <c r="B45" s="18">
        <f t="shared" si="3"/>
        <v>22</v>
      </c>
      <c r="C45" s="1"/>
      <c r="D45" s="1" t="s">
        <v>25</v>
      </c>
      <c r="F45" s="50">
        <f ca="1">'Distribution Class'!AF45</f>
        <v>0</v>
      </c>
      <c r="H45" s="50"/>
      <c r="K45" s="73">
        <f>_xlfn.IFNA(MATCH(J45,'Dist Cust Factors'!$B$12:$B$453,0),0)</f>
        <v>0</v>
      </c>
      <c r="L45" s="50">
        <f t="shared" ca="1" si="2"/>
        <v>0</v>
      </c>
      <c r="O45" s="73">
        <f>_xlfn.IFNA(MATCH(N45,'Dist Cust Factors'!$B$12:$B$457,0),0)</f>
        <v>0</v>
      </c>
      <c r="P45" s="79">
        <f ca="1">OFFSET('Dist Cust Factors'!$B$12,$O45-1,P$14)*$L45+OFFSET('Dist Cust Factors'!$B$12,$K45-1,P$14)*$H45</f>
        <v>0</v>
      </c>
      <c r="R45" s="79">
        <f ca="1">OFFSET('Dist Cust Factors'!$B$12,$O45-1,R$14)*$L45+OFFSET('Dist Cust Factors'!$B$12,$K45-1,R$14)*$H45</f>
        <v>0</v>
      </c>
      <c r="S45" s="79"/>
      <c r="T45" s="79">
        <f ca="1">OFFSET('Dist Cust Factors'!$B$12,$O45-1,T$14)*$L45+OFFSET('Dist Cust Factors'!$B$12,$K45-1,T$14)*$H45</f>
        <v>0</v>
      </c>
      <c r="U45" s="79"/>
      <c r="V45" s="79">
        <f ca="1">OFFSET('Dist Cust Factors'!$B$12,$O45-1,V$14)*$L45+OFFSET('Dist Cust Factors'!$B$12,$K45-1,V$14)*$H45</f>
        <v>0</v>
      </c>
      <c r="X45" s="112"/>
      <c r="Z45" s="38"/>
      <c r="AC45" s="50"/>
      <c r="AE45" s="50"/>
      <c r="AG45" s="50"/>
      <c r="AI45" s="50"/>
    </row>
    <row r="46" spans="2:36" x14ac:dyDescent="0.2">
      <c r="B46" s="18">
        <f t="shared" si="3"/>
        <v>23</v>
      </c>
      <c r="C46" s="1"/>
      <c r="D46" s="1" t="s">
        <v>27</v>
      </c>
      <c r="F46" s="50">
        <f ca="1">'Distribution Class'!AF46</f>
        <v>0</v>
      </c>
      <c r="H46" s="50"/>
      <c r="K46" s="73">
        <f>_xlfn.IFNA(MATCH(J46,'Dist Cust Factors'!$B$12:$B$453,0),0)</f>
        <v>0</v>
      </c>
      <c r="L46" s="50">
        <f t="shared" ca="1" si="2"/>
        <v>0</v>
      </c>
      <c r="O46" s="73">
        <f>_xlfn.IFNA(MATCH(N46,'Dist Cust Factors'!$B$12:$B$457,0),0)</f>
        <v>0</v>
      </c>
      <c r="P46" s="79">
        <f ca="1">OFFSET('Dist Cust Factors'!$B$12,$O46-1,P$14)*$L46+OFFSET('Dist Cust Factors'!$B$12,$K46-1,P$14)*$H46</f>
        <v>0</v>
      </c>
      <c r="R46" s="79">
        <f ca="1">OFFSET('Dist Cust Factors'!$B$12,$O46-1,R$14)*$L46+OFFSET('Dist Cust Factors'!$B$12,$K46-1,R$14)*$H46</f>
        <v>0</v>
      </c>
      <c r="S46" s="79"/>
      <c r="T46" s="79">
        <f ca="1">OFFSET('Dist Cust Factors'!$B$12,$O46-1,T$14)*$L46+OFFSET('Dist Cust Factors'!$B$12,$K46-1,T$14)*$H46</f>
        <v>0</v>
      </c>
      <c r="U46" s="79"/>
      <c r="V46" s="79">
        <f ca="1">OFFSET('Dist Cust Factors'!$B$12,$O46-1,V$14)*$L46+OFFSET('Dist Cust Factors'!$B$12,$K46-1,V$14)*$H46</f>
        <v>0</v>
      </c>
      <c r="X46" s="112"/>
      <c r="Z46" s="38"/>
      <c r="AC46" s="50"/>
      <c r="AE46" s="50"/>
      <c r="AG46" s="50"/>
      <c r="AI46" s="50"/>
    </row>
    <row r="47" spans="2:36" x14ac:dyDescent="0.2">
      <c r="B47" s="18">
        <f t="shared" si="3"/>
        <v>24</v>
      </c>
      <c r="C47" s="1"/>
      <c r="D47" s="1" t="s">
        <v>29</v>
      </c>
      <c r="F47" s="50">
        <f ca="1">'Distribution Class'!AF47</f>
        <v>0</v>
      </c>
      <c r="H47" s="50"/>
      <c r="K47" s="73">
        <f>_xlfn.IFNA(MATCH(J47,'Dist Cust Factors'!$B$12:$B$453,0),0)</f>
        <v>0</v>
      </c>
      <c r="L47" s="50">
        <f t="shared" ca="1" si="2"/>
        <v>0</v>
      </c>
      <c r="O47" s="73">
        <f>_xlfn.IFNA(MATCH(N47,'Dist Cust Factors'!$B$12:$B$457,0),0)</f>
        <v>0</v>
      </c>
      <c r="P47" s="79">
        <f ca="1">OFFSET('Dist Cust Factors'!$B$12,$O47-1,P$14)*$L47+OFFSET('Dist Cust Factors'!$B$12,$K47-1,P$14)*$H47</f>
        <v>0</v>
      </c>
      <c r="R47" s="79">
        <f ca="1">OFFSET('Dist Cust Factors'!$B$12,$O47-1,R$14)*$L47+OFFSET('Dist Cust Factors'!$B$12,$K47-1,R$14)*$H47</f>
        <v>0</v>
      </c>
      <c r="S47" s="79"/>
      <c r="T47" s="79">
        <f ca="1">OFFSET('Dist Cust Factors'!$B$12,$O47-1,T$14)*$L47+OFFSET('Dist Cust Factors'!$B$12,$K47-1,T$14)*$H47</f>
        <v>0</v>
      </c>
      <c r="U47" s="79"/>
      <c r="V47" s="79">
        <f ca="1">OFFSET('Dist Cust Factors'!$B$12,$O47-1,V$14)*$L47+OFFSET('Dist Cust Factors'!$B$12,$K47-1,V$14)*$H47</f>
        <v>0</v>
      </c>
      <c r="X47" s="112"/>
      <c r="Z47" s="38"/>
      <c r="AC47" s="50"/>
      <c r="AE47" s="50"/>
      <c r="AG47" s="50"/>
      <c r="AI47" s="50"/>
    </row>
    <row r="48" spans="2:36" x14ac:dyDescent="0.2">
      <c r="B48" s="18">
        <f t="shared" si="3"/>
        <v>25</v>
      </c>
      <c r="C48" s="1"/>
      <c r="D48" s="1" t="s">
        <v>30</v>
      </c>
      <c r="F48" s="50">
        <f ca="1">'Distribution Class'!AF48</f>
        <v>0</v>
      </c>
      <c r="H48" s="50"/>
      <c r="K48" s="73">
        <f>_xlfn.IFNA(MATCH(J48,'Dist Cust Factors'!$B$12:$B$453,0),0)</f>
        <v>0</v>
      </c>
      <c r="L48" s="50">
        <f t="shared" ca="1" si="2"/>
        <v>0</v>
      </c>
      <c r="O48" s="73">
        <f>_xlfn.IFNA(MATCH(N48,'Dist Cust Factors'!$B$12:$B$457,0),0)</f>
        <v>0</v>
      </c>
      <c r="P48" s="79">
        <f ca="1">OFFSET('Dist Cust Factors'!$B$12,$O48-1,P$14)*$L48+OFFSET('Dist Cust Factors'!$B$12,$K48-1,P$14)*$H48</f>
        <v>0</v>
      </c>
      <c r="R48" s="79">
        <f ca="1">OFFSET('Dist Cust Factors'!$B$12,$O48-1,R$14)*$L48+OFFSET('Dist Cust Factors'!$B$12,$K48-1,R$14)*$H48</f>
        <v>0</v>
      </c>
      <c r="S48" s="79"/>
      <c r="T48" s="79">
        <f ca="1">OFFSET('Dist Cust Factors'!$B$12,$O48-1,T$14)*$L48+OFFSET('Dist Cust Factors'!$B$12,$K48-1,T$14)*$H48</f>
        <v>0</v>
      </c>
      <c r="U48" s="79"/>
      <c r="V48" s="79">
        <f ca="1">OFFSET('Dist Cust Factors'!$B$12,$O48-1,V$14)*$L48+OFFSET('Dist Cust Factors'!$B$12,$K48-1,V$14)*$H48</f>
        <v>0</v>
      </c>
      <c r="X48" s="112"/>
      <c r="Z48" s="38"/>
      <c r="AC48" s="50"/>
      <c r="AE48" s="50"/>
      <c r="AG48" s="50"/>
      <c r="AI48" s="50"/>
    </row>
    <row r="49" spans="2:36" x14ac:dyDescent="0.2">
      <c r="B49" s="18">
        <f t="shared" si="3"/>
        <v>26</v>
      </c>
      <c r="C49" s="1"/>
      <c r="D49" s="1" t="s">
        <v>31</v>
      </c>
      <c r="F49" s="50">
        <f ca="1">'Distribution Class'!AF49</f>
        <v>0</v>
      </c>
      <c r="H49" s="50"/>
      <c r="K49" s="73">
        <f>_xlfn.IFNA(MATCH(J49,'Dist Cust Factors'!$B$12:$B$453,0),0)</f>
        <v>0</v>
      </c>
      <c r="L49" s="50">
        <f t="shared" ca="1" si="2"/>
        <v>0</v>
      </c>
      <c r="O49" s="73">
        <f>_xlfn.IFNA(MATCH(N49,'Dist Cust Factors'!$B$12:$B$457,0),0)</f>
        <v>0</v>
      </c>
      <c r="P49" s="79">
        <f ca="1">OFFSET('Dist Cust Factors'!$B$12,$O49-1,P$14)*$L49+OFFSET('Dist Cust Factors'!$B$12,$K49-1,P$14)*$H49</f>
        <v>0</v>
      </c>
      <c r="R49" s="79">
        <f ca="1">OFFSET('Dist Cust Factors'!$B$12,$O49-1,R$14)*$L49+OFFSET('Dist Cust Factors'!$B$12,$K49-1,R$14)*$H49</f>
        <v>0</v>
      </c>
      <c r="S49" s="79"/>
      <c r="T49" s="79">
        <f ca="1">OFFSET('Dist Cust Factors'!$B$12,$O49-1,T$14)*$L49+OFFSET('Dist Cust Factors'!$B$12,$K49-1,T$14)*$H49</f>
        <v>0</v>
      </c>
      <c r="U49" s="79"/>
      <c r="V49" s="79">
        <f ca="1">OFFSET('Dist Cust Factors'!$B$12,$O49-1,V$14)*$L49+OFFSET('Dist Cust Factors'!$B$12,$K49-1,V$14)*$H49</f>
        <v>0</v>
      </c>
      <c r="X49" s="112"/>
      <c r="Z49" s="38"/>
      <c r="AC49" s="50"/>
      <c r="AE49" s="50"/>
      <c r="AG49" s="50"/>
      <c r="AI49" s="50"/>
    </row>
    <row r="50" spans="2:36" x14ac:dyDescent="0.2">
      <c r="B50" s="18">
        <f t="shared" si="3"/>
        <v>27</v>
      </c>
      <c r="C50" s="1"/>
      <c r="D50" s="1" t="s">
        <v>293</v>
      </c>
      <c r="F50" s="50">
        <f ca="1">'Distribution Class'!AF50</f>
        <v>0</v>
      </c>
      <c r="H50" s="50"/>
      <c r="K50" s="73">
        <f>_xlfn.IFNA(MATCH(J50,'Dist Cust Factors'!$B$12:$B$453,0),0)</f>
        <v>0</v>
      </c>
      <c r="L50" s="50">
        <f t="shared" ca="1" si="2"/>
        <v>0</v>
      </c>
      <c r="O50" s="73">
        <f>_xlfn.IFNA(MATCH(N50,'Dist Cust Factors'!$B$12:$B$457,0),0)</f>
        <v>0</v>
      </c>
      <c r="P50" s="79">
        <f ca="1">OFFSET('Dist Cust Factors'!$B$12,$O50-1,P$14)*$L50+OFFSET('Dist Cust Factors'!$B$12,$K50-1,P$14)*$H50</f>
        <v>0</v>
      </c>
      <c r="R50" s="79">
        <f ca="1">OFFSET('Dist Cust Factors'!$B$12,$O50-1,R$14)*$L50+OFFSET('Dist Cust Factors'!$B$12,$K50-1,R$14)*$H50</f>
        <v>0</v>
      </c>
      <c r="S50" s="79"/>
      <c r="T50" s="79">
        <f ca="1">OFFSET('Dist Cust Factors'!$B$12,$O50-1,T$14)*$L50+OFFSET('Dist Cust Factors'!$B$12,$K50-1,T$14)*$H50</f>
        <v>0</v>
      </c>
      <c r="U50" s="79"/>
      <c r="V50" s="79">
        <f ca="1">OFFSET('Dist Cust Factors'!$B$12,$O50-1,V$14)*$L50+OFFSET('Dist Cust Factors'!$B$12,$K50-1,V$14)*$H50</f>
        <v>0</v>
      </c>
      <c r="X50" s="112"/>
      <c r="Z50" s="38"/>
      <c r="AC50" s="50"/>
      <c r="AE50" s="50"/>
      <c r="AG50" s="50"/>
      <c r="AI50" s="50"/>
    </row>
    <row r="51" spans="2:36" x14ac:dyDescent="0.2">
      <c r="B51" s="18">
        <f>B50+1</f>
        <v>28</v>
      </c>
      <c r="C51" s="1"/>
      <c r="D51" s="1" t="s">
        <v>34</v>
      </c>
      <c r="F51" s="50">
        <f ca="1">'Distribution Class'!AF51</f>
        <v>0</v>
      </c>
      <c r="H51" s="50"/>
      <c r="K51" s="73">
        <f>_xlfn.IFNA(MATCH(J51,'Dist Cust Factors'!$B$12:$B$453,0),0)</f>
        <v>0</v>
      </c>
      <c r="L51" s="50">
        <f t="shared" ca="1" si="2"/>
        <v>0</v>
      </c>
      <c r="O51" s="73">
        <f>_xlfn.IFNA(MATCH(N51,'Dist Cust Factors'!$B$12:$B$457,0),0)</f>
        <v>0</v>
      </c>
      <c r="P51" s="79">
        <f ca="1">OFFSET('Dist Cust Factors'!$B$12,$O51-1,P$14)*$L51+OFFSET('Dist Cust Factors'!$B$12,$K51-1,P$14)*$H51</f>
        <v>0</v>
      </c>
      <c r="R51" s="79">
        <f ca="1">OFFSET('Dist Cust Factors'!$B$12,$O51-1,R$14)*$L51+OFFSET('Dist Cust Factors'!$B$12,$K51-1,R$14)*$H51</f>
        <v>0</v>
      </c>
      <c r="S51" s="79"/>
      <c r="T51" s="79">
        <f ca="1">OFFSET('Dist Cust Factors'!$B$12,$O51-1,T$14)*$L51+OFFSET('Dist Cust Factors'!$B$12,$K51-1,T$14)*$H51</f>
        <v>0</v>
      </c>
      <c r="U51" s="79"/>
      <c r="V51" s="79">
        <f ca="1">OFFSET('Dist Cust Factors'!$B$12,$O51-1,V$14)*$L51+OFFSET('Dist Cust Factors'!$B$12,$K51-1,V$14)*$H51</f>
        <v>0</v>
      </c>
      <c r="X51" s="112"/>
      <c r="Z51" s="38"/>
      <c r="AC51" s="50"/>
      <c r="AE51" s="50"/>
      <c r="AG51" s="50"/>
      <c r="AI51" s="50"/>
    </row>
    <row r="52" spans="2:36" x14ac:dyDescent="0.2">
      <c r="B52" s="18">
        <f>B51+1</f>
        <v>29</v>
      </c>
      <c r="C52" s="1"/>
      <c r="D52" s="1" t="s">
        <v>77</v>
      </c>
      <c r="F52" s="50">
        <f ca="1">'Distribution Class'!AF52</f>
        <v>0</v>
      </c>
      <c r="H52" s="50"/>
      <c r="K52" s="73">
        <f>_xlfn.IFNA(MATCH(J52,'Dist Cust Factors'!$B$12:$B$453,0),0)</f>
        <v>0</v>
      </c>
      <c r="L52" s="50">
        <f t="shared" ca="1" si="2"/>
        <v>0</v>
      </c>
      <c r="O52" s="73">
        <f>_xlfn.IFNA(MATCH(N52,'Dist Cust Factors'!$B$12:$B$457,0),0)</f>
        <v>0</v>
      </c>
      <c r="P52" s="79">
        <f ca="1">OFFSET('Dist Cust Factors'!$B$12,$O52-1,P$14)*$L52+OFFSET('Dist Cust Factors'!$B$12,$K52-1,P$14)*$H52</f>
        <v>0</v>
      </c>
      <c r="R52" s="79">
        <f ca="1">OFFSET('Dist Cust Factors'!$B$12,$O52-1,R$14)*$L52+OFFSET('Dist Cust Factors'!$B$12,$K52-1,R$14)*$H52</f>
        <v>0</v>
      </c>
      <c r="S52" s="79"/>
      <c r="T52" s="79">
        <f ca="1">OFFSET('Dist Cust Factors'!$B$12,$O52-1,T$14)*$L52+OFFSET('Dist Cust Factors'!$B$12,$K52-1,T$14)*$H52</f>
        <v>0</v>
      </c>
      <c r="U52" s="79"/>
      <c r="V52" s="79">
        <f ca="1">OFFSET('Dist Cust Factors'!$B$12,$O52-1,V$14)*$L52+OFFSET('Dist Cust Factors'!$B$12,$K52-1,V$14)*$H52</f>
        <v>0</v>
      </c>
      <c r="X52" s="112"/>
      <c r="Z52" s="38"/>
      <c r="AC52" s="50"/>
      <c r="AE52" s="50"/>
      <c r="AG52" s="50"/>
      <c r="AI52" s="50"/>
    </row>
    <row r="53" spans="2:36" x14ac:dyDescent="0.2">
      <c r="B53" s="18">
        <f t="shared" si="3"/>
        <v>30</v>
      </c>
      <c r="C53" s="1"/>
      <c r="D53" s="1" t="s">
        <v>298</v>
      </c>
      <c r="F53" s="41">
        <f ca="1">SUM(F40:F52)</f>
        <v>0</v>
      </c>
      <c r="H53" s="41"/>
      <c r="L53" s="41"/>
      <c r="P53" s="81">
        <f ca="1">SUM(P40:P52)</f>
        <v>0</v>
      </c>
      <c r="Q53" s="67"/>
      <c r="R53" s="81">
        <f ca="1">SUM(R40:R52)</f>
        <v>0</v>
      </c>
      <c r="S53" s="38"/>
      <c r="T53" s="81">
        <f ca="1">SUM(T40:T52)</f>
        <v>0</v>
      </c>
      <c r="U53" s="38"/>
      <c r="V53" s="81">
        <f ca="1">SUM(V40:V52)</f>
        <v>0</v>
      </c>
      <c r="W53" s="50"/>
      <c r="X53" s="112"/>
      <c r="Z53" s="38"/>
      <c r="AC53" s="38"/>
      <c r="AE53" s="38"/>
      <c r="AG53" s="38"/>
      <c r="AI53" s="38"/>
    </row>
    <row r="54" spans="2:36" x14ac:dyDescent="0.2">
      <c r="B54" s="18"/>
      <c r="C54" s="1"/>
      <c r="D54" s="1"/>
      <c r="X54" s="112"/>
    </row>
    <row r="55" spans="2:36" x14ac:dyDescent="0.2">
      <c r="B55" s="18">
        <f>B53+1</f>
        <v>31</v>
      </c>
      <c r="C55" s="1"/>
      <c r="D55" s="1" t="s">
        <v>196</v>
      </c>
      <c r="F55" s="50">
        <f ca="1">'Distribution Class'!AF55</f>
        <v>-46960.545992726933</v>
      </c>
      <c r="H55" s="50"/>
      <c r="K55" s="73">
        <f>_xlfn.IFNA(MATCH(J55,'Dist Cust Factors'!$B$12:$B$453,0),0)</f>
        <v>0</v>
      </c>
      <c r="L55" s="50">
        <f ca="1">F55-H55</f>
        <v>-46960.545992726933</v>
      </c>
      <c r="N55" s="2" t="s">
        <v>311</v>
      </c>
      <c r="O55" s="73">
        <f>_xlfn.IFNA(MATCH(N55,'Dist Cust Factors'!$B$12:$B$457,0),0)</f>
        <v>17</v>
      </c>
      <c r="P55" s="79">
        <f ca="1">OFFSET('Dist Cust Factors'!$B$12,$O55-1,P$14)*$L55+OFFSET('Dist Cust Factors'!$B$12,$K55-1,P$14)*$H55</f>
        <v>-182.99317271296837</v>
      </c>
      <c r="R55" s="79">
        <f ca="1">OFFSET('Dist Cust Factors'!$B$12,$O55-1,R$14)*$L55+OFFSET('Dist Cust Factors'!$B$12,$K55-1,R$14)*$H55</f>
        <v>-43475.81848478473</v>
      </c>
      <c r="S55" s="79"/>
      <c r="T55" s="79">
        <f ca="1">OFFSET('Dist Cust Factors'!$B$12,$O55-1,T$14)*$L55+OFFSET('Dist Cust Factors'!$B$12,$K55-1,T$14)*$H55</f>
        <v>-3301.7343352292282</v>
      </c>
      <c r="U55" s="79"/>
      <c r="V55" s="79">
        <f ca="1">OFFSET('Dist Cust Factors'!$B$12,$O55-1,V$14)*$L55+OFFSET('Dist Cust Factors'!$B$12,$K55-1,V$14)*$H55</f>
        <v>0</v>
      </c>
      <c r="X55" s="112"/>
    </row>
    <row r="56" spans="2:36" x14ac:dyDescent="0.2">
      <c r="B56" s="18"/>
      <c r="C56" s="1"/>
      <c r="D56" s="1"/>
      <c r="X56" s="112"/>
    </row>
    <row r="57" spans="2:36" x14ac:dyDescent="0.2">
      <c r="B57" s="18">
        <f>B55+1</f>
        <v>32</v>
      </c>
      <c r="C57" s="1"/>
      <c r="D57" s="1" t="s">
        <v>393</v>
      </c>
      <c r="F57" s="41">
        <f ca="1">F53+F55</f>
        <v>-46960.545992726933</v>
      </c>
      <c r="H57" s="41">
        <f>H53+H55</f>
        <v>0</v>
      </c>
      <c r="L57" s="41">
        <f ca="1">L53+L55</f>
        <v>-46960.545992726933</v>
      </c>
      <c r="P57" s="41">
        <f ca="1">P53+P55</f>
        <v>-182.99317271296837</v>
      </c>
      <c r="Q57" s="111"/>
      <c r="R57" s="41">
        <f ca="1">R53+R55</f>
        <v>-43475.81848478473</v>
      </c>
      <c r="S57" s="50"/>
      <c r="T57" s="41">
        <f ca="1">T53+T55</f>
        <v>-3301.7343352292282</v>
      </c>
      <c r="U57" s="50"/>
      <c r="V57" s="41">
        <f ca="1">V53+V55</f>
        <v>0</v>
      </c>
      <c r="X57" s="112"/>
    </row>
    <row r="58" spans="2:36" x14ac:dyDescent="0.2">
      <c r="B58" s="18"/>
      <c r="C58" s="1"/>
      <c r="D58" s="6"/>
      <c r="E58" s="77"/>
      <c r="F58" s="77"/>
      <c r="H58" s="77"/>
      <c r="L58" s="77"/>
      <c r="X58" s="112"/>
    </row>
    <row r="59" spans="2:36" x14ac:dyDescent="0.2">
      <c r="B59" s="18"/>
      <c r="C59" s="1"/>
      <c r="D59" s="1"/>
      <c r="X59" s="112"/>
    </row>
    <row r="60" spans="2:36" x14ac:dyDescent="0.2">
      <c r="B60" s="18"/>
      <c r="C60" s="1"/>
      <c r="D60" s="6" t="s">
        <v>17</v>
      </c>
      <c r="E60" s="78"/>
      <c r="F60" s="78"/>
      <c r="AC60" s="2"/>
      <c r="AD60" s="2"/>
      <c r="AE60" s="2"/>
      <c r="AF60" s="2"/>
      <c r="AG60" s="2"/>
      <c r="AH60" s="2"/>
      <c r="AI60" s="2"/>
      <c r="AJ60" s="2"/>
    </row>
    <row r="61" spans="2:36" x14ac:dyDescent="0.2">
      <c r="B61" s="18"/>
      <c r="C61" s="1"/>
      <c r="D61" s="1"/>
      <c r="X61" s="112"/>
    </row>
    <row r="62" spans="2:36" x14ac:dyDescent="0.2">
      <c r="B62" s="18">
        <f>B57+1</f>
        <v>33</v>
      </c>
      <c r="C62" s="1"/>
      <c r="D62" s="1" t="s">
        <v>76</v>
      </c>
      <c r="F62" s="50">
        <f ca="1">'Distribution Class'!AF62</f>
        <v>0</v>
      </c>
      <c r="H62" s="50"/>
      <c r="J62" s="2"/>
      <c r="K62" s="73">
        <f>_xlfn.IFNA(MATCH(J62,'Dist Cust Factors'!$B$12:$B$453,0),0)</f>
        <v>0</v>
      </c>
      <c r="L62" s="50">
        <f ca="1">F62-H62</f>
        <v>0</v>
      </c>
      <c r="O62" s="73">
        <f>_xlfn.IFNA(MATCH(N62,'Dist Cust Factors'!$B$12:$B$457,0),0)</f>
        <v>0</v>
      </c>
      <c r="P62" s="79">
        <f ca="1">P18+P40</f>
        <v>0</v>
      </c>
      <c r="R62" s="79">
        <f ca="1">R18+R40</f>
        <v>0</v>
      </c>
      <c r="S62" s="79"/>
      <c r="T62" s="79">
        <f ca="1">T18+T40</f>
        <v>0</v>
      </c>
      <c r="U62" s="79"/>
      <c r="V62" s="79">
        <f ca="1">V18+V40</f>
        <v>0</v>
      </c>
      <c r="X62" s="112"/>
      <c r="Z62" s="38"/>
      <c r="AC62" s="50"/>
      <c r="AE62" s="50"/>
      <c r="AG62" s="50"/>
      <c r="AI62" s="50"/>
    </row>
    <row r="63" spans="2:36" x14ac:dyDescent="0.2">
      <c r="B63" s="18">
        <f>B62+1</f>
        <v>34</v>
      </c>
      <c r="C63" s="1"/>
      <c r="D63" s="1" t="s">
        <v>75</v>
      </c>
      <c r="F63" s="50">
        <f ca="1">'Distribution Class'!AF63</f>
        <v>0</v>
      </c>
      <c r="H63" s="50"/>
      <c r="J63" s="2"/>
      <c r="K63" s="73">
        <f>_xlfn.IFNA(MATCH(J63,'Dist Cust Factors'!$B$12:$B$453,0),0)</f>
        <v>0</v>
      </c>
      <c r="L63" s="50">
        <f t="shared" ref="L63:L74" ca="1" si="4">F63-H63</f>
        <v>0</v>
      </c>
      <c r="O63" s="73">
        <f>_xlfn.IFNA(MATCH(N63,'Dist Cust Factors'!$B$12:$B$457,0),0)</f>
        <v>0</v>
      </c>
      <c r="P63" s="79">
        <f t="shared" ref="P63:R74" ca="1" si="5">P19+P41</f>
        <v>0</v>
      </c>
      <c r="R63" s="79">
        <f t="shared" ca="1" si="5"/>
        <v>0</v>
      </c>
      <c r="S63" s="79"/>
      <c r="T63" s="79">
        <f t="shared" ref="T63:V74" ca="1" si="6">T19+T41</f>
        <v>0</v>
      </c>
      <c r="U63" s="79"/>
      <c r="V63" s="79">
        <f t="shared" ca="1" si="6"/>
        <v>0</v>
      </c>
      <c r="X63" s="112"/>
      <c r="Z63" s="38"/>
      <c r="AC63" s="50"/>
      <c r="AE63" s="50"/>
      <c r="AG63" s="50"/>
      <c r="AI63" s="50"/>
    </row>
    <row r="64" spans="2:36" x14ac:dyDescent="0.2">
      <c r="B64" s="18">
        <f t="shared" ref="B64:B75" si="7">B63+1</f>
        <v>35</v>
      </c>
      <c r="C64" s="1"/>
      <c r="D64" s="1" t="s">
        <v>19</v>
      </c>
      <c r="F64" s="50">
        <f ca="1">'Distribution Class'!AF64</f>
        <v>0</v>
      </c>
      <c r="H64" s="50"/>
      <c r="J64" s="2"/>
      <c r="K64" s="73">
        <f>_xlfn.IFNA(MATCH(J64,'Dist Cust Factors'!$B$12:$B$453,0),0)</f>
        <v>0</v>
      </c>
      <c r="L64" s="50">
        <f t="shared" ca="1" si="4"/>
        <v>0</v>
      </c>
      <c r="O64" s="73">
        <f>_xlfn.IFNA(MATCH(N64,'Dist Cust Factors'!$B$12:$B$457,0),0)</f>
        <v>0</v>
      </c>
      <c r="P64" s="79">
        <f t="shared" ca="1" si="5"/>
        <v>0</v>
      </c>
      <c r="R64" s="79">
        <f t="shared" ca="1" si="5"/>
        <v>0</v>
      </c>
      <c r="S64" s="79"/>
      <c r="T64" s="79">
        <f t="shared" ca="1" si="6"/>
        <v>0</v>
      </c>
      <c r="U64" s="79"/>
      <c r="V64" s="79">
        <f t="shared" ca="1" si="6"/>
        <v>0</v>
      </c>
      <c r="X64" s="112"/>
      <c r="Z64" s="38"/>
      <c r="AC64" s="50"/>
      <c r="AE64" s="50"/>
      <c r="AG64" s="50"/>
      <c r="AI64" s="50"/>
    </row>
    <row r="65" spans="2:35" x14ac:dyDescent="0.2">
      <c r="B65" s="18">
        <f t="shared" si="7"/>
        <v>36</v>
      </c>
      <c r="C65" s="1"/>
      <c r="D65" s="1" t="s">
        <v>21</v>
      </c>
      <c r="F65" s="50">
        <f ca="1">'Distribution Class'!AF65</f>
        <v>0</v>
      </c>
      <c r="H65" s="50"/>
      <c r="J65" s="2"/>
      <c r="K65" s="73">
        <f>_xlfn.IFNA(MATCH(J65,'Dist Cust Factors'!$B$12:$B$453,0),0)</f>
        <v>0</v>
      </c>
      <c r="L65" s="50">
        <f t="shared" ca="1" si="4"/>
        <v>0</v>
      </c>
      <c r="O65" s="73">
        <f>_xlfn.IFNA(MATCH(N65,'Dist Cust Factors'!$B$12:$B$457,0),0)</f>
        <v>0</v>
      </c>
      <c r="P65" s="79">
        <f t="shared" ca="1" si="5"/>
        <v>0</v>
      </c>
      <c r="R65" s="79">
        <f t="shared" ca="1" si="5"/>
        <v>0</v>
      </c>
      <c r="S65" s="79"/>
      <c r="T65" s="79">
        <f t="shared" ca="1" si="6"/>
        <v>0</v>
      </c>
      <c r="U65" s="79"/>
      <c r="V65" s="79">
        <f t="shared" ca="1" si="6"/>
        <v>0</v>
      </c>
      <c r="X65" s="112"/>
      <c r="Z65" s="38"/>
      <c r="AC65" s="50"/>
      <c r="AE65" s="50"/>
      <c r="AG65" s="50"/>
      <c r="AI65" s="50"/>
    </row>
    <row r="66" spans="2:35" x14ac:dyDescent="0.2">
      <c r="B66" s="18">
        <f t="shared" si="7"/>
        <v>37</v>
      </c>
      <c r="C66" s="1"/>
      <c r="D66" s="1" t="s">
        <v>23</v>
      </c>
      <c r="F66" s="50">
        <f ca="1">'Distribution Class'!AF66</f>
        <v>0</v>
      </c>
      <c r="H66" s="50"/>
      <c r="J66" s="2"/>
      <c r="K66" s="73">
        <f>_xlfn.IFNA(MATCH(J66,'Dist Cust Factors'!$B$12:$B$453,0),0)</f>
        <v>0</v>
      </c>
      <c r="L66" s="50">
        <f t="shared" ca="1" si="4"/>
        <v>0</v>
      </c>
      <c r="O66" s="73">
        <f>_xlfn.IFNA(MATCH(N66,'Dist Cust Factors'!$B$12:$B$457,0),0)</f>
        <v>0</v>
      </c>
      <c r="P66" s="79">
        <f t="shared" ca="1" si="5"/>
        <v>0</v>
      </c>
      <c r="R66" s="79">
        <f t="shared" ca="1" si="5"/>
        <v>0</v>
      </c>
      <c r="S66" s="79"/>
      <c r="T66" s="79">
        <f t="shared" ca="1" si="6"/>
        <v>0</v>
      </c>
      <c r="U66" s="79"/>
      <c r="V66" s="79">
        <f t="shared" ca="1" si="6"/>
        <v>0</v>
      </c>
      <c r="X66" s="112"/>
      <c r="Z66" s="38"/>
      <c r="AC66" s="50"/>
      <c r="AE66" s="50"/>
      <c r="AG66" s="50"/>
      <c r="AI66" s="50"/>
    </row>
    <row r="67" spans="2:35" x14ac:dyDescent="0.2">
      <c r="B67" s="18">
        <f t="shared" si="7"/>
        <v>38</v>
      </c>
      <c r="C67" s="1"/>
      <c r="D67" s="1" t="s">
        <v>25</v>
      </c>
      <c r="F67" s="50">
        <f ca="1">'Distribution Class'!AF67</f>
        <v>0</v>
      </c>
      <c r="H67" s="50"/>
      <c r="K67" s="73">
        <f>_xlfn.IFNA(MATCH(J67,'Dist Cust Factors'!$B$12:$B$453,0),0)</f>
        <v>0</v>
      </c>
      <c r="L67" s="50">
        <f t="shared" ca="1" si="4"/>
        <v>0</v>
      </c>
      <c r="O67" s="73">
        <f>_xlfn.IFNA(MATCH(N67,'Dist Cust Factors'!$B$12:$B$457,0),0)</f>
        <v>0</v>
      </c>
      <c r="P67" s="79">
        <f t="shared" ca="1" si="5"/>
        <v>0</v>
      </c>
      <c r="R67" s="79">
        <f t="shared" ca="1" si="5"/>
        <v>0</v>
      </c>
      <c r="S67" s="79"/>
      <c r="T67" s="79">
        <f t="shared" ca="1" si="6"/>
        <v>0</v>
      </c>
      <c r="U67" s="79"/>
      <c r="V67" s="79">
        <f t="shared" ca="1" si="6"/>
        <v>0</v>
      </c>
      <c r="X67" s="112"/>
      <c r="Z67" s="38"/>
      <c r="AC67" s="50"/>
      <c r="AE67" s="50"/>
      <c r="AG67" s="50"/>
      <c r="AI67" s="50"/>
    </row>
    <row r="68" spans="2:35" x14ac:dyDescent="0.2">
      <c r="B68" s="18">
        <f t="shared" si="7"/>
        <v>39</v>
      </c>
      <c r="C68" s="1"/>
      <c r="D68" s="1" t="s">
        <v>27</v>
      </c>
      <c r="F68" s="50">
        <f ca="1">'Distribution Class'!AF68</f>
        <v>0</v>
      </c>
      <c r="H68" s="50"/>
      <c r="K68" s="73">
        <f>_xlfn.IFNA(MATCH(J68,'Dist Cust Factors'!$B$12:$B$453,0),0)</f>
        <v>0</v>
      </c>
      <c r="L68" s="50">
        <f t="shared" ca="1" si="4"/>
        <v>0</v>
      </c>
      <c r="O68" s="73">
        <f>_xlfn.IFNA(MATCH(N68,'Dist Cust Factors'!$B$12:$B$457,0),0)</f>
        <v>0</v>
      </c>
      <c r="P68" s="79">
        <f t="shared" ca="1" si="5"/>
        <v>0</v>
      </c>
      <c r="R68" s="79">
        <f t="shared" ca="1" si="5"/>
        <v>0</v>
      </c>
      <c r="S68" s="79"/>
      <c r="T68" s="79">
        <f t="shared" ca="1" si="6"/>
        <v>0</v>
      </c>
      <c r="U68" s="79"/>
      <c r="V68" s="79">
        <f t="shared" ca="1" si="6"/>
        <v>0</v>
      </c>
      <c r="X68" s="112"/>
      <c r="Z68" s="38"/>
      <c r="AC68" s="50"/>
      <c r="AE68" s="50"/>
      <c r="AG68" s="50"/>
      <c r="AI68" s="50"/>
    </row>
    <row r="69" spans="2:35" x14ac:dyDescent="0.2">
      <c r="B69" s="18">
        <f t="shared" si="7"/>
        <v>40</v>
      </c>
      <c r="C69" s="1"/>
      <c r="D69" s="1" t="s">
        <v>29</v>
      </c>
      <c r="F69" s="50">
        <f ca="1">'Distribution Class'!AF69</f>
        <v>0</v>
      </c>
      <c r="H69" s="50"/>
      <c r="K69" s="73">
        <f>_xlfn.IFNA(MATCH(J69,'Dist Cust Factors'!$B$12:$B$453,0),0)</f>
        <v>0</v>
      </c>
      <c r="L69" s="50">
        <f t="shared" ca="1" si="4"/>
        <v>0</v>
      </c>
      <c r="O69" s="73">
        <f>_xlfn.IFNA(MATCH(N69,'Dist Cust Factors'!$B$12:$B$457,0),0)</f>
        <v>0</v>
      </c>
      <c r="P69" s="79">
        <f t="shared" ca="1" si="5"/>
        <v>0</v>
      </c>
      <c r="R69" s="79">
        <f t="shared" ca="1" si="5"/>
        <v>0</v>
      </c>
      <c r="S69" s="79"/>
      <c r="T69" s="79">
        <f t="shared" ca="1" si="6"/>
        <v>0</v>
      </c>
      <c r="U69" s="79"/>
      <c r="V69" s="79">
        <f t="shared" ca="1" si="6"/>
        <v>0</v>
      </c>
      <c r="X69" s="112"/>
      <c r="Z69" s="38"/>
      <c r="AC69" s="50"/>
      <c r="AE69" s="50"/>
      <c r="AG69" s="50"/>
      <c r="AI69" s="50"/>
    </row>
    <row r="70" spans="2:35" x14ac:dyDescent="0.2">
      <c r="B70" s="18">
        <f t="shared" si="7"/>
        <v>41</v>
      </c>
      <c r="C70" s="1"/>
      <c r="D70" s="1" t="s">
        <v>30</v>
      </c>
      <c r="F70" s="50">
        <f ca="1">'Distribution Class'!AF70</f>
        <v>0</v>
      </c>
      <c r="H70" s="50"/>
      <c r="K70" s="73">
        <f>_xlfn.IFNA(MATCH(J70,'Dist Cust Factors'!$B$12:$B$453,0),0)</f>
        <v>0</v>
      </c>
      <c r="L70" s="50">
        <f t="shared" ca="1" si="4"/>
        <v>0</v>
      </c>
      <c r="O70" s="73">
        <f>_xlfn.IFNA(MATCH(N70,'Dist Cust Factors'!$B$12:$B$457,0),0)</f>
        <v>0</v>
      </c>
      <c r="P70" s="79">
        <f t="shared" ca="1" si="5"/>
        <v>0</v>
      </c>
      <c r="R70" s="79">
        <f t="shared" ca="1" si="5"/>
        <v>0</v>
      </c>
      <c r="S70" s="79"/>
      <c r="T70" s="79">
        <f t="shared" ca="1" si="6"/>
        <v>0</v>
      </c>
      <c r="U70" s="79"/>
      <c r="V70" s="79">
        <f t="shared" ca="1" si="6"/>
        <v>0</v>
      </c>
      <c r="X70" s="112"/>
      <c r="Z70" s="38"/>
      <c r="AC70" s="50"/>
      <c r="AE70" s="50"/>
      <c r="AG70" s="50"/>
      <c r="AI70" s="50"/>
    </row>
    <row r="71" spans="2:35" x14ac:dyDescent="0.2">
      <c r="B71" s="18">
        <f t="shared" si="7"/>
        <v>42</v>
      </c>
      <c r="C71" s="1"/>
      <c r="D71" s="1" t="s">
        <v>31</v>
      </c>
      <c r="F71" s="50">
        <f ca="1">'Distribution Class'!AF71</f>
        <v>0</v>
      </c>
      <c r="H71" s="50"/>
      <c r="K71" s="73">
        <f>_xlfn.IFNA(MATCH(J71,'Dist Cust Factors'!$B$12:$B$453,0),0)</f>
        <v>0</v>
      </c>
      <c r="L71" s="50">
        <f t="shared" ca="1" si="4"/>
        <v>0</v>
      </c>
      <c r="O71" s="73">
        <f>_xlfn.IFNA(MATCH(N71,'Dist Cust Factors'!$B$12:$B$457,0),0)</f>
        <v>0</v>
      </c>
      <c r="P71" s="79">
        <f t="shared" ca="1" si="5"/>
        <v>0</v>
      </c>
      <c r="R71" s="79">
        <f t="shared" ca="1" si="5"/>
        <v>0</v>
      </c>
      <c r="S71" s="79"/>
      <c r="T71" s="79">
        <f t="shared" ca="1" si="6"/>
        <v>0</v>
      </c>
      <c r="U71" s="79"/>
      <c r="V71" s="79">
        <f t="shared" ca="1" si="6"/>
        <v>0</v>
      </c>
      <c r="X71" s="112"/>
      <c r="Z71" s="38"/>
      <c r="AC71" s="50"/>
      <c r="AE71" s="50"/>
      <c r="AG71" s="50"/>
      <c r="AI71" s="50"/>
    </row>
    <row r="72" spans="2:35" x14ac:dyDescent="0.2">
      <c r="B72" s="18">
        <f t="shared" si="7"/>
        <v>43</v>
      </c>
      <c r="C72" s="1"/>
      <c r="D72" s="1" t="s">
        <v>293</v>
      </c>
      <c r="F72" s="50">
        <f ca="1">'Distribution Class'!AF72</f>
        <v>0</v>
      </c>
      <c r="H72" s="50"/>
      <c r="K72" s="73">
        <f>_xlfn.IFNA(MATCH(J72,'Dist Cust Factors'!$B$12:$B$453,0),0)</f>
        <v>0</v>
      </c>
      <c r="L72" s="50">
        <f t="shared" ca="1" si="4"/>
        <v>0</v>
      </c>
      <c r="O72" s="73">
        <f>_xlfn.IFNA(MATCH(N72,'Dist Cust Factors'!$B$12:$B$457,0),0)</f>
        <v>0</v>
      </c>
      <c r="P72" s="79">
        <f t="shared" ca="1" si="5"/>
        <v>0</v>
      </c>
      <c r="R72" s="79">
        <f t="shared" ca="1" si="5"/>
        <v>0</v>
      </c>
      <c r="S72" s="79"/>
      <c r="T72" s="79">
        <f t="shared" ca="1" si="6"/>
        <v>0</v>
      </c>
      <c r="U72" s="79"/>
      <c r="V72" s="79">
        <f t="shared" ca="1" si="6"/>
        <v>0</v>
      </c>
      <c r="X72" s="112"/>
      <c r="Z72" s="38"/>
      <c r="AC72" s="50"/>
      <c r="AE72" s="50"/>
      <c r="AG72" s="50"/>
      <c r="AI72" s="50"/>
    </row>
    <row r="73" spans="2:35" x14ac:dyDescent="0.2">
      <c r="B73" s="18">
        <f>B72+1</f>
        <v>44</v>
      </c>
      <c r="C73" s="1"/>
      <c r="D73" s="1" t="s">
        <v>34</v>
      </c>
      <c r="F73" s="50">
        <f ca="1">'Distribution Class'!AF73</f>
        <v>0</v>
      </c>
      <c r="H73" s="50"/>
      <c r="K73" s="73">
        <f>_xlfn.IFNA(MATCH(J73,'Dist Cust Factors'!$B$12:$B$453,0),0)</f>
        <v>0</v>
      </c>
      <c r="L73" s="50">
        <f t="shared" ca="1" si="4"/>
        <v>0</v>
      </c>
      <c r="O73" s="73">
        <f>_xlfn.IFNA(MATCH(N73,'Dist Cust Factors'!$B$12:$B$457,0),0)</f>
        <v>0</v>
      </c>
      <c r="P73" s="79">
        <f t="shared" ca="1" si="5"/>
        <v>0</v>
      </c>
      <c r="R73" s="79">
        <f t="shared" ca="1" si="5"/>
        <v>0</v>
      </c>
      <c r="S73" s="79"/>
      <c r="T73" s="79">
        <f t="shared" ca="1" si="6"/>
        <v>0</v>
      </c>
      <c r="U73" s="79"/>
      <c r="V73" s="79">
        <f t="shared" ca="1" si="6"/>
        <v>0</v>
      </c>
      <c r="X73" s="112"/>
      <c r="Z73" s="38"/>
      <c r="AC73" s="50"/>
      <c r="AE73" s="50"/>
      <c r="AG73" s="50"/>
      <c r="AI73" s="50"/>
    </row>
    <row r="74" spans="2:35" x14ac:dyDescent="0.2">
      <c r="B74" s="18">
        <f>B73+1</f>
        <v>45</v>
      </c>
      <c r="C74" s="1"/>
      <c r="D74" s="1" t="s">
        <v>77</v>
      </c>
      <c r="F74" s="50">
        <f ca="1">'Distribution Class'!AF74</f>
        <v>0</v>
      </c>
      <c r="H74" s="50"/>
      <c r="K74" s="73">
        <f>_xlfn.IFNA(MATCH(J74,'Dist Cust Factors'!$B$12:$B$453,0),0)</f>
        <v>0</v>
      </c>
      <c r="L74" s="50">
        <f t="shared" ca="1" si="4"/>
        <v>0</v>
      </c>
      <c r="O74" s="73">
        <f>_xlfn.IFNA(MATCH(N74,'Dist Cust Factors'!$B$12:$B$457,0),0)</f>
        <v>0</v>
      </c>
      <c r="P74" s="79">
        <f t="shared" ca="1" si="5"/>
        <v>0</v>
      </c>
      <c r="R74" s="79">
        <f t="shared" ca="1" si="5"/>
        <v>0</v>
      </c>
      <c r="S74" s="79"/>
      <c r="T74" s="79">
        <f t="shared" ca="1" si="6"/>
        <v>0</v>
      </c>
      <c r="U74" s="79"/>
      <c r="V74" s="79">
        <f t="shared" ca="1" si="6"/>
        <v>0</v>
      </c>
      <c r="X74" s="112"/>
      <c r="Z74" s="38"/>
      <c r="AC74" s="50"/>
      <c r="AE74" s="50"/>
      <c r="AG74" s="50"/>
      <c r="AI74" s="50"/>
    </row>
    <row r="75" spans="2:35" x14ac:dyDescent="0.2">
      <c r="B75" s="18">
        <f t="shared" si="7"/>
        <v>46</v>
      </c>
      <c r="C75" s="1"/>
      <c r="D75" s="1" t="s">
        <v>394</v>
      </c>
      <c r="F75" s="41">
        <f ca="1">SUM(F62:F74)</f>
        <v>0</v>
      </c>
      <c r="H75" s="41"/>
      <c r="L75" s="41"/>
      <c r="P75" s="81">
        <f ca="1">SUM(P62:P74)</f>
        <v>0</v>
      </c>
      <c r="Q75" s="67"/>
      <c r="R75" s="81">
        <f ca="1">SUM(R62:R74)</f>
        <v>0</v>
      </c>
      <c r="S75" s="38"/>
      <c r="T75" s="81">
        <f ca="1">SUM(T62:T74)</f>
        <v>0</v>
      </c>
      <c r="U75" s="38"/>
      <c r="V75" s="81">
        <f ca="1">SUM(V62:V74)</f>
        <v>0</v>
      </c>
      <c r="W75" s="50"/>
      <c r="X75" s="112"/>
      <c r="Z75" s="38"/>
      <c r="AC75" s="38"/>
      <c r="AE75" s="38"/>
      <c r="AG75" s="38"/>
      <c r="AI75" s="38"/>
    </row>
    <row r="76" spans="2:35" x14ac:dyDescent="0.2">
      <c r="B76" s="18"/>
      <c r="C76" s="1"/>
      <c r="D76" s="1"/>
      <c r="X76" s="112"/>
    </row>
    <row r="77" spans="2:35" x14ac:dyDescent="0.2">
      <c r="B77" s="18">
        <f>B75+1</f>
        <v>47</v>
      </c>
      <c r="C77" s="1"/>
      <c r="D77" s="1" t="s">
        <v>196</v>
      </c>
      <c r="F77" s="50">
        <f ca="1">'Distribution Class'!AF77</f>
        <v>46965.300035888409</v>
      </c>
      <c r="H77" s="50"/>
      <c r="K77" s="73">
        <f>_xlfn.IFNA(MATCH(J77,'Dist Cust Factors'!$B$12:$B$453,0),0)</f>
        <v>0</v>
      </c>
      <c r="L77" s="50">
        <f ca="1">F77-H77</f>
        <v>46965.300035888409</v>
      </c>
      <c r="O77" s="73">
        <f>_xlfn.IFNA(MATCH(N77,'Dist Cust Factors'!$B$12:$B$457,0),0)</f>
        <v>0</v>
      </c>
      <c r="P77" s="79">
        <f t="shared" ref="P77" ca="1" si="8">P33+P55</f>
        <v>183.01169799675591</v>
      </c>
      <c r="R77" s="79">
        <f t="shared" ref="R77" ca="1" si="9">R33+R55</f>
        <v>43480.219752129226</v>
      </c>
      <c r="S77" s="79"/>
      <c r="T77" s="79">
        <f t="shared" ref="T77:V77" ca="1" si="10">T33+T55</f>
        <v>3302.0685857624276</v>
      </c>
      <c r="U77" s="79"/>
      <c r="V77" s="79">
        <f t="shared" ca="1" si="10"/>
        <v>0</v>
      </c>
      <c r="X77" s="112"/>
    </row>
    <row r="78" spans="2:35" x14ac:dyDescent="0.2">
      <c r="B78" s="18"/>
      <c r="C78" s="1"/>
      <c r="D78" s="1"/>
      <c r="X78" s="112"/>
    </row>
    <row r="79" spans="2:35" x14ac:dyDescent="0.2">
      <c r="B79" s="18">
        <f>B77+1</f>
        <v>48</v>
      </c>
      <c r="C79" s="1"/>
      <c r="D79" s="1" t="s">
        <v>395</v>
      </c>
      <c r="F79" s="41">
        <f ca="1">F75+F77</f>
        <v>46965.300035888409</v>
      </c>
      <c r="H79" s="41">
        <f>H75+H77</f>
        <v>0</v>
      </c>
      <c r="L79" s="41">
        <f ca="1">L75+L77</f>
        <v>46965.300035888409</v>
      </c>
      <c r="P79" s="41">
        <f ca="1">P75+P77</f>
        <v>183.01169799675591</v>
      </c>
      <c r="Q79" s="111"/>
      <c r="R79" s="41">
        <f ca="1">R75+R77</f>
        <v>43480.219752129226</v>
      </c>
      <c r="S79" s="50"/>
      <c r="T79" s="41">
        <f ca="1">T75+T77</f>
        <v>3302.0685857624276</v>
      </c>
      <c r="U79" s="50"/>
      <c r="V79" s="41">
        <f ca="1">V75+V77</f>
        <v>0</v>
      </c>
      <c r="X79" s="112"/>
    </row>
    <row r="80" spans="2:35" x14ac:dyDescent="0.2">
      <c r="B80" s="18"/>
      <c r="C80" s="1"/>
      <c r="D80" s="6"/>
      <c r="E80" s="77"/>
      <c r="F80" s="77"/>
      <c r="H80" s="77"/>
      <c r="L80" s="77"/>
      <c r="X80" s="112"/>
    </row>
    <row r="81" spans="2:24" x14ac:dyDescent="0.2">
      <c r="B81" s="18"/>
      <c r="C81" s="1"/>
      <c r="D81" s="1"/>
      <c r="X81" s="112"/>
    </row>
    <row r="82" spans="2:24" x14ac:dyDescent="0.2">
      <c r="B82" s="18"/>
      <c r="C82" s="1"/>
      <c r="D82" s="6" t="s">
        <v>36</v>
      </c>
      <c r="X82" s="112"/>
    </row>
    <row r="83" spans="2:24" x14ac:dyDescent="0.2">
      <c r="B83" s="18"/>
      <c r="C83" s="1"/>
      <c r="D83" s="1"/>
      <c r="X83" s="112"/>
    </row>
    <row r="84" spans="2:24" x14ac:dyDescent="0.2">
      <c r="B84" s="18">
        <f>B79+1</f>
        <v>49</v>
      </c>
      <c r="C84" s="1"/>
      <c r="D84" s="1" t="s">
        <v>41</v>
      </c>
      <c r="F84" s="50">
        <f ca="1">'Distribution Class'!AF84</f>
        <v>0</v>
      </c>
      <c r="H84" s="50"/>
      <c r="K84" s="73">
        <f>_xlfn.IFNA(MATCH(J84,'Dist Cust Factors'!$B$12:$B$453,0),0)</f>
        <v>0</v>
      </c>
      <c r="L84" s="50">
        <f t="shared" ref="L84:L88" ca="1" si="11">F84-H84</f>
        <v>0</v>
      </c>
      <c r="O84" s="73">
        <f>_xlfn.IFNA(MATCH(N84,'Dist Cust Factors'!$B$12:$B$457,0),0)</f>
        <v>0</v>
      </c>
      <c r="P84" s="79">
        <f ca="1">OFFSET('Dist Cust Factors'!$B$12,$O84-1,P$14)*$L84+OFFSET('Dist Cust Factors'!$B$12,$K84-1,P$14)*$H84</f>
        <v>0</v>
      </c>
      <c r="R84" s="79">
        <f ca="1">OFFSET('Dist Cust Factors'!$B$12,$O84-1,R$14)*$L84+OFFSET('Dist Cust Factors'!$B$12,$K84-1,R$14)*$H84</f>
        <v>0</v>
      </c>
      <c r="S84" s="79"/>
      <c r="T84" s="79">
        <f ca="1">OFFSET('Dist Cust Factors'!$B$12,$O84-1,T$14)*$L84+OFFSET('Dist Cust Factors'!$B$12,$K84-1,T$14)*$H84</f>
        <v>0</v>
      </c>
      <c r="U84" s="79"/>
      <c r="V84" s="79">
        <f ca="1">OFFSET('Dist Cust Factors'!$B$12,$O84-1,V$14)*$L84+OFFSET('Dist Cust Factors'!$B$12,$K84-1,V$14)*$H84</f>
        <v>0</v>
      </c>
      <c r="X84" s="112"/>
    </row>
    <row r="85" spans="2:24" x14ac:dyDescent="0.2">
      <c r="B85" s="18">
        <f>B84+1</f>
        <v>50</v>
      </c>
      <c r="C85" s="1"/>
      <c r="D85" s="1" t="s">
        <v>379</v>
      </c>
      <c r="F85" s="50">
        <f ca="1">'Distribution Class'!AF85</f>
        <v>0</v>
      </c>
      <c r="H85" s="50"/>
      <c r="K85" s="73">
        <f>_xlfn.IFNA(MATCH(J85,'Dist Cust Factors'!$B$12:$B$453,0),0)</f>
        <v>0</v>
      </c>
      <c r="L85" s="50">
        <f t="shared" ca="1" si="11"/>
        <v>0</v>
      </c>
      <c r="O85" s="73">
        <f>_xlfn.IFNA(MATCH(N85,'Dist Cust Factors'!$B$12:$B$457,0),0)</f>
        <v>0</v>
      </c>
      <c r="P85" s="79">
        <f ca="1">OFFSET('Dist Cust Factors'!$B$12,$O85-1,P$14)*$L85+OFFSET('Dist Cust Factors'!$B$12,$K85-1,P$14)*$H85</f>
        <v>0</v>
      </c>
      <c r="R85" s="79">
        <f ca="1">OFFSET('Dist Cust Factors'!$B$12,$O85-1,R$14)*$L85+OFFSET('Dist Cust Factors'!$B$12,$K85-1,R$14)*$H85</f>
        <v>0</v>
      </c>
      <c r="S85" s="79"/>
      <c r="T85" s="79">
        <f ca="1">OFFSET('Dist Cust Factors'!$B$12,$O85-1,T$14)*$L85+OFFSET('Dist Cust Factors'!$B$12,$K85-1,T$14)*$H85</f>
        <v>0</v>
      </c>
      <c r="U85" s="79"/>
      <c r="V85" s="79">
        <f ca="1">OFFSET('Dist Cust Factors'!$B$12,$O85-1,V$14)*$L85+OFFSET('Dist Cust Factors'!$B$12,$K85-1,V$14)*$H85</f>
        <v>0</v>
      </c>
      <c r="X85" s="112"/>
    </row>
    <row r="86" spans="2:24" x14ac:dyDescent="0.2">
      <c r="B86" s="18">
        <f t="shared" ref="B86:B89" si="12">B85+1</f>
        <v>51</v>
      </c>
      <c r="C86" s="1"/>
      <c r="D86" s="1" t="s">
        <v>42</v>
      </c>
      <c r="F86" s="50">
        <f ca="1">'Distribution Class'!AF86</f>
        <v>0</v>
      </c>
      <c r="H86" s="50"/>
      <c r="K86" s="73">
        <f>_xlfn.IFNA(MATCH(J86,'Dist Cust Factors'!$B$12:$B$453,0),0)</f>
        <v>0</v>
      </c>
      <c r="L86" s="50">
        <f t="shared" ca="1" si="11"/>
        <v>0</v>
      </c>
      <c r="O86" s="73">
        <f>_xlfn.IFNA(MATCH(N86,'Dist Cust Factors'!$B$12:$B$457,0),0)</f>
        <v>0</v>
      </c>
      <c r="P86" s="79">
        <f ca="1">OFFSET('Dist Cust Factors'!$B$12,$O86-1,P$14)*$L86+OFFSET('Dist Cust Factors'!$B$12,$K86-1,P$14)*$H86</f>
        <v>0</v>
      </c>
      <c r="R86" s="79">
        <f ca="1">OFFSET('Dist Cust Factors'!$B$12,$O86-1,R$14)*$L86+OFFSET('Dist Cust Factors'!$B$12,$K86-1,R$14)*$H86</f>
        <v>0</v>
      </c>
      <c r="S86" s="79"/>
      <c r="T86" s="79">
        <f ca="1">OFFSET('Dist Cust Factors'!$B$12,$O86-1,T$14)*$L86+OFFSET('Dist Cust Factors'!$B$12,$K86-1,T$14)*$H86</f>
        <v>0</v>
      </c>
      <c r="U86" s="79"/>
      <c r="V86" s="79">
        <f ca="1">OFFSET('Dist Cust Factors'!$B$12,$O86-1,V$14)*$L86+OFFSET('Dist Cust Factors'!$B$12,$K86-1,V$14)*$H86</f>
        <v>0</v>
      </c>
      <c r="X86" s="112"/>
    </row>
    <row r="87" spans="2:24" x14ac:dyDescent="0.2">
      <c r="B87" s="18">
        <f t="shared" si="12"/>
        <v>52</v>
      </c>
      <c r="C87" s="1"/>
      <c r="D87" s="1" t="s">
        <v>380</v>
      </c>
      <c r="F87" s="50">
        <f ca="1">'Distribution Class'!AF87</f>
        <v>0</v>
      </c>
      <c r="H87" s="50"/>
      <c r="K87" s="73">
        <f>_xlfn.IFNA(MATCH(J87,'Dist Cust Factors'!$B$12:$B$453,0),0)</f>
        <v>0</v>
      </c>
      <c r="L87" s="50">
        <f t="shared" ca="1" si="11"/>
        <v>0</v>
      </c>
      <c r="O87" s="73">
        <f>_xlfn.IFNA(MATCH(N87,'Dist Cust Factors'!$B$12:$B$457,0),0)</f>
        <v>0</v>
      </c>
      <c r="P87" s="79">
        <f ca="1">OFFSET('Dist Cust Factors'!$B$12,$O87-1,P$14)*$L87+OFFSET('Dist Cust Factors'!$B$12,$K87-1,P$14)*$H87</f>
        <v>0</v>
      </c>
      <c r="R87" s="79">
        <f ca="1">OFFSET('Dist Cust Factors'!$B$12,$O87-1,R$14)*$L87+OFFSET('Dist Cust Factors'!$B$12,$K87-1,R$14)*$H87</f>
        <v>0</v>
      </c>
      <c r="S87" s="79"/>
      <c r="T87" s="79">
        <f ca="1">OFFSET('Dist Cust Factors'!$B$12,$O87-1,T$14)*$L87+OFFSET('Dist Cust Factors'!$B$12,$K87-1,T$14)*$H87</f>
        <v>0</v>
      </c>
      <c r="U87" s="79"/>
      <c r="V87" s="79">
        <f ca="1">OFFSET('Dist Cust Factors'!$B$12,$O87-1,V$14)*$L87+OFFSET('Dist Cust Factors'!$B$12,$K87-1,V$14)*$H87</f>
        <v>0</v>
      </c>
      <c r="X87" s="112"/>
    </row>
    <row r="88" spans="2:24" x14ac:dyDescent="0.2">
      <c r="B88" s="18">
        <f t="shared" si="12"/>
        <v>53</v>
      </c>
      <c r="C88" s="1"/>
      <c r="D88" s="1" t="s">
        <v>381</v>
      </c>
      <c r="F88" s="50">
        <f ca="1">'Distribution Class'!AF88</f>
        <v>0</v>
      </c>
      <c r="H88" s="50"/>
      <c r="K88" s="73">
        <f>_xlfn.IFNA(MATCH(J88,'Dist Cust Factors'!$B$12:$B$453,0),0)</f>
        <v>0</v>
      </c>
      <c r="L88" s="50">
        <f t="shared" ca="1" si="11"/>
        <v>0</v>
      </c>
      <c r="O88" s="73">
        <f>_xlfn.IFNA(MATCH(N88,'Dist Cust Factors'!$B$12:$B$457,0),0)</f>
        <v>0</v>
      </c>
      <c r="P88" s="79">
        <f ca="1">OFFSET('Dist Cust Factors'!$B$12,$O88-1,P$14)*$L88+OFFSET('Dist Cust Factors'!$B$12,$K88-1,P$14)*$H88</f>
        <v>0</v>
      </c>
      <c r="R88" s="79">
        <f ca="1">OFFSET('Dist Cust Factors'!$B$12,$O88-1,R$14)*$L88+OFFSET('Dist Cust Factors'!$B$12,$K88-1,R$14)*$H88</f>
        <v>0</v>
      </c>
      <c r="S88" s="79"/>
      <c r="T88" s="79">
        <f ca="1">OFFSET('Dist Cust Factors'!$B$12,$O88-1,T$14)*$L88+OFFSET('Dist Cust Factors'!$B$12,$K88-1,T$14)*$H88</f>
        <v>0</v>
      </c>
      <c r="U88" s="79"/>
      <c r="V88" s="79">
        <f ca="1">OFFSET('Dist Cust Factors'!$B$12,$O88-1,V$14)*$L88+OFFSET('Dist Cust Factors'!$B$12,$K88-1,V$14)*$H88</f>
        <v>0</v>
      </c>
      <c r="X88" s="112"/>
    </row>
    <row r="89" spans="2:24" x14ac:dyDescent="0.2">
      <c r="B89" s="18">
        <f t="shared" si="12"/>
        <v>54</v>
      </c>
      <c r="C89" s="1"/>
      <c r="D89" s="1" t="s">
        <v>396</v>
      </c>
      <c r="F89" s="41">
        <f ca="1">SUM(F82:F88)</f>
        <v>0</v>
      </c>
      <c r="H89" s="41">
        <f>SUM(H82:H88)</f>
        <v>0</v>
      </c>
      <c r="L89" s="41">
        <f ca="1">SUM(L82:L88)</f>
        <v>0</v>
      </c>
      <c r="P89" s="81">
        <f ca="1">SUM(P82:P88)</f>
        <v>0</v>
      </c>
      <c r="Q89" s="38"/>
      <c r="R89" s="81">
        <f ca="1">SUM(R82:R88)</f>
        <v>0</v>
      </c>
      <c r="S89" s="38"/>
      <c r="T89" s="81">
        <f ca="1">SUM(T82:T88)</f>
        <v>0</v>
      </c>
      <c r="U89" s="38"/>
      <c r="V89" s="81">
        <f ca="1">SUM(V82:V88)</f>
        <v>0</v>
      </c>
      <c r="X89" s="112"/>
    </row>
    <row r="90" spans="2:24" x14ac:dyDescent="0.2">
      <c r="B90" s="18"/>
      <c r="C90" s="1"/>
      <c r="D90" s="1"/>
      <c r="X90" s="112"/>
    </row>
    <row r="91" spans="2:24" x14ac:dyDescent="0.2">
      <c r="B91" s="18"/>
      <c r="C91" s="1"/>
      <c r="D91" s="1"/>
      <c r="X91" s="112"/>
    </row>
    <row r="92" spans="2:24" x14ac:dyDescent="0.2">
      <c r="B92" s="18">
        <f>B89+1</f>
        <v>55</v>
      </c>
      <c r="C92" s="1"/>
      <c r="D92" s="1" t="s">
        <v>397</v>
      </c>
      <c r="F92" s="41">
        <f ca="1">F79+F89</f>
        <v>46965.300035888409</v>
      </c>
      <c r="H92" s="41">
        <f>H79+H89</f>
        <v>0</v>
      </c>
      <c r="L92" s="41">
        <f ca="1">L79+L89</f>
        <v>46965.300035888409</v>
      </c>
      <c r="P92" s="41">
        <f ca="1">P79+P89</f>
        <v>183.01169799675591</v>
      </c>
      <c r="Q92" s="111"/>
      <c r="R92" s="41">
        <f ca="1">R79+R89</f>
        <v>43480.219752129226</v>
      </c>
      <c r="S92" s="50"/>
      <c r="T92" s="41">
        <f ca="1">T79+T89</f>
        <v>3302.0685857624276</v>
      </c>
      <c r="U92" s="50"/>
      <c r="V92" s="41">
        <f ca="1">V79+V89</f>
        <v>0</v>
      </c>
      <c r="X92" s="112"/>
    </row>
    <row r="93" spans="2:24" x14ac:dyDescent="0.2">
      <c r="X93" s="112"/>
    </row>
    <row r="94" spans="2:24" x14ac:dyDescent="0.2">
      <c r="X94" s="112"/>
    </row>
    <row r="95" spans="2:24" x14ac:dyDescent="0.2">
      <c r="B95" s="18">
        <f>B92+1</f>
        <v>56</v>
      </c>
      <c r="C95" s="1"/>
      <c r="D95" s="1" t="s">
        <v>38</v>
      </c>
      <c r="F95" s="87">
        <f>Function!$F$95</f>
        <v>6.0821321807016528E-2</v>
      </c>
      <c r="H95" s="87">
        <v>6.0821321807016528E-2</v>
      </c>
      <c r="L95" s="87">
        <v>6.0821321807016528E-2</v>
      </c>
      <c r="P95" s="89">
        <f>$F$95</f>
        <v>6.0821321807016528E-2</v>
      </c>
      <c r="R95" s="89">
        <f>$F$95</f>
        <v>6.0821321807016528E-2</v>
      </c>
      <c r="T95" s="89">
        <f>$F$95</f>
        <v>6.0821321807016528E-2</v>
      </c>
      <c r="V95" s="89">
        <f>$F$95</f>
        <v>6.0821321807016528E-2</v>
      </c>
      <c r="X95" s="112"/>
    </row>
    <row r="96" spans="2:24" x14ac:dyDescent="0.2">
      <c r="B96" s="18"/>
      <c r="C96" s="1"/>
      <c r="D96" s="1"/>
      <c r="X96" s="112"/>
    </row>
    <row r="97" spans="2:35" x14ac:dyDescent="0.2">
      <c r="B97" s="18">
        <f>B95+1</f>
        <v>57</v>
      </c>
      <c r="C97" s="1"/>
      <c r="D97" s="1" t="s">
        <v>398</v>
      </c>
      <c r="F97" s="41">
        <f ca="1">F92*F95</f>
        <v>2856.491627245854</v>
      </c>
      <c r="H97" s="41">
        <f>H92*H95</f>
        <v>0</v>
      </c>
      <c r="L97" s="41">
        <f ca="1">L92*L95</f>
        <v>2856.491627245854</v>
      </c>
      <c r="P97" s="41">
        <f ca="1">P92*P95</f>
        <v>11.131013378309213</v>
      </c>
      <c r="R97" s="41">
        <f ca="1">R92*R95</f>
        <v>2644.5244377840481</v>
      </c>
      <c r="S97" s="79"/>
      <c r="T97" s="41">
        <f ca="1">T92*T95</f>
        <v>200.83617608349655</v>
      </c>
      <c r="U97" s="79"/>
      <c r="V97" s="41">
        <f ca="1">V92*V95</f>
        <v>0</v>
      </c>
      <c r="X97" s="112"/>
    </row>
    <row r="98" spans="2:35" x14ac:dyDescent="0.2">
      <c r="B98" s="18"/>
      <c r="C98" s="1"/>
      <c r="D98" s="1"/>
      <c r="F98" s="50"/>
      <c r="H98" s="50"/>
      <c r="L98" s="50"/>
      <c r="X98" s="112"/>
    </row>
    <row r="99" spans="2:35" x14ac:dyDescent="0.2">
      <c r="B99" s="18"/>
      <c r="C99" s="1"/>
      <c r="D99" s="1"/>
      <c r="F99" s="50"/>
      <c r="H99" s="50"/>
      <c r="L99" s="50"/>
      <c r="X99" s="112"/>
    </row>
    <row r="100" spans="2:35" x14ac:dyDescent="0.2">
      <c r="B100" s="18"/>
      <c r="C100" s="1"/>
      <c r="D100" s="6" t="s">
        <v>70</v>
      </c>
      <c r="X100" s="112"/>
    </row>
    <row r="101" spans="2:35" x14ac:dyDescent="0.2">
      <c r="B101" s="18"/>
      <c r="C101" s="1"/>
      <c r="D101" s="1"/>
      <c r="X101" s="112"/>
    </row>
    <row r="102" spans="2:35" x14ac:dyDescent="0.2">
      <c r="B102" s="18">
        <f>B97+1</f>
        <v>58</v>
      </c>
      <c r="C102" s="1"/>
      <c r="D102" s="1" t="s">
        <v>195</v>
      </c>
      <c r="F102" s="50">
        <f ca="1">'Distribution Class'!AF102</f>
        <v>0</v>
      </c>
      <c r="H102" s="50"/>
      <c r="K102" s="73">
        <f>_xlfn.IFNA(MATCH(J102,'Dist Cust Factors'!$B$12:$B$453,0),0)</f>
        <v>0</v>
      </c>
      <c r="L102" s="50">
        <f t="shared" ref="L102:L103" ca="1" si="13">F102-H102</f>
        <v>0</v>
      </c>
      <c r="O102" s="73">
        <f>_xlfn.IFNA(MATCH(N102,'Dist Cust Factors'!$B$12:$B$457,0),0)</f>
        <v>0</v>
      </c>
      <c r="P102" s="79">
        <f ca="1">OFFSET('Dist Cust Factors'!$B$12,$O102-1,P$14)*$L102+OFFSET('Dist Cust Factors'!$B$12,$K102-1,P$14)*$H102</f>
        <v>0</v>
      </c>
      <c r="R102" s="79">
        <f ca="1">OFFSET('Dist Cust Factors'!$B$12,$O102-1,R$14)*$L102+OFFSET('Dist Cust Factors'!$B$12,$K102-1,R$14)*$H102</f>
        <v>0</v>
      </c>
      <c r="S102" s="79"/>
      <c r="T102" s="79">
        <f ca="1">OFFSET('Dist Cust Factors'!$B$12,$O102-1,T$14)*$L102+OFFSET('Dist Cust Factors'!$B$12,$K102-1,T$14)*$H102</f>
        <v>0</v>
      </c>
      <c r="U102" s="79"/>
      <c r="V102" s="79">
        <f ca="1">OFFSET('Dist Cust Factors'!$B$12,$O102-1,V$14)*$L102+OFFSET('Dist Cust Factors'!$B$12,$K102-1,V$14)*$H102</f>
        <v>0</v>
      </c>
      <c r="X102" s="112"/>
    </row>
    <row r="103" spans="2:35" x14ac:dyDescent="0.2">
      <c r="B103" s="18">
        <f>B102+1</f>
        <v>59</v>
      </c>
      <c r="C103" s="1"/>
      <c r="D103" s="1" t="s">
        <v>196</v>
      </c>
      <c r="F103" s="50">
        <f ca="1">'Distribution Class'!AF103</f>
        <v>6530.6259932720395</v>
      </c>
      <c r="H103" s="50"/>
      <c r="K103" s="73">
        <f>_xlfn.IFNA(MATCH(J103,'Dist Cust Factors'!$B$12:$B$453,0),0)</f>
        <v>0</v>
      </c>
      <c r="L103" s="50">
        <f t="shared" ca="1" si="13"/>
        <v>6530.6259932720395</v>
      </c>
      <c r="N103" s="2" t="s">
        <v>458</v>
      </c>
      <c r="O103" s="73">
        <f>_xlfn.IFNA(MATCH(N103,'Dist Cust Factors'!$B$12:$B$457,0),0)</f>
        <v>11</v>
      </c>
      <c r="P103" s="79">
        <f ca="1">OFFSET('Dist Cust Factors'!$B$12,$O103-1,P$14)*$L103+OFFSET('Dist Cust Factors'!$B$12,$K103-1,P$14)*$H103</f>
        <v>23.449589256779852</v>
      </c>
      <c r="R103" s="79">
        <f ca="1">OFFSET('Dist Cust Factors'!$B$12,$O103-1,R$14)*$L103+OFFSET('Dist Cust Factors'!$B$12,$K103-1,R$14)*$H103</f>
        <v>5957.7926756479828</v>
      </c>
      <c r="S103" s="79"/>
      <c r="T103" s="79">
        <f ca="1">OFFSET('Dist Cust Factors'!$B$12,$O103-1,T$14)*$L103+OFFSET('Dist Cust Factors'!$B$12,$K103-1,T$14)*$H103</f>
        <v>549.38372836727672</v>
      </c>
      <c r="U103" s="79"/>
      <c r="V103" s="79">
        <f ca="1">OFFSET('Dist Cust Factors'!$B$12,$O103-1,V$14)*$L103+OFFSET('Dist Cust Factors'!$B$12,$K103-1,V$14)*$H103</f>
        <v>0</v>
      </c>
      <c r="X103" s="112"/>
    </row>
    <row r="104" spans="2:35" x14ac:dyDescent="0.2">
      <c r="B104" s="18">
        <f>B103+1</f>
        <v>60</v>
      </c>
      <c r="C104" s="1"/>
      <c r="D104" s="1" t="s">
        <v>197</v>
      </c>
      <c r="F104" s="41">
        <f ca="1">F102+F103</f>
        <v>6530.6259932720395</v>
      </c>
      <c r="H104" s="41">
        <f>H102+H103</f>
        <v>0</v>
      </c>
      <c r="L104" s="41">
        <f ca="1">L102+L103</f>
        <v>6530.6259932720395</v>
      </c>
      <c r="P104" s="41">
        <f ca="1">P102+P103</f>
        <v>23.449589256779852</v>
      </c>
      <c r="R104" s="41">
        <f ca="1">R102+R103</f>
        <v>5957.7926756479828</v>
      </c>
      <c r="T104" s="41">
        <f ca="1">T102+T103</f>
        <v>549.38372836727672</v>
      </c>
      <c r="V104" s="41">
        <f ca="1">V102+V103</f>
        <v>0</v>
      </c>
      <c r="X104" s="112"/>
    </row>
    <row r="105" spans="2:35" x14ac:dyDescent="0.2">
      <c r="B105" s="18"/>
      <c r="C105" s="1"/>
      <c r="D105" s="1"/>
      <c r="X105" s="112"/>
    </row>
    <row r="106" spans="2:35" x14ac:dyDescent="0.2">
      <c r="B106" s="18"/>
      <c r="C106" s="1"/>
      <c r="D106" s="6" t="s">
        <v>69</v>
      </c>
      <c r="F106" s="50"/>
      <c r="H106" s="50"/>
      <c r="L106" s="50"/>
      <c r="X106" s="112"/>
    </row>
    <row r="107" spans="2:35" x14ac:dyDescent="0.2">
      <c r="B107" s="18"/>
      <c r="C107" s="1"/>
      <c r="D107" s="1"/>
      <c r="F107" s="50"/>
      <c r="H107" s="50"/>
      <c r="L107" s="50"/>
      <c r="X107" s="112"/>
    </row>
    <row r="108" spans="2:35" x14ac:dyDescent="0.2">
      <c r="B108" s="18">
        <f>B104+1</f>
        <v>61</v>
      </c>
      <c r="C108" s="1"/>
      <c r="D108" s="1" t="s">
        <v>39</v>
      </c>
      <c r="F108" s="50">
        <f ca="1">'Distribution Class'!AF108</f>
        <v>368.62181960781515</v>
      </c>
      <c r="H108" s="50"/>
      <c r="K108" s="73">
        <f>_xlfn.IFNA(MATCH(J108,'Dist Cust Factors'!$B$12:$B$453,0),0)</f>
        <v>0</v>
      </c>
      <c r="L108" s="50">
        <f t="shared" ref="L108:L109" ca="1" si="14">F108-H108</f>
        <v>368.62181960781515</v>
      </c>
      <c r="N108" s="2" t="s">
        <v>311</v>
      </c>
      <c r="O108" s="73">
        <f>_xlfn.IFNA(MATCH(N108,'Dist Cust Factors'!$B$12:$B$457,0),0)</f>
        <v>17</v>
      </c>
      <c r="P108" s="79">
        <f ca="1">OFFSET('Dist Cust Factors'!$B$12,$O108-1,P$14)*$L108+OFFSET('Dist Cust Factors'!$B$12,$K108-1,P$14)*$H108</f>
        <v>1.4364244468475473</v>
      </c>
      <c r="R108" s="79">
        <f ca="1">OFFSET('Dist Cust Factors'!$B$12,$O108-1,R$14)*$L108+OFFSET('Dist Cust Factors'!$B$12,$K108-1,R$14)*$H108</f>
        <v>341.2680789802252</v>
      </c>
      <c r="S108" s="79"/>
      <c r="T108" s="79">
        <f ca="1">OFFSET('Dist Cust Factors'!$B$12,$O108-1,T$14)*$L108+OFFSET('Dist Cust Factors'!$B$12,$K108-1,T$14)*$H108</f>
        <v>25.917316180742372</v>
      </c>
      <c r="U108" s="79"/>
      <c r="V108" s="79">
        <f ca="1">OFFSET('Dist Cust Factors'!$B$12,$O108-1,V$14)*$L108+OFFSET('Dist Cust Factors'!$B$12,$K108-1,V$14)*$H108</f>
        <v>0</v>
      </c>
      <c r="X108" s="112"/>
    </row>
    <row r="109" spans="2:35" x14ac:dyDescent="0.2">
      <c r="B109" s="18">
        <f>B108+1</f>
        <v>62</v>
      </c>
      <c r="C109" s="1"/>
      <c r="D109" s="1" t="s">
        <v>40</v>
      </c>
      <c r="F109" s="50">
        <f ca="1">'Distribution Class'!AF109</f>
        <v>0</v>
      </c>
      <c r="H109" s="50"/>
      <c r="K109" s="73">
        <f>_xlfn.IFNA(MATCH(J109,'Dist Cust Factors'!$B$12:$B$453,0),0)</f>
        <v>0</v>
      </c>
      <c r="L109" s="50">
        <f t="shared" ca="1" si="14"/>
        <v>0</v>
      </c>
      <c r="O109" s="73">
        <f>_xlfn.IFNA(MATCH(N109,'Dist Cust Factors'!$B$12:$B$457,0),0)</f>
        <v>0</v>
      </c>
      <c r="P109" s="79">
        <f ca="1">OFFSET('Dist Cust Factors'!$B$12,$O109-1,P$14)*$L109+OFFSET('Dist Cust Factors'!$B$12,$K109-1,P$14)*$H109</f>
        <v>0</v>
      </c>
      <c r="R109" s="79">
        <f ca="1">OFFSET('Dist Cust Factors'!$B$12,$O109-1,R$14)*$L109+OFFSET('Dist Cust Factors'!$B$12,$K109-1,R$14)*$H109</f>
        <v>0</v>
      </c>
      <c r="S109" s="79"/>
      <c r="T109" s="79">
        <f ca="1">OFFSET('Dist Cust Factors'!$B$12,$O109-1,T$14)*$L109+OFFSET('Dist Cust Factors'!$B$12,$K109-1,T$14)*$H109</f>
        <v>0</v>
      </c>
      <c r="U109" s="79"/>
      <c r="V109" s="79">
        <f ca="1">OFFSET('Dist Cust Factors'!$B$12,$O109-1,V$14)*$L109+OFFSET('Dist Cust Factors'!$B$12,$K109-1,V$14)*$H109</f>
        <v>0</v>
      </c>
      <c r="X109" s="112"/>
    </row>
    <row r="110" spans="2:35" x14ac:dyDescent="0.2">
      <c r="B110" s="18">
        <f>B109+1</f>
        <v>63</v>
      </c>
      <c r="C110" s="1"/>
      <c r="D110" s="1" t="s">
        <v>294</v>
      </c>
      <c r="F110" s="41">
        <f ca="1">F108+F109</f>
        <v>368.62181960781515</v>
      </c>
      <c r="H110" s="41">
        <f>H108+H109</f>
        <v>0</v>
      </c>
      <c r="L110" s="41">
        <f ca="1">L108+L109</f>
        <v>368.62181960781515</v>
      </c>
      <c r="P110" s="41">
        <f ca="1">P108+P109</f>
        <v>1.4364244468475473</v>
      </c>
      <c r="R110" s="41">
        <f ca="1">R108+R109</f>
        <v>341.2680789802252</v>
      </c>
      <c r="T110" s="41">
        <f ca="1">T108+T109</f>
        <v>25.917316180742372</v>
      </c>
      <c r="V110" s="41">
        <f ca="1">V108+V109</f>
        <v>0</v>
      </c>
      <c r="X110" s="112"/>
    </row>
    <row r="111" spans="2:35" x14ac:dyDescent="0.2">
      <c r="B111" s="18"/>
      <c r="C111" s="1"/>
      <c r="D111" s="1"/>
      <c r="X111" s="112"/>
    </row>
    <row r="112" spans="2:35" x14ac:dyDescent="0.2">
      <c r="B112" s="18"/>
      <c r="C112" s="1"/>
      <c r="D112" s="1"/>
      <c r="X112" s="112"/>
      <c r="AC112" s="2"/>
      <c r="AE112" s="2"/>
      <c r="AG112" s="2"/>
      <c r="AI112" s="2"/>
    </row>
    <row r="113" spans="2:36" x14ac:dyDescent="0.2">
      <c r="B113" s="18"/>
      <c r="C113" s="1"/>
      <c r="D113" s="6" t="s">
        <v>74</v>
      </c>
      <c r="X113" s="112"/>
      <c r="Z113" s="2" t="s">
        <v>181</v>
      </c>
      <c r="AA113" s="2" t="s">
        <v>189</v>
      </c>
      <c r="AC113" s="2" t="s">
        <v>281</v>
      </c>
      <c r="AD113" s="2"/>
      <c r="AE113" s="2" t="s">
        <v>255</v>
      </c>
      <c r="AF113" s="2"/>
      <c r="AG113" s="2" t="s">
        <v>256</v>
      </c>
      <c r="AH113" s="2"/>
      <c r="AI113" s="2" t="s">
        <v>323</v>
      </c>
      <c r="AJ113" s="2"/>
    </row>
    <row r="114" spans="2:36" x14ac:dyDescent="0.2">
      <c r="B114" s="18"/>
      <c r="C114" s="1"/>
      <c r="D114" s="1"/>
      <c r="X114" s="112"/>
      <c r="Z114" s="33" t="s">
        <v>187</v>
      </c>
      <c r="AA114" s="33" t="s">
        <v>188</v>
      </c>
      <c r="AC114" s="33" t="s">
        <v>282</v>
      </c>
      <c r="AD114" s="2"/>
      <c r="AE114" s="33" t="s">
        <v>312</v>
      </c>
      <c r="AF114" s="2"/>
      <c r="AG114" s="33" t="s">
        <v>312</v>
      </c>
      <c r="AH114" s="2"/>
      <c r="AI114" s="33" t="s">
        <v>312</v>
      </c>
      <c r="AJ114" s="2"/>
    </row>
    <row r="115" spans="2:36" x14ac:dyDescent="0.2">
      <c r="B115" s="18"/>
      <c r="C115" s="1"/>
      <c r="D115" s="1" t="s">
        <v>7</v>
      </c>
      <c r="X115" s="112"/>
    </row>
    <row r="116" spans="2:36" x14ac:dyDescent="0.2">
      <c r="B116" s="18">
        <f>B110+1</f>
        <v>64</v>
      </c>
      <c r="C116" s="1"/>
      <c r="D116" s="36" t="s">
        <v>309</v>
      </c>
      <c r="F116" s="50">
        <f ca="1">'Distribution Class'!AF116</f>
        <v>0</v>
      </c>
      <c r="H116" s="79"/>
      <c r="K116" s="73">
        <f>_xlfn.IFNA(MATCH(J116,'Dist Cust Factors'!$B$12:$B$453,0),0)</f>
        <v>0</v>
      </c>
      <c r="L116" s="50">
        <f t="shared" ref="L116:L122" ca="1" si="15">F116-H116</f>
        <v>0</v>
      </c>
      <c r="O116" s="73">
        <f>_xlfn.IFNA(MATCH(N116,'Dist Cust Factors'!$B$12:$B$457,0),0)</f>
        <v>0</v>
      </c>
      <c r="P116" s="79">
        <f ca="1">OFFSET('Dist Cust Factors'!$B$12,$O116-1,P$14)*$L116+OFFSET('Dist Cust Factors'!$B$12,$K116-1,P$14)*$H116</f>
        <v>0</v>
      </c>
      <c r="R116" s="79">
        <f ca="1">OFFSET('Dist Cust Factors'!$B$12,$O116-1,R$14)*$L116+OFFSET('Dist Cust Factors'!$B$12,$K116-1,R$14)*$H116</f>
        <v>0</v>
      </c>
      <c r="S116" s="79"/>
      <c r="T116" s="79">
        <f ca="1">OFFSET('Dist Cust Factors'!$B$12,$O116-1,T$14)*$L116+OFFSET('Dist Cust Factors'!$B$12,$K116-1,T$14)*$H116</f>
        <v>0</v>
      </c>
      <c r="U116" s="79"/>
      <c r="V116" s="79">
        <f ca="1">OFFSET('Dist Cust Factors'!$B$12,$O116-1,V$14)*$L116+OFFSET('Dist Cust Factors'!$B$12,$K116-1,V$14)*$H116</f>
        <v>0</v>
      </c>
      <c r="X116" s="112"/>
      <c r="Z116" s="93">
        <f ca="1">'Distribution Class'!BH116</f>
        <v>0</v>
      </c>
      <c r="AA116" s="100">
        <f t="shared" ref="AA116:AA122" ca="1" si="16">IFERROR(Z116/F116,0)</f>
        <v>0</v>
      </c>
      <c r="AC116" s="50">
        <f t="shared" ref="AC116:AC160" ca="1" si="17">$AA116*P116</f>
        <v>0</v>
      </c>
      <c r="AE116" s="50">
        <f t="shared" ref="AE116:AE160" ca="1" si="18">$AA116*R116</f>
        <v>0</v>
      </c>
      <c r="AG116" s="50">
        <f t="shared" ref="AG116:AG159" ca="1" si="19">$AA116*T116</f>
        <v>0</v>
      </c>
      <c r="AI116" s="50">
        <f t="shared" ref="AI116:AI160" ca="1" si="20">$AA116*V116</f>
        <v>0</v>
      </c>
    </row>
    <row r="117" spans="2:36" x14ac:dyDescent="0.2">
      <c r="B117" s="18">
        <f t="shared" ref="B117:B122" si="21">B116+1</f>
        <v>65</v>
      </c>
      <c r="C117" s="1"/>
      <c r="D117" s="36" t="s">
        <v>105</v>
      </c>
      <c r="F117" s="50">
        <f ca="1">'Distribution Class'!AF117</f>
        <v>0</v>
      </c>
      <c r="H117" s="79"/>
      <c r="K117" s="73">
        <f>_xlfn.IFNA(MATCH(J117,'Dist Cust Factors'!$B$12:$B$453,0),0)</f>
        <v>0</v>
      </c>
      <c r="L117" s="50">
        <f t="shared" ca="1" si="15"/>
        <v>0</v>
      </c>
      <c r="O117" s="73">
        <f>_xlfn.IFNA(MATCH(N117,'Dist Cust Factors'!$B$12:$B$457,0),0)</f>
        <v>0</v>
      </c>
      <c r="P117" s="79">
        <f ca="1">OFFSET('Dist Cust Factors'!$B$12,$O117-1,P$14)*$L117+OFFSET('Dist Cust Factors'!$B$12,$K117-1,P$14)*$H117</f>
        <v>0</v>
      </c>
      <c r="R117" s="79">
        <f ca="1">OFFSET('Dist Cust Factors'!$B$12,$O117-1,R$14)*$L117+OFFSET('Dist Cust Factors'!$B$12,$K117-1,R$14)*$H117</f>
        <v>0</v>
      </c>
      <c r="S117" s="79"/>
      <c r="T117" s="79">
        <f ca="1">OFFSET('Dist Cust Factors'!$B$12,$O117-1,T$14)*$L117+OFFSET('Dist Cust Factors'!$B$12,$K117-1,T$14)*$H117</f>
        <v>0</v>
      </c>
      <c r="U117" s="79"/>
      <c r="V117" s="79">
        <f ca="1">OFFSET('Dist Cust Factors'!$B$12,$O117-1,V$14)*$L117+OFFSET('Dist Cust Factors'!$B$12,$K117-1,V$14)*$H117</f>
        <v>0</v>
      </c>
      <c r="X117" s="112"/>
      <c r="Z117" s="93">
        <f ca="1">'Distribution Class'!BH117</f>
        <v>0</v>
      </c>
      <c r="AA117" s="100">
        <f t="shared" ca="1" si="16"/>
        <v>0</v>
      </c>
      <c r="AC117" s="50">
        <f t="shared" ca="1" si="17"/>
        <v>0</v>
      </c>
      <c r="AE117" s="50">
        <f t="shared" ca="1" si="18"/>
        <v>0</v>
      </c>
      <c r="AG117" s="50">
        <f t="shared" ca="1" si="19"/>
        <v>0</v>
      </c>
      <c r="AI117" s="50">
        <f t="shared" ca="1" si="20"/>
        <v>0</v>
      </c>
    </row>
    <row r="118" spans="2:36" x14ac:dyDescent="0.2">
      <c r="B118" s="18">
        <f t="shared" si="21"/>
        <v>66</v>
      </c>
      <c r="C118" s="1"/>
      <c r="D118" s="36" t="s">
        <v>106</v>
      </c>
      <c r="F118" s="50">
        <f ca="1">'Distribution Class'!AF118</f>
        <v>0</v>
      </c>
      <c r="H118" s="79"/>
      <c r="K118" s="73">
        <f>_xlfn.IFNA(MATCH(J118,'Dist Cust Factors'!$B$12:$B$453,0),0)</f>
        <v>0</v>
      </c>
      <c r="L118" s="50">
        <f t="shared" ca="1" si="15"/>
        <v>0</v>
      </c>
      <c r="O118" s="73">
        <f>_xlfn.IFNA(MATCH(N118,'Dist Cust Factors'!$B$12:$B$457,0),0)</f>
        <v>0</v>
      </c>
      <c r="P118" s="79">
        <f ca="1">OFFSET('Dist Cust Factors'!$B$12,$O118-1,P$14)*$L118+OFFSET('Dist Cust Factors'!$B$12,$K118-1,P$14)*$H118</f>
        <v>0</v>
      </c>
      <c r="R118" s="79">
        <f ca="1">OFFSET('Dist Cust Factors'!$B$12,$O118-1,R$14)*$L118+OFFSET('Dist Cust Factors'!$B$12,$K118-1,R$14)*$H118</f>
        <v>0</v>
      </c>
      <c r="S118" s="79"/>
      <c r="T118" s="79">
        <f ca="1">OFFSET('Dist Cust Factors'!$B$12,$O118-1,T$14)*$L118+OFFSET('Dist Cust Factors'!$B$12,$K118-1,T$14)*$H118</f>
        <v>0</v>
      </c>
      <c r="U118" s="79"/>
      <c r="V118" s="79">
        <f ca="1">OFFSET('Dist Cust Factors'!$B$12,$O118-1,V$14)*$L118+OFFSET('Dist Cust Factors'!$B$12,$K118-1,V$14)*$H118</f>
        <v>0</v>
      </c>
      <c r="X118" s="112"/>
      <c r="Z118" s="93">
        <f ca="1">'Distribution Class'!BH118</f>
        <v>0</v>
      </c>
      <c r="AA118" s="100">
        <f t="shared" ca="1" si="16"/>
        <v>0</v>
      </c>
      <c r="AC118" s="50">
        <f t="shared" ca="1" si="17"/>
        <v>0</v>
      </c>
      <c r="AE118" s="50">
        <f t="shared" ca="1" si="18"/>
        <v>0</v>
      </c>
      <c r="AG118" s="50">
        <f t="shared" ca="1" si="19"/>
        <v>0</v>
      </c>
      <c r="AI118" s="50">
        <f t="shared" ca="1" si="20"/>
        <v>0</v>
      </c>
    </row>
    <row r="119" spans="2:36" x14ac:dyDescent="0.2">
      <c r="B119" s="18">
        <f t="shared" si="21"/>
        <v>67</v>
      </c>
      <c r="C119" s="1"/>
      <c r="D119" s="36" t="s">
        <v>224</v>
      </c>
      <c r="F119" s="50">
        <f ca="1">'Distribution Class'!AF119</f>
        <v>0</v>
      </c>
      <c r="H119" s="79"/>
      <c r="K119" s="73">
        <f>_xlfn.IFNA(MATCH(J119,'Dist Cust Factors'!$B$12:$B$453,0),0)</f>
        <v>0</v>
      </c>
      <c r="L119" s="50">
        <f t="shared" ca="1" si="15"/>
        <v>0</v>
      </c>
      <c r="O119" s="73">
        <f>_xlfn.IFNA(MATCH(N119,'Dist Cust Factors'!$B$12:$B$457,0),0)</f>
        <v>0</v>
      </c>
      <c r="P119" s="79">
        <f ca="1">OFFSET('Dist Cust Factors'!$B$12,$O119-1,P$14)*$L119+OFFSET('Dist Cust Factors'!$B$12,$K119-1,P$14)*$H119</f>
        <v>0</v>
      </c>
      <c r="R119" s="79">
        <f ca="1">OFFSET('Dist Cust Factors'!$B$12,$O119-1,R$14)*$L119+OFFSET('Dist Cust Factors'!$B$12,$K119-1,R$14)*$H119</f>
        <v>0</v>
      </c>
      <c r="S119" s="79"/>
      <c r="T119" s="79">
        <f ca="1">OFFSET('Dist Cust Factors'!$B$12,$O119-1,T$14)*$L119+OFFSET('Dist Cust Factors'!$B$12,$K119-1,T$14)*$H119</f>
        <v>0</v>
      </c>
      <c r="U119" s="79"/>
      <c r="V119" s="79">
        <f ca="1">OFFSET('Dist Cust Factors'!$B$12,$O119-1,V$14)*$L119+OFFSET('Dist Cust Factors'!$B$12,$K119-1,V$14)*$H119</f>
        <v>0</v>
      </c>
      <c r="X119" s="112"/>
      <c r="Z119" s="93">
        <f ca="1">'Distribution Class'!BH119</f>
        <v>0</v>
      </c>
      <c r="AA119" s="100">
        <f t="shared" ca="1" si="16"/>
        <v>0</v>
      </c>
      <c r="AC119" s="50">
        <f t="shared" ca="1" si="17"/>
        <v>0</v>
      </c>
      <c r="AE119" s="50">
        <f t="shared" ca="1" si="18"/>
        <v>0</v>
      </c>
      <c r="AG119" s="50">
        <f t="shared" ca="1" si="19"/>
        <v>0</v>
      </c>
      <c r="AI119" s="50">
        <f t="shared" ca="1" si="20"/>
        <v>0</v>
      </c>
    </row>
    <row r="120" spans="2:36" x14ac:dyDescent="0.2">
      <c r="B120" s="18">
        <f t="shared" si="21"/>
        <v>68</v>
      </c>
      <c r="C120" s="1"/>
      <c r="D120" s="36" t="s">
        <v>337</v>
      </c>
      <c r="F120" s="50">
        <f ca="1">'Distribution Class'!AF120</f>
        <v>0</v>
      </c>
      <c r="H120" s="79"/>
      <c r="K120" s="73">
        <f>_xlfn.IFNA(MATCH(J120,'Dist Cust Factors'!$B$12:$B$453,0),0)</f>
        <v>0</v>
      </c>
      <c r="L120" s="50">
        <f t="shared" ca="1" si="15"/>
        <v>0</v>
      </c>
      <c r="O120" s="73">
        <f>_xlfn.IFNA(MATCH(N120,'Dist Cust Factors'!$B$12:$B$457,0),0)</f>
        <v>0</v>
      </c>
      <c r="P120" s="79">
        <f ca="1">OFFSET('Dist Cust Factors'!$B$12,$O120-1,P$14)*$L120+OFFSET('Dist Cust Factors'!$B$12,$K120-1,P$14)*$H120</f>
        <v>0</v>
      </c>
      <c r="R120" s="79">
        <f ca="1">OFFSET('Dist Cust Factors'!$B$12,$O120-1,R$14)*$L120+OFFSET('Dist Cust Factors'!$B$12,$K120-1,R$14)*$H120</f>
        <v>0</v>
      </c>
      <c r="S120" s="79"/>
      <c r="T120" s="79">
        <f ca="1">OFFSET('Dist Cust Factors'!$B$12,$O120-1,T$14)*$L120+OFFSET('Dist Cust Factors'!$B$12,$K120-1,T$14)*$H120</f>
        <v>0</v>
      </c>
      <c r="U120" s="79"/>
      <c r="V120" s="79">
        <f ca="1">OFFSET('Dist Cust Factors'!$B$12,$O120-1,V$14)*$L120+OFFSET('Dist Cust Factors'!$B$12,$K120-1,V$14)*$H120</f>
        <v>0</v>
      </c>
      <c r="X120" s="112"/>
      <c r="Z120" s="93">
        <f ca="1">'Distribution Class'!BH120</f>
        <v>0</v>
      </c>
      <c r="AA120" s="100">
        <f t="shared" ca="1" si="16"/>
        <v>0</v>
      </c>
      <c r="AC120" s="50">
        <f t="shared" ca="1" si="17"/>
        <v>0</v>
      </c>
      <c r="AE120" s="50">
        <f t="shared" ca="1" si="18"/>
        <v>0</v>
      </c>
      <c r="AG120" s="50">
        <f t="shared" ca="1" si="19"/>
        <v>0</v>
      </c>
      <c r="AI120" s="50">
        <f t="shared" ca="1" si="20"/>
        <v>0</v>
      </c>
    </row>
    <row r="121" spans="2:36" x14ac:dyDescent="0.2">
      <c r="B121" s="18">
        <f t="shared" si="21"/>
        <v>69</v>
      </c>
      <c r="C121" s="1"/>
      <c r="D121" s="36" t="s">
        <v>203</v>
      </c>
      <c r="F121" s="50">
        <f ca="1">'Distribution Class'!AF121</f>
        <v>0</v>
      </c>
      <c r="H121" s="79"/>
      <c r="K121" s="73">
        <f>_xlfn.IFNA(MATCH(J121,'Dist Cust Factors'!$B$12:$B$453,0),0)</f>
        <v>0</v>
      </c>
      <c r="L121" s="50">
        <f t="shared" ca="1" si="15"/>
        <v>0</v>
      </c>
      <c r="O121" s="73">
        <f>_xlfn.IFNA(MATCH(N121,'Dist Cust Factors'!$B$12:$B$457,0),0)</f>
        <v>0</v>
      </c>
      <c r="P121" s="79">
        <f ca="1">OFFSET('Dist Cust Factors'!$B$12,$O121-1,P$14)*$L121+OFFSET('Dist Cust Factors'!$B$12,$K121-1,P$14)*$H121</f>
        <v>0</v>
      </c>
      <c r="R121" s="79">
        <f ca="1">OFFSET('Dist Cust Factors'!$B$12,$O121-1,R$14)*$L121+OFFSET('Dist Cust Factors'!$B$12,$K121-1,R$14)*$H121</f>
        <v>0</v>
      </c>
      <c r="S121" s="79"/>
      <c r="T121" s="79">
        <f ca="1">OFFSET('Dist Cust Factors'!$B$12,$O121-1,T$14)*$L121+OFFSET('Dist Cust Factors'!$B$12,$K121-1,T$14)*$H121</f>
        <v>0</v>
      </c>
      <c r="U121" s="79"/>
      <c r="V121" s="79">
        <f ca="1">OFFSET('Dist Cust Factors'!$B$12,$O121-1,V$14)*$L121+OFFSET('Dist Cust Factors'!$B$12,$K121-1,V$14)*$H121</f>
        <v>0</v>
      </c>
      <c r="X121" s="112"/>
      <c r="Z121" s="93">
        <f ca="1">'Distribution Class'!BH121</f>
        <v>0</v>
      </c>
      <c r="AA121" s="100">
        <f t="shared" ca="1" si="16"/>
        <v>0</v>
      </c>
      <c r="AC121" s="50">
        <f t="shared" ca="1" si="17"/>
        <v>0</v>
      </c>
      <c r="AE121" s="50">
        <f t="shared" ca="1" si="18"/>
        <v>0</v>
      </c>
      <c r="AG121" s="50">
        <f t="shared" ca="1" si="19"/>
        <v>0</v>
      </c>
      <c r="AI121" s="50">
        <f t="shared" ca="1" si="20"/>
        <v>0</v>
      </c>
    </row>
    <row r="122" spans="2:36" x14ac:dyDescent="0.2">
      <c r="B122" s="18">
        <f t="shared" si="21"/>
        <v>70</v>
      </c>
      <c r="C122" s="1"/>
      <c r="D122" s="36" t="s">
        <v>117</v>
      </c>
      <c r="F122" s="50">
        <f ca="1">'Distribution Class'!AF122</f>
        <v>0</v>
      </c>
      <c r="H122" s="79"/>
      <c r="K122" s="73">
        <f>_xlfn.IFNA(MATCH(J122,'Dist Cust Factors'!$B$12:$B$453,0),0)</f>
        <v>0</v>
      </c>
      <c r="L122" s="50">
        <f t="shared" ca="1" si="15"/>
        <v>0</v>
      </c>
      <c r="O122" s="73">
        <f>_xlfn.IFNA(MATCH(N122,'Dist Cust Factors'!$B$12:$B$457,0),0)</f>
        <v>0</v>
      </c>
      <c r="P122" s="79">
        <f ca="1">OFFSET('Dist Cust Factors'!$B$12,$O122-1,P$14)*$L122+OFFSET('Dist Cust Factors'!$B$12,$K122-1,P$14)*$H122</f>
        <v>0</v>
      </c>
      <c r="R122" s="79">
        <f ca="1">OFFSET('Dist Cust Factors'!$B$12,$O122-1,R$14)*$L122+OFFSET('Dist Cust Factors'!$B$12,$K122-1,R$14)*$H122</f>
        <v>0</v>
      </c>
      <c r="S122" s="79"/>
      <c r="T122" s="79">
        <f ca="1">OFFSET('Dist Cust Factors'!$B$12,$O122-1,T$14)*$L122+OFFSET('Dist Cust Factors'!$B$12,$K122-1,T$14)*$H122</f>
        <v>0</v>
      </c>
      <c r="U122" s="79"/>
      <c r="V122" s="79">
        <f ca="1">OFFSET('Dist Cust Factors'!$B$12,$O122-1,V$14)*$L122+OFFSET('Dist Cust Factors'!$B$12,$K122-1,V$14)*$H122</f>
        <v>0</v>
      </c>
      <c r="X122" s="112"/>
      <c r="Z122" s="93">
        <f ca="1">'Distribution Class'!BH122</f>
        <v>0</v>
      </c>
      <c r="AA122" s="100">
        <f t="shared" ca="1" si="16"/>
        <v>0</v>
      </c>
      <c r="AC122" s="50">
        <f t="shared" ca="1" si="17"/>
        <v>0</v>
      </c>
      <c r="AE122" s="50">
        <f t="shared" ca="1" si="18"/>
        <v>0</v>
      </c>
      <c r="AG122" s="50">
        <f t="shared" ca="1" si="19"/>
        <v>0</v>
      </c>
      <c r="AI122" s="50">
        <f t="shared" ca="1" si="20"/>
        <v>0</v>
      </c>
    </row>
    <row r="123" spans="2:36" x14ac:dyDescent="0.2">
      <c r="B123" s="18"/>
      <c r="C123" s="1"/>
      <c r="D123" s="1" t="s">
        <v>8</v>
      </c>
      <c r="X123" s="112"/>
      <c r="AC123" s="50">
        <f t="shared" si="17"/>
        <v>0</v>
      </c>
      <c r="AE123" s="50">
        <f t="shared" si="18"/>
        <v>0</v>
      </c>
      <c r="AG123" s="50">
        <f t="shared" si="19"/>
        <v>0</v>
      </c>
      <c r="AI123" s="50">
        <f t="shared" si="20"/>
        <v>0</v>
      </c>
    </row>
    <row r="124" spans="2:36" x14ac:dyDescent="0.2">
      <c r="B124" s="18">
        <f>B122+1</f>
        <v>71</v>
      </c>
      <c r="C124" s="1"/>
      <c r="D124" s="36" t="s">
        <v>71</v>
      </c>
      <c r="F124" s="50">
        <f ca="1">'Distribution Class'!AF124</f>
        <v>0</v>
      </c>
      <c r="H124" s="79"/>
      <c r="K124" s="73">
        <f>_xlfn.IFNA(MATCH(J124,'Dist Cust Factors'!$B$12:$B$453,0),0)</f>
        <v>0</v>
      </c>
      <c r="L124" s="50">
        <f t="shared" ref="L124:L131" ca="1" si="22">F124-H124</f>
        <v>0</v>
      </c>
      <c r="O124" s="73">
        <f>_xlfn.IFNA(MATCH(N124,'Dist Cust Factors'!$B$12:$B$457,0),0)</f>
        <v>0</v>
      </c>
      <c r="P124" s="79">
        <f ca="1">OFFSET('Dist Cust Factors'!$B$12,$O124-1,P$14)*$L124+OFFSET('Dist Cust Factors'!$B$12,$K124-1,P$14)*$H124</f>
        <v>0</v>
      </c>
      <c r="R124" s="79">
        <f ca="1">OFFSET('Dist Cust Factors'!$B$12,$O124-1,R$14)*$L124+OFFSET('Dist Cust Factors'!$B$12,$K124-1,R$14)*$H124</f>
        <v>0</v>
      </c>
      <c r="S124" s="79"/>
      <c r="T124" s="79">
        <f ca="1">OFFSET('Dist Cust Factors'!$B$12,$O124-1,T$14)*$L124+OFFSET('Dist Cust Factors'!$B$12,$K124-1,T$14)*$H124</f>
        <v>0</v>
      </c>
      <c r="U124" s="79"/>
      <c r="V124" s="79">
        <f ca="1">OFFSET('Dist Cust Factors'!$B$12,$O124-1,V$14)*$L124+OFFSET('Dist Cust Factors'!$B$12,$K124-1,V$14)*$H124</f>
        <v>0</v>
      </c>
      <c r="X124" s="112"/>
      <c r="Z124" s="93">
        <f ca="1">'Distribution Class'!BH124</f>
        <v>0</v>
      </c>
      <c r="AA124" s="100">
        <f t="shared" ref="AA124:AA131" ca="1" si="23">IFERROR(Z124/F124,0)</f>
        <v>0</v>
      </c>
      <c r="AC124" s="50">
        <f t="shared" ca="1" si="17"/>
        <v>0</v>
      </c>
      <c r="AE124" s="50">
        <f t="shared" ca="1" si="18"/>
        <v>0</v>
      </c>
      <c r="AG124" s="50">
        <f t="shared" ca="1" si="19"/>
        <v>0</v>
      </c>
      <c r="AI124" s="50">
        <f t="shared" ca="1" si="20"/>
        <v>0</v>
      </c>
    </row>
    <row r="125" spans="2:36" x14ac:dyDescent="0.2">
      <c r="B125" s="18">
        <f t="shared" ref="B125:B131" si="24">B124+1</f>
        <v>72</v>
      </c>
      <c r="C125" s="1"/>
      <c r="D125" s="36" t="s">
        <v>171</v>
      </c>
      <c r="F125" s="50">
        <f ca="1">'Distribution Class'!AF125</f>
        <v>0</v>
      </c>
      <c r="H125" s="79"/>
      <c r="K125" s="73">
        <f>_xlfn.IFNA(MATCH(J125,'Dist Cust Factors'!$B$12:$B$453,0),0)</f>
        <v>0</v>
      </c>
      <c r="L125" s="50">
        <f t="shared" ca="1" si="22"/>
        <v>0</v>
      </c>
      <c r="O125" s="73">
        <f>_xlfn.IFNA(MATCH(N125,'Dist Cust Factors'!$B$12:$B$457,0),0)</f>
        <v>0</v>
      </c>
      <c r="P125" s="79">
        <f ca="1">OFFSET('Dist Cust Factors'!$B$12,$O125-1,P$14)*$L125+OFFSET('Dist Cust Factors'!$B$12,$K125-1,P$14)*$H125</f>
        <v>0</v>
      </c>
      <c r="R125" s="79">
        <f ca="1">OFFSET('Dist Cust Factors'!$B$12,$O125-1,R$14)*$L125+OFFSET('Dist Cust Factors'!$B$12,$K125-1,R$14)*$H125</f>
        <v>0</v>
      </c>
      <c r="S125" s="79"/>
      <c r="T125" s="79">
        <f ca="1">OFFSET('Dist Cust Factors'!$B$12,$O125-1,T$14)*$L125+OFFSET('Dist Cust Factors'!$B$12,$K125-1,T$14)*$H125</f>
        <v>0</v>
      </c>
      <c r="U125" s="79"/>
      <c r="V125" s="79">
        <f ca="1">OFFSET('Dist Cust Factors'!$B$12,$O125-1,V$14)*$L125+OFFSET('Dist Cust Factors'!$B$12,$K125-1,V$14)*$H125</f>
        <v>0</v>
      </c>
      <c r="X125" s="112"/>
      <c r="Z125" s="93">
        <f ca="1">'Distribution Class'!BH125</f>
        <v>0</v>
      </c>
      <c r="AA125" s="100">
        <f t="shared" ca="1" si="23"/>
        <v>0</v>
      </c>
      <c r="AC125" s="50">
        <f t="shared" ca="1" si="17"/>
        <v>0</v>
      </c>
      <c r="AE125" s="50">
        <f t="shared" ca="1" si="18"/>
        <v>0</v>
      </c>
      <c r="AG125" s="50">
        <f t="shared" ca="1" si="19"/>
        <v>0</v>
      </c>
      <c r="AI125" s="50">
        <f t="shared" ca="1" si="20"/>
        <v>0</v>
      </c>
    </row>
    <row r="126" spans="2:36" x14ac:dyDescent="0.2">
      <c r="B126" s="18">
        <f t="shared" si="24"/>
        <v>73</v>
      </c>
      <c r="C126" s="1"/>
      <c r="D126" s="36" t="s">
        <v>179</v>
      </c>
      <c r="F126" s="50">
        <f ca="1">'Distribution Class'!AF126</f>
        <v>0</v>
      </c>
      <c r="H126" s="79"/>
      <c r="K126" s="73">
        <f>_xlfn.IFNA(MATCH(J126,'Dist Cust Factors'!$B$12:$B$453,0),0)</f>
        <v>0</v>
      </c>
      <c r="L126" s="50">
        <f t="shared" ca="1" si="22"/>
        <v>0</v>
      </c>
      <c r="O126" s="73">
        <f>_xlfn.IFNA(MATCH(N126,'Dist Cust Factors'!$B$12:$B$457,0),0)</f>
        <v>0</v>
      </c>
      <c r="P126" s="79">
        <f ca="1">OFFSET('Dist Cust Factors'!$B$12,$O126-1,P$14)*$L126+OFFSET('Dist Cust Factors'!$B$12,$K126-1,P$14)*$H126</f>
        <v>0</v>
      </c>
      <c r="R126" s="79">
        <f ca="1">OFFSET('Dist Cust Factors'!$B$12,$O126-1,R$14)*$L126+OFFSET('Dist Cust Factors'!$B$12,$K126-1,R$14)*$H126</f>
        <v>0</v>
      </c>
      <c r="S126" s="79"/>
      <c r="T126" s="79">
        <f ca="1">OFFSET('Dist Cust Factors'!$B$12,$O126-1,T$14)*$L126+OFFSET('Dist Cust Factors'!$B$12,$K126-1,T$14)*$H126</f>
        <v>0</v>
      </c>
      <c r="U126" s="79"/>
      <c r="V126" s="79">
        <f ca="1">OFFSET('Dist Cust Factors'!$B$12,$O126-1,V$14)*$L126+OFFSET('Dist Cust Factors'!$B$12,$K126-1,V$14)*$H126</f>
        <v>0</v>
      </c>
      <c r="X126" s="112"/>
      <c r="Z126" s="93">
        <f ca="1">'Distribution Class'!BH126</f>
        <v>0</v>
      </c>
      <c r="AA126" s="100">
        <f t="shared" ca="1" si="23"/>
        <v>0</v>
      </c>
      <c r="AC126" s="50">
        <f t="shared" ca="1" si="17"/>
        <v>0</v>
      </c>
      <c r="AE126" s="50">
        <f t="shared" ca="1" si="18"/>
        <v>0</v>
      </c>
      <c r="AG126" s="50">
        <f t="shared" ca="1" si="19"/>
        <v>0</v>
      </c>
      <c r="AI126" s="50">
        <f t="shared" ca="1" si="20"/>
        <v>0</v>
      </c>
    </row>
    <row r="127" spans="2:36" x14ac:dyDescent="0.2">
      <c r="B127" s="18">
        <f t="shared" si="24"/>
        <v>74</v>
      </c>
      <c r="C127" s="1"/>
      <c r="D127" s="36" t="s">
        <v>199</v>
      </c>
      <c r="F127" s="50">
        <f ca="1">'Distribution Class'!AF127</f>
        <v>0</v>
      </c>
      <c r="H127" s="79"/>
      <c r="K127" s="73">
        <f>_xlfn.IFNA(MATCH(J127,'Dist Cust Factors'!$B$12:$B$453,0),0)</f>
        <v>0</v>
      </c>
      <c r="L127" s="50">
        <f t="shared" ca="1" si="22"/>
        <v>0</v>
      </c>
      <c r="O127" s="73">
        <f>_xlfn.IFNA(MATCH(N127,'Dist Cust Factors'!$B$12:$B$457,0),0)</f>
        <v>0</v>
      </c>
      <c r="P127" s="79">
        <f ca="1">OFFSET('Dist Cust Factors'!$B$12,$O127-1,P$14)*$L127+OFFSET('Dist Cust Factors'!$B$12,$K127-1,P$14)*$H127</f>
        <v>0</v>
      </c>
      <c r="R127" s="79">
        <f ca="1">OFFSET('Dist Cust Factors'!$B$12,$O127-1,R$14)*$L127+OFFSET('Dist Cust Factors'!$B$12,$K127-1,R$14)*$H127</f>
        <v>0</v>
      </c>
      <c r="S127" s="79"/>
      <c r="T127" s="79">
        <f ca="1">OFFSET('Dist Cust Factors'!$B$12,$O127-1,T$14)*$L127+OFFSET('Dist Cust Factors'!$B$12,$K127-1,T$14)*$H127</f>
        <v>0</v>
      </c>
      <c r="U127" s="79"/>
      <c r="V127" s="79">
        <f ca="1">OFFSET('Dist Cust Factors'!$B$12,$O127-1,V$14)*$L127+OFFSET('Dist Cust Factors'!$B$12,$K127-1,V$14)*$H127</f>
        <v>0</v>
      </c>
      <c r="X127" s="112"/>
      <c r="Z127" s="93">
        <f ca="1">'Distribution Class'!BH127</f>
        <v>0</v>
      </c>
      <c r="AA127" s="100">
        <f t="shared" ca="1" si="23"/>
        <v>0</v>
      </c>
      <c r="AC127" s="50">
        <f t="shared" ca="1" si="17"/>
        <v>0</v>
      </c>
      <c r="AE127" s="50">
        <f t="shared" ca="1" si="18"/>
        <v>0</v>
      </c>
      <c r="AG127" s="50">
        <f t="shared" ca="1" si="19"/>
        <v>0</v>
      </c>
      <c r="AI127" s="50">
        <f t="shared" ca="1" si="20"/>
        <v>0</v>
      </c>
    </row>
    <row r="128" spans="2:36" x14ac:dyDescent="0.2">
      <c r="B128" s="18">
        <f t="shared" si="24"/>
        <v>75</v>
      </c>
      <c r="C128" s="1"/>
      <c r="D128" s="36" t="s">
        <v>21</v>
      </c>
      <c r="F128" s="50">
        <f ca="1">'Distribution Class'!AF128</f>
        <v>0</v>
      </c>
      <c r="H128" s="79"/>
      <c r="K128" s="73">
        <f>_xlfn.IFNA(MATCH(J128,'Dist Cust Factors'!$B$12:$B$453,0),0)</f>
        <v>0</v>
      </c>
      <c r="L128" s="50">
        <f t="shared" ca="1" si="22"/>
        <v>0</v>
      </c>
      <c r="O128" s="73">
        <f>_xlfn.IFNA(MATCH(N128,'Dist Cust Factors'!$B$12:$B$457,0),0)</f>
        <v>0</v>
      </c>
      <c r="P128" s="79">
        <f ca="1">OFFSET('Dist Cust Factors'!$B$12,$O128-1,P$14)*$L128+OFFSET('Dist Cust Factors'!$B$12,$K128-1,P$14)*$H128</f>
        <v>0</v>
      </c>
      <c r="R128" s="79">
        <f ca="1">OFFSET('Dist Cust Factors'!$B$12,$O128-1,R$14)*$L128+OFFSET('Dist Cust Factors'!$B$12,$K128-1,R$14)*$H128</f>
        <v>0</v>
      </c>
      <c r="S128" s="79"/>
      <c r="T128" s="79">
        <f ca="1">OFFSET('Dist Cust Factors'!$B$12,$O128-1,T$14)*$L128+OFFSET('Dist Cust Factors'!$B$12,$K128-1,T$14)*$H128</f>
        <v>0</v>
      </c>
      <c r="U128" s="79"/>
      <c r="V128" s="79">
        <f ca="1">OFFSET('Dist Cust Factors'!$B$12,$O128-1,V$14)*$L128+OFFSET('Dist Cust Factors'!$B$12,$K128-1,V$14)*$H128</f>
        <v>0</v>
      </c>
      <c r="X128" s="112"/>
      <c r="Z128" s="93">
        <f ca="1">'Distribution Class'!BH128</f>
        <v>0</v>
      </c>
      <c r="AA128" s="100">
        <f t="shared" ca="1" si="23"/>
        <v>0</v>
      </c>
      <c r="AC128" s="50">
        <f t="shared" ca="1" si="17"/>
        <v>0</v>
      </c>
      <c r="AE128" s="50">
        <f t="shared" ca="1" si="18"/>
        <v>0</v>
      </c>
      <c r="AG128" s="50">
        <f t="shared" ca="1" si="19"/>
        <v>0</v>
      </c>
      <c r="AI128" s="50">
        <f t="shared" ca="1" si="20"/>
        <v>0</v>
      </c>
    </row>
    <row r="129" spans="2:35" x14ac:dyDescent="0.2">
      <c r="B129" s="18">
        <f t="shared" si="24"/>
        <v>76</v>
      </c>
      <c r="C129" s="1"/>
      <c r="D129" s="36" t="s">
        <v>200</v>
      </c>
      <c r="F129" s="50">
        <f ca="1">'Distribution Class'!AF129</f>
        <v>0</v>
      </c>
      <c r="H129" s="79"/>
      <c r="K129" s="73">
        <f>_xlfn.IFNA(MATCH(J129,'Dist Cust Factors'!$B$12:$B$453,0),0)</f>
        <v>0</v>
      </c>
      <c r="L129" s="50">
        <f t="shared" ca="1" si="22"/>
        <v>0</v>
      </c>
      <c r="O129" s="73">
        <f>_xlfn.IFNA(MATCH(N129,'Dist Cust Factors'!$B$12:$B$457,0),0)</f>
        <v>0</v>
      </c>
      <c r="P129" s="79">
        <f ca="1">OFFSET('Dist Cust Factors'!$B$12,$O129-1,P$14)*$L129+OFFSET('Dist Cust Factors'!$B$12,$K129-1,P$14)*$H129</f>
        <v>0</v>
      </c>
      <c r="R129" s="79">
        <f ca="1">OFFSET('Dist Cust Factors'!$B$12,$O129-1,R$14)*$L129+OFFSET('Dist Cust Factors'!$B$12,$K129-1,R$14)*$H129</f>
        <v>0</v>
      </c>
      <c r="S129" s="79"/>
      <c r="T129" s="79">
        <f ca="1">OFFSET('Dist Cust Factors'!$B$12,$O129-1,T$14)*$L129+OFFSET('Dist Cust Factors'!$B$12,$K129-1,T$14)*$H129</f>
        <v>0</v>
      </c>
      <c r="U129" s="79"/>
      <c r="V129" s="79">
        <f ca="1">OFFSET('Dist Cust Factors'!$B$12,$O129-1,V$14)*$L129+OFFSET('Dist Cust Factors'!$B$12,$K129-1,V$14)*$H129</f>
        <v>0</v>
      </c>
      <c r="X129" s="112"/>
      <c r="Z129" s="93">
        <f ca="1">'Distribution Class'!BH129</f>
        <v>0</v>
      </c>
      <c r="AA129" s="100">
        <f t="shared" ca="1" si="23"/>
        <v>0</v>
      </c>
      <c r="AC129" s="50">
        <f t="shared" ca="1" si="17"/>
        <v>0</v>
      </c>
      <c r="AE129" s="50">
        <f t="shared" ca="1" si="18"/>
        <v>0</v>
      </c>
      <c r="AG129" s="50">
        <f t="shared" ca="1" si="19"/>
        <v>0</v>
      </c>
      <c r="AI129" s="50">
        <f t="shared" ca="1" si="20"/>
        <v>0</v>
      </c>
    </row>
    <row r="130" spans="2:35" x14ac:dyDescent="0.2">
      <c r="B130" s="18">
        <f t="shared" si="24"/>
        <v>77</v>
      </c>
      <c r="C130" s="1"/>
      <c r="D130" s="36" t="s">
        <v>180</v>
      </c>
      <c r="F130" s="50">
        <f ca="1">'Distribution Class'!AF130</f>
        <v>0</v>
      </c>
      <c r="H130" s="79"/>
      <c r="K130" s="73">
        <f>_xlfn.IFNA(MATCH(J130,'Dist Cust Factors'!$B$12:$B$453,0),0)</f>
        <v>0</v>
      </c>
      <c r="L130" s="50">
        <f t="shared" ca="1" si="22"/>
        <v>0</v>
      </c>
      <c r="O130" s="73">
        <f>_xlfn.IFNA(MATCH(N130,'Dist Cust Factors'!$B$12:$B$457,0),0)</f>
        <v>0</v>
      </c>
      <c r="P130" s="79">
        <f ca="1">OFFSET('Dist Cust Factors'!$B$12,$O130-1,P$14)*$L130+OFFSET('Dist Cust Factors'!$B$12,$K130-1,P$14)*$H130</f>
        <v>0</v>
      </c>
      <c r="R130" s="79">
        <f ca="1">OFFSET('Dist Cust Factors'!$B$12,$O130-1,R$14)*$L130+OFFSET('Dist Cust Factors'!$B$12,$K130-1,R$14)*$H130</f>
        <v>0</v>
      </c>
      <c r="S130" s="79"/>
      <c r="T130" s="79">
        <f ca="1">OFFSET('Dist Cust Factors'!$B$12,$O130-1,T$14)*$L130+OFFSET('Dist Cust Factors'!$B$12,$K130-1,T$14)*$H130</f>
        <v>0</v>
      </c>
      <c r="U130" s="79"/>
      <c r="V130" s="79">
        <f ca="1">OFFSET('Dist Cust Factors'!$B$12,$O130-1,V$14)*$L130+OFFSET('Dist Cust Factors'!$B$12,$K130-1,V$14)*$H130</f>
        <v>0</v>
      </c>
      <c r="X130" s="112"/>
      <c r="Z130" s="93">
        <f ca="1">'Distribution Class'!BH130</f>
        <v>0</v>
      </c>
      <c r="AA130" s="100">
        <f t="shared" ca="1" si="23"/>
        <v>0</v>
      </c>
      <c r="AC130" s="50">
        <f t="shared" ca="1" si="17"/>
        <v>0</v>
      </c>
      <c r="AE130" s="50">
        <f t="shared" ca="1" si="18"/>
        <v>0</v>
      </c>
      <c r="AG130" s="50">
        <f t="shared" ca="1" si="19"/>
        <v>0</v>
      </c>
      <c r="AI130" s="50">
        <f t="shared" ca="1" si="20"/>
        <v>0</v>
      </c>
    </row>
    <row r="131" spans="2:35" x14ac:dyDescent="0.2">
      <c r="B131" s="18">
        <f t="shared" si="24"/>
        <v>78</v>
      </c>
      <c r="C131" s="1"/>
      <c r="D131" s="36" t="s">
        <v>201</v>
      </c>
      <c r="F131" s="50">
        <f ca="1">'Distribution Class'!AF131</f>
        <v>0</v>
      </c>
      <c r="H131" s="79"/>
      <c r="K131" s="73">
        <f>_xlfn.IFNA(MATCH(J131,'Dist Cust Factors'!$B$12:$B$453,0),0)</f>
        <v>0</v>
      </c>
      <c r="L131" s="50">
        <f t="shared" ca="1" si="22"/>
        <v>0</v>
      </c>
      <c r="O131" s="73">
        <f>_xlfn.IFNA(MATCH(N131,'Dist Cust Factors'!$B$12:$B$457,0),0)</f>
        <v>0</v>
      </c>
      <c r="P131" s="79">
        <f ca="1">OFFSET('Dist Cust Factors'!$B$12,$O131-1,P$14)*$L131+OFFSET('Dist Cust Factors'!$B$12,$K131-1,P$14)*$H131</f>
        <v>0</v>
      </c>
      <c r="R131" s="79">
        <f ca="1">OFFSET('Dist Cust Factors'!$B$12,$O131-1,R$14)*$L131+OFFSET('Dist Cust Factors'!$B$12,$K131-1,R$14)*$H131</f>
        <v>0</v>
      </c>
      <c r="S131" s="79"/>
      <c r="T131" s="79">
        <f ca="1">OFFSET('Dist Cust Factors'!$B$12,$O131-1,T$14)*$L131+OFFSET('Dist Cust Factors'!$B$12,$K131-1,T$14)*$H131</f>
        <v>0</v>
      </c>
      <c r="U131" s="79"/>
      <c r="V131" s="79">
        <f ca="1">OFFSET('Dist Cust Factors'!$B$12,$O131-1,V$14)*$L131+OFFSET('Dist Cust Factors'!$B$12,$K131-1,V$14)*$H131</f>
        <v>0</v>
      </c>
      <c r="X131" s="112"/>
      <c r="Z131" s="93">
        <f ca="1">'Distribution Class'!BH131</f>
        <v>0</v>
      </c>
      <c r="AA131" s="100">
        <f t="shared" ca="1" si="23"/>
        <v>0</v>
      </c>
      <c r="AC131" s="50">
        <f t="shared" ca="1" si="17"/>
        <v>0</v>
      </c>
      <c r="AE131" s="50">
        <f t="shared" ca="1" si="18"/>
        <v>0</v>
      </c>
      <c r="AG131" s="50">
        <f t="shared" ca="1" si="19"/>
        <v>0</v>
      </c>
      <c r="AI131" s="50">
        <f t="shared" ca="1" si="20"/>
        <v>0</v>
      </c>
    </row>
    <row r="132" spans="2:35" x14ac:dyDescent="0.2">
      <c r="B132" s="18"/>
      <c r="C132" s="1"/>
      <c r="D132" s="1" t="s">
        <v>9</v>
      </c>
      <c r="X132" s="112"/>
      <c r="AC132" s="50">
        <f t="shared" si="17"/>
        <v>0</v>
      </c>
      <c r="AE132" s="50">
        <f t="shared" si="18"/>
        <v>0</v>
      </c>
      <c r="AG132" s="50">
        <f t="shared" si="19"/>
        <v>0</v>
      </c>
      <c r="AI132" s="50">
        <f t="shared" si="20"/>
        <v>0</v>
      </c>
    </row>
    <row r="133" spans="2:35" x14ac:dyDescent="0.2">
      <c r="B133" s="18">
        <f>B131+1</f>
        <v>79</v>
      </c>
      <c r="C133" s="1"/>
      <c r="D133" s="1" t="s">
        <v>214</v>
      </c>
      <c r="F133" s="50">
        <f>'Distribution Class'!AF133</f>
        <v>0</v>
      </c>
      <c r="L133" s="50">
        <f t="shared" ref="L133:L136" si="25">F133-H133</f>
        <v>0</v>
      </c>
      <c r="O133" s="73">
        <f>_xlfn.IFNA(MATCH(N133,'Dist Cust Factors'!$B$12:$B$457,0),0)</f>
        <v>0</v>
      </c>
      <c r="P133" s="79">
        <f ca="1">OFFSET('Dist Cust Factors'!$B$12,$O133-1,P$14)*$L133+OFFSET('Dist Cust Factors'!$B$12,$K133-1,P$14)*$H133</f>
        <v>0</v>
      </c>
      <c r="R133" s="79">
        <f ca="1">OFFSET('Dist Cust Factors'!$B$12,$O133-1,R$14)*$L133+OFFSET('Dist Cust Factors'!$B$12,$K133-1,R$14)*$H133</f>
        <v>0</v>
      </c>
      <c r="S133" s="79"/>
      <c r="T133" s="79">
        <f ca="1">OFFSET('Dist Cust Factors'!$B$12,$O133-1,T$14)*$L133+OFFSET('Dist Cust Factors'!$B$12,$K133-1,T$14)*$H133</f>
        <v>0</v>
      </c>
      <c r="U133" s="79"/>
      <c r="V133" s="79">
        <f ca="1">OFFSET('Dist Cust Factors'!$B$12,$O133-1,V$14)*$L133+OFFSET('Dist Cust Factors'!$B$12,$K133-1,V$14)*$H133</f>
        <v>0</v>
      </c>
      <c r="X133" s="112"/>
      <c r="Z133" s="93">
        <f ca="1">'Distribution Class'!BH133</f>
        <v>0</v>
      </c>
      <c r="AA133" s="100">
        <f ca="1">IFERROR(Z133/F133,0)</f>
        <v>0</v>
      </c>
      <c r="AC133" s="50">
        <f t="shared" ca="1" si="17"/>
        <v>0</v>
      </c>
      <c r="AE133" s="50">
        <f t="shared" ca="1" si="18"/>
        <v>0</v>
      </c>
      <c r="AG133" s="50">
        <f t="shared" ca="1" si="19"/>
        <v>0</v>
      </c>
      <c r="AI133" s="50">
        <f t="shared" ca="1" si="20"/>
        <v>0</v>
      </c>
    </row>
    <row r="134" spans="2:35" x14ac:dyDescent="0.2">
      <c r="B134" s="18">
        <f>B133+1</f>
        <v>80</v>
      </c>
      <c r="C134" s="1"/>
      <c r="D134" s="36" t="s">
        <v>202</v>
      </c>
      <c r="F134" s="50">
        <f ca="1">'Distribution Class'!AF134</f>
        <v>0</v>
      </c>
      <c r="H134" s="79"/>
      <c r="K134" s="73">
        <f>_xlfn.IFNA(MATCH(J134,'Dist Cust Factors'!$B$12:$B$453,0),0)</f>
        <v>0</v>
      </c>
      <c r="L134" s="50">
        <f t="shared" ca="1" si="25"/>
        <v>0</v>
      </c>
      <c r="O134" s="73">
        <f>_xlfn.IFNA(MATCH(N134,'Dist Cust Factors'!$B$12:$B$457,0),0)</f>
        <v>0</v>
      </c>
      <c r="P134" s="79">
        <f ca="1">OFFSET('Dist Cust Factors'!$B$12,$O134-1,P$14)*$L134+OFFSET('Dist Cust Factors'!$B$12,$K134-1,P$14)*$H134</f>
        <v>0</v>
      </c>
      <c r="R134" s="79">
        <f ca="1">OFFSET('Dist Cust Factors'!$B$12,$O134-1,R$14)*$L134+OFFSET('Dist Cust Factors'!$B$12,$K134-1,R$14)*$H134</f>
        <v>0</v>
      </c>
      <c r="S134" s="79"/>
      <c r="T134" s="79">
        <f ca="1">OFFSET('Dist Cust Factors'!$B$12,$O134-1,T$14)*$L134+OFFSET('Dist Cust Factors'!$B$12,$K134-1,T$14)*$H134</f>
        <v>0</v>
      </c>
      <c r="U134" s="79"/>
      <c r="V134" s="79">
        <f ca="1">OFFSET('Dist Cust Factors'!$B$12,$O134-1,V$14)*$L134+OFFSET('Dist Cust Factors'!$B$12,$K134-1,V$14)*$H134</f>
        <v>0</v>
      </c>
      <c r="X134" s="112"/>
      <c r="Z134" s="93">
        <f ca="1">'Distribution Class'!BH134</f>
        <v>0</v>
      </c>
      <c r="AA134" s="100">
        <f ca="1">IFERROR(Z134/F134,0)</f>
        <v>0</v>
      </c>
      <c r="AC134" s="50">
        <f t="shared" ca="1" si="17"/>
        <v>0</v>
      </c>
      <c r="AE134" s="50">
        <f t="shared" ca="1" si="18"/>
        <v>0</v>
      </c>
      <c r="AG134" s="50">
        <f t="shared" ca="1" si="19"/>
        <v>0</v>
      </c>
      <c r="AI134" s="50">
        <f t="shared" ca="1" si="20"/>
        <v>0</v>
      </c>
    </row>
    <row r="135" spans="2:35" x14ac:dyDescent="0.2">
      <c r="B135" s="18">
        <f t="shared" ref="B135:B136" si="26">B134+1</f>
        <v>81</v>
      </c>
      <c r="C135" s="1"/>
      <c r="D135" s="36" t="s">
        <v>199</v>
      </c>
      <c r="F135" s="50">
        <f ca="1">'Distribution Class'!AF135</f>
        <v>0</v>
      </c>
      <c r="H135" s="79"/>
      <c r="K135" s="73">
        <f>_xlfn.IFNA(MATCH(J135,'Dist Cust Factors'!$B$12:$B$453,0),0)</f>
        <v>0</v>
      </c>
      <c r="L135" s="50">
        <f t="shared" ca="1" si="25"/>
        <v>0</v>
      </c>
      <c r="O135" s="73">
        <f>_xlfn.IFNA(MATCH(N135,'Dist Cust Factors'!$B$12:$B$457,0),0)</f>
        <v>0</v>
      </c>
      <c r="P135" s="79">
        <f ca="1">OFFSET('Dist Cust Factors'!$B$12,$O135-1,P$14)*$L135+OFFSET('Dist Cust Factors'!$B$12,$K135-1,P$14)*$H135</f>
        <v>0</v>
      </c>
      <c r="R135" s="79">
        <f ca="1">OFFSET('Dist Cust Factors'!$B$12,$O135-1,R$14)*$L135+OFFSET('Dist Cust Factors'!$B$12,$K135-1,R$14)*$H135</f>
        <v>0</v>
      </c>
      <c r="S135" s="79"/>
      <c r="T135" s="79">
        <f ca="1">OFFSET('Dist Cust Factors'!$B$12,$O135-1,T$14)*$L135+OFFSET('Dist Cust Factors'!$B$12,$K135-1,T$14)*$H135</f>
        <v>0</v>
      </c>
      <c r="U135" s="79"/>
      <c r="V135" s="79">
        <f ca="1">OFFSET('Dist Cust Factors'!$B$12,$O135-1,V$14)*$L135+OFFSET('Dist Cust Factors'!$B$12,$K135-1,V$14)*$H135</f>
        <v>0</v>
      </c>
      <c r="X135" s="112"/>
      <c r="Z135" s="93">
        <f ca="1">'Distribution Class'!BH135</f>
        <v>0</v>
      </c>
      <c r="AA135" s="100">
        <f ca="1">IFERROR(Z135/F135,0)</f>
        <v>0</v>
      </c>
      <c r="AC135" s="50">
        <f t="shared" ca="1" si="17"/>
        <v>0</v>
      </c>
      <c r="AE135" s="50">
        <f t="shared" ca="1" si="18"/>
        <v>0</v>
      </c>
      <c r="AG135" s="50">
        <f t="shared" ca="1" si="19"/>
        <v>0</v>
      </c>
      <c r="AI135" s="50">
        <f t="shared" ca="1" si="20"/>
        <v>0</v>
      </c>
    </row>
    <row r="136" spans="2:35" x14ac:dyDescent="0.2">
      <c r="B136" s="18">
        <f t="shared" si="26"/>
        <v>82</v>
      </c>
      <c r="C136" s="1"/>
      <c r="D136" s="36" t="s">
        <v>21</v>
      </c>
      <c r="F136" s="50">
        <f ca="1">'Distribution Class'!AF136</f>
        <v>0</v>
      </c>
      <c r="H136" s="79"/>
      <c r="K136" s="73">
        <f>_xlfn.IFNA(MATCH(J136,'Dist Cust Factors'!$B$12:$B$453,0),0)</f>
        <v>0</v>
      </c>
      <c r="L136" s="50">
        <f t="shared" ca="1" si="25"/>
        <v>0</v>
      </c>
      <c r="O136" s="73">
        <f>_xlfn.IFNA(MATCH(N136,'Dist Cust Factors'!$B$12:$B$457,0),0)</f>
        <v>0</v>
      </c>
      <c r="P136" s="79">
        <f ca="1">OFFSET('Dist Cust Factors'!$B$12,$O136-1,P$14)*$L136+OFFSET('Dist Cust Factors'!$B$12,$K136-1,P$14)*$H136</f>
        <v>0</v>
      </c>
      <c r="R136" s="79">
        <f ca="1">OFFSET('Dist Cust Factors'!$B$12,$O136-1,R$14)*$L136+OFFSET('Dist Cust Factors'!$B$12,$K136-1,R$14)*$H136</f>
        <v>0</v>
      </c>
      <c r="S136" s="79"/>
      <c r="T136" s="79">
        <f ca="1">OFFSET('Dist Cust Factors'!$B$12,$O136-1,T$14)*$L136+OFFSET('Dist Cust Factors'!$B$12,$K136-1,T$14)*$H136</f>
        <v>0</v>
      </c>
      <c r="U136" s="79"/>
      <c r="V136" s="79">
        <f ca="1">OFFSET('Dist Cust Factors'!$B$12,$O136-1,V$14)*$L136+OFFSET('Dist Cust Factors'!$B$12,$K136-1,V$14)*$H136</f>
        <v>0</v>
      </c>
      <c r="X136" s="112"/>
      <c r="Z136" s="93">
        <f ca="1">'Distribution Class'!BH136</f>
        <v>0</v>
      </c>
      <c r="AA136" s="100">
        <f ca="1">IFERROR(Z136/F136,0)</f>
        <v>0</v>
      </c>
      <c r="AC136" s="50">
        <f t="shared" ca="1" si="17"/>
        <v>0</v>
      </c>
      <c r="AE136" s="50">
        <f t="shared" ca="1" si="18"/>
        <v>0</v>
      </c>
      <c r="AG136" s="50">
        <f t="shared" ca="1" si="19"/>
        <v>0</v>
      </c>
      <c r="AI136" s="50">
        <f t="shared" ca="1" si="20"/>
        <v>0</v>
      </c>
    </row>
    <row r="137" spans="2:35" x14ac:dyDescent="0.2">
      <c r="B137" s="18"/>
      <c r="C137" s="1"/>
      <c r="D137" s="1" t="s">
        <v>10</v>
      </c>
      <c r="X137" s="112"/>
      <c r="AA137" s="100"/>
      <c r="AC137" s="50">
        <f t="shared" si="17"/>
        <v>0</v>
      </c>
      <c r="AE137" s="50">
        <f t="shared" si="18"/>
        <v>0</v>
      </c>
      <c r="AG137" s="50">
        <f t="shared" si="19"/>
        <v>0</v>
      </c>
      <c r="AI137" s="50">
        <f t="shared" si="20"/>
        <v>0</v>
      </c>
    </row>
    <row r="138" spans="2:35" x14ac:dyDescent="0.2">
      <c r="B138" s="18">
        <f>B136+1</f>
        <v>83</v>
      </c>
      <c r="C138" s="1"/>
      <c r="D138" s="1" t="s">
        <v>217</v>
      </c>
      <c r="F138" s="50">
        <f ca="1">'Distribution Class'!AF138</f>
        <v>0</v>
      </c>
      <c r="K138" s="73">
        <f>_xlfn.IFNA(MATCH(J138,'Dist Cust Factors'!$B$12:$B$453,0),0)</f>
        <v>0</v>
      </c>
      <c r="L138" s="50">
        <f t="shared" ref="L138:L143" ca="1" si="27">F138-H138</f>
        <v>0</v>
      </c>
      <c r="O138" s="73">
        <f>_xlfn.IFNA(MATCH(N138,'Dist Cust Factors'!$B$12:$B$457,0),0)</f>
        <v>0</v>
      </c>
      <c r="P138" s="79">
        <f ca="1">OFFSET('Dist Cust Factors'!$B$12,$O138-1,P$14)*$L138+OFFSET('Dist Cust Factors'!$B$12,$K138-1,P$14)*$H138</f>
        <v>0</v>
      </c>
      <c r="R138" s="79">
        <f ca="1">OFFSET('Dist Cust Factors'!$B$12,$O138-1,R$14)*$L138+OFFSET('Dist Cust Factors'!$B$12,$K138-1,R$14)*$H138</f>
        <v>0</v>
      </c>
      <c r="S138" s="79"/>
      <c r="T138" s="79">
        <f ca="1">OFFSET('Dist Cust Factors'!$B$12,$O138-1,T$14)*$L138+OFFSET('Dist Cust Factors'!$B$12,$K138-1,T$14)*$H138</f>
        <v>0</v>
      </c>
      <c r="U138" s="79"/>
      <c r="V138" s="79">
        <f ca="1">OFFSET('Dist Cust Factors'!$B$12,$O138-1,V$14)*$L138+OFFSET('Dist Cust Factors'!$B$12,$K138-1,V$14)*$H138</f>
        <v>0</v>
      </c>
      <c r="X138" s="112"/>
      <c r="Z138" s="93">
        <f ca="1">'Distribution Class'!BH138</f>
        <v>0</v>
      </c>
      <c r="AA138" s="100">
        <f t="shared" ref="AA138:AA143" ca="1" si="28">IFERROR(Z138/F138,0)</f>
        <v>0</v>
      </c>
      <c r="AC138" s="50">
        <f t="shared" ca="1" si="17"/>
        <v>0</v>
      </c>
      <c r="AE138" s="50">
        <f t="shared" ca="1" si="18"/>
        <v>0</v>
      </c>
      <c r="AG138" s="50">
        <f t="shared" ca="1" si="19"/>
        <v>0</v>
      </c>
      <c r="AI138" s="50">
        <f t="shared" ca="1" si="20"/>
        <v>0</v>
      </c>
    </row>
    <row r="139" spans="2:35" x14ac:dyDescent="0.2">
      <c r="B139" s="18">
        <f>B138+1</f>
        <v>84</v>
      </c>
      <c r="C139" s="1"/>
      <c r="D139" s="36" t="s">
        <v>204</v>
      </c>
      <c r="F139" s="50">
        <f ca="1">'Distribution Class'!AF139</f>
        <v>0</v>
      </c>
      <c r="H139" s="79"/>
      <c r="K139" s="73">
        <f>_xlfn.IFNA(MATCH(J139,'Dist Cust Factors'!$B$12:$B$453,0),0)</f>
        <v>0</v>
      </c>
      <c r="L139" s="50">
        <f t="shared" ca="1" si="27"/>
        <v>0</v>
      </c>
      <c r="O139" s="73">
        <f>_xlfn.IFNA(MATCH(N139,'Dist Cust Factors'!$B$12:$B$457,0),0)</f>
        <v>0</v>
      </c>
      <c r="P139" s="79">
        <f ca="1">OFFSET('Dist Cust Factors'!$B$12,$O139-1,P$14)*$L139+OFFSET('Dist Cust Factors'!$B$12,$K139-1,P$14)*$H139</f>
        <v>0</v>
      </c>
      <c r="R139" s="79">
        <f ca="1">OFFSET('Dist Cust Factors'!$B$12,$O139-1,R$14)*$L139+OFFSET('Dist Cust Factors'!$B$12,$K139-1,R$14)*$H139</f>
        <v>0</v>
      </c>
      <c r="S139" s="79"/>
      <c r="T139" s="79">
        <f ca="1">OFFSET('Dist Cust Factors'!$B$12,$O139-1,T$14)*$L139+OFFSET('Dist Cust Factors'!$B$12,$K139-1,T$14)*$H139</f>
        <v>0</v>
      </c>
      <c r="U139" s="79"/>
      <c r="V139" s="79">
        <f ca="1">OFFSET('Dist Cust Factors'!$B$12,$O139-1,V$14)*$L139+OFFSET('Dist Cust Factors'!$B$12,$K139-1,V$14)*$H139</f>
        <v>0</v>
      </c>
      <c r="X139" s="112"/>
      <c r="Z139" s="93">
        <f ca="1">'Distribution Class'!BH139</f>
        <v>0</v>
      </c>
      <c r="AA139" s="100">
        <f t="shared" ca="1" si="28"/>
        <v>0</v>
      </c>
      <c r="AC139" s="50">
        <f t="shared" ca="1" si="17"/>
        <v>0</v>
      </c>
      <c r="AE139" s="50">
        <f t="shared" ca="1" si="18"/>
        <v>0</v>
      </c>
      <c r="AG139" s="50">
        <f t="shared" ca="1" si="19"/>
        <v>0</v>
      </c>
      <c r="AI139" s="50">
        <f t="shared" ca="1" si="20"/>
        <v>0</v>
      </c>
    </row>
    <row r="140" spans="2:35" x14ac:dyDescent="0.2">
      <c r="B140" s="18">
        <f t="shared" ref="B140:B143" si="29">B139+1</f>
        <v>85</v>
      </c>
      <c r="C140" s="1"/>
      <c r="D140" s="36" t="s">
        <v>178</v>
      </c>
      <c r="F140" s="50">
        <f ca="1">'Distribution Class'!AF140</f>
        <v>0</v>
      </c>
      <c r="H140" s="79"/>
      <c r="K140" s="73">
        <f>_xlfn.IFNA(MATCH(J140,'Dist Cust Factors'!$B$12:$B$453,0),0)</f>
        <v>0</v>
      </c>
      <c r="L140" s="50">
        <f t="shared" ca="1" si="27"/>
        <v>0</v>
      </c>
      <c r="O140" s="73">
        <f>_xlfn.IFNA(MATCH(N140,'Dist Cust Factors'!$B$12:$B$457,0),0)</f>
        <v>0</v>
      </c>
      <c r="P140" s="79">
        <f ca="1">OFFSET('Dist Cust Factors'!$B$12,$O140-1,P$14)*$L140+OFFSET('Dist Cust Factors'!$B$12,$K140-1,P$14)*$H140</f>
        <v>0</v>
      </c>
      <c r="R140" s="79">
        <f ca="1">OFFSET('Dist Cust Factors'!$B$12,$O140-1,R$14)*$L140+OFFSET('Dist Cust Factors'!$B$12,$K140-1,R$14)*$H140</f>
        <v>0</v>
      </c>
      <c r="S140" s="79"/>
      <c r="T140" s="79">
        <f ca="1">OFFSET('Dist Cust Factors'!$B$12,$O140-1,T$14)*$L140+OFFSET('Dist Cust Factors'!$B$12,$K140-1,T$14)*$H140</f>
        <v>0</v>
      </c>
      <c r="U140" s="79"/>
      <c r="V140" s="79">
        <f ca="1">OFFSET('Dist Cust Factors'!$B$12,$O140-1,V$14)*$L140+OFFSET('Dist Cust Factors'!$B$12,$K140-1,V$14)*$H140</f>
        <v>0</v>
      </c>
      <c r="X140" s="112"/>
      <c r="Z140" s="93">
        <f ca="1">'Distribution Class'!BH140</f>
        <v>0</v>
      </c>
      <c r="AA140" s="100">
        <f t="shared" ca="1" si="28"/>
        <v>0</v>
      </c>
      <c r="AC140" s="50">
        <f t="shared" ca="1" si="17"/>
        <v>0</v>
      </c>
      <c r="AE140" s="50">
        <f t="shared" ca="1" si="18"/>
        <v>0</v>
      </c>
      <c r="AG140" s="50">
        <f t="shared" ca="1" si="19"/>
        <v>0</v>
      </c>
      <c r="AI140" s="50">
        <f t="shared" ca="1" si="20"/>
        <v>0</v>
      </c>
    </row>
    <row r="141" spans="2:35" x14ac:dyDescent="0.2">
      <c r="B141" s="18">
        <f t="shared" si="29"/>
        <v>86</v>
      </c>
      <c r="C141" s="1"/>
      <c r="D141" s="36" t="s">
        <v>205</v>
      </c>
      <c r="F141" s="50">
        <f ca="1">'Distribution Class'!AF141</f>
        <v>0</v>
      </c>
      <c r="H141" s="79"/>
      <c r="K141" s="73">
        <f>_xlfn.IFNA(MATCH(J141,'Dist Cust Factors'!$B$12:$B$453,0),0)</f>
        <v>0</v>
      </c>
      <c r="L141" s="50">
        <f t="shared" ca="1" si="27"/>
        <v>0</v>
      </c>
      <c r="O141" s="73">
        <f>_xlfn.IFNA(MATCH(N141,'Dist Cust Factors'!$B$12:$B$457,0),0)</f>
        <v>0</v>
      </c>
      <c r="P141" s="79">
        <f ca="1">OFFSET('Dist Cust Factors'!$B$12,$O141-1,P$14)*$L141+OFFSET('Dist Cust Factors'!$B$12,$K141-1,P$14)*$H141</f>
        <v>0</v>
      </c>
      <c r="R141" s="79">
        <f ca="1">OFFSET('Dist Cust Factors'!$B$12,$O141-1,R$14)*$L141+OFFSET('Dist Cust Factors'!$B$12,$K141-1,R$14)*$H141</f>
        <v>0</v>
      </c>
      <c r="S141" s="79"/>
      <c r="T141" s="79">
        <f ca="1">OFFSET('Dist Cust Factors'!$B$12,$O141-1,T$14)*$L141+OFFSET('Dist Cust Factors'!$B$12,$K141-1,T$14)*$H141</f>
        <v>0</v>
      </c>
      <c r="U141" s="79"/>
      <c r="V141" s="79">
        <f ca="1">OFFSET('Dist Cust Factors'!$B$12,$O141-1,V$14)*$L141+OFFSET('Dist Cust Factors'!$B$12,$K141-1,V$14)*$H141</f>
        <v>0</v>
      </c>
      <c r="X141" s="112"/>
      <c r="Z141" s="93">
        <f ca="1">'Distribution Class'!BH141</f>
        <v>0</v>
      </c>
      <c r="AA141" s="100">
        <f t="shared" ca="1" si="28"/>
        <v>0</v>
      </c>
      <c r="AC141" s="50">
        <f t="shared" ca="1" si="17"/>
        <v>0</v>
      </c>
      <c r="AE141" s="50">
        <f t="shared" ca="1" si="18"/>
        <v>0</v>
      </c>
      <c r="AG141" s="50">
        <f t="shared" ca="1" si="19"/>
        <v>0</v>
      </c>
      <c r="AI141" s="50">
        <f t="shared" ca="1" si="20"/>
        <v>0</v>
      </c>
    </row>
    <row r="142" spans="2:35" x14ac:dyDescent="0.2">
      <c r="B142" s="18">
        <f t="shared" si="29"/>
        <v>87</v>
      </c>
      <c r="C142" s="1"/>
      <c r="D142" s="36" t="s">
        <v>21</v>
      </c>
      <c r="F142" s="50">
        <f ca="1">'Distribution Class'!AF142</f>
        <v>0</v>
      </c>
      <c r="H142" s="79"/>
      <c r="K142" s="73">
        <f>_xlfn.IFNA(MATCH(J142,'Dist Cust Factors'!$B$12:$B$453,0),0)</f>
        <v>0</v>
      </c>
      <c r="L142" s="50">
        <f t="shared" ca="1" si="27"/>
        <v>0</v>
      </c>
      <c r="O142" s="73">
        <f>_xlfn.IFNA(MATCH(N142,'Dist Cust Factors'!$B$12:$B$457,0),0)</f>
        <v>0</v>
      </c>
      <c r="P142" s="79">
        <f ca="1">OFFSET('Dist Cust Factors'!$B$12,$O142-1,P$14)*$L142+OFFSET('Dist Cust Factors'!$B$12,$K142-1,P$14)*$H142</f>
        <v>0</v>
      </c>
      <c r="R142" s="79">
        <f ca="1">OFFSET('Dist Cust Factors'!$B$12,$O142-1,R$14)*$L142+OFFSET('Dist Cust Factors'!$B$12,$K142-1,R$14)*$H142</f>
        <v>0</v>
      </c>
      <c r="S142" s="79"/>
      <c r="T142" s="79">
        <f ca="1">OFFSET('Dist Cust Factors'!$B$12,$O142-1,T$14)*$L142+OFFSET('Dist Cust Factors'!$B$12,$K142-1,T$14)*$H142</f>
        <v>0</v>
      </c>
      <c r="U142" s="79"/>
      <c r="V142" s="79">
        <f ca="1">OFFSET('Dist Cust Factors'!$B$12,$O142-1,V$14)*$L142+OFFSET('Dist Cust Factors'!$B$12,$K142-1,V$14)*$H142</f>
        <v>0</v>
      </c>
      <c r="X142" s="112"/>
      <c r="Z142" s="93">
        <f ca="1">'Distribution Class'!BH142</f>
        <v>0</v>
      </c>
      <c r="AA142" s="100">
        <f t="shared" ca="1" si="28"/>
        <v>0</v>
      </c>
      <c r="AC142" s="50">
        <f t="shared" ca="1" si="17"/>
        <v>0</v>
      </c>
      <c r="AE142" s="50">
        <f t="shared" ca="1" si="18"/>
        <v>0</v>
      </c>
      <c r="AG142" s="50">
        <f t="shared" ca="1" si="19"/>
        <v>0</v>
      </c>
      <c r="AI142" s="50">
        <f t="shared" ca="1" si="20"/>
        <v>0</v>
      </c>
    </row>
    <row r="143" spans="2:35" x14ac:dyDescent="0.2">
      <c r="B143" s="18">
        <f t="shared" si="29"/>
        <v>88</v>
      </c>
      <c r="C143" s="1"/>
      <c r="D143" s="36" t="s">
        <v>206</v>
      </c>
      <c r="F143" s="50">
        <f ca="1">'Distribution Class'!AF143</f>
        <v>0</v>
      </c>
      <c r="H143" s="79"/>
      <c r="K143" s="73">
        <f>_xlfn.IFNA(MATCH(J143,'Dist Cust Factors'!$B$12:$B$453,0),0)</f>
        <v>0</v>
      </c>
      <c r="L143" s="50">
        <f t="shared" ca="1" si="27"/>
        <v>0</v>
      </c>
      <c r="O143" s="73">
        <f>_xlfn.IFNA(MATCH(N143,'Dist Cust Factors'!$B$12:$B$457,0),0)</f>
        <v>0</v>
      </c>
      <c r="P143" s="79">
        <f ca="1">OFFSET('Dist Cust Factors'!$B$12,$O143-1,P$14)*$L143+OFFSET('Dist Cust Factors'!$B$12,$K143-1,P$14)*$H143</f>
        <v>0</v>
      </c>
      <c r="R143" s="79">
        <f ca="1">OFFSET('Dist Cust Factors'!$B$12,$O143-1,R$14)*$L143+OFFSET('Dist Cust Factors'!$B$12,$K143-1,R$14)*$H143</f>
        <v>0</v>
      </c>
      <c r="S143" s="79"/>
      <c r="T143" s="79">
        <f ca="1">OFFSET('Dist Cust Factors'!$B$12,$O143-1,T$14)*$L143+OFFSET('Dist Cust Factors'!$B$12,$K143-1,T$14)*$H143</f>
        <v>0</v>
      </c>
      <c r="U143" s="79"/>
      <c r="V143" s="79">
        <f ca="1">OFFSET('Dist Cust Factors'!$B$12,$O143-1,V$14)*$L143+OFFSET('Dist Cust Factors'!$B$12,$K143-1,V$14)*$H143</f>
        <v>0</v>
      </c>
      <c r="X143" s="112"/>
      <c r="Z143" s="93">
        <f ca="1">'Distribution Class'!BH143</f>
        <v>0</v>
      </c>
      <c r="AA143" s="100">
        <f t="shared" ca="1" si="28"/>
        <v>0</v>
      </c>
      <c r="AC143" s="50">
        <f t="shared" ca="1" si="17"/>
        <v>0</v>
      </c>
      <c r="AE143" s="50">
        <f t="shared" ca="1" si="18"/>
        <v>0</v>
      </c>
      <c r="AG143" s="50">
        <f t="shared" ca="1" si="19"/>
        <v>0</v>
      </c>
      <c r="AI143" s="50">
        <f t="shared" ca="1" si="20"/>
        <v>0</v>
      </c>
    </row>
    <row r="144" spans="2:35" x14ac:dyDescent="0.2">
      <c r="B144" s="18"/>
      <c r="C144" s="1"/>
      <c r="D144" s="1" t="s">
        <v>207</v>
      </c>
      <c r="K144" s="73"/>
      <c r="O144" s="73"/>
      <c r="P144" s="79"/>
      <c r="R144" s="79"/>
      <c r="S144" s="79"/>
      <c r="T144" s="79"/>
      <c r="U144" s="79"/>
      <c r="V144" s="79"/>
      <c r="X144" s="112"/>
      <c r="AC144" s="50">
        <f t="shared" si="17"/>
        <v>0</v>
      </c>
      <c r="AE144" s="50">
        <f t="shared" si="18"/>
        <v>0</v>
      </c>
      <c r="AG144" s="50">
        <f t="shared" si="19"/>
        <v>0</v>
      </c>
      <c r="AI144" s="50">
        <f t="shared" si="20"/>
        <v>0</v>
      </c>
    </row>
    <row r="145" spans="2:35" x14ac:dyDescent="0.2">
      <c r="B145" s="18">
        <f>B143+1</f>
        <v>89</v>
      </c>
      <c r="C145" s="1"/>
      <c r="D145" s="36" t="s">
        <v>208</v>
      </c>
      <c r="F145" s="50">
        <f ca="1">'Distribution Class'!AF145</f>
        <v>394.23107506524224</v>
      </c>
      <c r="H145" s="79">
        <f ca="1">F145</f>
        <v>394.23107506524224</v>
      </c>
      <c r="J145" s="2" t="s">
        <v>317</v>
      </c>
      <c r="K145" s="73">
        <f>_xlfn.IFNA(MATCH(J145,'Dist Cust Factors'!$B$12:$B$453,0),0)</f>
        <v>5</v>
      </c>
      <c r="L145" s="50">
        <f ca="1">F145-H145</f>
        <v>0</v>
      </c>
      <c r="O145" s="73">
        <f>_xlfn.IFNA(MATCH(N145,'Dist Cust Factors'!$B$12:$B$457,0),0)</f>
        <v>0</v>
      </c>
      <c r="P145" s="79">
        <f ca="1">OFFSET('Dist Cust Factors'!$B$12,$O145-1,P$14)*$L145+OFFSET('Dist Cust Factors'!$B$12,$K145-1,P$14)*$H145</f>
        <v>0</v>
      </c>
      <c r="R145" s="79">
        <f ca="1">OFFSET('Dist Cust Factors'!$B$12,$O145-1,R$14)*$L145+OFFSET('Dist Cust Factors'!$B$12,$K145-1,R$14)*$H145</f>
        <v>0</v>
      </c>
      <c r="S145" s="79"/>
      <c r="T145" s="79">
        <f ca="1">OFFSET('Dist Cust Factors'!$B$12,$O145-1,T$14)*$L145+OFFSET('Dist Cust Factors'!$B$12,$K145-1,T$14)*$H145</f>
        <v>394.23107506524224</v>
      </c>
      <c r="U145" s="79"/>
      <c r="V145" s="79">
        <f ca="1">OFFSET('Dist Cust Factors'!$B$12,$O145-1,V$14)*$L145+OFFSET('Dist Cust Factors'!$B$12,$K145-1,V$14)*$H145</f>
        <v>0</v>
      </c>
      <c r="X145" s="112"/>
      <c r="Z145" s="93">
        <f ca="1">'Distribution Class'!BH145</f>
        <v>0</v>
      </c>
      <c r="AA145" s="100">
        <f ca="1">IFERROR(Z145/F145,0)</f>
        <v>0</v>
      </c>
      <c r="AC145" s="50">
        <f t="shared" ca="1" si="17"/>
        <v>0</v>
      </c>
      <c r="AE145" s="50">
        <f t="shared" ca="1" si="18"/>
        <v>0</v>
      </c>
      <c r="AG145" s="50">
        <f t="shared" ca="1" si="19"/>
        <v>0</v>
      </c>
      <c r="AI145" s="50">
        <f t="shared" ca="1" si="20"/>
        <v>0</v>
      </c>
    </row>
    <row r="146" spans="2:35" x14ac:dyDescent="0.2">
      <c r="B146" s="18"/>
      <c r="C146" s="1"/>
      <c r="D146" s="1" t="s">
        <v>209</v>
      </c>
      <c r="X146" s="112"/>
      <c r="AC146" s="50">
        <f t="shared" si="17"/>
        <v>0</v>
      </c>
      <c r="AE146" s="50">
        <f t="shared" si="18"/>
        <v>0</v>
      </c>
      <c r="AG146" s="50">
        <f t="shared" si="19"/>
        <v>0</v>
      </c>
      <c r="AI146" s="50">
        <f t="shared" si="20"/>
        <v>0</v>
      </c>
    </row>
    <row r="147" spans="2:35" x14ac:dyDescent="0.2">
      <c r="B147" s="18">
        <f>B145+1</f>
        <v>90</v>
      </c>
      <c r="C147" s="1"/>
      <c r="D147" s="36" t="s">
        <v>177</v>
      </c>
      <c r="F147" s="50">
        <f ca="1">'Distribution Class'!AF147</f>
        <v>10182.521136802581</v>
      </c>
      <c r="H147" s="79"/>
      <c r="K147" s="73">
        <f>_xlfn.IFNA(MATCH(J147,'Dist Cust Factors'!$B$12:$B$453,0),0)</f>
        <v>0</v>
      </c>
      <c r="L147" s="50">
        <f t="shared" ref="L147:L149" ca="1" si="30">F147-H147</f>
        <v>10182.521136802581</v>
      </c>
      <c r="N147" s="2" t="s">
        <v>220</v>
      </c>
      <c r="O147" s="73">
        <f>_xlfn.IFNA(MATCH(N147,'Dist Cust Factors'!$B$12:$B$457,0),0)</f>
        <v>23</v>
      </c>
      <c r="P147" s="79">
        <f ca="1">OFFSET('Dist Cust Factors'!$B$12,$O147-1,P$14)*$L147+OFFSET('Dist Cust Factors'!$B$12,$K147-1,P$14)*$H147</f>
        <v>0</v>
      </c>
      <c r="R147" s="79">
        <f ca="1">OFFSET('Dist Cust Factors'!$B$12,$O147-1,R$14)*$L147+OFFSET('Dist Cust Factors'!$B$12,$K147-1,R$14)*$H147</f>
        <v>10182.521136802581</v>
      </c>
      <c r="S147" s="79"/>
      <c r="T147" s="79">
        <f ca="1">OFFSET('Dist Cust Factors'!$B$12,$O147-1,T$14)*$L147+OFFSET('Dist Cust Factors'!$B$12,$K147-1,T$14)*$H147</f>
        <v>0</v>
      </c>
      <c r="U147" s="79"/>
      <c r="V147" s="79">
        <f ca="1">OFFSET('Dist Cust Factors'!$B$12,$O147-1,V$14)*$L147+OFFSET('Dist Cust Factors'!$B$12,$K147-1,V$14)*$H147</f>
        <v>0</v>
      </c>
      <c r="X147" s="112"/>
      <c r="Z147" s="93">
        <f ca="1">'Distribution Class'!BH147</f>
        <v>6545.1150972226396</v>
      </c>
      <c r="AA147" s="100">
        <f ca="1">IFERROR(Z147/F147,0)</f>
        <v>0.64277942655740705</v>
      </c>
      <c r="AC147" s="50">
        <f t="shared" ca="1" si="17"/>
        <v>0</v>
      </c>
      <c r="AE147" s="50">
        <f t="shared" ca="1" si="18"/>
        <v>6545.1150972226396</v>
      </c>
      <c r="AG147" s="50">
        <f t="shared" ca="1" si="19"/>
        <v>0</v>
      </c>
      <c r="AI147" s="50">
        <f t="shared" ca="1" si="20"/>
        <v>0</v>
      </c>
    </row>
    <row r="148" spans="2:35" x14ac:dyDescent="0.2">
      <c r="B148" s="18">
        <f>B147+1</f>
        <v>91</v>
      </c>
      <c r="C148" s="1"/>
      <c r="D148" s="36" t="s">
        <v>122</v>
      </c>
      <c r="F148" s="50">
        <v>0</v>
      </c>
      <c r="H148" s="79"/>
      <c r="K148" s="73">
        <f>_xlfn.IFNA(MATCH(J148,'Dist Cust Factors'!$B$12:$B$453,0),0)</f>
        <v>0</v>
      </c>
      <c r="L148" s="50">
        <f t="shared" si="30"/>
        <v>0</v>
      </c>
      <c r="O148" s="73">
        <f>_xlfn.IFNA(MATCH(N148,'Dist Cust Factors'!$B$12:$B$457,0),0)</f>
        <v>0</v>
      </c>
      <c r="P148" s="79">
        <f ca="1">OFFSET('Dist Cust Factors'!$B$12,$O148-1,P$14)*$L148+OFFSET('Dist Cust Factors'!$B$12,$K148-1,P$14)*$H148</f>
        <v>0</v>
      </c>
      <c r="R148" s="79">
        <f ca="1">OFFSET('Dist Cust Factors'!$B$12,$O148-1,R$14)*$L148+OFFSET('Dist Cust Factors'!$B$12,$K148-1,R$14)*$H148</f>
        <v>0</v>
      </c>
      <c r="S148" s="79"/>
      <c r="T148" s="79">
        <f ca="1">OFFSET('Dist Cust Factors'!$B$12,$O148-1,T$14)*$L148+OFFSET('Dist Cust Factors'!$B$12,$K148-1,T$14)*$H148</f>
        <v>0</v>
      </c>
      <c r="U148" s="79"/>
      <c r="V148" s="79">
        <f ca="1">OFFSET('Dist Cust Factors'!$B$12,$O148-1,V$14)*$L148+OFFSET('Dist Cust Factors'!$B$12,$K148-1,V$14)*$H148</f>
        <v>0</v>
      </c>
      <c r="X148" s="112"/>
      <c r="Z148" s="93">
        <f ca="1">'Distribution Class'!BH148</f>
        <v>0</v>
      </c>
      <c r="AA148" s="100">
        <f ca="1">IFERROR(Z148/F148,0)</f>
        <v>0</v>
      </c>
      <c r="AC148" s="50">
        <f t="shared" ca="1" si="17"/>
        <v>0</v>
      </c>
      <c r="AE148" s="50">
        <f t="shared" ca="1" si="18"/>
        <v>0</v>
      </c>
      <c r="AG148" s="50">
        <f t="shared" ca="1" si="19"/>
        <v>0</v>
      </c>
      <c r="AI148" s="50">
        <f t="shared" ca="1" si="20"/>
        <v>0</v>
      </c>
    </row>
    <row r="149" spans="2:35" x14ac:dyDescent="0.2">
      <c r="B149" s="18">
        <f t="shared" ref="B149" si="31">B148+1</f>
        <v>92</v>
      </c>
      <c r="C149" s="1"/>
      <c r="D149" s="36" t="s">
        <v>210</v>
      </c>
      <c r="F149" s="50">
        <v>0</v>
      </c>
      <c r="H149" s="79"/>
      <c r="K149" s="73">
        <f>_xlfn.IFNA(MATCH(J149,'Dist Cust Factors'!$B$12:$B$453,0),0)</f>
        <v>0</v>
      </c>
      <c r="L149" s="50">
        <f t="shared" si="30"/>
        <v>0</v>
      </c>
      <c r="O149" s="73">
        <f>_xlfn.IFNA(MATCH(N149,'Dist Cust Factors'!$B$12:$B$457,0),0)</f>
        <v>0</v>
      </c>
      <c r="P149" s="79">
        <f ca="1">OFFSET('Dist Cust Factors'!$B$12,$O149-1,P$14)*$L149+OFFSET('Dist Cust Factors'!$B$12,$K149-1,P$14)*$H149</f>
        <v>0</v>
      </c>
      <c r="R149" s="79">
        <f ca="1">OFFSET('Dist Cust Factors'!$B$12,$O149-1,R$14)*$L149+OFFSET('Dist Cust Factors'!$B$12,$K149-1,R$14)*$H149</f>
        <v>0</v>
      </c>
      <c r="S149" s="79"/>
      <c r="T149" s="79">
        <f ca="1">OFFSET('Dist Cust Factors'!$B$12,$O149-1,T$14)*$L149+OFFSET('Dist Cust Factors'!$B$12,$K149-1,T$14)*$H149</f>
        <v>0</v>
      </c>
      <c r="U149" s="79"/>
      <c r="V149" s="79">
        <f ca="1">OFFSET('Dist Cust Factors'!$B$12,$O149-1,V$14)*$L149+OFFSET('Dist Cust Factors'!$B$12,$K149-1,V$14)*$H149</f>
        <v>0</v>
      </c>
      <c r="X149" s="112"/>
      <c r="Z149" s="93">
        <f ca="1">'Distribution Class'!BH149</f>
        <v>0</v>
      </c>
      <c r="AA149" s="100">
        <f ca="1">IFERROR(Z149/F149,0)</f>
        <v>0</v>
      </c>
      <c r="AC149" s="50">
        <f t="shared" ca="1" si="17"/>
        <v>0</v>
      </c>
      <c r="AE149" s="50">
        <f t="shared" ca="1" si="18"/>
        <v>0</v>
      </c>
      <c r="AG149" s="50">
        <f t="shared" ca="1" si="19"/>
        <v>0</v>
      </c>
      <c r="AI149" s="50">
        <f t="shared" ca="1" si="20"/>
        <v>0</v>
      </c>
    </row>
    <row r="150" spans="2:35" x14ac:dyDescent="0.2">
      <c r="B150" s="18"/>
      <c r="C150" s="1"/>
      <c r="D150" s="1" t="s">
        <v>72</v>
      </c>
      <c r="X150" s="112"/>
      <c r="AC150" s="50">
        <f t="shared" si="17"/>
        <v>0</v>
      </c>
      <c r="AE150" s="50">
        <f t="shared" si="18"/>
        <v>0</v>
      </c>
      <c r="AG150" s="50">
        <f t="shared" si="19"/>
        <v>0</v>
      </c>
      <c r="AI150" s="50">
        <f t="shared" si="20"/>
        <v>0</v>
      </c>
    </row>
    <row r="151" spans="2:35" x14ac:dyDescent="0.2">
      <c r="B151" s="18">
        <f>B149+1</f>
        <v>93</v>
      </c>
      <c r="C151" s="1"/>
      <c r="D151" s="36" t="s">
        <v>171</v>
      </c>
      <c r="F151" s="50">
        <f ca="1">'Distribution Class'!AF151</f>
        <v>2999.0388448958947</v>
      </c>
      <c r="H151" s="79">
        <v>412.91835995474958</v>
      </c>
      <c r="J151" s="2" t="s">
        <v>317</v>
      </c>
      <c r="K151" s="73">
        <f>_xlfn.IFNA(MATCH(J151,'Dist Cust Factors'!$B$12:$B$453,0),0)</f>
        <v>5</v>
      </c>
      <c r="L151" s="50">
        <f t="shared" ref="L151:L157" ca="1" si="32">F151-H151</f>
        <v>2586.1204849411452</v>
      </c>
      <c r="N151" s="2" t="s">
        <v>313</v>
      </c>
      <c r="O151" s="73">
        <f>_xlfn.IFNA(MATCH(N151,'Dist Cust Factors'!$B$12:$B$457,0),0)</f>
        <v>20</v>
      </c>
      <c r="P151" s="79">
        <f ca="1">OFFSET('Dist Cust Factors'!$B$12,$O151-1,P$14)*$L151+OFFSET('Dist Cust Factors'!$B$12,$K151-1,P$14)*$H151</f>
        <v>266.62189812468336</v>
      </c>
      <c r="R151" s="79">
        <f ca="1">OFFSET('Dist Cust Factors'!$B$12,$O151-1,R$14)*$L151+OFFSET('Dist Cust Factors'!$B$12,$K151-1,R$14)*$H151</f>
        <v>2182.9029372798209</v>
      </c>
      <c r="S151" s="79"/>
      <c r="T151" s="79">
        <f ca="1">OFFSET('Dist Cust Factors'!$B$12,$O151-1,T$14)*$L151+OFFSET('Dist Cust Factors'!$B$12,$K151-1,T$14)*$H151</f>
        <v>549.51400949139008</v>
      </c>
      <c r="U151" s="79"/>
      <c r="V151" s="79">
        <f ca="1">OFFSET('Dist Cust Factors'!$B$12,$O151-1,V$14)*$L151+OFFSET('Dist Cust Factors'!$B$12,$K151-1,V$14)*$H151</f>
        <v>0</v>
      </c>
      <c r="X151" s="112"/>
      <c r="Z151" s="93">
        <f ca="1">'Distribution Class'!BH151</f>
        <v>4273.2481020128562</v>
      </c>
      <c r="AA151" s="100">
        <f ca="1">IFERROR(Z151/L151,0)</f>
        <v>1.6523778095010553</v>
      </c>
      <c r="AC151" s="50">
        <f t="shared" ca="1" si="17"/>
        <v>440.56010798827782</v>
      </c>
      <c r="AE151" s="50">
        <f t="shared" ca="1" si="18"/>
        <v>3606.9803738558498</v>
      </c>
      <c r="AG151" s="50">
        <f ca="1">AA151*(T151-H151)</f>
        <v>225.70762016872789</v>
      </c>
      <c r="AI151" s="50">
        <f t="shared" ca="1" si="20"/>
        <v>0</v>
      </c>
    </row>
    <row r="152" spans="2:35" x14ac:dyDescent="0.2">
      <c r="B152" s="18">
        <f>B151+1</f>
        <v>94</v>
      </c>
      <c r="C152" s="1"/>
      <c r="D152" s="36" t="s">
        <v>211</v>
      </c>
      <c r="F152" s="50">
        <f ca="1">'Distribution Class'!AF152</f>
        <v>19535.319138357758</v>
      </c>
      <c r="H152" s="79"/>
      <c r="K152" s="73">
        <f>_xlfn.IFNA(MATCH(J152,'Dist Cust Factors'!$B$12:$B$453,0),0)</f>
        <v>0</v>
      </c>
      <c r="L152" s="50">
        <f t="shared" ca="1" si="32"/>
        <v>19535.319138357758</v>
      </c>
      <c r="N152" s="2" t="s">
        <v>220</v>
      </c>
      <c r="O152" s="73">
        <f>_xlfn.IFNA(MATCH(N152,'Dist Cust Factors'!$B$12:$B$457,0),0)</f>
        <v>23</v>
      </c>
      <c r="P152" s="79">
        <f ca="1">OFFSET('Dist Cust Factors'!$B$12,$O152-1,P$14)*$L152+OFFSET('Dist Cust Factors'!$B$12,$K152-1,P$14)*$H152</f>
        <v>0</v>
      </c>
      <c r="R152" s="79">
        <f ca="1">OFFSET('Dist Cust Factors'!$B$12,$O152-1,R$14)*$L152+OFFSET('Dist Cust Factors'!$B$12,$K152-1,R$14)*$H152</f>
        <v>19535.319138357758</v>
      </c>
      <c r="S152" s="79"/>
      <c r="T152" s="79">
        <f ca="1">OFFSET('Dist Cust Factors'!$B$12,$O152-1,T$14)*$L152+OFFSET('Dist Cust Factors'!$B$12,$K152-1,T$14)*$H152</f>
        <v>0</v>
      </c>
      <c r="U152" s="79"/>
      <c r="V152" s="79">
        <f ca="1">OFFSET('Dist Cust Factors'!$B$12,$O152-1,V$14)*$L152+OFFSET('Dist Cust Factors'!$B$12,$K152-1,V$14)*$H152</f>
        <v>0</v>
      </c>
      <c r="X152" s="112"/>
      <c r="Z152" s="93">
        <f ca="1">'Distribution Class'!BH152</f>
        <v>8208.9423951896006</v>
      </c>
      <c r="AA152" s="100">
        <f t="shared" ref="AA152:AA157" ca="1" si="33">IFERROR(Z152/F152,0)</f>
        <v>0.42021030406773724</v>
      </c>
      <c r="AC152" s="50">
        <f t="shared" ca="1" si="17"/>
        <v>0</v>
      </c>
      <c r="AE152" s="50">
        <f t="shared" ca="1" si="18"/>
        <v>8208.9423951896006</v>
      </c>
      <c r="AG152" s="50">
        <f ca="1">$AA152*T152</f>
        <v>0</v>
      </c>
      <c r="AI152" s="50">
        <f t="shared" ca="1" si="20"/>
        <v>0</v>
      </c>
    </row>
    <row r="153" spans="2:35" x14ac:dyDescent="0.2">
      <c r="B153" s="18">
        <f>B152+1</f>
        <v>95</v>
      </c>
      <c r="C153" s="1"/>
      <c r="D153" s="36" t="s">
        <v>172</v>
      </c>
      <c r="F153" s="50">
        <f ca="1">'Distribution Class'!AF153</f>
        <v>23437.232127810334</v>
      </c>
      <c r="H153" s="79"/>
      <c r="K153" s="73">
        <f>_xlfn.IFNA(MATCH(J153,'Dist Cust Factors'!$B$12:$B$453,0),0)</f>
        <v>0</v>
      </c>
      <c r="L153" s="50">
        <f t="shared" ca="1" si="32"/>
        <v>23437.232127810334</v>
      </c>
      <c r="N153" s="2" t="s">
        <v>220</v>
      </c>
      <c r="O153" s="73">
        <f>_xlfn.IFNA(MATCH(N153,'Dist Cust Factors'!$B$12:$B$457,0),0)</f>
        <v>23</v>
      </c>
      <c r="P153" s="79">
        <f ca="1">OFFSET('Dist Cust Factors'!$B$12,$O153-1,P$14)*$L153+OFFSET('Dist Cust Factors'!$B$12,$K153-1,P$14)*$H153</f>
        <v>0</v>
      </c>
      <c r="R153" s="79">
        <f ca="1">OFFSET('Dist Cust Factors'!$B$12,$O153-1,R$14)*$L153+OFFSET('Dist Cust Factors'!$B$12,$K153-1,R$14)*$H153</f>
        <v>23437.232127810334</v>
      </c>
      <c r="S153" s="79"/>
      <c r="T153" s="79">
        <f ca="1">OFFSET('Dist Cust Factors'!$B$12,$O153-1,T$14)*$L153+OFFSET('Dist Cust Factors'!$B$12,$K153-1,T$14)*$H153</f>
        <v>0</v>
      </c>
      <c r="U153" s="79"/>
      <c r="V153" s="79">
        <f ca="1">OFFSET('Dist Cust Factors'!$B$12,$O153-1,V$14)*$L153+OFFSET('Dist Cust Factors'!$B$12,$K153-1,V$14)*$H153</f>
        <v>0</v>
      </c>
      <c r="X153" s="112"/>
      <c r="Z153" s="93">
        <f ca="1">'Distribution Class'!BH153</f>
        <v>430.97034567832998</v>
      </c>
      <c r="AA153" s="100">
        <f t="shared" ca="1" si="33"/>
        <v>1.8388278245832015E-2</v>
      </c>
      <c r="AC153" s="50">
        <f t="shared" ca="1" si="17"/>
        <v>0</v>
      </c>
      <c r="AE153" s="50">
        <f t="shared" ca="1" si="18"/>
        <v>430.97034567832998</v>
      </c>
      <c r="AG153" s="50">
        <f t="shared" ca="1" si="19"/>
        <v>0</v>
      </c>
      <c r="AI153" s="50">
        <f t="shared" ca="1" si="20"/>
        <v>0</v>
      </c>
    </row>
    <row r="154" spans="2:35" x14ac:dyDescent="0.2">
      <c r="B154" s="18">
        <f t="shared" ref="B154:B157" si="34">B153+1</f>
        <v>96</v>
      </c>
      <c r="C154" s="1"/>
      <c r="D154" s="36" t="s">
        <v>173</v>
      </c>
      <c r="F154" s="50">
        <f ca="1">'Distribution Class'!AF154</f>
        <v>47499.389818864729</v>
      </c>
      <c r="H154" s="79"/>
      <c r="K154" s="73">
        <f>_xlfn.IFNA(MATCH(J154,'Dist Cust Factors'!$B$12:$B$453,0),0)</f>
        <v>0</v>
      </c>
      <c r="L154" s="50">
        <f t="shared" ca="1" si="32"/>
        <v>47499.389818864729</v>
      </c>
      <c r="N154" s="2" t="s">
        <v>220</v>
      </c>
      <c r="O154" s="73">
        <f>_xlfn.IFNA(MATCH(N154,'Dist Cust Factors'!$B$12:$B$457,0),0)</f>
        <v>23</v>
      </c>
      <c r="P154" s="79">
        <f ca="1">OFFSET('Dist Cust Factors'!$B$12,$O154-1,P$14)*$L154+OFFSET('Dist Cust Factors'!$B$12,$K154-1,P$14)*$H154</f>
        <v>0</v>
      </c>
      <c r="R154" s="79">
        <f ca="1">OFFSET('Dist Cust Factors'!$B$12,$O154-1,R$14)*$L154+OFFSET('Dist Cust Factors'!$B$12,$K154-1,R$14)*$H154</f>
        <v>47499.389818864729</v>
      </c>
      <c r="S154" s="79"/>
      <c r="T154" s="79">
        <f ca="1">OFFSET('Dist Cust Factors'!$B$12,$O154-1,T$14)*$L154+OFFSET('Dist Cust Factors'!$B$12,$K154-1,T$14)*$H154</f>
        <v>0</v>
      </c>
      <c r="U154" s="79"/>
      <c r="V154" s="79">
        <f ca="1">OFFSET('Dist Cust Factors'!$B$12,$O154-1,V$14)*$L154+OFFSET('Dist Cust Factors'!$B$12,$K154-1,V$14)*$H154</f>
        <v>0</v>
      </c>
      <c r="X154" s="112"/>
      <c r="Z154" s="93">
        <f ca="1">'Distribution Class'!BH154</f>
        <v>4988.9291576484293</v>
      </c>
      <c r="AA154" s="100">
        <f t="shared" ca="1" si="33"/>
        <v>0.10503143675473152</v>
      </c>
      <c r="AC154" s="50">
        <f t="shared" ca="1" si="17"/>
        <v>0</v>
      </c>
      <c r="AE154" s="50">
        <f t="shared" ca="1" si="18"/>
        <v>4988.9291576484293</v>
      </c>
      <c r="AG154" s="50">
        <f t="shared" ca="1" si="19"/>
        <v>0</v>
      </c>
      <c r="AI154" s="50">
        <f t="shared" ca="1" si="20"/>
        <v>0</v>
      </c>
    </row>
    <row r="155" spans="2:35" x14ac:dyDescent="0.2">
      <c r="B155" s="18">
        <f t="shared" si="34"/>
        <v>97</v>
      </c>
      <c r="C155" s="1"/>
      <c r="D155" s="36" t="s">
        <v>174</v>
      </c>
      <c r="F155" s="50">
        <f ca="1">'Distribution Class'!AF155</f>
        <v>6052.9452734375218</v>
      </c>
      <c r="H155" s="79"/>
      <c r="K155" s="73">
        <f>_xlfn.IFNA(MATCH(J155,'Dist Cust Factors'!$B$12:$B$453,0),0)</f>
        <v>0</v>
      </c>
      <c r="L155" s="50">
        <f t="shared" ca="1" si="32"/>
        <v>6052.9452734375218</v>
      </c>
      <c r="N155" s="2" t="s">
        <v>317</v>
      </c>
      <c r="O155" s="73">
        <f>_xlfn.IFNA(MATCH(N155,'Dist Cust Factors'!$B$12:$B$457,0),0)</f>
        <v>5</v>
      </c>
      <c r="P155" s="79">
        <f ca="1">OFFSET('Dist Cust Factors'!$B$12,$O155-1,P$14)*$L155+OFFSET('Dist Cust Factors'!$B$12,$K155-1,P$14)*$H155</f>
        <v>0</v>
      </c>
      <c r="R155" s="79">
        <f ca="1">OFFSET('Dist Cust Factors'!$B$12,$O155-1,R$14)*$L155+OFFSET('Dist Cust Factors'!$B$12,$K155-1,R$14)*$H155</f>
        <v>0</v>
      </c>
      <c r="S155" s="79"/>
      <c r="T155" s="79">
        <f ca="1">OFFSET('Dist Cust Factors'!$B$12,$O155-1,T$14)*$L155+OFFSET('Dist Cust Factors'!$B$12,$K155-1,T$14)*$H155</f>
        <v>6052.9452734375218</v>
      </c>
      <c r="U155" s="79"/>
      <c r="V155" s="79">
        <f ca="1">OFFSET('Dist Cust Factors'!$B$12,$O155-1,V$14)*$L155+OFFSET('Dist Cust Factors'!$B$12,$K155-1,V$14)*$H155</f>
        <v>0</v>
      </c>
      <c r="X155" s="112"/>
      <c r="Z155" s="93">
        <f ca="1">'Distribution Class'!BH155</f>
        <v>5323.0427163833365</v>
      </c>
      <c r="AA155" s="100">
        <f t="shared" ca="1" si="33"/>
        <v>0.87941365334042298</v>
      </c>
      <c r="AC155" s="50">
        <f t="shared" ca="1" si="17"/>
        <v>0</v>
      </c>
      <c r="AE155" s="50">
        <f t="shared" ca="1" si="18"/>
        <v>0</v>
      </c>
      <c r="AG155" s="50">
        <f t="shared" ca="1" si="19"/>
        <v>5323.0427163833365</v>
      </c>
      <c r="AI155" s="50">
        <f t="shared" ca="1" si="20"/>
        <v>0</v>
      </c>
    </row>
    <row r="156" spans="2:35" x14ac:dyDescent="0.2">
      <c r="B156" s="18">
        <f t="shared" si="34"/>
        <v>98</v>
      </c>
      <c r="C156" s="1"/>
      <c r="D156" s="36" t="s">
        <v>175</v>
      </c>
      <c r="F156" s="50">
        <f ca="1">'Distribution Class'!AF156</f>
        <v>6258.7532042938401</v>
      </c>
      <c r="H156" s="79"/>
      <c r="K156" s="73">
        <f>_xlfn.IFNA(MATCH(J156,'Dist Cust Factors'!$B$12:$B$453,0),0)</f>
        <v>0</v>
      </c>
      <c r="L156" s="50">
        <f t="shared" ca="1" si="32"/>
        <v>6258.7532042938401</v>
      </c>
      <c r="N156" s="2" t="s">
        <v>220</v>
      </c>
      <c r="O156" s="73">
        <f>_xlfn.IFNA(MATCH(N156,'Dist Cust Factors'!$B$12:$B$457,0),0)</f>
        <v>23</v>
      </c>
      <c r="P156" s="79">
        <f ca="1">OFFSET('Dist Cust Factors'!$B$12,$O156-1,P$14)*$L156+OFFSET('Dist Cust Factors'!$B$12,$K156-1,P$14)*$H156</f>
        <v>0</v>
      </c>
      <c r="R156" s="79">
        <f ca="1">OFFSET('Dist Cust Factors'!$B$12,$O156-1,R$14)*$L156+OFFSET('Dist Cust Factors'!$B$12,$K156-1,R$14)*$H156</f>
        <v>6258.7532042938401</v>
      </c>
      <c r="S156" s="79"/>
      <c r="T156" s="79">
        <f ca="1">OFFSET('Dist Cust Factors'!$B$12,$O156-1,T$14)*$L156+OFFSET('Dist Cust Factors'!$B$12,$K156-1,T$14)*$H156</f>
        <v>0</v>
      </c>
      <c r="U156" s="79"/>
      <c r="V156" s="79">
        <f ca="1">OFFSET('Dist Cust Factors'!$B$12,$O156-1,V$14)*$L156+OFFSET('Dist Cust Factors'!$B$12,$K156-1,V$14)*$H156</f>
        <v>0</v>
      </c>
      <c r="X156" s="112"/>
      <c r="Z156" s="93">
        <f ca="1">'Distribution Class'!BH156</f>
        <v>1248.1922043138802</v>
      </c>
      <c r="AA156" s="100">
        <f t="shared" ca="1" si="33"/>
        <v>0.19943144641932095</v>
      </c>
      <c r="AC156" s="50">
        <f t="shared" ca="1" si="17"/>
        <v>0</v>
      </c>
      <c r="AE156" s="50">
        <f t="shared" ca="1" si="18"/>
        <v>1248.1922043138802</v>
      </c>
      <c r="AG156" s="50">
        <f t="shared" ca="1" si="19"/>
        <v>0</v>
      </c>
      <c r="AI156" s="50">
        <f t="shared" ca="1" si="20"/>
        <v>0</v>
      </c>
    </row>
    <row r="157" spans="2:35" x14ac:dyDescent="0.2">
      <c r="B157" s="18">
        <f t="shared" si="34"/>
        <v>99</v>
      </c>
      <c r="C157" s="1"/>
      <c r="D157" s="36" t="s">
        <v>176</v>
      </c>
      <c r="F157" s="50">
        <f ca="1">'Distribution Class'!AF157</f>
        <v>11814.781536038916</v>
      </c>
      <c r="H157" s="79"/>
      <c r="J157" s="2"/>
      <c r="K157" s="73">
        <f>_xlfn.IFNA(MATCH(J157,'Dist Cust Factors'!$B$12:$B$453,0),0)</f>
        <v>0</v>
      </c>
      <c r="L157" s="50">
        <f t="shared" ca="1" si="32"/>
        <v>11814.781536038916</v>
      </c>
      <c r="N157" s="2" t="s">
        <v>223</v>
      </c>
      <c r="O157" s="73">
        <f>_xlfn.IFNA(MATCH(N157,'Dist Cust Factors'!$B$12:$B$457,0),0)</f>
        <v>2</v>
      </c>
      <c r="P157" s="79">
        <f ca="1">OFFSET('Dist Cust Factors'!$B$12,$O157-1,P$14)*$L157+OFFSET('Dist Cust Factors'!$B$12,$K157-1,P$14)*$H157</f>
        <v>11814.781536038916</v>
      </c>
      <c r="R157" s="79">
        <f ca="1">OFFSET('Dist Cust Factors'!$B$12,$O157-1,R$14)*$L157+OFFSET('Dist Cust Factors'!$B$12,$K157-1,R$14)*$H157</f>
        <v>0</v>
      </c>
      <c r="S157" s="79"/>
      <c r="T157" s="79">
        <f ca="1">OFFSET('Dist Cust Factors'!$B$12,$O157-1,T$14)*$L157+OFFSET('Dist Cust Factors'!$B$12,$K157-1,T$14)*$H157</f>
        <v>0</v>
      </c>
      <c r="U157" s="79"/>
      <c r="V157" s="79">
        <f ca="1">OFFSET('Dist Cust Factors'!$B$12,$O157-1,V$14)*$L157+OFFSET('Dist Cust Factors'!$B$12,$K157-1,V$14)*$H157</f>
        <v>0</v>
      </c>
      <c r="X157" s="112"/>
      <c r="Z157" s="93">
        <f ca="1">'Distribution Class'!BH157</f>
        <v>0</v>
      </c>
      <c r="AA157" s="100">
        <f t="shared" ca="1" si="33"/>
        <v>0</v>
      </c>
      <c r="AC157" s="50">
        <f t="shared" ca="1" si="17"/>
        <v>0</v>
      </c>
      <c r="AE157" s="50">
        <f t="shared" ca="1" si="18"/>
        <v>0</v>
      </c>
      <c r="AG157" s="50">
        <f t="shared" ca="1" si="19"/>
        <v>0</v>
      </c>
      <c r="AI157" s="50">
        <f t="shared" ca="1" si="20"/>
        <v>0</v>
      </c>
    </row>
    <row r="158" spans="2:35" x14ac:dyDescent="0.2">
      <c r="B158" s="18"/>
      <c r="C158" s="1"/>
      <c r="D158" s="1" t="s">
        <v>212</v>
      </c>
      <c r="X158" s="112"/>
      <c r="AC158" s="50">
        <f t="shared" si="17"/>
        <v>0</v>
      </c>
      <c r="AE158" s="50">
        <f t="shared" si="18"/>
        <v>0</v>
      </c>
      <c r="AG158" s="50">
        <f t="shared" si="19"/>
        <v>0</v>
      </c>
      <c r="AI158" s="50">
        <f t="shared" si="20"/>
        <v>0</v>
      </c>
    </row>
    <row r="159" spans="2:35" x14ac:dyDescent="0.2">
      <c r="B159" s="18">
        <f>B157+1</f>
        <v>100</v>
      </c>
      <c r="C159" s="1"/>
      <c r="D159" s="36" t="s">
        <v>87</v>
      </c>
      <c r="F159" s="50">
        <f ca="1">'Distribution Class'!AF159</f>
        <v>34567.739357944592</v>
      </c>
      <c r="H159" s="79"/>
      <c r="J159" s="2" t="s">
        <v>317</v>
      </c>
      <c r="K159" s="73">
        <f>_xlfn.IFNA(MATCH(J159,'Dist Cust Factors'!$B$12:$B$453,0),0)</f>
        <v>5</v>
      </c>
      <c r="L159" s="50">
        <f t="shared" ref="L159:L160" ca="1" si="35">F159-H159</f>
        <v>34567.739357944592</v>
      </c>
      <c r="N159" s="2" t="s">
        <v>324</v>
      </c>
      <c r="O159" s="73">
        <f>_xlfn.IFNA(MATCH(N159,'Dist Cust Factors'!$B$12:$B$457,0),0)</f>
        <v>14</v>
      </c>
      <c r="P159" s="79">
        <f ca="1">OFFSET('Dist Cust Factors'!$B$12,$O159-1,P$14)*$L159+OFFSET('Dist Cust Factors'!$B$12,$K159-1,P$14)*$H159</f>
        <v>275.15391362822726</v>
      </c>
      <c r="R159" s="79">
        <f ca="1">OFFSET('Dist Cust Factors'!$B$12,$O159-1,R$14)*$L159+OFFSET('Dist Cust Factors'!$B$12,$K159-1,R$14)*$H159</f>
        <v>28551.834773829702</v>
      </c>
      <c r="S159" s="79"/>
      <c r="T159" s="79">
        <f ca="1">OFFSET('Dist Cust Factors'!$B$12,$O159-1,T$14)*$L159+OFFSET('Dist Cust Factors'!$B$12,$K159-1,T$14)*$H159</f>
        <v>5740.7506704866682</v>
      </c>
      <c r="U159" s="79"/>
      <c r="V159" s="79">
        <f ca="1">OFFSET('Dist Cust Factors'!$B$12,$O159-1,V$14)*$L159+OFFSET('Dist Cust Factors'!$B$12,$K159-1,V$14)*$H159</f>
        <v>0</v>
      </c>
      <c r="X159" s="112"/>
      <c r="Z159" s="93">
        <f>'Distribution Class'!BH159</f>
        <v>0</v>
      </c>
      <c r="AA159" s="100">
        <f ca="1">IFERROR(Z159/F159,0)</f>
        <v>0</v>
      </c>
      <c r="AC159" s="50">
        <f t="shared" ca="1" si="17"/>
        <v>0</v>
      </c>
      <c r="AE159" s="50">
        <f t="shared" ca="1" si="18"/>
        <v>0</v>
      </c>
      <c r="AG159" s="50">
        <f t="shared" ca="1" si="19"/>
        <v>0</v>
      </c>
      <c r="AI159" s="50">
        <f t="shared" ca="1" si="20"/>
        <v>0</v>
      </c>
    </row>
    <row r="160" spans="2:35" x14ac:dyDescent="0.2">
      <c r="B160" s="18">
        <f>B159+1</f>
        <v>101</v>
      </c>
      <c r="C160" s="1"/>
      <c r="D160" s="36" t="s">
        <v>213</v>
      </c>
      <c r="F160" s="50">
        <f ca="1">'Distribution Class'!AF160</f>
        <v>49571.005163963717</v>
      </c>
      <c r="H160" s="38"/>
      <c r="J160" s="2" t="s">
        <v>317</v>
      </c>
      <c r="K160" s="73">
        <f>_xlfn.IFNA(MATCH(J160,'Dist Cust Factors'!$B$12:$B$453,0),0)</f>
        <v>5</v>
      </c>
      <c r="L160" s="50">
        <f t="shared" ca="1" si="35"/>
        <v>49571.005163963717</v>
      </c>
      <c r="N160" s="2" t="s">
        <v>457</v>
      </c>
      <c r="O160" s="73">
        <f>_xlfn.IFNA(MATCH(N160,'Dist Cust Factors'!$B$12:$B$457,0),0)</f>
        <v>8</v>
      </c>
      <c r="P160" s="38">
        <f ca="1">OFFSET('Dist Cust Factors'!$B$12,$O160-1,P$14)*$L160+OFFSET('Dist Cust Factors'!$B$12,$K160-1,P$14)*$H160</f>
        <v>173.85126278492581</v>
      </c>
      <c r="R160" s="38">
        <f ca="1">OFFSET('Dist Cust Factors'!$B$12,$O160-1,R$14)*$L160+OFFSET('Dist Cust Factors'!$B$12,$K160-1,R$14)*$H160</f>
        <v>44170.060666317084</v>
      </c>
      <c r="S160" s="38"/>
      <c r="T160" s="38">
        <f ca="1">OFFSET('Dist Cust Factors'!$B$12,$O160-1,T$14)*$L160+OFFSET('Dist Cust Factors'!$B$12,$K160-1,T$14)*$H160</f>
        <v>5227.0932348617089</v>
      </c>
      <c r="U160" s="38"/>
      <c r="V160" s="38">
        <f ca="1">OFFSET('Dist Cust Factors'!$B$12,$O160-1,V$14)*$L160+OFFSET('Dist Cust Factors'!$B$12,$K160-1,V$14)*$H160</f>
        <v>0</v>
      </c>
      <c r="X160" s="112"/>
      <c r="Z160" s="93">
        <f ca="1">'Distribution Class'!BH160</f>
        <v>27781.189777571602</v>
      </c>
      <c r="AA160" s="100">
        <f ca="1">IFERROR(Z160/L160,0)</f>
        <v>0.56043224634402811</v>
      </c>
      <c r="AC160" s="50">
        <f t="shared" ca="1" si="17"/>
        <v>97.431853732301903</v>
      </c>
      <c r="AE160" s="50">
        <f t="shared" ca="1" si="18"/>
        <v>24754.326320376083</v>
      </c>
      <c r="AG160" s="50">
        <f ca="1">(T160-H160)*AA160</f>
        <v>2929.4316034632202</v>
      </c>
      <c r="AI160" s="50">
        <f t="shared" ca="1" si="20"/>
        <v>0</v>
      </c>
    </row>
    <row r="161" spans="2:35" x14ac:dyDescent="0.2">
      <c r="B161" s="18"/>
      <c r="C161" s="1"/>
      <c r="D161" s="1"/>
      <c r="X161" s="112"/>
    </row>
    <row r="162" spans="2:35" x14ac:dyDescent="0.2">
      <c r="B162" s="18">
        <f>B160+1</f>
        <v>102</v>
      </c>
      <c r="C162" s="1"/>
      <c r="D162" s="1" t="s">
        <v>399</v>
      </c>
      <c r="F162" s="81">
        <f ca="1">SUM(F115:F160)</f>
        <v>212312.95667747513</v>
      </c>
      <c r="H162" s="81">
        <f ca="1">SUM(H115:H160)</f>
        <v>807.14943501999187</v>
      </c>
      <c r="L162" s="81">
        <f ca="1">SUM(L115:L160)</f>
        <v>211505.80724245514</v>
      </c>
      <c r="P162" s="81">
        <f ca="1">SUM(P115:P160)</f>
        <v>12530.408610576753</v>
      </c>
      <c r="R162" s="81">
        <f ca="1">SUM(R115:R160)</f>
        <v>181818.01380355586</v>
      </c>
      <c r="S162" s="79"/>
      <c r="T162" s="81">
        <f ca="1">SUM(T115:T160)</f>
        <v>17964.534263342532</v>
      </c>
      <c r="U162" s="79"/>
      <c r="V162" s="81">
        <f ca="1">SUM(V115:V160)</f>
        <v>0</v>
      </c>
      <c r="X162" s="112"/>
      <c r="Z162" s="81">
        <f ca="1">SUM(Z116:Z161)</f>
        <v>58799.629796020672</v>
      </c>
      <c r="AC162" s="81">
        <f ca="1">SUM(AC116:AC161)</f>
        <v>537.99196172057975</v>
      </c>
      <c r="AE162" s="81">
        <f ca="1">SUM(AE116:AE161)</f>
        <v>49783.455894284809</v>
      </c>
      <c r="AG162" s="81">
        <f ca="1">SUM(AG116:AG161)</f>
        <v>8478.1819400152854</v>
      </c>
      <c r="AI162" s="81">
        <f ca="1">SUM(AI116:AI161)</f>
        <v>0</v>
      </c>
    </row>
    <row r="163" spans="2:35" x14ac:dyDescent="0.2">
      <c r="B163" s="18"/>
      <c r="C163" s="1"/>
      <c r="D163" s="1"/>
      <c r="S163" s="79"/>
      <c r="U163" s="79"/>
      <c r="X163" s="112"/>
    </row>
    <row r="164" spans="2:35" ht="13.5" thickBot="1" x14ac:dyDescent="0.25">
      <c r="B164" s="18">
        <f>B162+1</f>
        <v>103</v>
      </c>
      <c r="C164" s="1"/>
      <c r="D164" s="1" t="s">
        <v>400</v>
      </c>
      <c r="F164" s="83">
        <f ca="1">F162+F104+F109+F108+F97</f>
        <v>222068.69611760083</v>
      </c>
      <c r="H164" s="83">
        <f ca="1">H162+H104+H109+H108+H97</f>
        <v>807.14943501999187</v>
      </c>
      <c r="L164" s="83">
        <f ca="1">L162+L104+L109+L108+L97</f>
        <v>221261.54668258084</v>
      </c>
      <c r="P164" s="83">
        <f ca="1">P162+P104+P109+P108+P97</f>
        <v>12566.425637658689</v>
      </c>
      <c r="R164" s="83">
        <f ca="1">R162+R104+R109+R108+R97</f>
        <v>190761.59899596809</v>
      </c>
      <c r="S164" s="79"/>
      <c r="T164" s="83">
        <f ca="1">T162+T104+T109+T108+T97</f>
        <v>18740.671483974045</v>
      </c>
      <c r="U164" s="79"/>
      <c r="V164" s="83">
        <f ca="1">V162+V104+V109+V108+V97</f>
        <v>0</v>
      </c>
      <c r="X164" s="112"/>
    </row>
    <row r="165" spans="2:35" ht="13.5" thickTop="1" x14ac:dyDescent="0.2">
      <c r="F165" s="50"/>
      <c r="H165" s="50"/>
      <c r="L165" s="50"/>
      <c r="X165" s="112"/>
    </row>
    <row r="166" spans="2:35" x14ac:dyDescent="0.2">
      <c r="F166" s="50"/>
      <c r="H166" s="50"/>
      <c r="L166" s="50"/>
      <c r="X166" s="112"/>
    </row>
    <row r="167" spans="2:35" x14ac:dyDescent="0.2">
      <c r="F167" s="50"/>
      <c r="H167" s="50"/>
      <c r="L167" s="50"/>
      <c r="X167" s="112"/>
    </row>
    <row r="168" spans="2:35" x14ac:dyDescent="0.2">
      <c r="B168" s="18"/>
      <c r="C168" s="1"/>
      <c r="D168" s="6" t="s">
        <v>109</v>
      </c>
      <c r="X168" s="112"/>
    </row>
    <row r="169" spans="2:35" x14ac:dyDescent="0.2">
      <c r="B169" s="18"/>
      <c r="C169" s="1"/>
      <c r="D169" s="6"/>
      <c r="F169" s="50"/>
      <c r="H169" s="79"/>
      <c r="K169" s="73"/>
      <c r="L169" s="50"/>
      <c r="O169" s="73"/>
      <c r="P169" s="79"/>
      <c r="R169" s="79"/>
      <c r="S169" s="79"/>
      <c r="T169" s="79"/>
      <c r="U169" s="79"/>
      <c r="V169" s="79"/>
      <c r="X169" s="112"/>
    </row>
    <row r="170" spans="2:35" x14ac:dyDescent="0.2">
      <c r="B170" s="18">
        <f>B164+1</f>
        <v>104</v>
      </c>
      <c r="C170" s="1"/>
      <c r="D170" s="1" t="s">
        <v>123</v>
      </c>
      <c r="F170" s="50">
        <f ca="1">'Distribution Class'!AF170</f>
        <v>0</v>
      </c>
      <c r="H170" s="79"/>
      <c r="K170" s="73">
        <f>_xlfn.IFNA(MATCH(J170,'Dist Cust Factors'!$B$12:$B$453,0),0)</f>
        <v>0</v>
      </c>
      <c r="L170" s="50">
        <f t="shared" ref="L170:L176" ca="1" si="36">F170-H170</f>
        <v>0</v>
      </c>
      <c r="O170" s="73">
        <f>_xlfn.IFNA(MATCH(N170,'Dist Cust Factors'!$B$12:$B$457,0),0)</f>
        <v>0</v>
      </c>
      <c r="P170" s="38">
        <f ca="1">OFFSET('Dist Cust Factors'!$B$12,$O170-1,P$14)*$L170+OFFSET('Dist Cust Factors'!$B$12,$K170-1,P$14)*$H170</f>
        <v>0</v>
      </c>
      <c r="R170" s="38">
        <f ca="1">OFFSET('Dist Cust Factors'!$B$12,$O170-1,R$14)*$L170+OFFSET('Dist Cust Factors'!$B$12,$K170-1,R$14)*$H170</f>
        <v>0</v>
      </c>
      <c r="S170" s="38"/>
      <c r="T170" s="38">
        <f ca="1">OFFSET('Dist Cust Factors'!$B$12,$O170-1,T$14)*$L170+OFFSET('Dist Cust Factors'!$B$12,$K170-1,T$14)*$H170</f>
        <v>0</v>
      </c>
      <c r="U170" s="38"/>
      <c r="V170" s="38">
        <f ca="1">OFFSET('Dist Cust Factors'!$B$12,$O170-1,V$14)*$L170+OFFSET('Dist Cust Factors'!$B$12,$K170-1,V$14)*$H170</f>
        <v>0</v>
      </c>
      <c r="X170" s="112"/>
    </row>
    <row r="171" spans="2:35" x14ac:dyDescent="0.2">
      <c r="B171" s="18">
        <f t="shared" ref="B171:B176" si="37">B170+1</f>
        <v>105</v>
      </c>
      <c r="C171" s="1"/>
      <c r="D171" s="1" t="s">
        <v>134</v>
      </c>
      <c r="F171" s="50">
        <f ca="1">'Distribution Class'!AF171</f>
        <v>0</v>
      </c>
      <c r="H171" s="79"/>
      <c r="J171" s="2"/>
      <c r="K171" s="73">
        <f>_xlfn.IFNA(MATCH(J171,'Dist Cust Factors'!$B$12:$B$453,0),0)</f>
        <v>0</v>
      </c>
      <c r="L171" s="50">
        <f t="shared" ca="1" si="36"/>
        <v>0</v>
      </c>
      <c r="O171" s="73">
        <f>_xlfn.IFNA(MATCH(N171,'Dist Cust Factors'!$B$12:$B$457,0),0)</f>
        <v>0</v>
      </c>
      <c r="P171" s="38">
        <f ca="1">OFFSET('Dist Cust Factors'!$B$12,$O171-1,P$14)*$L171+OFFSET('Dist Cust Factors'!$B$12,$K171-1,P$14)*$H171</f>
        <v>0</v>
      </c>
      <c r="R171" s="38">
        <f ca="1">OFFSET('Dist Cust Factors'!$B$12,$O171-1,R$14)*$L171+OFFSET('Dist Cust Factors'!$B$12,$K171-1,R$14)*$H171</f>
        <v>0</v>
      </c>
      <c r="S171" s="38"/>
      <c r="T171" s="38">
        <f ca="1">OFFSET('Dist Cust Factors'!$B$12,$O171-1,T$14)*$L171+OFFSET('Dist Cust Factors'!$B$12,$K171-1,T$14)*$H171</f>
        <v>0</v>
      </c>
      <c r="U171" s="38"/>
      <c r="V171" s="38">
        <f ca="1">OFFSET('Dist Cust Factors'!$B$12,$O171-1,V$14)*$L171+OFFSET('Dist Cust Factors'!$B$12,$K171-1,V$14)*$H171</f>
        <v>0</v>
      </c>
      <c r="X171" s="112"/>
    </row>
    <row r="172" spans="2:35" x14ac:dyDescent="0.2">
      <c r="B172" s="18">
        <f t="shared" si="37"/>
        <v>106</v>
      </c>
      <c r="C172" s="1"/>
      <c r="D172" s="1" t="s">
        <v>110</v>
      </c>
      <c r="F172" s="50">
        <f ca="1">'Distribution Class'!AF172</f>
        <v>0</v>
      </c>
      <c r="H172" s="79"/>
      <c r="J172" s="2"/>
      <c r="K172" s="73">
        <f>_xlfn.IFNA(MATCH(J172,'Dist Cust Factors'!$B$12:$B$453,0),0)</f>
        <v>0</v>
      </c>
      <c r="L172" s="50">
        <f t="shared" ca="1" si="36"/>
        <v>0</v>
      </c>
      <c r="O172" s="73">
        <f>_xlfn.IFNA(MATCH(N172,'Dist Cust Factors'!$B$12:$B$457,0),0)</f>
        <v>0</v>
      </c>
      <c r="P172" s="38">
        <f ca="1">OFFSET('Dist Cust Factors'!$B$12,$O172-1,P$14)*$L172+OFFSET('Dist Cust Factors'!$B$12,$K172-1,P$14)*$H172</f>
        <v>0</v>
      </c>
      <c r="R172" s="38">
        <f ca="1">OFFSET('Dist Cust Factors'!$B$12,$O172-1,R$14)*$L172+OFFSET('Dist Cust Factors'!$B$12,$K172-1,R$14)*$H172</f>
        <v>0</v>
      </c>
      <c r="S172" s="38"/>
      <c r="T172" s="38">
        <f ca="1">OFFSET('Dist Cust Factors'!$B$12,$O172-1,T$14)*$L172+OFFSET('Dist Cust Factors'!$B$12,$K172-1,T$14)*$H172</f>
        <v>0</v>
      </c>
      <c r="U172" s="38"/>
      <c r="V172" s="38">
        <f ca="1">OFFSET('Dist Cust Factors'!$B$12,$O172-1,V$14)*$L172+OFFSET('Dist Cust Factors'!$B$12,$K172-1,V$14)*$H172</f>
        <v>0</v>
      </c>
      <c r="X172" s="112"/>
    </row>
    <row r="173" spans="2:35" x14ac:dyDescent="0.2">
      <c r="B173" s="18">
        <f t="shared" si="37"/>
        <v>107</v>
      </c>
      <c r="C173" s="1"/>
      <c r="D173" s="1" t="s">
        <v>125</v>
      </c>
      <c r="F173" s="50">
        <f ca="1">'Distribution Class'!AF173</f>
        <v>26870.623617239937</v>
      </c>
      <c r="H173" s="79"/>
      <c r="J173" s="2"/>
      <c r="K173" s="73">
        <f>_xlfn.IFNA(MATCH(J173,'Dist Cust Factors'!$B$12:$B$453,0),0)</f>
        <v>0</v>
      </c>
      <c r="L173" s="50">
        <f t="shared" ca="1" si="36"/>
        <v>26870.623617239937</v>
      </c>
      <c r="N173" s="2" t="s">
        <v>220</v>
      </c>
      <c r="O173" s="73">
        <f>_xlfn.IFNA(MATCH(N173,'Dist Cust Factors'!$B$12:$B$457,0),0)</f>
        <v>23</v>
      </c>
      <c r="P173" s="38">
        <f ca="1">OFFSET('Dist Cust Factors'!$B$12,$O173-1,P$14)*$L173+OFFSET('Dist Cust Factors'!$B$12,$K173-1,P$14)*$H173</f>
        <v>0</v>
      </c>
      <c r="R173" s="38">
        <f ca="1">OFFSET('Dist Cust Factors'!$B$12,$O173-1,R$14)*$L173+OFFSET('Dist Cust Factors'!$B$12,$K173-1,R$14)*$H173</f>
        <v>26870.623617239937</v>
      </c>
      <c r="S173" s="38"/>
      <c r="T173" s="38">
        <f ca="1">OFFSET('Dist Cust Factors'!$B$12,$O173-1,T$14)*$L173+OFFSET('Dist Cust Factors'!$B$12,$K173-1,T$14)*$H173</f>
        <v>0</v>
      </c>
      <c r="U173" s="38"/>
      <c r="V173" s="38">
        <f ca="1">OFFSET('Dist Cust Factors'!$B$12,$O173-1,V$14)*$L173+OFFSET('Dist Cust Factors'!$B$12,$K173-1,V$14)*$H173</f>
        <v>0</v>
      </c>
      <c r="X173" s="112"/>
    </row>
    <row r="174" spans="2:35" x14ac:dyDescent="0.2">
      <c r="B174" s="18">
        <f t="shared" si="37"/>
        <v>108</v>
      </c>
      <c r="C174" s="1"/>
      <c r="D174" s="1" t="s">
        <v>126</v>
      </c>
      <c r="F174" s="50">
        <f ca="1">'Distribution Class'!AF174</f>
        <v>14283.139384300001</v>
      </c>
      <c r="H174" s="79"/>
      <c r="J174" s="2"/>
      <c r="K174" s="73">
        <f>_xlfn.IFNA(MATCH(J174,'Dist Cust Factors'!$B$12:$B$453,0),0)</f>
        <v>0</v>
      </c>
      <c r="L174" s="50">
        <f t="shared" ca="1" si="36"/>
        <v>14283.139384300001</v>
      </c>
      <c r="N174" s="2" t="s">
        <v>220</v>
      </c>
      <c r="O174" s="73">
        <f>_xlfn.IFNA(MATCH(N174,'Dist Cust Factors'!$B$12:$B$457,0),0)</f>
        <v>23</v>
      </c>
      <c r="P174" s="38">
        <f ca="1">OFFSET('Dist Cust Factors'!$B$12,$O174-1,P$14)*$L174+OFFSET('Dist Cust Factors'!$B$12,$K174-1,P$14)*$H174</f>
        <v>0</v>
      </c>
      <c r="R174" s="38">
        <f ca="1">OFFSET('Dist Cust Factors'!$B$12,$O174-1,R$14)*$L174+OFFSET('Dist Cust Factors'!$B$12,$K174-1,R$14)*$H174</f>
        <v>14283.139384300001</v>
      </c>
      <c r="S174" s="38"/>
      <c r="T174" s="38">
        <f ca="1">OFFSET('Dist Cust Factors'!$B$12,$O174-1,T$14)*$L174+OFFSET('Dist Cust Factors'!$B$12,$K174-1,T$14)*$H174</f>
        <v>0</v>
      </c>
      <c r="U174" s="38"/>
      <c r="V174" s="38">
        <f ca="1">OFFSET('Dist Cust Factors'!$B$12,$O174-1,V$14)*$L174+OFFSET('Dist Cust Factors'!$B$12,$K174-1,V$14)*$H174</f>
        <v>0</v>
      </c>
      <c r="X174" s="112"/>
    </row>
    <row r="175" spans="2:35" x14ac:dyDescent="0.2">
      <c r="B175" s="18">
        <f t="shared" si="37"/>
        <v>109</v>
      </c>
      <c r="C175" s="1"/>
      <c r="D175" s="1" t="s">
        <v>127</v>
      </c>
      <c r="F175" s="50">
        <f ca="1">'Distribution Class'!AF175</f>
        <v>17761.652743977927</v>
      </c>
      <c r="H175" s="79"/>
      <c r="J175" s="2"/>
      <c r="K175" s="73">
        <f>_xlfn.IFNA(MATCH(J175,'Dist Cust Factors'!$B$12:$B$453,0),0)</f>
        <v>0</v>
      </c>
      <c r="L175" s="50">
        <f t="shared" ca="1" si="36"/>
        <v>17761.652743977927</v>
      </c>
      <c r="N175" s="2" t="s">
        <v>220</v>
      </c>
      <c r="O175" s="73">
        <f>_xlfn.IFNA(MATCH(N175,'Dist Cust Factors'!$B$12:$B$457,0),0)</f>
        <v>23</v>
      </c>
      <c r="P175" s="38">
        <f ca="1">OFFSET('Dist Cust Factors'!$B$12,$O175-1,P$14)*$L175+OFFSET('Dist Cust Factors'!$B$12,$K175-1,P$14)*$H175</f>
        <v>0</v>
      </c>
      <c r="R175" s="38">
        <f ca="1">OFFSET('Dist Cust Factors'!$B$12,$O175-1,R$14)*$L175+OFFSET('Dist Cust Factors'!$B$12,$K175-1,R$14)*$H175</f>
        <v>17761.652743977927</v>
      </c>
      <c r="S175" s="38"/>
      <c r="T175" s="38">
        <f ca="1">OFFSET('Dist Cust Factors'!$B$12,$O175-1,T$14)*$L175+OFFSET('Dist Cust Factors'!$B$12,$K175-1,T$14)*$H175</f>
        <v>0</v>
      </c>
      <c r="U175" s="38"/>
      <c r="V175" s="38">
        <f ca="1">OFFSET('Dist Cust Factors'!$B$12,$O175-1,V$14)*$L175+OFFSET('Dist Cust Factors'!$B$12,$K175-1,V$14)*$H175</f>
        <v>0</v>
      </c>
      <c r="X175" s="112"/>
    </row>
    <row r="176" spans="2:35" x14ac:dyDescent="0.2">
      <c r="B176" s="18">
        <f t="shared" si="37"/>
        <v>110</v>
      </c>
      <c r="C176" s="1"/>
      <c r="D176" s="1" t="s">
        <v>387</v>
      </c>
      <c r="F176" s="50">
        <f ca="1">'Distribution Class'!AF176</f>
        <v>0</v>
      </c>
      <c r="H176" s="79"/>
      <c r="J176" s="2"/>
      <c r="K176" s="73">
        <f>_xlfn.IFNA(MATCH(J176,'Dist Cust Factors'!$B$12:$B$453,0),0)</f>
        <v>0</v>
      </c>
      <c r="L176" s="50">
        <f t="shared" ca="1" si="36"/>
        <v>0</v>
      </c>
      <c r="O176" s="73">
        <f>_xlfn.IFNA(MATCH(N176,'Dist Cust Factors'!$B$12:$B$457,0),0)</f>
        <v>0</v>
      </c>
      <c r="P176" s="38">
        <f ca="1">OFFSET('Dist Cust Factors'!$B$12,$O176-1,P$14)*$L176+OFFSET('Dist Cust Factors'!$B$12,$K176-1,P$14)*$H176</f>
        <v>0</v>
      </c>
      <c r="R176" s="38">
        <f ca="1">OFFSET('Dist Cust Factors'!$B$12,$O176-1,R$14)*$L176+OFFSET('Dist Cust Factors'!$B$12,$K176-1,R$14)*$H176</f>
        <v>0</v>
      </c>
      <c r="S176" s="38"/>
      <c r="T176" s="38">
        <f ca="1">OFFSET('Dist Cust Factors'!$B$12,$O176-1,T$14)*$L176+OFFSET('Dist Cust Factors'!$B$12,$K176-1,T$14)*$H176</f>
        <v>0</v>
      </c>
      <c r="U176" s="38"/>
      <c r="V176" s="38">
        <f ca="1">OFFSET('Dist Cust Factors'!$B$12,$O176-1,V$14)*$L176+OFFSET('Dist Cust Factors'!$B$12,$K176-1,V$14)*$H176</f>
        <v>0</v>
      </c>
      <c r="X176" s="112"/>
    </row>
    <row r="177" spans="2:24" x14ac:dyDescent="0.2">
      <c r="B177" s="18"/>
      <c r="C177" s="1"/>
      <c r="D177" s="1"/>
      <c r="X177" s="112"/>
    </row>
    <row r="178" spans="2:24" x14ac:dyDescent="0.2">
      <c r="B178" s="18">
        <f>B176+1</f>
        <v>111</v>
      </c>
      <c r="C178" s="1"/>
      <c r="D178" s="1" t="s">
        <v>401</v>
      </c>
      <c r="F178" s="41">
        <f ca="1">SUM(F170:F176)</f>
        <v>58915.415745517865</v>
      </c>
      <c r="H178" s="41">
        <f>SUM(H170:H176)</f>
        <v>0</v>
      </c>
      <c r="J178" s="2"/>
      <c r="L178" s="41">
        <f ca="1">SUM(L170:L176)</f>
        <v>58915.415745517865</v>
      </c>
      <c r="P178" s="41">
        <f ca="1">SUM(P170:P176)</f>
        <v>0</v>
      </c>
      <c r="R178" s="41">
        <f ca="1">SUM(R170:R176)</f>
        <v>58915.415745517865</v>
      </c>
      <c r="S178" s="79"/>
      <c r="T178" s="41">
        <f ca="1">SUM(T170:T176)</f>
        <v>0</v>
      </c>
      <c r="U178" s="79"/>
      <c r="V178" s="41">
        <f ca="1">SUM(V170:V176)</f>
        <v>0</v>
      </c>
      <c r="X178" s="112"/>
    </row>
    <row r="179" spans="2:24" x14ac:dyDescent="0.2">
      <c r="B179" s="18"/>
      <c r="C179" s="1"/>
      <c r="D179" s="1"/>
      <c r="S179" s="79"/>
      <c r="U179" s="79"/>
      <c r="X179" s="112"/>
    </row>
    <row r="180" spans="2:24" ht="13.5" thickBot="1" x14ac:dyDescent="0.25">
      <c r="B180" s="18">
        <f>B178+1</f>
        <v>112</v>
      </c>
      <c r="C180" s="1"/>
      <c r="D180" s="1" t="s">
        <v>148</v>
      </c>
      <c r="F180" s="83">
        <f ca="1">F164-F178</f>
        <v>163153.28037208295</v>
      </c>
      <c r="H180" s="83">
        <f ca="1">H164-H178</f>
        <v>807.14943501999187</v>
      </c>
      <c r="L180" s="83">
        <f ca="1">L164-L178</f>
        <v>162346.13093706296</v>
      </c>
      <c r="P180" s="83">
        <f ca="1">P164-P178</f>
        <v>12566.425637658689</v>
      </c>
      <c r="R180" s="83">
        <f ca="1">R164-R178</f>
        <v>131846.18325045024</v>
      </c>
      <c r="S180" s="79"/>
      <c r="T180" s="83">
        <f ca="1">T164-T178</f>
        <v>18740.671483974045</v>
      </c>
      <c r="U180" s="79"/>
      <c r="V180" s="83">
        <f ca="1">V164-V178</f>
        <v>0</v>
      </c>
      <c r="X180" s="112"/>
    </row>
    <row r="181" spans="2:24" ht="13.5" thickTop="1" x14ac:dyDescent="0.2">
      <c r="B181" s="18"/>
      <c r="C181" s="1"/>
      <c r="D181" s="1" t="s">
        <v>404</v>
      </c>
    </row>
    <row r="182" spans="2:24" x14ac:dyDescent="0.2">
      <c r="V182" s="50"/>
    </row>
  </sheetData>
  <mergeCells count="3">
    <mergeCell ref="B5:V5"/>
    <mergeCell ref="B6:V6"/>
    <mergeCell ref="B7:V7"/>
  </mergeCells>
  <pageMargins left="0.7" right="0.7" top="0.75" bottom="0.75" header="0.3" footer="0.3"/>
  <pageSetup scale="4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6D1BB-1BEF-4811-BB76-9ED09AAAED12}">
  <dimension ref="A5:V59"/>
  <sheetViews>
    <sheetView zoomScale="80" zoomScaleNormal="80" workbookViewId="0">
      <selection activeCell="D9" sqref="D9"/>
    </sheetView>
  </sheetViews>
  <sheetFormatPr defaultColWidth="9.140625" defaultRowHeight="12.75" x14ac:dyDescent="0.2"/>
  <cols>
    <col min="1" max="1" width="7" style="31" customWidth="1"/>
    <col min="2" max="2" width="29.28515625" style="1" customWidth="1"/>
    <col min="3" max="3" width="5" style="1" customWidth="1"/>
    <col min="4" max="4" width="14.28515625" style="1" customWidth="1"/>
    <col min="5" max="5" width="1.85546875" style="1" customWidth="1"/>
    <col min="6" max="6" width="14.5703125" style="1" bestFit="1" customWidth="1"/>
    <col min="7" max="7" width="1.85546875" style="1" customWidth="1"/>
    <col min="8" max="8" width="14" style="1" customWidth="1"/>
    <col min="9" max="9" width="1.85546875" style="1" customWidth="1"/>
    <col min="10" max="10" width="12.140625" style="1" customWidth="1"/>
    <col min="11" max="11" width="1.7109375" style="1" customWidth="1"/>
    <col min="12" max="12" width="10.7109375" style="1" customWidth="1"/>
    <col min="13" max="13" width="1.7109375" style="1" customWidth="1"/>
    <col min="14" max="14" width="10.7109375" style="1" customWidth="1"/>
    <col min="15" max="15" width="1.7109375" style="1" customWidth="1"/>
    <col min="16" max="16" width="10.7109375" style="1" customWidth="1"/>
    <col min="17" max="17" width="1.7109375" style="1" customWidth="1"/>
    <col min="18" max="18" width="10.7109375" style="1" customWidth="1"/>
    <col min="19" max="19" width="1.7109375" style="1" customWidth="1"/>
    <col min="20" max="20" width="10.7109375" style="1" customWidth="1"/>
    <col min="21" max="21" width="1.7109375" style="1" customWidth="1"/>
    <col min="22" max="22" width="10.7109375" style="1" customWidth="1"/>
    <col min="23" max="23" width="1.7109375" style="1" customWidth="1"/>
    <col min="24" max="24" width="10.7109375" style="1" customWidth="1"/>
    <col min="25" max="25" width="1.7109375" style="1" customWidth="1"/>
    <col min="26" max="26" width="10.7109375" style="1" customWidth="1"/>
    <col min="27" max="27" width="1.7109375" style="1" customWidth="1"/>
    <col min="28" max="28" width="10.7109375" style="1" customWidth="1"/>
    <col min="29" max="29" width="9.140625" style="1"/>
    <col min="30" max="30" width="12.140625" style="1" bestFit="1" customWidth="1"/>
    <col min="31" max="16384" width="9.140625" style="1"/>
  </cols>
  <sheetData>
    <row r="5" spans="1:12" x14ac:dyDescent="0.2">
      <c r="B5" s="53"/>
    </row>
    <row r="6" spans="1:12" ht="15" x14ac:dyDescent="0.25">
      <c r="F6" s="159" t="s">
        <v>283</v>
      </c>
      <c r="G6" s="160"/>
      <c r="H6" s="160"/>
      <c r="I6" s="160"/>
      <c r="J6" s="160"/>
    </row>
    <row r="7" spans="1:12" x14ac:dyDescent="0.2">
      <c r="F7" s="18"/>
      <c r="H7" s="18" t="s">
        <v>10</v>
      </c>
      <c r="J7" s="18" t="s">
        <v>339</v>
      </c>
      <c r="K7" s="18"/>
      <c r="L7" s="18"/>
    </row>
    <row r="8" spans="1:12" x14ac:dyDescent="0.2">
      <c r="A8" s="18" t="s">
        <v>2</v>
      </c>
      <c r="B8" s="18" t="s">
        <v>64</v>
      </c>
      <c r="F8" s="18" t="s">
        <v>284</v>
      </c>
      <c r="G8" s="18"/>
      <c r="H8" s="18" t="s">
        <v>68</v>
      </c>
      <c r="I8" s="3"/>
      <c r="J8" s="2" t="s">
        <v>68</v>
      </c>
      <c r="L8" s="18"/>
    </row>
    <row r="9" spans="1:12" x14ac:dyDescent="0.2">
      <c r="A9" s="4" t="s">
        <v>4</v>
      </c>
      <c r="B9" s="4" t="s">
        <v>310</v>
      </c>
      <c r="D9" s="4" t="s">
        <v>11</v>
      </c>
      <c r="F9" s="4" t="s">
        <v>282</v>
      </c>
      <c r="G9" s="18"/>
      <c r="H9" s="4" t="s">
        <v>338</v>
      </c>
      <c r="I9" s="18"/>
      <c r="J9" s="4" t="s">
        <v>340</v>
      </c>
      <c r="K9" s="3"/>
      <c r="L9" s="2"/>
    </row>
    <row r="10" spans="1:12" x14ac:dyDescent="0.2">
      <c r="A10" s="4"/>
      <c r="B10" s="4"/>
      <c r="D10" s="4" t="s">
        <v>12</v>
      </c>
      <c r="F10" s="4" t="s">
        <v>13</v>
      </c>
      <c r="G10" s="18"/>
      <c r="H10" s="4" t="s">
        <v>14</v>
      </c>
      <c r="I10" s="18"/>
      <c r="J10" s="4" t="s">
        <v>366</v>
      </c>
      <c r="K10" s="18"/>
      <c r="L10" s="18"/>
    </row>
    <row r="11" spans="1:12" x14ac:dyDescent="0.2">
      <c r="A11" s="1"/>
      <c r="C11" s="18"/>
      <c r="D11" s="18"/>
      <c r="E11" s="18"/>
      <c r="F11" s="57"/>
      <c r="G11" s="18"/>
      <c r="H11" s="57"/>
      <c r="I11" s="18"/>
      <c r="J11" s="57"/>
      <c r="K11" s="18"/>
      <c r="L11" s="57"/>
    </row>
    <row r="12" spans="1:12" x14ac:dyDescent="0.2">
      <c r="A12" s="18">
        <v>1</v>
      </c>
      <c r="B12" s="18"/>
      <c r="C12" s="2" t="s">
        <v>368</v>
      </c>
      <c r="D12" s="20">
        <f>SUM(F12:J12)</f>
        <v>1</v>
      </c>
      <c r="E12" s="20"/>
      <c r="F12" s="20">
        <v>1</v>
      </c>
      <c r="G12" s="20"/>
      <c r="H12" s="20">
        <v>0</v>
      </c>
      <c r="I12" s="20"/>
      <c r="J12" s="20">
        <v>0</v>
      </c>
    </row>
    <row r="13" spans="1:12" x14ac:dyDescent="0.2">
      <c r="A13" s="18">
        <v>2</v>
      </c>
      <c r="B13" s="18" t="s">
        <v>223</v>
      </c>
      <c r="C13" s="2"/>
      <c r="D13" s="37">
        <f>SUM(F13:J13)</f>
        <v>1</v>
      </c>
      <c r="E13" s="37"/>
      <c r="F13" s="37">
        <f>IFERROR(F12/$D12,0)</f>
        <v>1</v>
      </c>
      <c r="G13" s="37"/>
      <c r="H13" s="37">
        <f>IFERROR(H12/$D12,0)</f>
        <v>0</v>
      </c>
      <c r="I13" s="37"/>
      <c r="J13" s="37">
        <f>IFERROR(J12/$D12,0)</f>
        <v>0</v>
      </c>
      <c r="K13" s="20"/>
      <c r="L13" s="20"/>
    </row>
    <row r="14" spans="1:12" x14ac:dyDescent="0.2">
      <c r="A14" s="18"/>
      <c r="B14" s="18"/>
      <c r="C14" s="2"/>
      <c r="D14" s="24"/>
      <c r="F14" s="24"/>
      <c r="H14" s="24"/>
      <c r="J14" s="24"/>
      <c r="L14" s="24"/>
    </row>
    <row r="15" spans="1:12" x14ac:dyDescent="0.2">
      <c r="A15" s="18">
        <v>3</v>
      </c>
      <c r="B15" s="18"/>
      <c r="C15" s="2" t="s">
        <v>368</v>
      </c>
      <c r="D15" s="20">
        <f>SUM(F15:J15)</f>
        <v>1</v>
      </c>
      <c r="E15" s="20"/>
      <c r="F15" s="20">
        <v>0</v>
      </c>
      <c r="G15" s="20"/>
      <c r="H15" s="20">
        <v>0</v>
      </c>
      <c r="I15" s="20"/>
      <c r="J15" s="20">
        <v>1</v>
      </c>
      <c r="L15" s="24"/>
    </row>
    <row r="16" spans="1:12" x14ac:dyDescent="0.2">
      <c r="A16" s="18">
        <v>4</v>
      </c>
      <c r="B16" s="18" t="s">
        <v>317</v>
      </c>
      <c r="C16" s="2"/>
      <c r="D16" s="37">
        <f>SUM(F16:J16)</f>
        <v>1</v>
      </c>
      <c r="E16" s="37"/>
      <c r="F16" s="37">
        <f>IFERROR(F15/$D15,0)</f>
        <v>0</v>
      </c>
      <c r="G16" s="37"/>
      <c r="H16" s="37">
        <f>IFERROR(H15/$D15,0)</f>
        <v>0</v>
      </c>
      <c r="I16" s="37"/>
      <c r="J16" s="37">
        <f>IFERROR(J15/$D15,0)</f>
        <v>1</v>
      </c>
      <c r="K16" s="20"/>
      <c r="L16" s="20"/>
    </row>
    <row r="17" spans="1:12" x14ac:dyDescent="0.2">
      <c r="A17" s="18"/>
      <c r="B17" s="18"/>
      <c r="C17" s="2"/>
      <c r="D17" s="24"/>
      <c r="F17" s="24"/>
      <c r="H17" s="24"/>
      <c r="J17" s="24"/>
      <c r="L17" s="24"/>
    </row>
    <row r="18" spans="1:12" x14ac:dyDescent="0.2">
      <c r="A18" s="2">
        <v>5</v>
      </c>
      <c r="B18" s="18"/>
      <c r="C18" s="2" t="s">
        <v>367</v>
      </c>
      <c r="D18" s="20">
        <f>SUM(F18:J18)</f>
        <v>49571.005163963695</v>
      </c>
      <c r="E18" s="20"/>
      <c r="F18" s="20">
        <v>173.85126278492572</v>
      </c>
      <c r="G18" s="20"/>
      <c r="H18" s="20">
        <v>44170.060666317062</v>
      </c>
      <c r="I18" s="20"/>
      <c r="J18" s="20">
        <v>5227.0932348617062</v>
      </c>
    </row>
    <row r="19" spans="1:12" x14ac:dyDescent="0.2">
      <c r="A19" s="2">
        <v>6</v>
      </c>
      <c r="B19" s="18" t="s">
        <v>457</v>
      </c>
      <c r="C19" s="2"/>
      <c r="D19" s="37">
        <f>SUM(F19:J19)</f>
        <v>1</v>
      </c>
      <c r="E19" s="37"/>
      <c r="F19" s="37">
        <f>IFERROR(F18/$D18,0)</f>
        <v>3.5071159483227349E-3</v>
      </c>
      <c r="G19" s="37"/>
      <c r="H19" s="37">
        <f>IFERROR(H18/$D18,0)</f>
        <v>0.89104629854121009</v>
      </c>
      <c r="I19" s="37"/>
      <c r="J19" s="37">
        <f>IFERROR(J18/$D18,0)</f>
        <v>0.10544658551046715</v>
      </c>
    </row>
    <row r="20" spans="1:12" x14ac:dyDescent="0.2">
      <c r="A20" s="18"/>
      <c r="B20" s="18"/>
      <c r="C20" s="2"/>
      <c r="D20" s="24"/>
      <c r="F20" s="24"/>
      <c r="H20" s="24"/>
      <c r="J20" s="24"/>
      <c r="L20" s="24"/>
    </row>
    <row r="21" spans="1:12" x14ac:dyDescent="0.2">
      <c r="A21" s="2">
        <v>7</v>
      </c>
      <c r="B21" s="18"/>
      <c r="C21" s="2" t="s">
        <v>367</v>
      </c>
      <c r="D21" s="20">
        <f>SUM(F21:J21)</f>
        <v>6530.6259932720395</v>
      </c>
      <c r="E21" s="20"/>
      <c r="F21" s="20">
        <v>23.449589256779852</v>
      </c>
      <c r="G21" s="20"/>
      <c r="H21" s="20">
        <v>5957.7926756479828</v>
      </c>
      <c r="I21" s="20"/>
      <c r="J21" s="20">
        <v>549.38372836727672</v>
      </c>
    </row>
    <row r="22" spans="1:12" x14ac:dyDescent="0.2">
      <c r="A22" s="2">
        <v>8</v>
      </c>
      <c r="B22" s="18" t="s">
        <v>458</v>
      </c>
      <c r="C22" s="2"/>
      <c r="D22" s="37">
        <f>SUM(F22:J22)</f>
        <v>1</v>
      </c>
      <c r="E22" s="37"/>
      <c r="F22" s="37">
        <f>IFERROR(F21/$D21,0)</f>
        <v>3.5907107957090195E-3</v>
      </c>
      <c r="G22" s="37"/>
      <c r="H22" s="37">
        <f>IFERROR(H21/$D21,0)</f>
        <v>0.91228508289799493</v>
      </c>
      <c r="I22" s="37"/>
      <c r="J22" s="37">
        <f>IFERROR(J21/$D21,0)</f>
        <v>8.4124206306296065E-2</v>
      </c>
    </row>
    <row r="23" spans="1:12" x14ac:dyDescent="0.2">
      <c r="A23" s="18"/>
      <c r="B23" s="18"/>
      <c r="C23" s="2"/>
      <c r="D23" s="24"/>
      <c r="F23" s="24"/>
      <c r="H23" s="24"/>
      <c r="J23" s="24"/>
      <c r="L23" s="24"/>
    </row>
    <row r="24" spans="1:12" x14ac:dyDescent="0.2">
      <c r="A24" s="18">
        <v>9</v>
      </c>
      <c r="B24" s="18"/>
      <c r="C24" s="2" t="s">
        <v>367</v>
      </c>
      <c r="D24" s="20">
        <f>SUM(F24:J24)</f>
        <v>34567.739357944585</v>
      </c>
      <c r="E24" s="20"/>
      <c r="F24" s="20">
        <v>275.1539136282272</v>
      </c>
      <c r="G24" s="20"/>
      <c r="H24" s="20">
        <v>28551.834773829694</v>
      </c>
      <c r="I24" s="20"/>
      <c r="J24" s="20">
        <v>5740.7506704866664</v>
      </c>
    </row>
    <row r="25" spans="1:12" x14ac:dyDescent="0.2">
      <c r="A25" s="18">
        <v>10</v>
      </c>
      <c r="B25" s="18" t="s">
        <v>324</v>
      </c>
      <c r="C25" s="2"/>
      <c r="D25" s="37">
        <f>SUM(F25:J25)</f>
        <v>1</v>
      </c>
      <c r="E25" s="37"/>
      <c r="F25" s="109">
        <f>IFERROR(F24/$D24,0)</f>
        <v>7.9598469190895905E-3</v>
      </c>
      <c r="G25" s="37"/>
      <c r="H25" s="37">
        <f>IFERROR(H24/$D24,0)</f>
        <v>0.82596765956197027</v>
      </c>
      <c r="I25" s="37"/>
      <c r="J25" s="37">
        <f>IFERROR(J24/$D24,0)</f>
        <v>0.16607249351894021</v>
      </c>
      <c r="K25" s="20"/>
      <c r="L25" s="20"/>
    </row>
    <row r="26" spans="1:12" x14ac:dyDescent="0.2">
      <c r="A26" s="18"/>
      <c r="B26" s="18"/>
      <c r="C26" s="2"/>
      <c r="D26" s="24"/>
      <c r="F26" s="24"/>
      <c r="H26" s="24"/>
      <c r="J26" s="24"/>
      <c r="L26" s="24"/>
    </row>
    <row r="27" spans="1:12" x14ac:dyDescent="0.2">
      <c r="A27" s="18">
        <v>11</v>
      </c>
      <c r="B27" s="18"/>
      <c r="C27" s="2" t="s">
        <v>367</v>
      </c>
      <c r="D27" s="20">
        <f>SUM(F27:J27)</f>
        <v>93925.8460286154</v>
      </c>
      <c r="E27" s="20"/>
      <c r="F27" s="20">
        <v>366.00487070972451</v>
      </c>
      <c r="G27" s="20"/>
      <c r="H27" s="20">
        <v>86956.038236914013</v>
      </c>
      <c r="I27" s="20"/>
      <c r="J27" s="20">
        <v>6603.8029209916604</v>
      </c>
    </row>
    <row r="28" spans="1:12" x14ac:dyDescent="0.2">
      <c r="A28" s="18">
        <v>12</v>
      </c>
      <c r="B28" s="18" t="s">
        <v>311</v>
      </c>
      <c r="C28" s="2"/>
      <c r="D28" s="37">
        <f>SUM(F28:J28)</f>
        <v>1</v>
      </c>
      <c r="E28" s="37"/>
      <c r="F28" s="24">
        <f>IFERROR(F27/$D27,0)</f>
        <v>3.8967428688182126E-3</v>
      </c>
      <c r="G28" s="37"/>
      <c r="H28" s="37">
        <f>IFERROR(H27/$D27,0)</f>
        <v>0.92579457001028265</v>
      </c>
      <c r="I28" s="37"/>
      <c r="J28" s="37">
        <f>IFERROR(J27/$D27,0)</f>
        <v>7.0308687120899063E-2</v>
      </c>
      <c r="K28" s="20"/>
      <c r="L28" s="20"/>
    </row>
    <row r="29" spans="1:12" x14ac:dyDescent="0.2">
      <c r="A29" s="18"/>
      <c r="B29" s="18"/>
      <c r="C29" s="2"/>
      <c r="D29" s="24"/>
      <c r="F29" s="24"/>
      <c r="H29" s="24"/>
      <c r="J29" s="24"/>
      <c r="L29" s="24"/>
    </row>
    <row r="30" spans="1:12" x14ac:dyDescent="0.2">
      <c r="A30" s="18">
        <v>13</v>
      </c>
      <c r="B30" s="18"/>
      <c r="C30" s="2" t="s">
        <v>368</v>
      </c>
      <c r="D30" s="20">
        <f>SUM(F30:J30)</f>
        <v>114598.42109880311</v>
      </c>
      <c r="E30" s="20"/>
      <c r="F30" s="20">
        <v>11814.781536038916</v>
      </c>
      <c r="G30" s="20"/>
      <c r="H30" s="20">
        <v>96730.694289326668</v>
      </c>
      <c r="I30" s="20"/>
      <c r="J30" s="20">
        <v>6052.9452734375218</v>
      </c>
      <c r="L30" s="24"/>
    </row>
    <row r="31" spans="1:12" x14ac:dyDescent="0.2">
      <c r="A31" s="18">
        <v>14</v>
      </c>
      <c r="B31" s="18" t="s">
        <v>313</v>
      </c>
      <c r="C31" s="2"/>
      <c r="D31" s="37">
        <f>SUM(F31:J31)</f>
        <v>0.99999999999999989</v>
      </c>
      <c r="E31" s="37"/>
      <c r="F31" s="37">
        <f>IFERROR(F30/$D30,0)</f>
        <v>0.10309724534383058</v>
      </c>
      <c r="G31" s="37"/>
      <c r="H31" s="37">
        <f>IFERROR(H30/$D30,0)</f>
        <v>0.84408400536276618</v>
      </c>
      <c r="I31" s="37"/>
      <c r="J31" s="37">
        <f>IFERROR(J30/$D30,0)</f>
        <v>5.2818749293403133E-2</v>
      </c>
      <c r="K31" s="20"/>
      <c r="L31" s="20"/>
    </row>
    <row r="32" spans="1:12" x14ac:dyDescent="0.2">
      <c r="B32" s="18"/>
      <c r="C32" s="2"/>
      <c r="D32" s="24"/>
      <c r="F32" s="24"/>
      <c r="H32" s="24"/>
      <c r="J32" s="24"/>
      <c r="L32" s="24"/>
    </row>
    <row r="33" spans="1:22" x14ac:dyDescent="0.2">
      <c r="A33" s="18">
        <v>15</v>
      </c>
      <c r="B33" s="18"/>
      <c r="C33" s="2" t="s">
        <v>368</v>
      </c>
      <c r="D33" s="20">
        <f>SUM(F33:J33)</f>
        <v>1</v>
      </c>
      <c r="E33" s="20"/>
      <c r="F33" s="20">
        <v>0</v>
      </c>
      <c r="G33" s="20"/>
      <c r="H33" s="20">
        <v>1</v>
      </c>
      <c r="I33" s="20"/>
      <c r="J33" s="20">
        <v>0</v>
      </c>
    </row>
    <row r="34" spans="1:22" x14ac:dyDescent="0.2">
      <c r="A34" s="18">
        <v>16</v>
      </c>
      <c r="B34" s="18" t="s">
        <v>220</v>
      </c>
      <c r="C34" s="18"/>
      <c r="D34" s="37">
        <f>SUM(F34:J34)</f>
        <v>1</v>
      </c>
      <c r="E34" s="37"/>
      <c r="F34" s="37">
        <f>IFERROR(F33/$D33,0)</f>
        <v>0</v>
      </c>
      <c r="G34" s="37"/>
      <c r="H34" s="37">
        <f>IFERROR(H33/$D33,0)</f>
        <v>1</v>
      </c>
      <c r="I34" s="37"/>
      <c r="J34" s="37">
        <f>IFERROR(J33/$D33,0)</f>
        <v>0</v>
      </c>
      <c r="K34" s="20"/>
      <c r="L34" s="20"/>
    </row>
    <row r="41" spans="1:22" x14ac:dyDescent="0.2">
      <c r="A41" s="3"/>
    </row>
    <row r="43" spans="1:22" x14ac:dyDescent="0.2">
      <c r="A43" s="3"/>
    </row>
    <row r="44" spans="1:22" x14ac:dyDescent="0.2">
      <c r="A44" s="3"/>
    </row>
    <row r="45" spans="1:22" x14ac:dyDescent="0.2"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</row>
    <row r="46" spans="1:22" x14ac:dyDescent="0.2">
      <c r="A46" s="3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</row>
    <row r="47" spans="1:22" x14ac:dyDescent="0.2">
      <c r="A47" s="3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</row>
    <row r="48" spans="1:22" x14ac:dyDescent="0.2"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</row>
    <row r="49" spans="1:22" x14ac:dyDescent="0.2">
      <c r="A49" s="2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 x14ac:dyDescent="0.2">
      <c r="A50" s="2"/>
      <c r="M50" s="18"/>
      <c r="N50" s="18"/>
      <c r="O50" s="18"/>
      <c r="P50" s="18"/>
      <c r="Q50" s="18"/>
      <c r="R50" s="18"/>
      <c r="S50" s="18"/>
      <c r="T50" s="18"/>
      <c r="U50" s="18"/>
      <c r="V50" s="18"/>
    </row>
    <row r="51" spans="1:22" x14ac:dyDescent="0.2">
      <c r="D51" s="63"/>
      <c r="F51" s="63"/>
      <c r="H51" s="63"/>
    </row>
    <row r="52" spans="1:22" x14ac:dyDescent="0.2">
      <c r="A52" s="2"/>
    </row>
    <row r="53" spans="1:22" x14ac:dyDescent="0.2">
      <c r="A53" s="2"/>
    </row>
    <row r="55" spans="1:22" x14ac:dyDescent="0.2">
      <c r="A55" s="2"/>
    </row>
    <row r="56" spans="1:22" x14ac:dyDescent="0.2">
      <c r="A56" s="2"/>
    </row>
    <row r="58" spans="1:22" x14ac:dyDescent="0.2">
      <c r="A58" s="56"/>
      <c r="B58" s="18"/>
      <c r="D58" s="22"/>
      <c r="E58" s="22"/>
      <c r="F58" s="22"/>
      <c r="G58" s="22"/>
      <c r="H58" s="22"/>
      <c r="J58" s="22"/>
      <c r="L58" s="53"/>
    </row>
    <row r="59" spans="1:22" x14ac:dyDescent="0.2">
      <c r="A59" s="56"/>
      <c r="B59" s="62"/>
      <c r="D59" s="63"/>
      <c r="F59" s="63"/>
      <c r="H59" s="63"/>
      <c r="J59" s="63"/>
    </row>
  </sheetData>
  <mergeCells count="1">
    <mergeCell ref="F6:J6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A23C0-672A-4FAF-9F19-B78A98FD5181}">
  <sheetPr>
    <tabColor theme="0" tint="-0.249977111117893"/>
  </sheetPr>
  <dimension ref="A2:Y66"/>
  <sheetViews>
    <sheetView tabSelected="1" topLeftCell="A24" zoomScale="80" zoomScaleNormal="80" workbookViewId="0">
      <selection activeCell="P59" sqref="P59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1.85546875" style="31" customWidth="1"/>
    <col min="5" max="5" width="2" style="31" customWidth="1"/>
    <col min="6" max="6" width="20.140625" style="31" customWidth="1"/>
    <col min="7" max="7" width="1.7109375" style="31" customWidth="1"/>
    <col min="8" max="8" width="17.140625" style="31" customWidth="1"/>
    <col min="9" max="9" width="1.7109375" style="40" customWidth="1"/>
    <col min="10" max="10" width="27" style="2" bestFit="1" customWidth="1"/>
    <col min="11" max="11" width="1.7109375" style="74" customWidth="1"/>
    <col min="12" max="12" width="17.140625" style="31" customWidth="1"/>
    <col min="13" max="13" width="1.7109375" style="40" customWidth="1"/>
    <col min="14" max="14" width="23.42578125" style="2" bestFit="1" customWidth="1"/>
    <col min="15" max="15" width="1.7109375" style="74" customWidth="1"/>
    <col min="16" max="18" width="12.85546875" style="31" customWidth="1"/>
    <col min="19" max="19" width="12.85546875" style="31" bestFit="1" customWidth="1"/>
    <col min="20" max="20" width="12.5703125" style="31" customWidth="1"/>
    <col min="21" max="16384" width="9.140625" style="31"/>
  </cols>
  <sheetData>
    <row r="2" spans="1:25" x14ac:dyDescent="0.2">
      <c r="B2" s="161" t="s">
        <v>511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</row>
    <row r="3" spans="1:25" x14ac:dyDescent="0.2">
      <c r="B3" s="161" t="s">
        <v>529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</row>
    <row r="5" spans="1:25" ht="15" x14ac:dyDescent="0.25">
      <c r="D5" s="2"/>
      <c r="F5" s="2" t="s">
        <v>150</v>
      </c>
      <c r="P5" s="159" t="s">
        <v>414</v>
      </c>
      <c r="Q5" s="160"/>
      <c r="R5" s="160"/>
      <c r="S5" s="160"/>
      <c r="T5" s="160"/>
      <c r="U5" s="18"/>
      <c r="V5" s="18"/>
      <c r="W5" s="18"/>
      <c r="X5" s="18"/>
      <c r="Y5" s="18"/>
    </row>
    <row r="6" spans="1:25" x14ac:dyDescent="0.2">
      <c r="A6" s="2" t="s">
        <v>2</v>
      </c>
      <c r="D6" s="2" t="s">
        <v>150</v>
      </c>
      <c r="F6" s="2" t="s">
        <v>5</v>
      </c>
      <c r="H6" s="2" t="s">
        <v>167</v>
      </c>
      <c r="J6" s="2" t="s">
        <v>168</v>
      </c>
      <c r="K6" s="73"/>
      <c r="L6" s="2" t="s">
        <v>169</v>
      </c>
      <c r="N6" s="2" t="s">
        <v>104</v>
      </c>
      <c r="P6" s="18"/>
      <c r="Q6" s="18" t="s">
        <v>415</v>
      </c>
      <c r="R6" s="18" t="s">
        <v>415</v>
      </c>
      <c r="S6" s="18" t="s">
        <v>415</v>
      </c>
      <c r="T6" s="18"/>
      <c r="V6" s="18"/>
      <c r="X6" s="18"/>
    </row>
    <row r="7" spans="1:25" x14ac:dyDescent="0.2">
      <c r="A7" s="33" t="s">
        <v>4</v>
      </c>
      <c r="B7" s="80" t="s">
        <v>374</v>
      </c>
      <c r="D7" s="33" t="s">
        <v>5</v>
      </c>
      <c r="F7" s="33" t="s">
        <v>152</v>
      </c>
      <c r="H7" s="33" t="s">
        <v>131</v>
      </c>
      <c r="J7" s="33" t="s">
        <v>6</v>
      </c>
      <c r="K7" s="73"/>
      <c r="L7" s="33" t="s">
        <v>170</v>
      </c>
      <c r="N7" s="33" t="s">
        <v>6</v>
      </c>
      <c r="P7" s="4" t="s">
        <v>416</v>
      </c>
      <c r="Q7" s="4" t="s">
        <v>417</v>
      </c>
      <c r="R7" s="4" t="s">
        <v>418</v>
      </c>
      <c r="S7" s="4" t="s">
        <v>413</v>
      </c>
      <c r="T7" s="4" t="s">
        <v>408</v>
      </c>
      <c r="V7" s="18"/>
      <c r="X7" s="18"/>
    </row>
    <row r="8" spans="1:25" x14ac:dyDescent="0.2">
      <c r="D8" s="120" t="s">
        <v>12</v>
      </c>
      <c r="F8" s="120" t="s">
        <v>13</v>
      </c>
      <c r="H8" s="120" t="s">
        <v>14</v>
      </c>
      <c r="J8" s="120" t="s">
        <v>366</v>
      </c>
      <c r="L8" s="120" t="s">
        <v>15</v>
      </c>
      <c r="N8" s="120" t="s">
        <v>16</v>
      </c>
      <c r="O8" s="40"/>
      <c r="P8" s="120" t="s">
        <v>59</v>
      </c>
      <c r="Q8" s="120" t="s">
        <v>61</v>
      </c>
      <c r="R8" s="120" t="s">
        <v>62</v>
      </c>
      <c r="S8" s="120" t="s">
        <v>82</v>
      </c>
      <c r="T8" s="2" t="s">
        <v>143</v>
      </c>
    </row>
    <row r="9" spans="1:25" x14ac:dyDescent="0.2">
      <c r="F9" s="120"/>
      <c r="H9" s="120"/>
      <c r="J9" s="120"/>
      <c r="L9" s="120"/>
      <c r="N9" s="120"/>
      <c r="P9" s="121">
        <v>4</v>
      </c>
      <c r="Q9" s="121">
        <v>6</v>
      </c>
      <c r="R9" s="121">
        <v>8</v>
      </c>
      <c r="S9" s="121">
        <v>10</v>
      </c>
      <c r="T9" s="121">
        <v>12</v>
      </c>
    </row>
    <row r="10" spans="1:25" x14ac:dyDescent="0.2">
      <c r="B10" s="77" t="s">
        <v>384</v>
      </c>
      <c r="I10" s="31"/>
      <c r="P10" s="40"/>
      <c r="Q10" s="40"/>
      <c r="R10" s="40"/>
      <c r="S10" s="40"/>
      <c r="T10" s="40"/>
    </row>
    <row r="11" spans="1:25" x14ac:dyDescent="0.2">
      <c r="A11" s="2">
        <v>1</v>
      </c>
      <c r="B11" s="31" t="s">
        <v>132</v>
      </c>
      <c r="D11" s="96">
        <f ca="1">'Gas Supply Class'!P164</f>
        <v>1878311.1040714213</v>
      </c>
      <c r="F11" s="79">
        <f ca="1">'Gas Supply Class'!P180</f>
        <v>1878311.1040714213</v>
      </c>
      <c r="I11" s="31"/>
      <c r="K11" s="74">
        <f>_xlfn.IFNA(MATCH(J11,'RZ Factors'!$B$13:$B$122,0),0)</f>
        <v>0</v>
      </c>
      <c r="L11" s="79">
        <f ca="1">F11-H11</f>
        <v>1878311.1040714213</v>
      </c>
      <c r="N11" s="2" t="s">
        <v>422</v>
      </c>
      <c r="O11" s="74">
        <f>MATCH(N11,'RZ Factors'!$B$13:$B$122,0)</f>
        <v>47</v>
      </c>
      <c r="P11" s="9">
        <f ca="1">OFFSET('RZ Factors'!$B$13,$O11-1,P$9)*$L11+OFFSET('RZ Factors'!$B$13,$K11-1,P$9)*$H11</f>
        <v>1102518.0690424258</v>
      </c>
      <c r="Q11" s="9">
        <f ca="1">OFFSET('RZ Factors'!$B$13,$O11-1,Q$9)*$L11+OFFSET('RZ Factors'!$B$13,$K11-1,Q$9)*$H11</f>
        <v>34086.353963475041</v>
      </c>
      <c r="R11" s="9">
        <f ca="1">OFFSET('RZ Factors'!$B$13,$O11-1,R$9)*$L11+OFFSET('RZ Factors'!$B$13,$K11-1,R$9)*$H11</f>
        <v>129814.86539854913</v>
      </c>
      <c r="S11" s="9">
        <f ca="1">OFFSET('RZ Factors'!$B$13,$O11-1,S$9)*$L11+OFFSET('RZ Factors'!$B$13,$K11-1,S$9)*$H11</f>
        <v>611891.81566697138</v>
      </c>
      <c r="T11" s="9">
        <f ca="1">OFFSET('RZ Factors'!$B$13,$O11-1,T$9)*$L11+OFFSET('RZ Factors'!$B$13,$K11-1,T$9)*$H11</f>
        <v>0</v>
      </c>
    </row>
    <row r="12" spans="1:25" x14ac:dyDescent="0.2">
      <c r="A12" s="2">
        <f>A11+1</f>
        <v>2</v>
      </c>
      <c r="B12" s="31" t="s">
        <v>385</v>
      </c>
      <c r="D12" s="96">
        <f ca="1">'Gas Supply Class'!R164</f>
        <v>161486.41315728414</v>
      </c>
      <c r="F12" s="79">
        <f ca="1">'Gas Supply Class'!R180</f>
        <v>153599.23567205007</v>
      </c>
      <c r="H12" s="79"/>
      <c r="I12" s="31"/>
      <c r="K12" s="74">
        <f>_xlfn.IFNA(MATCH(J12,'RZ Factors'!$B$13:$B$122,0),0)</f>
        <v>0</v>
      </c>
      <c r="L12" s="79">
        <f ca="1">F12-H12</f>
        <v>153599.23567205007</v>
      </c>
      <c r="N12" s="2" t="s">
        <v>423</v>
      </c>
      <c r="O12" s="74">
        <f>MATCH(N12,'RZ Factors'!$B$13:$B$122,0)</f>
        <v>26</v>
      </c>
      <c r="P12" s="9">
        <f ca="1">OFFSET('RZ Factors'!$B$13,$O12-1,P$9)*$L12+OFFSET('RZ Factors'!$B$13,$K12-1,P$9)*$H12</f>
        <v>114100.03492767722</v>
      </c>
      <c r="Q12" s="9">
        <f ca="1">OFFSET('RZ Factors'!$B$13,$O12-1,Q$9)*$L12+OFFSET('RZ Factors'!$B$13,$K12-1,Q$9)*$H12</f>
        <v>9738.170971231526</v>
      </c>
      <c r="R12" s="9">
        <f ca="1">OFFSET('RZ Factors'!$B$13,$O12-1,R$9)*$L12+OFFSET('RZ Factors'!$B$13,$K12-1,R$9)*$H12</f>
        <v>29761.02977314133</v>
      </c>
      <c r="S12" s="9">
        <f ca="1">OFFSET('RZ Factors'!$B$13,$O12-1,S$9)*$L12+OFFSET('RZ Factors'!$B$13,$K12-1,S$9)*$H12</f>
        <v>0</v>
      </c>
      <c r="T12" s="9">
        <f ca="1">OFFSET('RZ Factors'!$B$13,$O12-1,T$9)*$L12+OFFSET('RZ Factors'!$B$13,$K12-1,T$9)*$H12</f>
        <v>0</v>
      </c>
    </row>
    <row r="13" spans="1:25" x14ac:dyDescent="0.2">
      <c r="A13" s="2">
        <f t="shared" ref="A13:A17" si="0">A12+1</f>
        <v>3</v>
      </c>
      <c r="B13" s="31" t="s">
        <v>386</v>
      </c>
      <c r="D13" s="96">
        <f ca="1">'Gas Supply Class'!T164</f>
        <v>40328.527901042762</v>
      </c>
      <c r="F13" s="79">
        <f ca="1">'Gas Supply Class'!T180</f>
        <v>40328.527901042762</v>
      </c>
      <c r="I13" s="31"/>
      <c r="K13" s="74">
        <f>_xlfn.IFNA(MATCH(J13,'RZ Factors'!$B$13:$B$122,0),0)</f>
        <v>0</v>
      </c>
      <c r="L13" s="79">
        <f t="shared" ref="L13:L16" ca="1" si="1">F13-H13</f>
        <v>40328.527901042762</v>
      </c>
      <c r="N13" s="2" t="s">
        <v>424</v>
      </c>
      <c r="O13" s="74">
        <f>MATCH(N13,'RZ Factors'!$B$13:$B$122,0)</f>
        <v>29</v>
      </c>
      <c r="P13" s="9">
        <f ca="1">OFFSET('RZ Factors'!$B$13,$O13-1,P$9)*$L13+OFFSET('RZ Factors'!$B$13,$K13-1,P$9)*$H13</f>
        <v>23604.021689045923</v>
      </c>
      <c r="Q13" s="9">
        <f ca="1">OFFSET('RZ Factors'!$B$13,$O13-1,Q$9)*$L13+OFFSET('RZ Factors'!$B$13,$K13-1,Q$9)*$H13</f>
        <v>759.15736935511347</v>
      </c>
      <c r="R13" s="9">
        <f ca="1">OFFSET('RZ Factors'!$B$13,$O13-1,R$9)*$L13+OFFSET('RZ Factors'!$B$13,$K13-1,R$9)*$H13</f>
        <v>2197.2129288199922</v>
      </c>
      <c r="S13" s="9">
        <f ca="1">OFFSET('RZ Factors'!$B$13,$O13-1,S$9)*$L13+OFFSET('RZ Factors'!$B$13,$K13-1,S$9)*$H13</f>
        <v>13768.135913821732</v>
      </c>
      <c r="T13" s="9">
        <f ca="1">OFFSET('RZ Factors'!$B$13,$O13-1,T$9)*$L13+OFFSET('RZ Factors'!$B$13,$K13-1,T$9)*$H13</f>
        <v>0</v>
      </c>
    </row>
    <row r="14" spans="1:25" x14ac:dyDescent="0.2">
      <c r="A14" s="2">
        <f t="shared" si="0"/>
        <v>4</v>
      </c>
      <c r="B14" s="31" t="s">
        <v>115</v>
      </c>
      <c r="D14" s="96">
        <f ca="1">'Gas Supply Class'!V164</f>
        <v>152523.42553920622</v>
      </c>
      <c r="F14" s="79">
        <f ca="1">'Gas Supply Class'!V180</f>
        <v>145074.01041898847</v>
      </c>
      <c r="H14" s="79">
        <f ca="1">-'Gas Supply Class'!V172</f>
        <v>-7449.4151202177381</v>
      </c>
      <c r="I14" s="31"/>
      <c r="J14" s="2" t="s">
        <v>426</v>
      </c>
      <c r="K14" s="74">
        <f>_xlfn.IFNA(MATCH(J14,'RZ Factors'!$B$13:$B$122,0),0)</f>
        <v>8</v>
      </c>
      <c r="L14" s="79">
        <v>152523.42553920622</v>
      </c>
      <c r="N14" s="2" t="s">
        <v>425</v>
      </c>
      <c r="O14" s="74">
        <f>MATCH(N14,'RZ Factors'!$B$13:$B$122,0)</f>
        <v>50</v>
      </c>
      <c r="P14" s="9">
        <f ca="1">OFFSET('RZ Factors'!$B$13,$O14-1,P$9)*$L14+OFFSET('RZ Factors'!$B$13,$K14-1,P$9)*$H14</f>
        <v>123818.51645502406</v>
      </c>
      <c r="Q14" s="9">
        <f ca="1">OFFSET('RZ Factors'!$B$13,$O14-1,Q$9)*$L14+OFFSET('RZ Factors'!$B$13,$K14-1,Q$9)*$H14</f>
        <v>7704.1125029534523</v>
      </c>
      <c r="R14" s="9">
        <f ca="1">OFFSET('RZ Factors'!$B$13,$O14-1,R$9)*$L14+OFFSET('RZ Factors'!$B$13,$K14-1,R$9)*$H14</f>
        <v>12407.795054453603</v>
      </c>
      <c r="S14" s="9">
        <f ca="1">OFFSET('RZ Factors'!$B$13,$O14-1,S$9)*$L14+OFFSET('RZ Factors'!$B$13,$K14-1,S$9)*$H14</f>
        <v>1143.5864065573767</v>
      </c>
      <c r="T14" s="9">
        <f ca="1">OFFSET('RZ Factors'!$B$13,$O14-1,T$9)*$L14+OFFSET('RZ Factors'!$B$13,$K14-1,T$9)*$H14</f>
        <v>0</v>
      </c>
    </row>
    <row r="15" spans="1:25" x14ac:dyDescent="0.2">
      <c r="A15" s="2">
        <f t="shared" si="0"/>
        <v>5</v>
      </c>
      <c r="B15" s="31" t="s">
        <v>133</v>
      </c>
      <c r="D15" s="96">
        <f ca="1">'Gas Supply Class'!X164</f>
        <v>14888.543237034275</v>
      </c>
      <c r="F15" s="79">
        <f ca="1">'Gas Supply Class'!X180</f>
        <v>14888.543237034275</v>
      </c>
      <c r="I15" s="31"/>
      <c r="K15" s="74">
        <f>_xlfn.IFNA(MATCH(J15,'RZ Factors'!$B$13:$B$122,0),0)</f>
        <v>0</v>
      </c>
      <c r="L15" s="79">
        <f t="shared" ca="1" si="1"/>
        <v>14888.543237034275</v>
      </c>
      <c r="N15" s="2" t="s">
        <v>427</v>
      </c>
      <c r="O15" s="74">
        <f>MATCH(N15,'RZ Factors'!$B$13:$B$122,0)</f>
        <v>53</v>
      </c>
      <c r="P15" s="9">
        <f ca="1">OFFSET('RZ Factors'!$B$13,$O15-1,P$9)*$L15+OFFSET('RZ Factors'!$B$13,$K15-1,P$9)*$H15</f>
        <v>11955.5993527677</v>
      </c>
      <c r="Q15" s="9">
        <f ca="1">OFFSET('RZ Factors'!$B$13,$O15-1,Q$9)*$L15+OFFSET('RZ Factors'!$B$13,$K15-1,Q$9)*$H15</f>
        <v>1695.3215271433728</v>
      </c>
      <c r="R15" s="9">
        <f ca="1">OFFSET('RZ Factors'!$B$13,$O15-1,R$9)*$L15+OFFSET('RZ Factors'!$B$13,$K15-1,R$9)*$H15</f>
        <v>1115.790999434686</v>
      </c>
      <c r="S15" s="9">
        <f ca="1">OFFSET('RZ Factors'!$B$13,$O15-1,S$9)*$L15+OFFSET('RZ Factors'!$B$13,$K15-1,S$9)*$H15</f>
        <v>121.83135768851581</v>
      </c>
      <c r="T15" s="9">
        <f ca="1">OFFSET('RZ Factors'!$B$13,$O15-1,T$9)*$L15+OFFSET('RZ Factors'!$B$13,$K15-1,T$9)*$H15</f>
        <v>0</v>
      </c>
    </row>
    <row r="16" spans="1:25" x14ac:dyDescent="0.2">
      <c r="A16" s="2">
        <f t="shared" si="0"/>
        <v>6</v>
      </c>
      <c r="B16" s="31" t="s">
        <v>135</v>
      </c>
      <c r="D16" s="96">
        <f ca="1">'Gas Supply Class'!Z164</f>
        <v>20855.923243351954</v>
      </c>
      <c r="F16" s="79">
        <f ca="1">'Gas Supply Class'!Z180</f>
        <v>15491.673288166032</v>
      </c>
      <c r="I16" s="31"/>
      <c r="K16" s="74">
        <f>_xlfn.IFNA(MATCH(J16,'RZ Factors'!$B$13:$B$122,0),0)</f>
        <v>0</v>
      </c>
      <c r="L16" s="79">
        <f t="shared" ca="1" si="1"/>
        <v>15491.673288166032</v>
      </c>
      <c r="N16" s="2" t="s">
        <v>428</v>
      </c>
      <c r="O16" s="74">
        <f>MATCH(N16,'RZ Factors'!$B$13:$B$122,0)</f>
        <v>11</v>
      </c>
      <c r="P16" s="9">
        <f ca="1">OFFSET('RZ Factors'!$B$13,$O16-1,P$9)*$L16+OFFSET('RZ Factors'!$B$13,$K16-1,P$9)*$H16</f>
        <v>9609.779501061641</v>
      </c>
      <c r="Q16" s="9">
        <f ca="1">OFFSET('RZ Factors'!$B$13,$O16-1,Q$9)*$L16+OFFSET('RZ Factors'!$B$13,$K16-1,Q$9)*$H16</f>
        <v>370.84643159245962</v>
      </c>
      <c r="R16" s="9">
        <f ca="1">OFFSET('RZ Factors'!$B$13,$O16-1,R$9)*$L16+OFFSET('RZ Factors'!$B$13,$K16-1,R$9)*$H16</f>
        <v>945.2630200863382</v>
      </c>
      <c r="S16" s="9">
        <f ca="1">OFFSET('RZ Factors'!$B$13,$O16-1,S$9)*$L16+OFFSET('RZ Factors'!$B$13,$K16-1,S$9)*$H16</f>
        <v>4565.7843354255938</v>
      </c>
      <c r="T16" s="9">
        <f ca="1">OFFSET('RZ Factors'!$B$13,$O16-1,T$9)*$L16+OFFSET('RZ Factors'!$B$13,$K16-1,T$9)*$H16</f>
        <v>0</v>
      </c>
    </row>
    <row r="17" spans="1:20" x14ac:dyDescent="0.2">
      <c r="A17" s="2">
        <f t="shared" si="0"/>
        <v>7</v>
      </c>
      <c r="B17" s="31" t="s">
        <v>383</v>
      </c>
      <c r="D17" s="81">
        <f t="shared" ref="D17" ca="1" si="2">SUM(D11:D16)</f>
        <v>2268393.9371493403</v>
      </c>
      <c r="E17" s="38"/>
      <c r="F17" s="81">
        <f ca="1">SUM(F11:F16)</f>
        <v>2247693.094588703</v>
      </c>
      <c r="H17" s="81">
        <f ca="1">SUM(H11:H16)</f>
        <v>-7449.4151202177381</v>
      </c>
      <c r="I17" s="31"/>
      <c r="L17" s="41">
        <f ca="1">SUM(L11:L16)</f>
        <v>2255142.5097089205</v>
      </c>
      <c r="P17" s="41">
        <f t="shared" ref="P17:T17" ca="1" si="3">SUM(P11:P16)</f>
        <v>1385606.0209680023</v>
      </c>
      <c r="Q17" s="41">
        <f t="shared" ca="1" si="3"/>
        <v>54353.962765750963</v>
      </c>
      <c r="R17" s="41">
        <f t="shared" ca="1" si="3"/>
        <v>176241.95717448505</v>
      </c>
      <c r="S17" s="41">
        <f t="shared" ca="1" si="3"/>
        <v>631491.1536804646</v>
      </c>
      <c r="T17" s="41">
        <f t="shared" ca="1" si="3"/>
        <v>0</v>
      </c>
    </row>
    <row r="18" spans="1:20" x14ac:dyDescent="0.2">
      <c r="D18" s="96"/>
      <c r="F18" s="79"/>
      <c r="I18" s="31"/>
      <c r="P18" s="79" t="s">
        <v>225</v>
      </c>
      <c r="Q18" s="79"/>
      <c r="R18" s="79"/>
      <c r="S18" s="79"/>
    </row>
    <row r="19" spans="1:20" x14ac:dyDescent="0.2">
      <c r="B19" s="77" t="s">
        <v>97</v>
      </c>
      <c r="D19" s="96"/>
      <c r="F19" s="79"/>
      <c r="I19" s="31"/>
      <c r="P19" s="79"/>
      <c r="Q19" s="79"/>
      <c r="R19" s="79"/>
      <c r="S19" s="79"/>
    </row>
    <row r="20" spans="1:20" x14ac:dyDescent="0.2">
      <c r="A20" s="2">
        <f>A17+1</f>
        <v>8</v>
      </c>
      <c r="B20" s="31" t="s">
        <v>89</v>
      </c>
      <c r="D20" s="96">
        <f ca="1">'Storage Class'!P164</f>
        <v>106265.51371986591</v>
      </c>
      <c r="F20" s="79">
        <f ca="1">'Storage Class'!P180</f>
        <v>106265.51371986591</v>
      </c>
      <c r="I20" s="31"/>
      <c r="K20" s="74">
        <f>_xlfn.IFNA(MATCH(J20,'RZ Factors'!$B$13:$B$122,0),0)</f>
        <v>0</v>
      </c>
      <c r="L20" s="79">
        <f t="shared" ref="L20:L23" ca="1" si="4">F20-H20</f>
        <v>106265.51371986591</v>
      </c>
      <c r="N20" s="2" t="s">
        <v>424</v>
      </c>
      <c r="O20" s="74">
        <f>MATCH(N20,'RZ Factors'!$B$13:$B$122,0)</f>
        <v>29</v>
      </c>
      <c r="P20" s="9">
        <f ca="1">OFFSET('RZ Factors'!$B$13,$O20-1,P$9)*$L20+OFFSET('RZ Factors'!$B$13,$K20-1,P$9)*$H20</f>
        <v>62196.505084344171</v>
      </c>
      <c r="Q20" s="9">
        <f ca="1">OFFSET('RZ Factors'!$B$13,$O20-1,Q$9)*$L20+OFFSET('RZ Factors'!$B$13,$K20-1,Q$9)*$H20</f>
        <v>2000.3767071958312</v>
      </c>
      <c r="R20" s="9">
        <f ca="1">OFFSET('RZ Factors'!$B$13,$O20-1,R$9)*$L20+OFFSET('RZ Factors'!$B$13,$K20-1,R$9)*$H20</f>
        <v>5789.6474973228669</v>
      </c>
      <c r="S20" s="9">
        <f ca="1">OFFSET('RZ Factors'!$B$13,$O20-1,S$9)*$L20+OFFSET('RZ Factors'!$B$13,$K20-1,S$9)*$H20</f>
        <v>36278.984431003031</v>
      </c>
      <c r="T20" s="9">
        <f ca="1">OFFSET('RZ Factors'!$B$13,$O20-1,T$9)*$L20+OFFSET('RZ Factors'!$B$13,$K20-1,T$9)*$H20</f>
        <v>0</v>
      </c>
    </row>
    <row r="21" spans="1:20" x14ac:dyDescent="0.2">
      <c r="A21" s="2">
        <f>A20+1</f>
        <v>9</v>
      </c>
      <c r="B21" s="31" t="s">
        <v>90</v>
      </c>
      <c r="D21" s="96">
        <f ca="1">'Storage Class'!R164</f>
        <v>67317.433307812898</v>
      </c>
      <c r="F21" s="79">
        <f ca="1">'Storage Class'!R180</f>
        <v>67317.433307812898</v>
      </c>
      <c r="H21" s="79">
        <f ca="1">'Storage Class'!AC93</f>
        <v>28256.55440729922</v>
      </c>
      <c r="I21" s="31"/>
      <c r="J21" s="2" t="s">
        <v>430</v>
      </c>
      <c r="K21" s="74">
        <f>_xlfn.IFNA(MATCH(J21,'RZ Factors'!$B$13:$B$122,0),0)</f>
        <v>2</v>
      </c>
      <c r="L21" s="79">
        <f t="shared" ca="1" si="4"/>
        <v>39060.878900513679</v>
      </c>
      <c r="N21" s="2" t="s">
        <v>429</v>
      </c>
      <c r="O21" s="74">
        <f>MATCH(N21,'RZ Factors'!$B$13:$B$122,0)</f>
        <v>41</v>
      </c>
      <c r="P21" s="9">
        <f ca="1">OFFSET('RZ Factors'!$B$13,$O21-1,P$9)*$L21+OFFSET('RZ Factors'!$B$13,$K21-1,P$9)*$H21</f>
        <v>40108.890001803389</v>
      </c>
      <c r="Q21" s="9">
        <f ca="1">OFFSET('RZ Factors'!$B$13,$O21-1,Q$9)*$L21+OFFSET('RZ Factors'!$B$13,$K21-1,Q$9)*$H21</f>
        <v>1447.3793583204269</v>
      </c>
      <c r="R21" s="9">
        <f ca="1">OFFSET('RZ Factors'!$B$13,$O21-1,R$9)*$L21+OFFSET('RZ Factors'!$B$13,$K21-1,R$9)*$H21</f>
        <v>4043.2365963449065</v>
      </c>
      <c r="S21" s="9">
        <f ca="1">OFFSET('RZ Factors'!$B$13,$O21-1,S$9)*$L21+OFFSET('RZ Factors'!$B$13,$K21-1,S$9)*$H21</f>
        <v>21717.927351344169</v>
      </c>
      <c r="T21" s="9">
        <f ca="1">OFFSET('RZ Factors'!$B$13,$O21-1,T$9)*$L21+OFFSET('RZ Factors'!$B$13,$K21-1,T$9)*$H21</f>
        <v>0</v>
      </c>
    </row>
    <row r="22" spans="1:20" x14ac:dyDescent="0.2">
      <c r="A22" s="2">
        <f t="shared" ref="A22:A24" si="5">A21+1</f>
        <v>10</v>
      </c>
      <c r="B22" s="31" t="s">
        <v>345</v>
      </c>
      <c r="D22" s="96">
        <f ca="1">'Storage Class'!T164</f>
        <v>5768.9625818688937</v>
      </c>
      <c r="F22" s="79">
        <f ca="1">'Storage Class'!T180</f>
        <v>5768.9625818688937</v>
      </c>
      <c r="I22" s="31"/>
      <c r="K22" s="74">
        <f>_xlfn.IFNA(MATCH(J22,'RZ Factors'!$B$13:$B$122,0),0)</f>
        <v>0</v>
      </c>
      <c r="L22" s="79">
        <f t="shared" ca="1" si="4"/>
        <v>5768.9625818688937</v>
      </c>
      <c r="N22" s="2" t="s">
        <v>431</v>
      </c>
      <c r="O22" s="74">
        <f>MATCH(N22,'RZ Factors'!$B$13:$B$122,0)</f>
        <v>32</v>
      </c>
      <c r="P22" s="9">
        <f ca="1">OFFSET('RZ Factors'!$B$13,$O22-1,P$9)*$L22+OFFSET('RZ Factors'!$B$13,$K22-1,P$9)*$H22</f>
        <v>3229.3411295980759</v>
      </c>
      <c r="Q22" s="9">
        <f ca="1">OFFSET('RZ Factors'!$B$13,$O22-1,Q$9)*$L22+OFFSET('RZ Factors'!$B$13,$K22-1,Q$9)*$H22</f>
        <v>121.02913994849065</v>
      </c>
      <c r="R22" s="9">
        <f ca="1">OFFSET('RZ Factors'!$B$13,$O22-1,R$9)*$L22+OFFSET('RZ Factors'!$B$13,$K22-1,R$9)*$H22</f>
        <v>340.51671702640135</v>
      </c>
      <c r="S22" s="9">
        <f ca="1">OFFSET('RZ Factors'!$B$13,$O22-1,S$9)*$L22+OFFSET('RZ Factors'!$B$13,$K22-1,S$9)*$H22</f>
        <v>1682.6449750057097</v>
      </c>
      <c r="T22" s="9">
        <f ca="1">OFFSET('RZ Factors'!$B$13,$O22-1,T$9)*$L22+OFFSET('RZ Factors'!$B$13,$K22-1,T$9)*$H22</f>
        <v>395.43062029021604</v>
      </c>
    </row>
    <row r="23" spans="1:20" x14ac:dyDescent="0.2">
      <c r="A23" s="2">
        <f t="shared" si="5"/>
        <v>11</v>
      </c>
      <c r="B23" s="31" t="s">
        <v>91</v>
      </c>
      <c r="D23" s="96">
        <f ca="1">'Storage Class'!V164</f>
        <v>14135.587472300971</v>
      </c>
      <c r="F23" s="79">
        <f ca="1">'Storage Class'!V180</f>
        <v>14135.587472300971</v>
      </c>
      <c r="I23" s="31"/>
      <c r="K23" s="74">
        <f>_xlfn.IFNA(MATCH(J23,'RZ Factors'!$B$13:$B$122,0),0)</f>
        <v>0</v>
      </c>
      <c r="L23" s="79">
        <f t="shared" ca="1" si="4"/>
        <v>14135.587472300971</v>
      </c>
      <c r="N23" s="2" t="s">
        <v>432</v>
      </c>
      <c r="O23" s="74">
        <f>MATCH(N23,'RZ Factors'!$B$13:$B$122,0)</f>
        <v>44</v>
      </c>
      <c r="P23" s="9">
        <f ca="1">OFFSET('RZ Factors'!$B$13,$O23-1,P$9)*$L23+OFFSET('RZ Factors'!$B$13,$K23-1,P$9)*$H23</f>
        <v>7898.437235328639</v>
      </c>
      <c r="Q23" s="9">
        <f ca="1">OFFSET('RZ Factors'!$B$13,$O23-1,Q$9)*$L23+OFFSET('RZ Factors'!$B$13,$K23-1,Q$9)*$H23</f>
        <v>262.51137065294904</v>
      </c>
      <c r="R23" s="9">
        <f ca="1">OFFSET('RZ Factors'!$B$13,$O23-1,R$9)*$L23+OFFSET('RZ Factors'!$B$13,$K23-1,R$9)*$H23</f>
        <v>720.41014638295508</v>
      </c>
      <c r="S23" s="9">
        <f ca="1">OFFSET('RZ Factors'!$B$13,$O23-1,S$9)*$L23+OFFSET('RZ Factors'!$B$13,$K23-1,S$9)*$H23</f>
        <v>5254.2287199364273</v>
      </c>
      <c r="T23" s="9">
        <f ca="1">OFFSET('RZ Factors'!$B$13,$O23-1,T$9)*$L23+OFFSET('RZ Factors'!$B$13,$K23-1,T$9)*$H23</f>
        <v>0</v>
      </c>
    </row>
    <row r="24" spans="1:20" x14ac:dyDescent="0.2">
      <c r="A24" s="2">
        <f t="shared" si="5"/>
        <v>12</v>
      </c>
      <c r="B24" s="31" t="s">
        <v>96</v>
      </c>
      <c r="D24" s="94">
        <f t="shared" ref="D24" ca="1" si="6">SUM(D20:D23)</f>
        <v>193487.49708184868</v>
      </c>
      <c r="E24" s="50"/>
      <c r="F24" s="41">
        <f ca="1">SUM(F20:F23)</f>
        <v>193487.49708184868</v>
      </c>
      <c r="H24" s="41">
        <f ca="1">SUM(H20:H23)</f>
        <v>28256.55440729922</v>
      </c>
      <c r="I24" s="31"/>
      <c r="J24" s="122"/>
      <c r="L24" s="41">
        <f ca="1">SUM(L20:L23)</f>
        <v>165230.94267454944</v>
      </c>
      <c r="P24" s="41">
        <f t="shared" ref="P24:T24" ca="1" si="7">SUM(P20:P23)</f>
        <v>113433.17345107428</v>
      </c>
      <c r="Q24" s="41">
        <f t="shared" ca="1" si="7"/>
        <v>3831.2965761176979</v>
      </c>
      <c r="R24" s="41">
        <f t="shared" ca="1" si="7"/>
        <v>10893.81095707713</v>
      </c>
      <c r="S24" s="41">
        <f t="shared" ca="1" si="7"/>
        <v>64933.785477289341</v>
      </c>
      <c r="T24" s="41">
        <f t="shared" ca="1" si="7"/>
        <v>395.43062029021604</v>
      </c>
    </row>
    <row r="25" spans="1:20" x14ac:dyDescent="0.2">
      <c r="D25" s="96"/>
      <c r="I25" s="31"/>
      <c r="P25" s="79"/>
      <c r="Q25" s="79"/>
      <c r="R25" s="79"/>
      <c r="S25" s="79"/>
    </row>
    <row r="26" spans="1:20" x14ac:dyDescent="0.2">
      <c r="B26" s="77" t="s">
        <v>98</v>
      </c>
      <c r="D26" s="96"/>
      <c r="I26" s="31"/>
      <c r="P26" s="79"/>
      <c r="Q26" s="79"/>
      <c r="R26" s="79"/>
      <c r="S26" s="79"/>
    </row>
    <row r="27" spans="1:20" x14ac:dyDescent="0.2">
      <c r="A27" s="2">
        <f>A24+1</f>
        <v>13</v>
      </c>
      <c r="B27" s="31" t="s">
        <v>92</v>
      </c>
      <c r="D27" s="96">
        <f ca="1">'Transmission Class'!P164</f>
        <v>12889.72691135346</v>
      </c>
      <c r="F27" s="79">
        <f ca="1">'Transmission Class'!P180</f>
        <v>12889.72691135346</v>
      </c>
      <c r="I27" s="31"/>
      <c r="K27" s="74">
        <f>_xlfn.IFNA(MATCH(J27,'RZ Factors'!$B$13:$B$122,0),0)</f>
        <v>0</v>
      </c>
      <c r="L27" s="79">
        <f t="shared" ref="L27:L33" ca="1" si="8">F27-H27</f>
        <v>12889.72691135346</v>
      </c>
      <c r="N27" s="2" t="s">
        <v>536</v>
      </c>
      <c r="O27" s="74">
        <f>MATCH(N27,'RZ Factors'!$B$13:$B$122,0)</f>
        <v>17</v>
      </c>
      <c r="P27" s="9">
        <f ca="1">OFFSET('RZ Factors'!$B$13,$O27-1,P$9)*$L27+OFFSET('RZ Factors'!$B$13,$K27-1,P$9)*$H27</f>
        <v>4807.6632450940742</v>
      </c>
      <c r="Q27" s="9">
        <f ca="1">OFFSET('RZ Factors'!$B$13,$O27-1,Q$9)*$L27+OFFSET('RZ Factors'!$B$13,$K27-1,Q$9)*$H27</f>
        <v>47.882758574584528</v>
      </c>
      <c r="R27" s="9">
        <f ca="1">OFFSET('RZ Factors'!$B$13,$O27-1,R$9)*$L27+OFFSET('RZ Factors'!$B$13,$K27-1,R$9)*$H27</f>
        <v>549.90589197103895</v>
      </c>
      <c r="S27" s="9">
        <f ca="1">OFFSET('RZ Factors'!$B$13,$O27-1,S$9)*$L27+OFFSET('RZ Factors'!$B$13,$K27-1,S$9)*$H27</f>
        <v>2801.1189262642133</v>
      </c>
      <c r="T27" s="9">
        <f ca="1">OFFSET('RZ Factors'!$B$13,$O27-1,T$9)*$L27+OFFSET('RZ Factors'!$B$13,$K27-1,T$9)*$H27</f>
        <v>4683.1560894495487</v>
      </c>
    </row>
    <row r="28" spans="1:20" x14ac:dyDescent="0.2">
      <c r="A28" s="2">
        <f>A27+1</f>
        <v>14</v>
      </c>
      <c r="B28" s="31" t="s">
        <v>93</v>
      </c>
      <c r="D28" s="96">
        <f ca="1">'Transmission Class'!R164</f>
        <v>1418.3718363261082</v>
      </c>
      <c r="F28" s="79">
        <f ca="1">'Transmission Class'!R180</f>
        <v>1418.3718363261082</v>
      </c>
      <c r="I28" s="31"/>
      <c r="K28" s="74">
        <f>_xlfn.IFNA(MATCH(J28,'RZ Factors'!$B$13:$B$122,0),0)</f>
        <v>0</v>
      </c>
      <c r="L28" s="79">
        <f t="shared" ca="1" si="8"/>
        <v>1418.3718363261082</v>
      </c>
      <c r="N28" s="2" t="s">
        <v>433</v>
      </c>
      <c r="O28" s="74">
        <f>MATCH(N28,'RZ Factors'!$B$13:$B$122,0)</f>
        <v>23</v>
      </c>
      <c r="P28" s="9">
        <f ca="1">OFFSET('RZ Factors'!$B$13,$O28-1,P$9)*$L28+OFFSET('RZ Factors'!$B$13,$K28-1,P$9)*$H28</f>
        <v>135.75366221986272</v>
      </c>
      <c r="Q28" s="9">
        <f ca="1">OFFSET('RZ Factors'!$B$13,$O28-1,Q$9)*$L28+OFFSET('RZ Factors'!$B$13,$K28-1,Q$9)*$H28</f>
        <v>0</v>
      </c>
      <c r="R28" s="9">
        <f ca="1">OFFSET('RZ Factors'!$B$13,$O28-1,R$9)*$L28+OFFSET('RZ Factors'!$B$13,$K28-1,R$9)*$H28</f>
        <v>0</v>
      </c>
      <c r="S28" s="9">
        <f ca="1">OFFSET('RZ Factors'!$B$13,$O28-1,S$9)*$L28+OFFSET('RZ Factors'!$B$13,$K28-1,S$9)*$H28</f>
        <v>286.05282800224472</v>
      </c>
      <c r="T28" s="9">
        <f ca="1">OFFSET('RZ Factors'!$B$13,$O28-1,T$9)*$L28+OFFSET('RZ Factors'!$B$13,$K28-1,T$9)*$H28</f>
        <v>996.5653461040007</v>
      </c>
    </row>
    <row r="29" spans="1:20" x14ac:dyDescent="0.2">
      <c r="A29" s="2">
        <f t="shared" ref="A29:A34" si="9">A28+1</f>
        <v>15</v>
      </c>
      <c r="B29" s="31" t="s">
        <v>94</v>
      </c>
      <c r="D29" s="96">
        <f ca="1">'Transmission Class'!T164</f>
        <v>46033.650718814592</v>
      </c>
      <c r="F29" s="79">
        <f ca="1">'Transmission Class'!T180</f>
        <v>46033.650718814592</v>
      </c>
      <c r="I29" s="31"/>
      <c r="K29" s="74">
        <f>_xlfn.IFNA(MATCH(J29,'RZ Factors'!$B$13:$B$122,0),0)</f>
        <v>0</v>
      </c>
      <c r="L29" s="79">
        <f t="shared" ca="1" si="8"/>
        <v>46033.650718814592</v>
      </c>
      <c r="N29" s="2" t="s">
        <v>434</v>
      </c>
      <c r="O29" s="74">
        <f>MATCH(N29,'RZ Factors'!$B$13:$B$122,0)</f>
        <v>38</v>
      </c>
      <c r="P29" s="9">
        <f ca="1">OFFSET('RZ Factors'!$B$13,$O29-1,P$9)*$L29+OFFSET('RZ Factors'!$B$13,$K29-1,P$9)*$H29</f>
        <v>18507.938128719048</v>
      </c>
      <c r="Q29" s="9">
        <f ca="1">OFFSET('RZ Factors'!$B$13,$O29-1,Q$9)*$L29+OFFSET('RZ Factors'!$B$13,$K29-1,Q$9)*$H29</f>
        <v>310.34216371686807</v>
      </c>
      <c r="R29" s="9">
        <f ca="1">OFFSET('RZ Factors'!$B$13,$O29-1,R$9)*$L29+OFFSET('RZ Factors'!$B$13,$K29-1,R$9)*$H29</f>
        <v>3564.1009297557439</v>
      </c>
      <c r="S29" s="9">
        <f ca="1">OFFSET('RZ Factors'!$B$13,$O29-1,S$9)*$L29+OFFSET('RZ Factors'!$B$13,$K29-1,S$9)*$H29</f>
        <v>0</v>
      </c>
      <c r="T29" s="9">
        <f ca="1">OFFSET('RZ Factors'!$B$13,$O29-1,T$9)*$L29+OFFSET('RZ Factors'!$B$13,$K29-1,T$9)*$H29</f>
        <v>23651.269496622928</v>
      </c>
    </row>
    <row r="30" spans="1:20" x14ac:dyDescent="0.2">
      <c r="A30" s="2">
        <f t="shared" si="9"/>
        <v>16</v>
      </c>
      <c r="B30" s="31" t="s">
        <v>330</v>
      </c>
      <c r="D30" s="96">
        <f ca="1">'Transmission Class'!V164</f>
        <v>229743.82612937456</v>
      </c>
      <c r="F30" s="79">
        <f ca="1">'Transmission Class'!V180</f>
        <v>229743.82612937456</v>
      </c>
      <c r="I30" s="31"/>
      <c r="K30" s="74">
        <f>_xlfn.IFNA(MATCH(J30,'RZ Factors'!$B$13:$B$122,0),0)</f>
        <v>0</v>
      </c>
      <c r="L30" s="79">
        <f t="shared" ca="1" si="8"/>
        <v>229743.82612937456</v>
      </c>
      <c r="N30" s="2" t="s">
        <v>435</v>
      </c>
      <c r="O30" s="74">
        <f>MATCH(N30,'RZ Factors'!$B$13:$B$122,0)</f>
        <v>20</v>
      </c>
      <c r="P30" s="9">
        <f ca="1">OFFSET('RZ Factors'!$B$13,$O30-1,P$9)*$L30+OFFSET('RZ Factors'!$B$13,$K30-1,P$9)*$H30</f>
        <v>104883.41266641355</v>
      </c>
      <c r="Q30" s="9">
        <f ca="1">OFFSET('RZ Factors'!$B$13,$O30-1,Q$9)*$L30+OFFSET('RZ Factors'!$B$13,$K30-1,Q$9)*$H30</f>
        <v>1048.651856681696</v>
      </c>
      <c r="R30" s="9">
        <f ca="1">OFFSET('RZ Factors'!$B$13,$O30-1,R$9)*$L30+OFFSET('RZ Factors'!$B$13,$K30-1,R$9)*$H30</f>
        <v>12043.162336134012</v>
      </c>
      <c r="S30" s="9">
        <f ca="1">OFFSET('RZ Factors'!$B$13,$O30-1,S$9)*$L30+OFFSET('RZ Factors'!$B$13,$K30-1,S$9)*$H30</f>
        <v>45205.240605894047</v>
      </c>
      <c r="T30" s="9">
        <f ca="1">OFFSET('RZ Factors'!$B$13,$O30-1,T$9)*$L30+OFFSET('RZ Factors'!$B$13,$K30-1,T$9)*$H30</f>
        <v>66563.358664251253</v>
      </c>
    </row>
    <row r="31" spans="1:20" x14ac:dyDescent="0.2">
      <c r="A31" s="2">
        <f t="shared" si="9"/>
        <v>17</v>
      </c>
      <c r="B31" s="31" t="s">
        <v>331</v>
      </c>
      <c r="D31" s="96">
        <f ca="1">'Transmission Class'!X164</f>
        <v>30569.722628306641</v>
      </c>
      <c r="F31" s="79">
        <f ca="1">'Transmission Class'!X180</f>
        <v>30569.722628306641</v>
      </c>
      <c r="I31" s="31"/>
      <c r="K31" s="74">
        <f>_xlfn.IFNA(MATCH(J31,'RZ Factors'!$B$13:$B$122,0),0)</f>
        <v>0</v>
      </c>
      <c r="L31" s="79">
        <f t="shared" ca="1" si="8"/>
        <v>30569.722628306641</v>
      </c>
      <c r="N31" s="2" t="s">
        <v>436</v>
      </c>
      <c r="O31" s="74">
        <f>MATCH(N31,'RZ Factors'!$B$13:$B$122,0)</f>
        <v>14</v>
      </c>
      <c r="P31" s="9">
        <f ca="1">OFFSET('RZ Factors'!$B$13,$O31-1,P$9)*$L31+OFFSET('RZ Factors'!$B$13,$K31-1,P$9)*$H31</f>
        <v>12227.889051322658</v>
      </c>
      <c r="Q31" s="9">
        <f ca="1">OFFSET('RZ Factors'!$B$13,$O31-1,Q$9)*$L31+OFFSET('RZ Factors'!$B$13,$K31-1,Q$9)*$H31</f>
        <v>0</v>
      </c>
      <c r="R31" s="9">
        <f ca="1">OFFSET('RZ Factors'!$B$13,$O31-1,R$9)*$L31+OFFSET('RZ Factors'!$B$13,$K31-1,R$9)*$H31</f>
        <v>0</v>
      </c>
      <c r="S31" s="9">
        <f ca="1">OFFSET('RZ Factors'!$B$13,$O31-1,S$9)*$L31+OFFSET('RZ Factors'!$B$13,$K31-1,S$9)*$H31</f>
        <v>0</v>
      </c>
      <c r="T31" s="9">
        <f ca="1">OFFSET('RZ Factors'!$B$13,$O31-1,T$9)*$L31+OFFSET('RZ Factors'!$B$13,$K31-1,T$9)*$H31</f>
        <v>18341.833576983983</v>
      </c>
    </row>
    <row r="32" spans="1:20" x14ac:dyDescent="0.2">
      <c r="A32" s="2">
        <f t="shared" si="9"/>
        <v>18</v>
      </c>
      <c r="B32" s="31" t="s">
        <v>146</v>
      </c>
      <c r="D32" s="96">
        <f ca="1">'Transmission Class'!Z164</f>
        <v>53148.309605428803</v>
      </c>
      <c r="F32" s="79">
        <f ca="1">'Transmission Class'!Z180</f>
        <v>53148.309605428803</v>
      </c>
      <c r="I32" s="31"/>
      <c r="K32" s="74">
        <f>_xlfn.IFNA(MATCH(J32,'RZ Factors'!$B$13:$B$122,0),0)</f>
        <v>0</v>
      </c>
      <c r="L32" s="79">
        <f t="shared" ca="1" si="8"/>
        <v>53148.309605428803</v>
      </c>
      <c r="N32" s="2" t="s">
        <v>437</v>
      </c>
      <c r="O32" s="74">
        <f>MATCH(N32,'RZ Factors'!$B$13:$B$122,0)</f>
        <v>35</v>
      </c>
      <c r="P32" s="9">
        <f ca="1">OFFSET('RZ Factors'!$B$13,$O32-1,P$9)*$L32+OFFSET('RZ Factors'!$B$13,$K32-1,P$9)*$H32</f>
        <v>0</v>
      </c>
      <c r="Q32" s="9">
        <f ca="1">OFFSET('RZ Factors'!$B$13,$O32-1,Q$9)*$L32+OFFSET('RZ Factors'!$B$13,$K32-1,Q$9)*$H32</f>
        <v>0</v>
      </c>
      <c r="R32" s="9">
        <f ca="1">OFFSET('RZ Factors'!$B$13,$O32-1,R$9)*$L32+OFFSET('RZ Factors'!$B$13,$K32-1,R$9)*$H32</f>
        <v>0</v>
      </c>
      <c r="S32" s="9">
        <f ca="1">OFFSET('RZ Factors'!$B$13,$O32-1,S$9)*$L32+OFFSET('RZ Factors'!$B$13,$K32-1,S$9)*$H32</f>
        <v>53148.309605428803</v>
      </c>
      <c r="T32" s="9">
        <f ca="1">OFFSET('RZ Factors'!$B$13,$O32-1,T$9)*$L32+OFFSET('RZ Factors'!$B$13,$K32-1,T$9)*$H32</f>
        <v>0</v>
      </c>
    </row>
    <row r="33" spans="1:20" x14ac:dyDescent="0.2">
      <c r="A33" s="2">
        <f t="shared" si="9"/>
        <v>19</v>
      </c>
      <c r="B33" s="31" t="s">
        <v>95</v>
      </c>
      <c r="D33" s="96">
        <f ca="1">'Transmission Class'!AB164</f>
        <v>29913.696260682678</v>
      </c>
      <c r="F33" s="79">
        <f ca="1">'Transmission Class'!AB180</f>
        <v>29913.696260682678</v>
      </c>
      <c r="H33" s="79">
        <f ca="1">'Transmission Class'!AB117</f>
        <v>18533.95038585359</v>
      </c>
      <c r="I33" s="31"/>
      <c r="J33" s="2" t="s">
        <v>438</v>
      </c>
      <c r="K33" s="74">
        <f>_xlfn.IFNA(MATCH(J33,'RZ Factors'!$B$13:$B$122,0),0)</f>
        <v>5</v>
      </c>
      <c r="L33" s="79">
        <f t="shared" ca="1" si="8"/>
        <v>11379.745874829088</v>
      </c>
      <c r="N33" s="2" t="s">
        <v>439</v>
      </c>
      <c r="O33" s="74">
        <f>MATCH(N33,'RZ Factors'!$B$13:$B$122,0)</f>
        <v>56</v>
      </c>
      <c r="P33" s="9">
        <f ca="1">OFFSET('RZ Factors'!$B$13,$O33-1,P$9)*$L33+OFFSET('RZ Factors'!$B$13,$K33-1,P$9)*$H33</f>
        <v>3577.0325743260541</v>
      </c>
      <c r="Q33" s="9">
        <f ca="1">OFFSET('RZ Factors'!$B$13,$O33-1,Q$9)*$L33+OFFSET('RZ Factors'!$B$13,$K33-1,Q$9)*$H33</f>
        <v>269.74831056023822</v>
      </c>
      <c r="R33" s="9">
        <f ca="1">OFFSET('RZ Factors'!$B$13,$O33-1,R$9)*$L33+OFFSET('RZ Factors'!$B$13,$K33-1,R$9)*$H33</f>
        <v>730.53155031370738</v>
      </c>
      <c r="S33" s="9">
        <f ca="1">OFFSET('RZ Factors'!$B$13,$O33-1,S$9)*$L33+OFFSET('RZ Factors'!$B$13,$K33-1,S$9)*$H33</f>
        <v>4680.2587595675095</v>
      </c>
      <c r="T33" s="9">
        <f ca="1">OFFSET('RZ Factors'!$B$13,$O33-1,T$9)*$L33+OFFSET('RZ Factors'!$B$13,$K33-1,T$9)*$H33</f>
        <v>20656.12506591517</v>
      </c>
    </row>
    <row r="34" spans="1:20" x14ac:dyDescent="0.2">
      <c r="A34" s="2">
        <f t="shared" si="9"/>
        <v>20</v>
      </c>
      <c r="B34" s="31" t="s">
        <v>99</v>
      </c>
      <c r="D34" s="94">
        <f t="shared" ref="D34" ca="1" si="10">SUM(D27:D33)</f>
        <v>403717.30409028684</v>
      </c>
      <c r="E34" s="50"/>
      <c r="F34" s="41">
        <f ca="1">SUM(F27:F33)</f>
        <v>403717.30409028684</v>
      </c>
      <c r="H34" s="41">
        <f ca="1">SUM(H27:H33)</f>
        <v>18533.95038585359</v>
      </c>
      <c r="I34" s="31"/>
      <c r="L34" s="41">
        <f ca="1">SUM(L27:L33)</f>
        <v>385183.35370443325</v>
      </c>
      <c r="P34" s="41">
        <f t="shared" ref="P34:T34" ca="1" si="11">SUM(P27:P33)</f>
        <v>144139.68932809526</v>
      </c>
      <c r="Q34" s="41">
        <f t="shared" ca="1" si="11"/>
        <v>1676.6250895333869</v>
      </c>
      <c r="R34" s="41">
        <f t="shared" ca="1" si="11"/>
        <v>16887.7007081745</v>
      </c>
      <c r="S34" s="41">
        <f t="shared" ca="1" si="11"/>
        <v>106120.98072515681</v>
      </c>
      <c r="T34" s="41">
        <f t="shared" ca="1" si="11"/>
        <v>134892.30823932687</v>
      </c>
    </row>
    <row r="35" spans="1:20" x14ac:dyDescent="0.2">
      <c r="D35" s="96"/>
      <c r="P35" s="79"/>
      <c r="Q35" s="79"/>
      <c r="R35" s="79"/>
    </row>
    <row r="36" spans="1:20" ht="15" x14ac:dyDescent="0.25">
      <c r="B36" s="77" t="s">
        <v>100</v>
      </c>
      <c r="D36" s="96"/>
      <c r="P36" s="79"/>
      <c r="Q36" s="163" t="s">
        <v>488</v>
      </c>
      <c r="R36" s="160"/>
    </row>
    <row r="37" spans="1:20" x14ac:dyDescent="0.2">
      <c r="A37" s="2">
        <f>A34+1</f>
        <v>21</v>
      </c>
      <c r="B37" s="31" t="s">
        <v>287</v>
      </c>
      <c r="D37" s="96">
        <f ca="1">'Distribution Class'!P164</f>
        <v>311340.54218884726</v>
      </c>
      <c r="F37" s="79">
        <f ca="1">'Distribution Class'!P$180</f>
        <v>311340.54218884726</v>
      </c>
      <c r="G37" s="79"/>
      <c r="H37" s="79"/>
      <c r="I37" s="126"/>
      <c r="J37" s="123"/>
      <c r="K37" s="74">
        <f>_xlfn.IFNA(MATCH(J37,'Dist RZ Factors'!$B$13:$B$84,0),0)</f>
        <v>0</v>
      </c>
      <c r="L37" s="79">
        <f t="shared" ref="L37:L51" ca="1" si="12">F37-H37</f>
        <v>311340.54218884726</v>
      </c>
      <c r="N37" s="2" t="s">
        <v>440</v>
      </c>
      <c r="O37" s="74">
        <f>MATCH(N37,'Dist RZ Factors'!$B$13:$B$84,0)</f>
        <v>20</v>
      </c>
      <c r="P37" s="9">
        <f ca="1">OFFSET('Dist RZ Factors'!$B$13,$O37-1,P$9)*$L37+OFFSET('Dist RZ Factors'!$B$13,$K37-1,P$9)*$H37</f>
        <v>164061.87404824595</v>
      </c>
      <c r="Q37" s="9">
        <f ca="1">OFFSET('Dist RZ Factors'!$B$13,$O37-1,Q$9)*$L37+OFFSET('Dist RZ Factors'!$B$13,$K37-1,Q$9)*$H37</f>
        <v>39696.117200537512</v>
      </c>
      <c r="R37" s="9"/>
      <c r="S37" s="9">
        <f ca="1">OFFSET('Dist RZ Factors'!$B$13,$O37-1,R$9)*$L37+OFFSET('Dist RZ Factors'!$B$13,$K37-1,R$9)*$H37</f>
        <v>107268.71860021992</v>
      </c>
      <c r="T37" s="9">
        <f ca="1">OFFSET('Dist RZ Factors'!$B$13,$O37-1,S$9)*$L37+OFFSET('Dist RZ Factors'!$B$13,$K37-1,S$9)*$H37</f>
        <v>313.83233984386146</v>
      </c>
    </row>
    <row r="38" spans="1:20" x14ac:dyDescent="0.2">
      <c r="A38" s="2">
        <f>A37+1</f>
        <v>22</v>
      </c>
      <c r="B38" s="31" t="s">
        <v>288</v>
      </c>
      <c r="D38" s="96">
        <f ca="1">'Distribution Class'!R164</f>
        <v>57499.970385830791</v>
      </c>
      <c r="F38" s="79">
        <f ca="1">'Distribution Class'!R$180</f>
        <v>57499.970385830791</v>
      </c>
      <c r="G38" s="79"/>
      <c r="H38" s="79"/>
      <c r="I38" s="126"/>
      <c r="J38" s="123"/>
      <c r="K38" s="74">
        <f>_xlfn.IFNA(MATCH(J38,'Dist RZ Factors'!$B$13:$B$84,0),0)</f>
        <v>0</v>
      </c>
      <c r="L38" s="79">
        <f t="shared" ca="1" si="12"/>
        <v>57499.970385830791</v>
      </c>
      <c r="N38" s="2" t="s">
        <v>441</v>
      </c>
      <c r="O38" s="74">
        <f>MATCH(N38,'Dist RZ Factors'!$B$13:$B$84,0)</f>
        <v>17</v>
      </c>
      <c r="P38" s="9">
        <f ca="1">OFFSET('Dist RZ Factors'!$B$13,$O38-1,P$9)*$L38+OFFSET('Dist RZ Factors'!$B$13,$K38-1,P$9)*$H38</f>
        <v>31379.22221557553</v>
      </c>
      <c r="Q38" s="9">
        <f ca="1">OFFSET('Dist RZ Factors'!$B$13,$O38-1,Q$9)*$L38+OFFSET('Dist RZ Factors'!$B$13,$K38-1,Q$9)*$H38</f>
        <v>7592.4604053034973</v>
      </c>
      <c r="R38" s="9"/>
      <c r="S38" s="9">
        <f ca="1">OFFSET('Dist RZ Factors'!$B$13,$O38-1,R$9)*$L38+OFFSET('Dist RZ Factors'!$B$13,$K38-1,R$9)*$H38</f>
        <v>18528.287764951758</v>
      </c>
      <c r="T38" s="9">
        <f ca="1">OFFSET('Dist RZ Factors'!$B$13,$O38-1,S$9)*$L38+OFFSET('Dist RZ Factors'!$B$13,$K38-1,S$9)*$H38</f>
        <v>0</v>
      </c>
    </row>
    <row r="39" spans="1:20" x14ac:dyDescent="0.2">
      <c r="A39" s="2">
        <f t="shared" ref="A39:A52" si="13">A38+1</f>
        <v>23</v>
      </c>
      <c r="B39" s="31" t="s">
        <v>289</v>
      </c>
      <c r="D39" s="96">
        <f ca="1">'Distribution Class'!T164</f>
        <v>306175.94520357554</v>
      </c>
      <c r="F39" s="79">
        <f ca="1">'Distribution Class'!T$180</f>
        <v>305620.80955824681</v>
      </c>
      <c r="G39" s="79"/>
      <c r="H39" s="79"/>
      <c r="I39" s="126"/>
      <c r="J39" s="123"/>
      <c r="K39" s="74">
        <f>_xlfn.IFNA(MATCH(J39,'Dist RZ Factors'!$B$13:$B$84,0),0)</f>
        <v>0</v>
      </c>
      <c r="L39" s="79">
        <f t="shared" ca="1" si="12"/>
        <v>305620.80955824681</v>
      </c>
      <c r="N39" s="2" t="s">
        <v>442</v>
      </c>
      <c r="O39" s="74">
        <f>MATCH(N39,'Dist RZ Factors'!$B$13:$B$84,0)</f>
        <v>23</v>
      </c>
      <c r="P39" s="9">
        <f ca="1">OFFSET('Dist RZ Factors'!$B$13,$O39-1,P$9)*$L39+OFFSET('Dist RZ Factors'!$B$13,$K39-1,P$9)*$H39</f>
        <v>166607.87655886216</v>
      </c>
      <c r="Q39" s="9">
        <f ca="1">OFFSET('Dist RZ Factors'!$B$13,$O39-1,Q$9)*$L39+OFFSET('Dist RZ Factors'!$B$13,$K39-1,Q$9)*$H39</f>
        <v>40441.033369543518</v>
      </c>
      <c r="R39" s="9"/>
      <c r="S39" s="9">
        <f ca="1">OFFSET('Dist RZ Factors'!$B$13,$O39-1,R$9)*$L39+OFFSET('Dist RZ Factors'!$B$13,$K39-1,R$9)*$H39</f>
        <v>98571.899629841122</v>
      </c>
      <c r="T39" s="9">
        <f ca="1">OFFSET('Dist RZ Factors'!$B$13,$O39-1,S$9)*$L39+OFFSET('Dist RZ Factors'!$B$13,$K39-1,S$9)*$H39</f>
        <v>0</v>
      </c>
    </row>
    <row r="40" spans="1:20" x14ac:dyDescent="0.2">
      <c r="B40" s="31" t="s">
        <v>163</v>
      </c>
      <c r="D40" s="96"/>
      <c r="F40" s="79"/>
      <c r="G40" s="79"/>
      <c r="H40" s="79"/>
      <c r="I40" s="126"/>
      <c r="J40" s="123"/>
      <c r="L40" s="79"/>
      <c r="S40" s="50"/>
    </row>
    <row r="41" spans="1:20" x14ac:dyDescent="0.2">
      <c r="A41" s="2">
        <f>A39+1</f>
        <v>24</v>
      </c>
      <c r="B41" s="82" t="s">
        <v>165</v>
      </c>
      <c r="D41" s="79">
        <f ca="1">'Distribution Class'!V148</f>
        <v>150927.52203758305</v>
      </c>
      <c r="F41" s="79">
        <f ca="1">'Distribution Class'!V148</f>
        <v>150927.52203758305</v>
      </c>
      <c r="G41" s="79"/>
      <c r="H41" s="79"/>
      <c r="I41" s="126"/>
      <c r="J41" s="123"/>
      <c r="K41" s="74">
        <f>_xlfn.IFNA(MATCH(J41,'Dist RZ Factors'!$B$13:$B$84,0),0)</f>
        <v>0</v>
      </c>
      <c r="L41" s="79">
        <f t="shared" ca="1" si="12"/>
        <v>150927.52203758305</v>
      </c>
      <c r="N41" s="2" t="s">
        <v>443</v>
      </c>
      <c r="O41" s="74">
        <f>MATCH(N41,'Dist RZ Factors'!$B$13:$B$84,0)</f>
        <v>14</v>
      </c>
      <c r="P41" s="9">
        <f ca="1">OFFSET('Dist RZ Factors'!$B$13,$O41-1,P$9)*$L41+OFFSET('Dist RZ Factors'!$B$13,$K41-1,P$9)*$H41</f>
        <v>87804.698633689157</v>
      </c>
      <c r="Q41" s="9">
        <f ca="1">OFFSET('Dist RZ Factors'!$B$13,$O41-1,Q$9)*$L41+OFFSET('Dist RZ Factors'!$B$13,$K41-1,Q$9)*$H41</f>
        <v>8645.6703243885077</v>
      </c>
      <c r="R41" s="9"/>
      <c r="S41" s="9">
        <f ca="1">OFFSET('Dist RZ Factors'!$B$13,$O41-1,R$9)*$L41+OFFSET('Dist RZ Factors'!$B$13,$K41-1,R$9)*$H41</f>
        <v>54477.153079505384</v>
      </c>
      <c r="T41" s="9">
        <f ca="1">OFFSET('Dist RZ Factors'!$B$13,$O41-1,S$9)*$L41+OFFSET('Dist RZ Factors'!$B$13,$K41-1,S$9)*$H41</f>
        <v>0</v>
      </c>
    </row>
    <row r="42" spans="1:20" x14ac:dyDescent="0.2">
      <c r="A42" s="2">
        <f t="shared" si="13"/>
        <v>25</v>
      </c>
      <c r="B42" s="82" t="s">
        <v>166</v>
      </c>
      <c r="D42" s="79">
        <f ca="1">'Distribution Class'!V164-'Distribution Class'!V148</f>
        <v>65804.273247662466</v>
      </c>
      <c r="F42" s="79">
        <f ca="1">'Distribution Class'!V164-'Total Allocation Current RZ'!F41</f>
        <v>65804.273247662466</v>
      </c>
      <c r="G42" s="79"/>
      <c r="H42" s="79"/>
      <c r="I42" s="126"/>
      <c r="J42" s="123"/>
      <c r="K42" s="74">
        <f>_xlfn.IFNA(MATCH(J42,'Dist RZ Factors'!$B$13:$B$84,0),0)</f>
        <v>0</v>
      </c>
      <c r="L42" s="79">
        <f t="shared" ca="1" si="12"/>
        <v>65804.273247662466</v>
      </c>
      <c r="N42" s="2" t="s">
        <v>444</v>
      </c>
      <c r="O42" s="74">
        <f>MATCH(N42,'Dist RZ Factors'!$B$13:$B$84,0)</f>
        <v>11</v>
      </c>
      <c r="P42" s="9">
        <f ca="1">OFFSET('Dist RZ Factors'!$B$13,$O42-1,P$9)*$L42+OFFSET('Dist RZ Factors'!$B$13,$K42-1,P$9)*$H42</f>
        <v>37661.088789397269</v>
      </c>
      <c r="Q42" s="9">
        <f ca="1">OFFSET('Dist RZ Factors'!$B$13,$O42-1,Q$9)*$L42+OFFSET('Dist RZ Factors'!$B$13,$K42-1,Q$9)*$H42</f>
        <v>3851.5934536775621</v>
      </c>
      <c r="R42" s="9"/>
      <c r="S42" s="9">
        <f ca="1">OFFSET('Dist RZ Factors'!$B$13,$O42-1,R$9)*$L42+OFFSET('Dist RZ Factors'!$B$13,$K42-1,R$9)*$H42</f>
        <v>24291.591004587637</v>
      </c>
      <c r="T42" s="9">
        <f ca="1">OFFSET('Dist RZ Factors'!$B$13,$O42-1,S$9)*$L42+OFFSET('Dist RZ Factors'!$B$13,$K42-1,S$9)*$H42</f>
        <v>0</v>
      </c>
    </row>
    <row r="43" spans="1:20" x14ac:dyDescent="0.2">
      <c r="A43" s="2">
        <f t="shared" si="13"/>
        <v>26</v>
      </c>
      <c r="B43" s="31" t="s">
        <v>101</v>
      </c>
      <c r="D43" s="79">
        <f ca="1">'Distribution Class'!X164</f>
        <v>407482.10501641379</v>
      </c>
      <c r="F43" s="79">
        <f ca="1">'Distribution Class'!X180</f>
        <v>406738.78665639873</v>
      </c>
      <c r="G43" s="79"/>
      <c r="H43" s="79"/>
      <c r="I43" s="126"/>
      <c r="J43" s="123"/>
      <c r="K43" s="74">
        <f>_xlfn.IFNA(MATCH(J43,'Dist RZ Factors'!$B$13:$B$84,0),0)</f>
        <v>0</v>
      </c>
      <c r="L43" s="79">
        <f ca="1">F43-H43</f>
        <v>406738.78665639873</v>
      </c>
      <c r="N43" s="2" t="s">
        <v>447</v>
      </c>
      <c r="O43" s="74">
        <f>MATCH(N43,'Dist RZ Factors'!$B$13:$B$84,0)</f>
        <v>29</v>
      </c>
      <c r="P43" s="9">
        <f ca="1">OFFSET('Dist RZ Factors'!$B$13,$O43-1,P$9)*$L43+OFFSET('Dist RZ Factors'!$B$13,$K43-1,P$9)*$H43</f>
        <v>232504.63458513084</v>
      </c>
      <c r="Q43" s="9">
        <f ca="1">OFFSET('Dist RZ Factors'!$B$13,$O43-1,Q$9)*$L43+OFFSET('Dist RZ Factors'!$B$13,$K43-1,Q$9)*$H43</f>
        <v>50861.099722004037</v>
      </c>
      <c r="R43" s="9"/>
      <c r="S43" s="9">
        <f ca="1">OFFSET('Dist RZ Factors'!$B$13,$O43-1,R$9)*$L43+OFFSET('Dist RZ Factors'!$B$13,$K43-1,R$9)*$H43</f>
        <v>123373.05234926387</v>
      </c>
      <c r="T43" s="9">
        <f ca="1">OFFSET('Dist RZ Factors'!$B$13,$O43-1,S$9)*$L43+OFFSET('Dist RZ Factors'!$B$13,$K43-1,S$9)*$H43</f>
        <v>0</v>
      </c>
    </row>
    <row r="44" spans="1:20" x14ac:dyDescent="0.2">
      <c r="A44" s="2">
        <f t="shared" si="13"/>
        <v>27</v>
      </c>
      <c r="B44" s="31" t="s">
        <v>102</v>
      </c>
      <c r="D44" s="96">
        <f ca="1">'Distribution Class'!Z164</f>
        <v>582976.36952399625</v>
      </c>
      <c r="F44" s="79">
        <f ca="1">'Distribution Class'!Z180</f>
        <v>581901.18023431743</v>
      </c>
      <c r="G44" s="79"/>
      <c r="H44" s="79"/>
      <c r="I44" s="126"/>
      <c r="J44" s="123"/>
      <c r="K44" s="74">
        <f>_xlfn.IFNA(MATCH(J44,'Dist RZ Factors'!$B$13:$B$84,0),0)</f>
        <v>0</v>
      </c>
      <c r="L44" s="79">
        <f t="shared" ca="1" si="12"/>
        <v>581901.18023431743</v>
      </c>
      <c r="N44" s="2" t="s">
        <v>448</v>
      </c>
      <c r="O44" s="74">
        <f>MATCH(N44,'Dist RZ Factors'!$B$13:$B$84,0)</f>
        <v>35</v>
      </c>
      <c r="P44" s="9">
        <f ca="1">OFFSET('Dist RZ Factors'!$B$13,$O44-1,P$9)*$L44+OFFSET('Dist RZ Factors'!$B$13,$K44-1,P$9)*$H44</f>
        <v>374447.96083025628</v>
      </c>
      <c r="Q44" s="9">
        <f ca="1">OFFSET('Dist RZ Factors'!$B$13,$O44-1,Q$9)*$L44+OFFSET('Dist RZ Factors'!$B$13,$K44-1,Q$9)*$H44</f>
        <v>70561.096384294826</v>
      </c>
      <c r="R44" s="9"/>
      <c r="S44" s="9">
        <f ca="1">OFFSET('Dist RZ Factors'!$B$13,$O44-1,R$9)*$L44+OFFSET('Dist RZ Factors'!$B$13,$K44-1,R$9)*$H44</f>
        <v>136892.12301976632</v>
      </c>
      <c r="T44" s="9">
        <f ca="1">OFFSET('Dist RZ Factors'!$B$13,$O44-1,S$9)*$L44+OFFSET('Dist RZ Factors'!$B$13,$K44-1,S$9)*$H44</f>
        <v>0</v>
      </c>
    </row>
    <row r="45" spans="1:20" x14ac:dyDescent="0.2">
      <c r="A45" s="2">
        <f t="shared" si="13"/>
        <v>28</v>
      </c>
      <c r="B45" s="31" t="s">
        <v>103</v>
      </c>
      <c r="D45" s="96">
        <f ca="1">'Distribution Class'!AB164</f>
        <v>293251.91935591295</v>
      </c>
      <c r="F45" s="79">
        <f ca="1">'Distribution Class'!AB180</f>
        <v>292716.36554732081</v>
      </c>
      <c r="G45" s="79"/>
      <c r="H45" s="79"/>
      <c r="I45" s="126"/>
      <c r="J45" s="123"/>
      <c r="K45" s="74">
        <f>_xlfn.IFNA(MATCH(J45,'Dist RZ Factors'!$B$13:$B$84,0),0)</f>
        <v>0</v>
      </c>
      <c r="L45" s="79">
        <f t="shared" ca="1" si="12"/>
        <v>292716.36554732081</v>
      </c>
      <c r="N45" s="2" t="s">
        <v>449</v>
      </c>
      <c r="O45" s="74">
        <f>MATCH(N45,'Dist RZ Factors'!$B$13:$B$84,0)</f>
        <v>32</v>
      </c>
      <c r="P45" s="9">
        <f ca="1">OFFSET('Dist RZ Factors'!$B$13,$O45-1,P$9)*$L45+OFFSET('Dist RZ Factors'!$B$13,$K45-1,P$9)*$H45</f>
        <v>153466.09332043628</v>
      </c>
      <c r="Q45" s="9">
        <f ca="1">OFFSET('Dist RZ Factors'!$B$13,$O45-1,Q$9)*$L45+OFFSET('Dist RZ Factors'!$B$13,$K45-1,Q$9)*$H45</f>
        <v>30043.0405771066</v>
      </c>
      <c r="R45" s="9"/>
      <c r="S45" s="9">
        <f ca="1">OFFSET('Dist RZ Factors'!$B$13,$O45-1,R$9)*$L45+OFFSET('Dist RZ Factors'!$B$13,$K45-1,R$9)*$H45</f>
        <v>109207.23164977792</v>
      </c>
      <c r="T45" s="9">
        <f ca="1">OFFSET('Dist RZ Factors'!$B$13,$O45-1,S$9)*$L45+OFFSET('Dist RZ Factors'!$B$13,$K45-1,S$9)*$H45</f>
        <v>0</v>
      </c>
    </row>
    <row r="46" spans="1:20" x14ac:dyDescent="0.2">
      <c r="A46" s="2">
        <f t="shared" si="13"/>
        <v>29</v>
      </c>
      <c r="B46" s="31" t="s">
        <v>186</v>
      </c>
      <c r="D46" s="96">
        <f ca="1">'Distribution Class'!AD164</f>
        <v>48424.439400079995</v>
      </c>
      <c r="F46" s="79">
        <f ca="1">'Distribution Class'!AD180</f>
        <v>45316.467170216376</v>
      </c>
      <c r="G46" s="79"/>
      <c r="H46" s="79"/>
      <c r="I46" s="126"/>
      <c r="J46" s="123"/>
      <c r="K46" s="74">
        <f>_xlfn.IFNA(MATCH(J46,'Dist RZ Factors'!$B$13:$B$84,0),0)</f>
        <v>0</v>
      </c>
      <c r="L46" s="79">
        <f t="shared" ca="1" si="12"/>
        <v>45316.467170216376</v>
      </c>
      <c r="N46" s="2" t="s">
        <v>450</v>
      </c>
      <c r="O46" s="74">
        <f>MATCH(N46,'Dist RZ Factors'!$B$13:$B$84,0)</f>
        <v>38</v>
      </c>
      <c r="P46" s="9">
        <f ca="1">OFFSET('Dist RZ Factors'!$B$13,$O46-1,P$9)*$L46+OFFSET('Dist RZ Factors'!$B$13,$K46-1,P$9)*$H46</f>
        <v>27084.213746108406</v>
      </c>
      <c r="Q46" s="9">
        <f ca="1">OFFSET('Dist RZ Factors'!$B$13,$O46-1,Q$9)*$L46+OFFSET('Dist RZ Factors'!$B$13,$K46-1,Q$9)*$H46</f>
        <v>5683.8498102281874</v>
      </c>
      <c r="R46" s="9"/>
      <c r="S46" s="9">
        <f ca="1">OFFSET('Dist RZ Factors'!$B$13,$O46-1,R$9)*$L46+OFFSET('Dist RZ Factors'!$B$13,$K46-1,R$9)*$H46</f>
        <v>12548.403613879787</v>
      </c>
      <c r="T46" s="9">
        <f ca="1">OFFSET('Dist RZ Factors'!$B$13,$O46-1,S$9)*$L46+OFFSET('Dist RZ Factors'!$B$13,$K46-1,S$9)*$H46</f>
        <v>0</v>
      </c>
    </row>
    <row r="47" spans="1:20" x14ac:dyDescent="0.2">
      <c r="B47" s="31" t="s">
        <v>164</v>
      </c>
      <c r="D47" s="96"/>
      <c r="F47" s="79"/>
      <c r="G47" s="79"/>
      <c r="H47" s="79"/>
      <c r="I47" s="126"/>
      <c r="J47" s="123"/>
      <c r="L47" s="79"/>
      <c r="N47" s="1"/>
      <c r="P47" s="38"/>
      <c r="Q47" s="38"/>
      <c r="R47" s="38"/>
      <c r="S47" s="50"/>
    </row>
    <row r="48" spans="1:20" x14ac:dyDescent="0.2">
      <c r="A48" s="2">
        <f>A46+1</f>
        <v>30</v>
      </c>
      <c r="B48" s="82" t="s">
        <v>176</v>
      </c>
      <c r="D48" s="96">
        <f ca="1">'Dist Cust Class'!P164</f>
        <v>12566.425637658689</v>
      </c>
      <c r="F48" s="50">
        <f ca="1">'Dist Cust Class'!P180</f>
        <v>12566.425637658689</v>
      </c>
      <c r="K48" s="74">
        <f>_xlfn.IFNA(MATCH(J48,'Dist RZ Factors'!$B$13:$B$84,0),0)</f>
        <v>0</v>
      </c>
      <c r="L48" s="79">
        <f t="shared" ca="1" si="12"/>
        <v>12566.425637658689</v>
      </c>
      <c r="N48" s="2" t="s">
        <v>445</v>
      </c>
      <c r="O48" s="74">
        <f>MATCH(N48,'Dist RZ Factors'!$B$13:$B$149,0)</f>
        <v>5</v>
      </c>
      <c r="P48" s="9">
        <f ca="1">OFFSET('Dist RZ Factors'!$B$13,$O48-1,P$9)*$L48+OFFSET('Dist RZ Factors'!$B$13,$K48-1,P$9)*$H48</f>
        <v>7480.9912365986784</v>
      </c>
      <c r="Q48" s="9">
        <f ca="1">OFFSET('Dist RZ Factors'!$B$13,$O48-1,Q$9)*$L48+OFFSET('Dist RZ Factors'!$B$13,$K48-1,Q$9)*$H48</f>
        <v>1192.0455207869995</v>
      </c>
      <c r="R48" s="9"/>
      <c r="S48" s="9">
        <f ca="1">OFFSET('Dist RZ Factors'!$B$13,$O48-1,R$9)*$L48+OFFSET('Dist RZ Factors'!$B$13,$K48-1,R$9)*$H48</f>
        <v>3893.3888802730116</v>
      </c>
      <c r="T48" s="9">
        <f ca="1">OFFSET('Dist RZ Factors'!$B$13,$O48-1,S$9)*$L48+OFFSET('Dist RZ Factors'!$B$13,$K48-1,S$9)*$H48</f>
        <v>0</v>
      </c>
    </row>
    <row r="49" spans="1:20" x14ac:dyDescent="0.2">
      <c r="A49" s="2">
        <f t="shared" si="13"/>
        <v>31</v>
      </c>
      <c r="B49" s="82" t="s">
        <v>72</v>
      </c>
      <c r="D49" s="96">
        <f ca="1">'Dist Cust Class'!R164</f>
        <v>190761.59899596809</v>
      </c>
      <c r="F49" s="50">
        <f ca="1">'Dist Cust Class'!R180</f>
        <v>131846.18325045024</v>
      </c>
      <c r="H49" s="79">
        <v>11615.53513385792</v>
      </c>
      <c r="J49" s="2" t="s">
        <v>451</v>
      </c>
      <c r="K49" s="74">
        <f>_xlfn.IFNA(MATCH(J49,'Dist RZ Factors'!$B$13:$B$84,0),0)</f>
        <v>2</v>
      </c>
      <c r="L49" s="79">
        <f t="shared" ca="1" si="12"/>
        <v>120230.64811659232</v>
      </c>
      <c r="N49" s="2" t="s">
        <v>452</v>
      </c>
      <c r="O49" s="74">
        <f>MATCH(N49,'Dist RZ Factors'!$B$13:$B$149,0)</f>
        <v>41</v>
      </c>
      <c r="P49" s="9">
        <f ca="1">OFFSET('Dist RZ Factors'!$B$13,$O49-1,P$9)*$L49+OFFSET('Dist RZ Factors'!$B$13,$K49-1,P$9)*$H49</f>
        <v>77321.998278656611</v>
      </c>
      <c r="Q49" s="9">
        <f ca="1">OFFSET('Dist RZ Factors'!$B$13,$O49-1,Q$9)*$L49+OFFSET('Dist RZ Factors'!$B$13,$K49-1,Q$9)*$H49</f>
        <v>12448.058509013845</v>
      </c>
      <c r="R49" s="9"/>
      <c r="S49" s="9">
        <f ca="1">OFFSET('Dist RZ Factors'!$B$13,$O49-1,R$9)*$L49+OFFSET('Dist RZ Factors'!$B$13,$K49-1,R$9)*$H49</f>
        <v>42055.109152126061</v>
      </c>
      <c r="T49" s="9">
        <f ca="1">OFFSET('Dist RZ Factors'!$B$13,$O49-1,S$9)*$L49+OFFSET('Dist RZ Factors'!$B$13,$K49-1,S$9)*$H49</f>
        <v>21.017310653739997</v>
      </c>
    </row>
    <row r="50" spans="1:20" x14ac:dyDescent="0.2">
      <c r="A50" s="2">
        <f t="shared" si="13"/>
        <v>32</v>
      </c>
      <c r="B50" s="82" t="s">
        <v>174</v>
      </c>
      <c r="D50" s="96">
        <f ca="1">'Dist Cust Class'!T164</f>
        <v>18740.671483974045</v>
      </c>
      <c r="F50" s="50">
        <f ca="1">'Dist Cust Class'!T180</f>
        <v>18740.671483974045</v>
      </c>
      <c r="K50" s="74">
        <f>_xlfn.IFNA(MATCH(J50,'Dist RZ Factors'!$B$13:$B$84,0),0)</f>
        <v>0</v>
      </c>
      <c r="L50" s="79">
        <f t="shared" ca="1" si="12"/>
        <v>18740.671483974045</v>
      </c>
      <c r="N50" s="2" t="s">
        <v>453</v>
      </c>
      <c r="O50" s="74">
        <f>MATCH(N50,'Dist RZ Factors'!$B$13:$B$149,0)</f>
        <v>26</v>
      </c>
      <c r="P50" s="9">
        <f ca="1">OFFSET('Dist RZ Factors'!$B$13,$O50-1,P$9)*$L50+OFFSET('Dist RZ Factors'!$B$13,$K50-1,P$9)*$H50</f>
        <v>9757.4205700963776</v>
      </c>
      <c r="Q50" s="9">
        <f ca="1">OFFSET('Dist RZ Factors'!$B$13,$O50-1,Q$9)*$L50+OFFSET('Dist RZ Factors'!$B$13,$K50-1,Q$9)*$H50</f>
        <v>1562.3280566151036</v>
      </c>
      <c r="R50" s="9"/>
      <c r="S50" s="9">
        <f ca="1">OFFSET('Dist RZ Factors'!$B$13,$O50-1,R$9)*$L50+OFFSET('Dist RZ Factors'!$B$13,$K50-1,R$9)*$H50</f>
        <v>7420.9228572625634</v>
      </c>
      <c r="T50" s="9">
        <f ca="1">OFFSET('Dist RZ Factors'!$B$13,$O50-1,S$9)*$L50+OFFSET('Dist RZ Factors'!$B$13,$K50-1,S$9)*$H50</f>
        <v>0</v>
      </c>
    </row>
    <row r="51" spans="1:20" x14ac:dyDescent="0.2">
      <c r="A51" s="2">
        <f t="shared" si="13"/>
        <v>33</v>
      </c>
      <c r="B51" s="31" t="s">
        <v>249</v>
      </c>
      <c r="D51" s="96">
        <f ca="1">'Distribution Class'!AH164</f>
        <v>18339.883386175716</v>
      </c>
      <c r="F51" s="50">
        <f ca="1">'Distribution Class'!AH180</f>
        <v>18339.883386175716</v>
      </c>
      <c r="H51" s="79">
        <v>0</v>
      </c>
      <c r="K51" s="74">
        <f>_xlfn.IFNA(MATCH(J51,'Dist RZ Factors'!$B$13:$B$84,0),0)</f>
        <v>0</v>
      </c>
      <c r="L51" s="79">
        <f t="shared" ca="1" si="12"/>
        <v>18339.883386175716</v>
      </c>
      <c r="N51" s="2" t="s">
        <v>446</v>
      </c>
      <c r="O51" s="74">
        <f>MATCH(N51,'Dist RZ Factors'!$B$13:$B$149,0)</f>
        <v>8</v>
      </c>
      <c r="P51" s="9">
        <f ca="1">OFFSET('Dist RZ Factors'!$B$13,$O51-1,P$9)*$L51+OFFSET('Dist RZ Factors'!$B$13,$K51-1,P$9)*$H51</f>
        <v>7618.9551613508575</v>
      </c>
      <c r="Q51" s="9">
        <f ca="1">OFFSET('Dist RZ Factors'!$B$13,$O51-1,Q$9)*$L51+OFFSET('Dist RZ Factors'!$B$13,$K51-1,Q$9)*$H51</f>
        <v>2425.8228741204316</v>
      </c>
      <c r="R51" s="9"/>
      <c r="S51" s="9">
        <f ca="1">OFFSET('Dist RZ Factors'!$B$13,$O51-1,R$9)*$L51+OFFSET('Dist RZ Factors'!$B$13,$K51-1,R$9)*$H51</f>
        <v>8295.1053507044253</v>
      </c>
      <c r="T51" s="9">
        <f ca="1">OFFSET('Dist RZ Factors'!$B$13,$O51-1,S$9)*$L51+OFFSET('Dist RZ Factors'!$B$13,$K51-1,S$9)*$H51</f>
        <v>0</v>
      </c>
    </row>
    <row r="52" spans="1:20" x14ac:dyDescent="0.2">
      <c r="A52" s="2">
        <f t="shared" si="13"/>
        <v>34</v>
      </c>
      <c r="B52" s="31" t="s">
        <v>382</v>
      </c>
      <c r="D52" s="41">
        <f ca="1">SUM(D37:D51)</f>
        <v>2464291.6658636788</v>
      </c>
      <c r="F52" s="41">
        <f ca="1">SUM(F37:F51)</f>
        <v>2399359.0807846822</v>
      </c>
      <c r="H52" s="41">
        <f>SUM(H37:H51)</f>
        <v>11615.53513385792</v>
      </c>
      <c r="L52" s="41">
        <f ca="1">SUM(L37:L51)</f>
        <v>2387743.5456508244</v>
      </c>
      <c r="P52" s="41">
        <f ca="1">SUM(P37:P51)</f>
        <v>1377197.0279744044</v>
      </c>
      <c r="Q52" s="41">
        <f ca="1">SUM(Q37:Q51)</f>
        <v>275004.21620762063</v>
      </c>
      <c r="R52" s="9"/>
      <c r="S52" s="41">
        <f ca="1">SUM(S37:S51)</f>
        <v>746822.98695215967</v>
      </c>
      <c r="T52" s="41">
        <f ca="1">SUM(T37:T51)</f>
        <v>334.84965049760149</v>
      </c>
    </row>
    <row r="53" spans="1:20" x14ac:dyDescent="0.2">
      <c r="F53" s="50"/>
      <c r="R53" s="9"/>
    </row>
    <row r="54" spans="1:20" ht="13.5" thickBot="1" x14ac:dyDescent="0.25">
      <c r="A54" s="2">
        <f>A52+1</f>
        <v>35</v>
      </c>
      <c r="B54" s="31" t="s">
        <v>411</v>
      </c>
      <c r="D54" s="83">
        <f ca="1">D17+D24+D34+D52</f>
        <v>5329890.4041851545</v>
      </c>
      <c r="F54" s="83">
        <f ca="1">F17+F24+F34+F52</f>
        <v>5244256.9765455211</v>
      </c>
      <c r="H54" s="83">
        <f ca="1">H17+H24+H34+H52</f>
        <v>50956.624806792992</v>
      </c>
      <c r="L54" s="83">
        <f ca="1">L17+L24+L34+L52</f>
        <v>5193300.3517387277</v>
      </c>
      <c r="N54" s="1"/>
      <c r="P54" s="83">
        <f ca="1">P17+P24+P34+P52</f>
        <v>3020375.911721576</v>
      </c>
      <c r="Q54" s="83">
        <f ca="1">Q17+Q24+Q34+Q52+R34+R24+R17</f>
        <v>538889.56947875931</v>
      </c>
      <c r="R54" s="9"/>
      <c r="S54" s="83">
        <f ca="1">S17+S24+S34+S52</f>
        <v>1549368.9068350703</v>
      </c>
      <c r="T54" s="83">
        <f ca="1">T17+T24+T34+T52</f>
        <v>135622.5885101147</v>
      </c>
    </row>
    <row r="55" spans="1:20" ht="13.5" thickTop="1" x14ac:dyDescent="0.2">
      <c r="F55" s="50"/>
      <c r="P55" s="50"/>
      <c r="Q55" s="50"/>
      <c r="R55" s="9"/>
    </row>
    <row r="56" spans="1:20" x14ac:dyDescent="0.2">
      <c r="F56" s="50"/>
      <c r="H56" s="50"/>
      <c r="L56" s="50"/>
      <c r="N56" s="1"/>
      <c r="P56" s="50"/>
      <c r="Q56" s="50"/>
      <c r="R56" s="50"/>
    </row>
    <row r="57" spans="1:20" x14ac:dyDescent="0.2">
      <c r="F57" s="96"/>
      <c r="G57" s="96"/>
      <c r="H57" s="96"/>
      <c r="I57" s="96"/>
      <c r="J57" s="156"/>
      <c r="K57" s="96"/>
      <c r="L57" s="96"/>
      <c r="M57" s="96"/>
      <c r="N57" s="96"/>
      <c r="O57" s="96"/>
      <c r="P57" s="96"/>
      <c r="Q57" s="96"/>
      <c r="R57" s="96"/>
      <c r="S57" s="96"/>
      <c r="T57" s="96"/>
    </row>
    <row r="60" spans="1:20" x14ac:dyDescent="0.2">
      <c r="N60" s="1"/>
    </row>
    <row r="63" spans="1:20" x14ac:dyDescent="0.2">
      <c r="N63" s="1"/>
    </row>
    <row r="65" spans="14:14" x14ac:dyDescent="0.2">
      <c r="N65" s="1"/>
    </row>
    <row r="66" spans="14:14" x14ac:dyDescent="0.2">
      <c r="N66" s="1"/>
    </row>
  </sheetData>
  <mergeCells count="4">
    <mergeCell ref="B2:N2"/>
    <mergeCell ref="B3:N3"/>
    <mergeCell ref="P5:T5"/>
    <mergeCell ref="Q36:R36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BC78F-E01C-44AD-B238-0CF613D2E827}">
  <sheetPr>
    <tabColor theme="0" tint="-0.249977111117893"/>
  </sheetPr>
  <dimension ref="A2:XFB60"/>
  <sheetViews>
    <sheetView zoomScale="80" zoomScaleNormal="80" workbookViewId="0">
      <selection activeCell="V14" sqref="V14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27.28515625" style="2" bestFit="1" customWidth="1"/>
    <col min="9" max="9" width="1.7109375" style="74" customWidth="1"/>
    <col min="10" max="10" width="17.140625" style="31" customWidth="1"/>
    <col min="11" max="11" width="1.7109375" style="40" customWidth="1"/>
    <col min="12" max="12" width="23.42578125" style="2" bestFit="1" customWidth="1"/>
    <col min="13" max="13" width="2" style="74" customWidth="1"/>
    <col min="14" max="14" width="12.85546875" style="31" customWidth="1"/>
    <col min="15" max="15" width="14.5703125" style="31" customWidth="1"/>
    <col min="16" max="16" width="17.140625" style="31" customWidth="1"/>
    <col min="17" max="17" width="15.85546875" style="31" customWidth="1"/>
    <col min="18" max="18" width="12.42578125" style="31" customWidth="1"/>
    <col min="19" max="16384" width="9.140625" style="31"/>
  </cols>
  <sheetData>
    <row r="2" spans="1:18" x14ac:dyDescent="0.2">
      <c r="B2" s="161" t="s">
        <v>511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</row>
    <row r="3" spans="1:18" x14ac:dyDescent="0.2">
      <c r="B3" s="161" t="s">
        <v>540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</row>
    <row r="5" spans="1:18" x14ac:dyDescent="0.2">
      <c r="D5" s="2" t="s">
        <v>150</v>
      </c>
    </row>
    <row r="6" spans="1:18" x14ac:dyDescent="0.2">
      <c r="A6" s="2" t="s">
        <v>2</v>
      </c>
      <c r="D6" s="2" t="s">
        <v>5</v>
      </c>
      <c r="F6" s="2" t="s">
        <v>167</v>
      </c>
      <c r="H6" s="2" t="s">
        <v>168</v>
      </c>
      <c r="I6" s="73"/>
      <c r="J6" s="2" t="s">
        <v>169</v>
      </c>
      <c r="L6" s="2" t="s">
        <v>104</v>
      </c>
      <c r="N6" s="18"/>
      <c r="O6" s="18" t="s">
        <v>415</v>
      </c>
      <c r="P6" s="18" t="s">
        <v>415</v>
      </c>
      <c r="Q6" s="18" t="s">
        <v>415</v>
      </c>
      <c r="R6" s="18"/>
    </row>
    <row r="7" spans="1:18" x14ac:dyDescent="0.2">
      <c r="A7" s="33" t="s">
        <v>4</v>
      </c>
      <c r="B7" s="80" t="s">
        <v>374</v>
      </c>
      <c r="D7" s="33" t="s">
        <v>152</v>
      </c>
      <c r="F7" s="33" t="s">
        <v>131</v>
      </c>
      <c r="H7" s="33" t="s">
        <v>6</v>
      </c>
      <c r="I7" s="73"/>
      <c r="J7" s="33" t="s">
        <v>170</v>
      </c>
      <c r="L7" s="33" t="s">
        <v>6</v>
      </c>
      <c r="N7" s="4" t="s">
        <v>416</v>
      </c>
      <c r="O7" s="4" t="s">
        <v>417</v>
      </c>
      <c r="P7" s="4" t="s">
        <v>418</v>
      </c>
      <c r="Q7" s="4" t="s">
        <v>413</v>
      </c>
      <c r="R7" s="4" t="s">
        <v>408</v>
      </c>
    </row>
    <row r="8" spans="1:18" x14ac:dyDescent="0.2">
      <c r="D8" s="120" t="s">
        <v>12</v>
      </c>
      <c r="F8" s="120" t="s">
        <v>13</v>
      </c>
      <c r="H8" s="120" t="s">
        <v>14</v>
      </c>
      <c r="I8" s="40"/>
      <c r="J8" s="120" t="s">
        <v>366</v>
      </c>
      <c r="K8" s="74"/>
      <c r="L8" s="120" t="s">
        <v>15</v>
      </c>
      <c r="M8" s="40"/>
      <c r="N8" s="120" t="s">
        <v>16</v>
      </c>
      <c r="O8" s="120" t="s">
        <v>59</v>
      </c>
      <c r="P8" s="120" t="s">
        <v>61</v>
      </c>
      <c r="Q8" s="120" t="s">
        <v>62</v>
      </c>
      <c r="R8" s="120" t="s">
        <v>82</v>
      </c>
    </row>
    <row r="9" spans="1:18" x14ac:dyDescent="0.2">
      <c r="D9" s="120"/>
      <c r="F9" s="120"/>
      <c r="H9" s="120"/>
      <c r="J9" s="120"/>
      <c r="L9" s="120"/>
      <c r="N9" s="121">
        <v>4</v>
      </c>
      <c r="O9" s="121">
        <v>6</v>
      </c>
      <c r="P9" s="121">
        <v>8</v>
      </c>
      <c r="Q9" s="121">
        <v>10</v>
      </c>
      <c r="R9" s="121">
        <v>12</v>
      </c>
    </row>
    <row r="10" spans="1:18" x14ac:dyDescent="0.2">
      <c r="B10" s="77" t="s">
        <v>384</v>
      </c>
      <c r="N10" s="40"/>
      <c r="O10" s="40"/>
      <c r="P10" s="40"/>
    </row>
    <row r="11" spans="1:18" x14ac:dyDescent="0.2">
      <c r="A11" s="2">
        <v>1</v>
      </c>
      <c r="B11" s="31" t="s">
        <v>132</v>
      </c>
      <c r="D11" s="20">
        <f ca="1">'Total Allocation Current RZ'!F11-'Total Allocation RZ - Gas'!D11</f>
        <v>0</v>
      </c>
      <c r="F11" s="79">
        <f>'Total Allocation Current RZ'!H11-'Total Allocation RZ - Gas'!F11</f>
        <v>0</v>
      </c>
      <c r="I11" s="74">
        <f>_xlfn.IFNA(MATCH(H11,'RZ Factors'!$B$13:$B$122,0),0)</f>
        <v>0</v>
      </c>
      <c r="J11" s="79">
        <f ca="1">D11-F11</f>
        <v>0</v>
      </c>
      <c r="L11" s="2" t="s">
        <v>422</v>
      </c>
      <c r="M11" s="74">
        <f>MATCH(L11,'RZ Factors'!$B$13:$B$122,0)</f>
        <v>47</v>
      </c>
      <c r="N11" s="9">
        <f ca="1">OFFSET('RZ Factors'!$B$13,$M11-1,N$9)*$J11+OFFSET('RZ Factors'!$B$13,$I11-1,N$9)*$F11</f>
        <v>0</v>
      </c>
      <c r="O11" s="9">
        <f ca="1">OFFSET('RZ Factors'!$B$13,$M11-1,O$9)*$J11+OFFSET('RZ Factors'!$B$13,$I11-1,O$9)*$F11</f>
        <v>0</v>
      </c>
      <c r="P11" s="9">
        <f ca="1">OFFSET('RZ Factors'!$B$13,$M11-1,P$9)*$J11+OFFSET('RZ Factors'!$B$13,$I11-1,P$9)*$F11</f>
        <v>0</v>
      </c>
      <c r="Q11" s="9">
        <f ca="1">OFFSET('RZ Factors'!$B$13,$M11-1,Q$9)*$J11+OFFSET('RZ Factors'!$B$13,$I11-1,Q$9)*$F11</f>
        <v>0</v>
      </c>
      <c r="R11" s="9">
        <f ca="1">OFFSET('RZ Factors'!$B$13,$M11-1,R$9)*$J11+OFFSET('RZ Factors'!$B$13,$I11-1,R$9)*$F11</f>
        <v>0</v>
      </c>
    </row>
    <row r="12" spans="1:18" x14ac:dyDescent="0.2">
      <c r="A12" s="2">
        <f>A11+1</f>
        <v>2</v>
      </c>
      <c r="B12" s="31" t="s">
        <v>385</v>
      </c>
      <c r="D12" s="20">
        <f ca="1">'Total Allocation Current RZ'!F12-'Total Allocation RZ - Gas'!D12</f>
        <v>-7887.177485234075</v>
      </c>
      <c r="E12" s="74"/>
      <c r="F12" s="79">
        <f>'Total Allocation Current RZ'!H12-'Total Allocation RZ - Gas'!F12</f>
        <v>0</v>
      </c>
      <c r="I12" s="74">
        <f>_xlfn.IFNA(MATCH(H12,'RZ Factors'!$B$13:$B$122,0),0)</f>
        <v>0</v>
      </c>
      <c r="J12" s="79">
        <f ca="1">D12-F12</f>
        <v>-7887.177485234075</v>
      </c>
      <c r="L12" s="2" t="s">
        <v>423</v>
      </c>
      <c r="M12" s="74">
        <f>MATCH(L12,'RZ Factors'!$B$13:$B$122,0)</f>
        <v>26</v>
      </c>
      <c r="N12" s="9">
        <f ca="1">OFFSET('RZ Factors'!$B$13,$M12-1,N$9)*$J12+OFFSET('RZ Factors'!$B$13,$I12-1,N$9)*$F12</f>
        <v>-5858.9303690770521</v>
      </c>
      <c r="O12" s="9">
        <f ca="1">OFFSET('RZ Factors'!$B$13,$M12-1,O$9)*$J12+OFFSET('RZ Factors'!$B$13,$I12-1,O$9)*$F12</f>
        <v>-500.0459962941963</v>
      </c>
      <c r="P12" s="9">
        <f ca="1">OFFSET('RZ Factors'!$B$13,$M12-1,P$9)*$J12+OFFSET('RZ Factors'!$B$13,$I12-1,P$9)*$F12</f>
        <v>-1528.2011198628275</v>
      </c>
      <c r="Q12" s="9">
        <f ca="1">OFFSET('RZ Factors'!$B$13,$M12-1,Q$9)*$J12+OFFSET('RZ Factors'!$B$13,$I12-1,Q$9)*$F12</f>
        <v>0</v>
      </c>
      <c r="R12" s="9">
        <f ca="1">OFFSET('RZ Factors'!$B$13,$M12-1,R$9)*$J12+OFFSET('RZ Factors'!$B$13,$I12-1,R$9)*$F12</f>
        <v>0</v>
      </c>
    </row>
    <row r="13" spans="1:18" x14ac:dyDescent="0.2">
      <c r="A13" s="2">
        <f t="shared" ref="A13:A17" si="0">A12+1</f>
        <v>3</v>
      </c>
      <c r="B13" s="31" t="s">
        <v>386</v>
      </c>
      <c r="D13" s="20">
        <f ca="1">'Total Allocation Current RZ'!F13-'Total Allocation RZ - Gas'!D13</f>
        <v>0</v>
      </c>
      <c r="F13" s="79">
        <f>'Total Allocation Current RZ'!H13-'Total Allocation RZ - Gas'!F13</f>
        <v>0</v>
      </c>
      <c r="I13" s="74">
        <f>_xlfn.IFNA(MATCH(H13,'RZ Factors'!$B$13:$B$122,0),0)</f>
        <v>0</v>
      </c>
      <c r="J13" s="79">
        <f t="shared" ref="J13:J16" ca="1" si="1">D13-F13</f>
        <v>0</v>
      </c>
      <c r="L13" s="2" t="s">
        <v>424</v>
      </c>
      <c r="M13" s="74">
        <f>MATCH(L13,'RZ Factors'!$B$13:$B$122,0)</f>
        <v>29</v>
      </c>
      <c r="N13" s="9">
        <f ca="1">OFFSET('RZ Factors'!$B$13,$M13-1,N$9)*$J13+OFFSET('RZ Factors'!$B$13,$I13-1,N$9)*$F13</f>
        <v>0</v>
      </c>
      <c r="O13" s="9">
        <f ca="1">OFFSET('RZ Factors'!$B$13,$M13-1,O$9)*$J13+OFFSET('RZ Factors'!$B$13,$I13-1,O$9)*$F13</f>
        <v>0</v>
      </c>
      <c r="P13" s="9">
        <f ca="1">OFFSET('RZ Factors'!$B$13,$M13-1,P$9)*$J13+OFFSET('RZ Factors'!$B$13,$I13-1,P$9)*$F13</f>
        <v>0</v>
      </c>
      <c r="Q13" s="9">
        <f ca="1">OFFSET('RZ Factors'!$B$13,$M13-1,Q$9)*$J13+OFFSET('RZ Factors'!$B$13,$I13-1,Q$9)*$F13</f>
        <v>0</v>
      </c>
      <c r="R13" s="9">
        <f ca="1">OFFSET('RZ Factors'!$B$13,$M13-1,R$9)*$J13+OFFSET('RZ Factors'!$B$13,$I13-1,R$9)*$F13</f>
        <v>0</v>
      </c>
    </row>
    <row r="14" spans="1:18" x14ac:dyDescent="0.2">
      <c r="A14" s="2">
        <f t="shared" si="0"/>
        <v>4</v>
      </c>
      <c r="B14" s="31" t="s">
        <v>115</v>
      </c>
      <c r="D14" s="20">
        <f ca="1">'Total Allocation Current RZ'!F14-'Total Allocation RZ - Gas'!D14</f>
        <v>-7449.4151202177454</v>
      </c>
      <c r="F14" s="79">
        <f ca="1">'Total Allocation Current RZ'!H14-'Total Allocation RZ - Gas'!F14</f>
        <v>-7449.4151202177381</v>
      </c>
      <c r="H14" s="2" t="s">
        <v>426</v>
      </c>
      <c r="I14" s="74">
        <f>_xlfn.IFNA(MATCH(H14,'RZ Factors'!$B$13:$B$122,0),0)</f>
        <v>8</v>
      </c>
      <c r="J14" s="79">
        <f t="shared" ca="1" si="1"/>
        <v>-7.2759576141834259E-12</v>
      </c>
      <c r="L14" s="2" t="s">
        <v>425</v>
      </c>
      <c r="M14" s="74">
        <f>MATCH(L14,'RZ Factors'!$B$13:$B$122,0)</f>
        <v>50</v>
      </c>
      <c r="N14" s="9">
        <f ca="1">OFFSET('RZ Factors'!$B$13,$M14-1,N$9)*$J14+OFFSET('RZ Factors'!$B$13,$I14-1,N$9)*$F14</f>
        <v>-4389.3276245970574</v>
      </c>
      <c r="O14" s="9">
        <f ca="1">OFFSET('RZ Factors'!$B$13,$M14-1,O$9)*$J14+OFFSET('RZ Factors'!$B$13,$I14-1,O$9)*$F14</f>
        <v>-304.2233599669745</v>
      </c>
      <c r="P14" s="9">
        <f ca="1">OFFSET('RZ Factors'!$B$13,$M14-1,P$9)*$J14+OFFSET('RZ Factors'!$B$13,$I14-1,P$9)*$F14</f>
        <v>-2755.8641356537137</v>
      </c>
      <c r="Q14" s="9">
        <f ca="1">OFFSET('RZ Factors'!$B$13,$M14-1,Q$9)*$J14+OFFSET('RZ Factors'!$B$13,$I14-1,Q$9)*$F14</f>
        <v>-5.4553496899589183E-14</v>
      </c>
      <c r="R14" s="9">
        <f ca="1">OFFSET('RZ Factors'!$B$13,$M14-1,R$9)*$J14+OFFSET('RZ Factors'!$B$13,$I14-1,R$9)*$F14</f>
        <v>0</v>
      </c>
    </row>
    <row r="15" spans="1:18" x14ac:dyDescent="0.2">
      <c r="A15" s="2">
        <f t="shared" si="0"/>
        <v>5</v>
      </c>
      <c r="B15" s="31" t="s">
        <v>133</v>
      </c>
      <c r="D15" s="20">
        <f ca="1">'Total Allocation Current RZ'!F15-'Total Allocation RZ - Gas'!D15</f>
        <v>0</v>
      </c>
      <c r="F15" s="79">
        <f>'Total Allocation Current RZ'!H15-'Total Allocation RZ - Gas'!F15</f>
        <v>0</v>
      </c>
      <c r="I15" s="74">
        <f>_xlfn.IFNA(MATCH(H15,'RZ Factors'!$B$13:$B$122,0),0)</f>
        <v>0</v>
      </c>
      <c r="J15" s="79">
        <f t="shared" ca="1" si="1"/>
        <v>0</v>
      </c>
      <c r="L15" s="2" t="s">
        <v>427</v>
      </c>
      <c r="M15" s="74">
        <f>MATCH(L15,'RZ Factors'!$B$13:$B$122,0)</f>
        <v>53</v>
      </c>
      <c r="N15" s="9">
        <f ca="1">OFFSET('RZ Factors'!$B$13,$M15-1,N$9)*$J15+OFFSET('RZ Factors'!$B$13,$I15-1,N$9)*$F15</f>
        <v>0</v>
      </c>
      <c r="O15" s="9">
        <f ca="1">OFFSET('RZ Factors'!$B$13,$M15-1,O$9)*$J15+OFFSET('RZ Factors'!$B$13,$I15-1,O$9)*$F15</f>
        <v>0</v>
      </c>
      <c r="P15" s="9">
        <f ca="1">OFFSET('RZ Factors'!$B$13,$M15-1,P$9)*$J15+OFFSET('RZ Factors'!$B$13,$I15-1,P$9)*$F15</f>
        <v>0</v>
      </c>
      <c r="Q15" s="9">
        <f ca="1">OFFSET('RZ Factors'!$B$13,$M15-1,Q$9)*$J15+OFFSET('RZ Factors'!$B$13,$I15-1,Q$9)*$F15</f>
        <v>0</v>
      </c>
      <c r="R15" s="9">
        <f ca="1">OFFSET('RZ Factors'!$B$13,$M15-1,R$9)*$J15+OFFSET('RZ Factors'!$B$13,$I15-1,R$9)*$F15</f>
        <v>0</v>
      </c>
    </row>
    <row r="16" spans="1:18" x14ac:dyDescent="0.2">
      <c r="A16" s="2">
        <f t="shared" si="0"/>
        <v>6</v>
      </c>
      <c r="B16" s="31" t="s">
        <v>135</v>
      </c>
      <c r="D16" s="20">
        <f ca="1">'Total Allocation Current RZ'!F16-'Total Allocation RZ - Gas'!D16</f>
        <v>15491.673288166032</v>
      </c>
      <c r="F16" s="79">
        <f>'Total Allocation Current RZ'!H16-'Total Allocation RZ - Gas'!F16</f>
        <v>0</v>
      </c>
      <c r="I16" s="74">
        <f>_xlfn.IFNA(MATCH(H16,'RZ Factors'!$B$13:$B$122,0),0)</f>
        <v>0</v>
      </c>
      <c r="J16" s="79">
        <f t="shared" ca="1" si="1"/>
        <v>15491.673288166032</v>
      </c>
      <c r="L16" s="2" t="s">
        <v>428</v>
      </c>
      <c r="M16" s="74">
        <f>MATCH(L16,'RZ Factors'!$B$13:$B$122,0)</f>
        <v>11</v>
      </c>
      <c r="N16" s="9">
        <f ca="1">OFFSET('RZ Factors'!$B$13,$M16-1,N$9)*$J16+OFFSET('RZ Factors'!$B$13,$I16-1,N$9)*$F16</f>
        <v>9609.779501061641</v>
      </c>
      <c r="O16" s="9">
        <f ca="1">OFFSET('RZ Factors'!$B$13,$M16-1,O$9)*$J16+OFFSET('RZ Factors'!$B$13,$I16-1,O$9)*$F16</f>
        <v>370.84643159245962</v>
      </c>
      <c r="P16" s="9">
        <f ca="1">OFFSET('RZ Factors'!$B$13,$M16-1,P$9)*$J16+OFFSET('RZ Factors'!$B$13,$I16-1,P$9)*$F16</f>
        <v>945.2630200863382</v>
      </c>
      <c r="Q16" s="9">
        <f ca="1">OFFSET('RZ Factors'!$B$13,$M16-1,Q$9)*$J16+OFFSET('RZ Factors'!$B$13,$I16-1,Q$9)*$F16</f>
        <v>4565.7843354255938</v>
      </c>
      <c r="R16" s="9">
        <f ca="1">OFFSET('RZ Factors'!$B$13,$M16-1,R$9)*$J16+OFFSET('RZ Factors'!$B$13,$I16-1,R$9)*$F16</f>
        <v>0</v>
      </c>
    </row>
    <row r="17" spans="1:18" x14ac:dyDescent="0.2">
      <c r="A17" s="2">
        <f t="shared" si="0"/>
        <v>7</v>
      </c>
      <c r="B17" s="31" t="s">
        <v>383</v>
      </c>
      <c r="D17" s="81">
        <f ca="1">SUM(D11:D16)</f>
        <v>155.08068271421143</v>
      </c>
      <c r="F17" s="81">
        <f ca="1">SUM(F11:F16)</f>
        <v>-7449.4151202177381</v>
      </c>
      <c r="J17" s="41">
        <f ca="1">SUM(J11:J16)</f>
        <v>7604.4958029319496</v>
      </c>
      <c r="N17" s="41">
        <f t="shared" ref="N17:R17" ca="1" si="2">SUM(N11:N16)</f>
        <v>-638.47849261246847</v>
      </c>
      <c r="O17" s="41">
        <f t="shared" ca="1" si="2"/>
        <v>-433.42292466871112</v>
      </c>
      <c r="P17" s="41">
        <f t="shared" ca="1" si="2"/>
        <v>-3338.8022354302034</v>
      </c>
      <c r="Q17" s="41">
        <f t="shared" ca="1" si="2"/>
        <v>4565.7843354255938</v>
      </c>
      <c r="R17" s="41">
        <f t="shared" ca="1" si="2"/>
        <v>0</v>
      </c>
    </row>
    <row r="18" spans="1:18" x14ac:dyDescent="0.2">
      <c r="D18" s="79"/>
      <c r="N18" s="79" t="s">
        <v>225</v>
      </c>
      <c r="O18" s="79"/>
      <c r="P18" s="79"/>
      <c r="Q18" s="50">
        <f t="shared" ref="Q18:Q26" si="3">D18-SUM(N18:P18)</f>
        <v>0</v>
      </c>
    </row>
    <row r="19" spans="1:18" x14ac:dyDescent="0.2">
      <c r="B19" s="77" t="s">
        <v>97</v>
      </c>
      <c r="D19" s="79"/>
      <c r="N19" s="79"/>
      <c r="O19" s="79"/>
      <c r="P19" s="79"/>
      <c r="Q19" s="50">
        <f t="shared" si="3"/>
        <v>0</v>
      </c>
    </row>
    <row r="20" spans="1:18" x14ac:dyDescent="0.2">
      <c r="A20" s="2">
        <f>A17+1</f>
        <v>8</v>
      </c>
      <c r="B20" s="31" t="s">
        <v>89</v>
      </c>
      <c r="D20" s="20">
        <f ca="1">'Total Allocation Current RZ'!F20-'Total Allocation RZ - Gas'!D20</f>
        <v>96004.225333664726</v>
      </c>
      <c r="F20" s="79">
        <f>'Total Allocation Current RZ'!H20-'Total Allocation RZ - Gas'!F20</f>
        <v>0</v>
      </c>
      <c r="I20" s="74">
        <f>_xlfn.IFNA(MATCH(H20,'RZ Factors'!$B$13:$B$122,0),0)</f>
        <v>0</v>
      </c>
      <c r="J20" s="79">
        <f ca="1">D20-F20</f>
        <v>96004.225333664726</v>
      </c>
      <c r="L20" s="2" t="s">
        <v>424</v>
      </c>
      <c r="M20" s="74">
        <f>MATCH(L20,'RZ Factors'!$B$13:$B$125,0)</f>
        <v>29</v>
      </c>
      <c r="N20" s="9">
        <f ca="1">OFFSET('RZ Factors'!$B$13,$M20-1,N$9)*$J20+OFFSET('RZ Factors'!$B$13,$I20-1,N$9)*$F20</f>
        <v>56190.640595073171</v>
      </c>
      <c r="O20" s="9">
        <f ca="1">OFFSET('RZ Factors'!$B$13,$M20-1,O$9)*$J20+OFFSET('RZ Factors'!$B$13,$I20-1,O$9)*$F20</f>
        <v>1807.2148661145641</v>
      </c>
      <c r="P20" s="9">
        <f ca="1">OFFSET('RZ Factors'!$B$13,$M20-1,P$9)*$J20+OFFSET('RZ Factors'!$B$13,$I20-1,P$9)*$F20</f>
        <v>5230.5833141760104</v>
      </c>
      <c r="Q20" s="9">
        <f ca="1">OFFSET('RZ Factors'!$B$13,$M20-1,Q$9)*$J20+OFFSET('RZ Factors'!$B$13,$I20-1,Q$9)*$F20</f>
        <v>32775.786558300984</v>
      </c>
      <c r="R20" s="9">
        <f ca="1">OFFSET('RZ Factors'!$B$13,$M20-1,R$9)*$J20+OFFSET('RZ Factors'!$B$13,$I20-1,R$9)*$F20</f>
        <v>0</v>
      </c>
    </row>
    <row r="21" spans="1:18" x14ac:dyDescent="0.2">
      <c r="A21" s="2">
        <f>A20+1</f>
        <v>9</v>
      </c>
      <c r="B21" s="31" t="s">
        <v>90</v>
      </c>
      <c r="D21" s="20">
        <f ca="1">'Total Allocation Current RZ'!F21-'Total Allocation RZ - Gas'!D21</f>
        <v>64332.828920156935</v>
      </c>
      <c r="F21" s="79">
        <f ca="1">'Total Allocation Current RZ'!H21-'Total Allocation RZ - Gas'!F21</f>
        <v>28256.55440729922</v>
      </c>
      <c r="H21" s="2" t="s">
        <v>430</v>
      </c>
      <c r="I21" s="74">
        <f>_xlfn.IFNA(MATCH(H21,'RZ Factors'!$B$13:$B$122,0),0)</f>
        <v>2</v>
      </c>
      <c r="J21" s="79">
        <f t="shared" ref="J21:J23" ca="1" si="4">D21-F21</f>
        <v>36076.274512857715</v>
      </c>
      <c r="L21" s="2" t="s">
        <v>429</v>
      </c>
      <c r="M21" s="74">
        <f>MATCH(L21,'RZ Factors'!$B$13:$B$125,0)</f>
        <v>41</v>
      </c>
      <c r="N21" s="9">
        <f ca="1">OFFSET('RZ Factors'!$B$13,$M21-1,N$9)*$J21+OFFSET('RZ Factors'!$B$13,$I21-1,N$9)*$F21</f>
        <v>38384.448249025358</v>
      </c>
      <c r="O21" s="9">
        <f ca="1">OFFSET('RZ Factors'!$B$13,$M21-1,O$9)*$J21+OFFSET('RZ Factors'!$B$13,$I21-1,O$9)*$F21</f>
        <v>1384.9579795227219</v>
      </c>
      <c r="P21" s="9">
        <f ca="1">OFFSET('RZ Factors'!$B$13,$M21-1,P$9)*$J21+OFFSET('RZ Factors'!$B$13,$I21-1,P$9)*$F21</f>
        <v>3863.7053240780097</v>
      </c>
      <c r="Q21" s="9">
        <f ca="1">OFFSET('RZ Factors'!$B$13,$M21-1,Q$9)*$J21+OFFSET('RZ Factors'!$B$13,$I21-1,Q$9)*$F21</f>
        <v>20699.717367530844</v>
      </c>
      <c r="R21" s="9">
        <f ca="1">OFFSET('RZ Factors'!$B$13,$M21-1,R$9)*$J21+OFFSET('RZ Factors'!$B$13,$I21-1,R$9)*$F21</f>
        <v>0</v>
      </c>
    </row>
    <row r="22" spans="1:18" x14ac:dyDescent="0.2">
      <c r="A22" s="2">
        <f t="shared" ref="A22:A24" si="5">A21+1</f>
        <v>10</v>
      </c>
      <c r="B22" s="31" t="s">
        <v>345</v>
      </c>
      <c r="D22" s="20">
        <f ca="1">'Total Allocation Current RZ'!F22-'Total Allocation RZ - Gas'!D22</f>
        <v>5768.9625818688937</v>
      </c>
      <c r="F22" s="79">
        <f>'Total Allocation Current RZ'!H22-'Total Allocation RZ - Gas'!F22</f>
        <v>0</v>
      </c>
      <c r="I22" s="74">
        <f>_xlfn.IFNA(MATCH(H22,'RZ Factors'!$B$13:$B$122,0),0)</f>
        <v>0</v>
      </c>
      <c r="J22" s="79">
        <f t="shared" ca="1" si="4"/>
        <v>5768.9625818688937</v>
      </c>
      <c r="L22" s="2" t="s">
        <v>431</v>
      </c>
      <c r="M22" s="74">
        <f>MATCH(L22,'RZ Factors'!$B$13:$B$125,0)</f>
        <v>32</v>
      </c>
      <c r="N22" s="9">
        <f ca="1">OFFSET('RZ Factors'!$B$13,$M22-1,N$9)*$J22+OFFSET('RZ Factors'!$B$13,$I22-1,N$9)*$F22</f>
        <v>3229.3411295980759</v>
      </c>
      <c r="O22" s="9">
        <f ca="1">OFFSET('RZ Factors'!$B$13,$M22-1,O$9)*$J22+OFFSET('RZ Factors'!$B$13,$I22-1,O$9)*$F22</f>
        <v>121.02913994849065</v>
      </c>
      <c r="P22" s="9">
        <f ca="1">OFFSET('RZ Factors'!$B$13,$M22-1,P$9)*$J22+OFFSET('RZ Factors'!$B$13,$I22-1,P$9)*$F22</f>
        <v>340.51671702640135</v>
      </c>
      <c r="Q22" s="9">
        <f ca="1">OFFSET('RZ Factors'!$B$13,$M22-1,Q$9)*$J22+OFFSET('RZ Factors'!$B$13,$I22-1,Q$9)*$F22</f>
        <v>1682.6449750057097</v>
      </c>
      <c r="R22" s="9">
        <f ca="1">OFFSET('RZ Factors'!$B$13,$M22-1,R$9)*$J22+OFFSET('RZ Factors'!$B$13,$I22-1,R$9)*$F22</f>
        <v>395.43062029021604</v>
      </c>
    </row>
    <row r="23" spans="1:18" x14ac:dyDescent="0.2">
      <c r="A23" s="2">
        <f t="shared" si="5"/>
        <v>11</v>
      </c>
      <c r="B23" s="31" t="s">
        <v>91</v>
      </c>
      <c r="D23" s="20">
        <f ca="1">'Total Allocation Current RZ'!F23-'Total Allocation RZ - Gas'!D23</f>
        <v>0</v>
      </c>
      <c r="F23" s="79">
        <f>'Total Allocation Current RZ'!H23-'Total Allocation RZ - Gas'!F23</f>
        <v>0</v>
      </c>
      <c r="I23" s="74">
        <f>_xlfn.IFNA(MATCH(H23,'RZ Factors'!$B$13:$B$122,0),0)</f>
        <v>0</v>
      </c>
      <c r="J23" s="79">
        <f t="shared" ca="1" si="4"/>
        <v>0</v>
      </c>
      <c r="L23" s="2" t="s">
        <v>432</v>
      </c>
      <c r="M23" s="74">
        <f>MATCH(L23,'RZ Factors'!$B$13:$B$125,0)</f>
        <v>44</v>
      </c>
      <c r="N23" s="9">
        <f ca="1">OFFSET('RZ Factors'!$B$13,$M23-1,N$9)*$J23+OFFSET('RZ Factors'!$B$13,$I23-1,N$9)*$F23</f>
        <v>0</v>
      </c>
      <c r="O23" s="9">
        <f ca="1">OFFSET('RZ Factors'!$B$13,$M23-1,O$9)*$J23+OFFSET('RZ Factors'!$B$13,$I23-1,O$9)*$F23</f>
        <v>0</v>
      </c>
      <c r="P23" s="9">
        <f ca="1">OFFSET('RZ Factors'!$B$13,$M23-1,P$9)*$J23+OFFSET('RZ Factors'!$B$13,$I23-1,P$9)*$F23</f>
        <v>0</v>
      </c>
      <c r="Q23" s="9">
        <f ca="1">OFFSET('RZ Factors'!$B$13,$M23-1,Q$9)*$J23+OFFSET('RZ Factors'!$B$13,$I23-1,Q$9)*$F23</f>
        <v>0</v>
      </c>
      <c r="R23" s="9">
        <f ca="1">OFFSET('RZ Factors'!$B$13,$M23-1,R$9)*$J23+OFFSET('RZ Factors'!$B$13,$I23-1,R$9)*$F23</f>
        <v>0</v>
      </c>
    </row>
    <row r="24" spans="1:18" x14ac:dyDescent="0.2">
      <c r="A24" s="2">
        <f t="shared" si="5"/>
        <v>12</v>
      </c>
      <c r="B24" s="31" t="s">
        <v>96</v>
      </c>
      <c r="D24" s="41">
        <f ca="1">SUM(D20:D23)</f>
        <v>166106.01683569056</v>
      </c>
      <c r="F24" s="41">
        <f ca="1">SUM(F20:F23)</f>
        <v>28256.55440729922</v>
      </c>
      <c r="H24" s="122"/>
      <c r="J24" s="41">
        <f ca="1">SUM(J20:J23)</f>
        <v>137849.46242839133</v>
      </c>
      <c r="N24" s="41">
        <f t="shared" ref="N24:R24" ca="1" si="6">SUM(N20:N23)</f>
        <v>97804.429973696606</v>
      </c>
      <c r="O24" s="41">
        <f t="shared" ca="1" si="6"/>
        <v>3313.2019855857766</v>
      </c>
      <c r="P24" s="41">
        <f t="shared" ca="1" si="6"/>
        <v>9434.8053552804213</v>
      </c>
      <c r="Q24" s="41">
        <f t="shared" ca="1" si="6"/>
        <v>55158.148900837536</v>
      </c>
      <c r="R24" s="41">
        <f t="shared" ca="1" si="6"/>
        <v>395.43062029021604</v>
      </c>
    </row>
    <row r="25" spans="1:18" x14ac:dyDescent="0.2">
      <c r="N25" s="79"/>
      <c r="O25" s="79"/>
      <c r="P25" s="79"/>
      <c r="Q25" s="50">
        <f t="shared" si="3"/>
        <v>0</v>
      </c>
    </row>
    <row r="26" spans="1:18" x14ac:dyDescent="0.2">
      <c r="B26" s="77" t="s">
        <v>98</v>
      </c>
      <c r="N26" s="79"/>
      <c r="O26" s="79"/>
      <c r="P26" s="79"/>
      <c r="Q26" s="50">
        <f t="shared" si="3"/>
        <v>0</v>
      </c>
    </row>
    <row r="27" spans="1:18" x14ac:dyDescent="0.2">
      <c r="A27" s="2">
        <f>A24+1</f>
        <v>13</v>
      </c>
      <c r="B27" s="31" t="s">
        <v>92</v>
      </c>
      <c r="D27" s="20">
        <f ca="1">'Total Allocation Current RZ'!F27-'Total Allocation RZ - Gas'!D27</f>
        <v>12889.72691135346</v>
      </c>
      <c r="F27" s="79">
        <f>'Total Allocation Current RZ'!H27-'Total Allocation RZ - Gas'!F27</f>
        <v>0</v>
      </c>
      <c r="I27" s="74">
        <f>_xlfn.IFNA(MATCH(H27,'RZ Factors'!$B$13:$B$122,0),0)</f>
        <v>0</v>
      </c>
      <c r="J27" s="79">
        <f ca="1">D27-F27</f>
        <v>12889.72691135346</v>
      </c>
      <c r="L27" s="2" t="s">
        <v>536</v>
      </c>
      <c r="M27" s="74">
        <f>MATCH(L27,'RZ Factors'!$B$13:$B$125,0)</f>
        <v>17</v>
      </c>
      <c r="N27" s="9">
        <f ca="1">OFFSET('RZ Factors'!$B$13,$M27-1,N$9)*$J27+OFFSET('RZ Factors'!$B$13,$I27-1,N$9)*$F27</f>
        <v>4807.6632450940742</v>
      </c>
      <c r="O27" s="9">
        <f ca="1">OFFSET('RZ Factors'!$B$13,$M27-1,O$9)*$J27+OFFSET('RZ Factors'!$B$13,$I27-1,O$9)*$F27</f>
        <v>47.882758574584528</v>
      </c>
      <c r="P27" s="9">
        <f ca="1">OFFSET('RZ Factors'!$B$13,$M27-1,P$9)*$J27+OFFSET('RZ Factors'!$B$13,$I27-1,P$9)*$F27</f>
        <v>549.90589197103895</v>
      </c>
      <c r="Q27" s="9">
        <f ca="1">OFFSET('RZ Factors'!$B$13,$M27-1,Q$9)*$J27+OFFSET('RZ Factors'!$B$13,$I27-1,Q$9)*$F27</f>
        <v>2801.1189262642133</v>
      </c>
      <c r="R27" s="9">
        <f ca="1">OFFSET('RZ Factors'!$B$13,$M27-1,R$9)*$J27+OFFSET('RZ Factors'!$B$13,$I27-1,R$9)*$F27</f>
        <v>4683.1560894495487</v>
      </c>
    </row>
    <row r="28" spans="1:18" x14ac:dyDescent="0.2">
      <c r="A28" s="2">
        <f>A27+1</f>
        <v>14</v>
      </c>
      <c r="B28" s="31" t="s">
        <v>93</v>
      </c>
      <c r="D28" s="20">
        <f ca="1">'Total Allocation Current RZ'!F28-'Total Allocation RZ - Gas'!D28</f>
        <v>1418.3718363261082</v>
      </c>
      <c r="F28" s="79">
        <f>'Total Allocation Current RZ'!H28-'Total Allocation RZ - Gas'!F28</f>
        <v>0</v>
      </c>
      <c r="I28" s="74">
        <f>_xlfn.IFNA(MATCH(H28,'RZ Factors'!$B$13:$B$122,0),0)</f>
        <v>0</v>
      </c>
      <c r="J28" s="79">
        <f t="shared" ref="J28:J33" ca="1" si="7">D28-F28</f>
        <v>1418.3718363261082</v>
      </c>
      <c r="L28" s="2" t="s">
        <v>433</v>
      </c>
      <c r="M28" s="74">
        <f>MATCH(L28,'RZ Factors'!$B$13:$B$125,0)</f>
        <v>23</v>
      </c>
      <c r="N28" s="9">
        <f ca="1">OFFSET('RZ Factors'!$B$13,$M28-1,N$9)*$J28+OFFSET('RZ Factors'!$B$13,$I28-1,N$9)*$F28</f>
        <v>135.75366221986272</v>
      </c>
      <c r="O28" s="9">
        <f ca="1">OFFSET('RZ Factors'!$B$13,$M28-1,O$9)*$J28+OFFSET('RZ Factors'!$B$13,$I28-1,O$9)*$F28</f>
        <v>0</v>
      </c>
      <c r="P28" s="9">
        <f ca="1">OFFSET('RZ Factors'!$B$13,$M28-1,P$9)*$J28+OFFSET('RZ Factors'!$B$13,$I28-1,P$9)*$F28</f>
        <v>0</v>
      </c>
      <c r="Q28" s="9">
        <f ca="1">OFFSET('RZ Factors'!$B$13,$M28-1,Q$9)*$J28+OFFSET('RZ Factors'!$B$13,$I28-1,Q$9)*$F28</f>
        <v>286.05282800224472</v>
      </c>
      <c r="R28" s="9">
        <f ca="1">OFFSET('RZ Factors'!$B$13,$M28-1,R$9)*$J28+OFFSET('RZ Factors'!$B$13,$I28-1,R$9)*$F28</f>
        <v>996.5653461040007</v>
      </c>
    </row>
    <row r="29" spans="1:18" x14ac:dyDescent="0.2">
      <c r="A29" s="2">
        <f t="shared" ref="A29:A34" si="8">A28+1</f>
        <v>15</v>
      </c>
      <c r="B29" s="31" t="s">
        <v>94</v>
      </c>
      <c r="D29" s="20">
        <f ca="1">'Total Allocation Current RZ'!F29-'Total Allocation RZ - Gas'!D29</f>
        <v>46033.650718814592</v>
      </c>
      <c r="F29" s="79">
        <f>'Total Allocation Current RZ'!H29-'Total Allocation RZ - Gas'!F29</f>
        <v>0</v>
      </c>
      <c r="I29" s="74">
        <f>_xlfn.IFNA(MATCH(H29,'RZ Factors'!$B$13:$B$122,0),0)</f>
        <v>0</v>
      </c>
      <c r="J29" s="79">
        <f t="shared" ca="1" si="7"/>
        <v>46033.650718814592</v>
      </c>
      <c r="L29" s="2" t="s">
        <v>434</v>
      </c>
      <c r="M29" s="74">
        <f>MATCH(L29,'RZ Factors'!$B$13:$B$125,0)</f>
        <v>38</v>
      </c>
      <c r="N29" s="9">
        <f ca="1">OFFSET('RZ Factors'!$B$13,$M29-1,N$9)*$J29+OFFSET('RZ Factors'!$B$13,$I29-1,N$9)*$F29</f>
        <v>18507.938128719048</v>
      </c>
      <c r="O29" s="9">
        <f ca="1">OFFSET('RZ Factors'!$B$13,$M29-1,O$9)*$J29+OFFSET('RZ Factors'!$B$13,$I29-1,O$9)*$F29</f>
        <v>310.34216371686807</v>
      </c>
      <c r="P29" s="9">
        <f ca="1">OFFSET('RZ Factors'!$B$13,$M29-1,P$9)*$J29+OFFSET('RZ Factors'!$B$13,$I29-1,P$9)*$F29</f>
        <v>3564.1009297557439</v>
      </c>
      <c r="Q29" s="9">
        <f ca="1">OFFSET('RZ Factors'!$B$13,$M29-1,Q$9)*$J29+OFFSET('RZ Factors'!$B$13,$I29-1,Q$9)*$F29</f>
        <v>0</v>
      </c>
      <c r="R29" s="9">
        <f ca="1">OFFSET('RZ Factors'!$B$13,$M29-1,R$9)*$J29+OFFSET('RZ Factors'!$B$13,$I29-1,R$9)*$F29</f>
        <v>23651.269496622928</v>
      </c>
    </row>
    <row r="30" spans="1:18" x14ac:dyDescent="0.2">
      <c r="A30" s="2">
        <f t="shared" si="8"/>
        <v>16</v>
      </c>
      <c r="B30" s="31" t="s">
        <v>330</v>
      </c>
      <c r="D30" s="20">
        <f ca="1">'Total Allocation Current RZ'!F30-'Total Allocation RZ - Gas'!D30</f>
        <v>229743.82612937456</v>
      </c>
      <c r="F30" s="79">
        <f>'Total Allocation Current RZ'!H30-'Total Allocation RZ - Gas'!F30</f>
        <v>0</v>
      </c>
      <c r="I30" s="74">
        <f>_xlfn.IFNA(MATCH(H30,'RZ Factors'!$B$13:$B$122,0),0)</f>
        <v>0</v>
      </c>
      <c r="J30" s="79">
        <f t="shared" ca="1" si="7"/>
        <v>229743.82612937456</v>
      </c>
      <c r="L30" s="2" t="s">
        <v>435</v>
      </c>
      <c r="M30" s="74">
        <f>MATCH(L30,'RZ Factors'!$B$13:$B$125,0)</f>
        <v>20</v>
      </c>
      <c r="N30" s="9">
        <f ca="1">OFFSET('RZ Factors'!$B$13,$M30-1,N$9)*$J30+OFFSET('RZ Factors'!$B$13,$I30-1,N$9)*$F30</f>
        <v>104883.41266641355</v>
      </c>
      <c r="O30" s="9">
        <f ca="1">OFFSET('RZ Factors'!$B$13,$M30-1,O$9)*$J30+OFFSET('RZ Factors'!$B$13,$I30-1,O$9)*$F30</f>
        <v>1048.651856681696</v>
      </c>
      <c r="P30" s="9">
        <f ca="1">OFFSET('RZ Factors'!$B$13,$M30-1,P$9)*$J30+OFFSET('RZ Factors'!$B$13,$I30-1,P$9)*$F30</f>
        <v>12043.162336134012</v>
      </c>
      <c r="Q30" s="9">
        <f ca="1">OFFSET('RZ Factors'!$B$13,$M30-1,Q$9)*$J30+OFFSET('RZ Factors'!$B$13,$I30-1,Q$9)*$F30</f>
        <v>45205.240605894047</v>
      </c>
      <c r="R30" s="9">
        <f ca="1">OFFSET('RZ Factors'!$B$13,$M30-1,R$9)*$J30+OFFSET('RZ Factors'!$B$13,$I30-1,R$9)*$F30</f>
        <v>66563.358664251253</v>
      </c>
    </row>
    <row r="31" spans="1:18" x14ac:dyDescent="0.2">
      <c r="A31" s="2">
        <f t="shared" si="8"/>
        <v>17</v>
      </c>
      <c r="B31" s="31" t="s">
        <v>331</v>
      </c>
      <c r="D31" s="20">
        <f ca="1">'Total Allocation Current RZ'!F31-'Total Allocation RZ - Gas'!D31</f>
        <v>30569.722628306641</v>
      </c>
      <c r="F31" s="79">
        <f>'Total Allocation Current RZ'!H31-'Total Allocation RZ - Gas'!F31</f>
        <v>0</v>
      </c>
      <c r="I31" s="74">
        <f>_xlfn.IFNA(MATCH(H31,'RZ Factors'!$B$13:$B$122,0),0)</f>
        <v>0</v>
      </c>
      <c r="J31" s="79">
        <f t="shared" ca="1" si="7"/>
        <v>30569.722628306641</v>
      </c>
      <c r="L31" s="2" t="s">
        <v>436</v>
      </c>
      <c r="M31" s="74">
        <f>MATCH(L31,'RZ Factors'!$B$13:$B$125,0)</f>
        <v>14</v>
      </c>
      <c r="N31" s="9">
        <f ca="1">OFFSET('RZ Factors'!$B$13,$M31-1,N$9)*$J31+OFFSET('RZ Factors'!$B$13,$I31-1,N$9)*$F31</f>
        <v>12227.889051322658</v>
      </c>
      <c r="O31" s="9">
        <f ca="1">OFFSET('RZ Factors'!$B$13,$M31-1,O$9)*$J31+OFFSET('RZ Factors'!$B$13,$I31-1,O$9)*$F31</f>
        <v>0</v>
      </c>
      <c r="P31" s="9">
        <f ca="1">OFFSET('RZ Factors'!$B$13,$M31-1,P$9)*$J31+OFFSET('RZ Factors'!$B$13,$I31-1,P$9)*$F31</f>
        <v>0</v>
      </c>
      <c r="Q31" s="9">
        <f ca="1">OFFSET('RZ Factors'!$B$13,$M31-1,Q$9)*$J31+OFFSET('RZ Factors'!$B$13,$I31-1,Q$9)*$F31</f>
        <v>0</v>
      </c>
      <c r="R31" s="9">
        <f ca="1">OFFSET('RZ Factors'!$B$13,$M31-1,R$9)*$J31+OFFSET('RZ Factors'!$B$13,$I31-1,R$9)*$F31</f>
        <v>18341.833576983983</v>
      </c>
    </row>
    <row r="32" spans="1:18" x14ac:dyDescent="0.2">
      <c r="A32" s="2">
        <f t="shared" si="8"/>
        <v>18</v>
      </c>
      <c r="B32" s="31" t="s">
        <v>146</v>
      </c>
      <c r="D32" s="20">
        <f ca="1">'Total Allocation Current RZ'!F32-'Total Allocation RZ - Gas'!D32</f>
        <v>51853.787662642455</v>
      </c>
      <c r="F32" s="79">
        <f>'Total Allocation Current RZ'!H32-'Total Allocation RZ - Gas'!F32</f>
        <v>0</v>
      </c>
      <c r="I32" s="74">
        <f>_xlfn.IFNA(MATCH(H32,'RZ Factors'!$B$13:$B$122,0),0)</f>
        <v>0</v>
      </c>
      <c r="J32" s="79">
        <f t="shared" ca="1" si="7"/>
        <v>51853.787662642455</v>
      </c>
      <c r="L32" s="2" t="s">
        <v>437</v>
      </c>
      <c r="M32" s="74">
        <f>MATCH(L32,'RZ Factors'!$B$13:$B$125,0)</f>
        <v>35</v>
      </c>
      <c r="N32" s="9">
        <f ca="1">OFFSET('RZ Factors'!$B$13,$M32-1,N$9)*$J32+OFFSET('RZ Factors'!$B$13,$I32-1,N$9)*$F32</f>
        <v>0</v>
      </c>
      <c r="O32" s="9">
        <f ca="1">OFFSET('RZ Factors'!$B$13,$M32-1,O$9)*$J32+OFFSET('RZ Factors'!$B$13,$I32-1,O$9)*$F32</f>
        <v>0</v>
      </c>
      <c r="P32" s="9">
        <f ca="1">OFFSET('RZ Factors'!$B$13,$M32-1,P$9)*$J32+OFFSET('RZ Factors'!$B$13,$I32-1,P$9)*$F32</f>
        <v>0</v>
      </c>
      <c r="Q32" s="9">
        <f ca="1">OFFSET('RZ Factors'!$B$13,$M32-1,Q$9)*$J32+OFFSET('RZ Factors'!$B$13,$I32-1,Q$9)*$F32</f>
        <v>51853.787662642455</v>
      </c>
      <c r="R32" s="9">
        <f ca="1">OFFSET('RZ Factors'!$B$13,$M32-1,R$9)*$J32+OFFSET('RZ Factors'!$B$13,$I32-1,R$9)*$F32</f>
        <v>0</v>
      </c>
    </row>
    <row r="33" spans="1:18 16382:16382" x14ac:dyDescent="0.2">
      <c r="A33" s="2">
        <f t="shared" si="8"/>
        <v>19</v>
      </c>
      <c r="B33" s="31" t="s">
        <v>95</v>
      </c>
      <c r="D33" s="20">
        <f ca="1">'Total Allocation Current RZ'!F33-'Total Allocation RZ - Gas'!D33</f>
        <v>0</v>
      </c>
      <c r="F33" s="79">
        <f ca="1">'Total Allocation Current RZ'!H33-'Total Allocation RZ - Gas'!F33</f>
        <v>0</v>
      </c>
      <c r="H33" s="2" t="s">
        <v>438</v>
      </c>
      <c r="I33" s="74">
        <f>_xlfn.IFNA(MATCH(H33,'RZ Factors'!$B$13:$B$122,0),0)</f>
        <v>5</v>
      </c>
      <c r="J33" s="79">
        <f t="shared" ca="1" si="7"/>
        <v>0</v>
      </c>
      <c r="L33" s="2" t="s">
        <v>439</v>
      </c>
      <c r="M33" s="74">
        <f>MATCH(L33,'RZ Factors'!$B$13:$B$125,0)</f>
        <v>56</v>
      </c>
      <c r="N33" s="9">
        <f ca="1">OFFSET('RZ Factors'!$B$13,$M33-1,N$9)*$J33+OFFSET('RZ Factors'!$B$13,$I33-1,N$9)*$F33</f>
        <v>0</v>
      </c>
      <c r="O33" s="9">
        <f ca="1">OFFSET('RZ Factors'!$B$13,$M33-1,O$9)*$J33+OFFSET('RZ Factors'!$B$13,$I33-1,O$9)*$F33</f>
        <v>0</v>
      </c>
      <c r="P33" s="9">
        <f ca="1">OFFSET('RZ Factors'!$B$13,$M33-1,P$9)*$J33+OFFSET('RZ Factors'!$B$13,$I33-1,P$9)*$F33</f>
        <v>0</v>
      </c>
      <c r="Q33" s="9">
        <f ca="1">OFFSET('RZ Factors'!$B$13,$M33-1,Q$9)*$J33+OFFSET('RZ Factors'!$B$13,$I33-1,Q$9)*$F33</f>
        <v>0</v>
      </c>
      <c r="R33" s="9">
        <f ca="1">OFFSET('RZ Factors'!$B$13,$M33-1,R$9)*$J33+OFFSET('RZ Factors'!$B$13,$I33-1,R$9)*$F33</f>
        <v>0</v>
      </c>
    </row>
    <row r="34" spans="1:18 16382:16382" x14ac:dyDescent="0.2">
      <c r="A34" s="2">
        <f t="shared" si="8"/>
        <v>20</v>
      </c>
      <c r="B34" s="31" t="s">
        <v>99</v>
      </c>
      <c r="D34" s="41">
        <f ca="1">SUM(D27:D33)</f>
        <v>372509.08588681789</v>
      </c>
      <c r="F34" s="41">
        <f ca="1">SUM(F27:F33)</f>
        <v>0</v>
      </c>
      <c r="J34" s="41">
        <f ca="1">SUM(J27:J33)</f>
        <v>372509.08588681789</v>
      </c>
      <c r="N34" s="41">
        <f t="shared" ref="N34:R34" ca="1" si="9">SUM(N27:N33)</f>
        <v>140562.6567537692</v>
      </c>
      <c r="O34" s="41">
        <f t="shared" ca="1" si="9"/>
        <v>1406.8767789731487</v>
      </c>
      <c r="P34" s="41">
        <f t="shared" ca="1" si="9"/>
        <v>16157.169157860793</v>
      </c>
      <c r="Q34" s="41">
        <f t="shared" ca="1" si="9"/>
        <v>100146.20002280295</v>
      </c>
      <c r="R34" s="41">
        <f t="shared" ca="1" si="9"/>
        <v>114236.1831734117</v>
      </c>
      <c r="XFB34" s="41"/>
    </row>
    <row r="35" spans="1:18 16382:16382" x14ac:dyDescent="0.2">
      <c r="N35" s="79"/>
      <c r="O35" s="79"/>
      <c r="P35" s="79"/>
      <c r="Q35" s="50"/>
    </row>
    <row r="36" spans="1:18 16382:16382" ht="15" x14ac:dyDescent="0.25">
      <c r="B36" s="77" t="s">
        <v>100</v>
      </c>
      <c r="N36" s="79"/>
      <c r="O36" s="163" t="s">
        <v>488</v>
      </c>
      <c r="P36" s="160"/>
      <c r="Q36" s="50"/>
    </row>
    <row r="37" spans="1:18 16382:16382" x14ac:dyDescent="0.2">
      <c r="A37" s="2">
        <f>A34+1</f>
        <v>21</v>
      </c>
      <c r="B37" s="31" t="s">
        <v>287</v>
      </c>
      <c r="D37" s="20">
        <f ca="1">'Total Allocation Current RZ'!F37-'Total Allocation RZ - Gas'!D37</f>
        <v>300630.5521025809</v>
      </c>
      <c r="E37" s="79"/>
      <c r="F37" s="79">
        <f>'Total Allocation Current RZ'!H37-'Total Allocation RZ - Gas'!F37</f>
        <v>0</v>
      </c>
      <c r="G37" s="79"/>
      <c r="H37" s="123"/>
      <c r="I37" s="74">
        <f>_xlfn.IFNA(MATCH(H37,'Dist RZ Factors'!$B$13:$B$105,0),0)</f>
        <v>0</v>
      </c>
      <c r="J37" s="79">
        <f t="shared" ref="J37:J51" ca="1" si="10">D37-F37</f>
        <v>300630.5521025809</v>
      </c>
      <c r="L37" s="2" t="s">
        <v>440</v>
      </c>
      <c r="M37" s="74">
        <f>MATCH(L37,'Dist RZ Factors'!$B$13:$B$128,0)</f>
        <v>20</v>
      </c>
      <c r="N37" s="9">
        <f ca="1">OFFSET('Dist RZ Factors'!$B$13,$M37-1,N$9)*$J37+OFFSET('Dist RZ Factors'!$B$13,$I37-1,N$9)*$F37</f>
        <v>158418.21122091907</v>
      </c>
      <c r="O37" s="9">
        <f ca="1">OFFSET('Dist RZ Factors'!$B$13,$M37-1,O$9)*$J37+OFFSET('Dist RZ Factors'!$B$13,$I37-1,O$9)*$F37</f>
        <v>38330.586650959594</v>
      </c>
      <c r="P37" s="9"/>
      <c r="Q37" s="9">
        <f ca="1">OFFSET('Dist RZ Factors'!$B$13,$M37-1,P$9)*$J37+OFFSET('Dist RZ Factors'!$B$13,$I37-1,P$9)*$F37</f>
        <v>103578.71759778701</v>
      </c>
      <c r="R37" s="9">
        <f ca="1">OFFSET('Dist RZ Factors'!$B$13,$M37-1,Q$9)*$J37+OFFSET('Dist RZ Factors'!$B$13,$I37-1,Q$9)*$F37</f>
        <v>303.03663291521229</v>
      </c>
    </row>
    <row r="38" spans="1:18 16382:16382" x14ac:dyDescent="0.2">
      <c r="A38" s="2">
        <f>A37+1</f>
        <v>22</v>
      </c>
      <c r="B38" s="31" t="s">
        <v>288</v>
      </c>
      <c r="D38" s="20">
        <f ca="1">'Total Allocation Current RZ'!F38-'Total Allocation RZ - Gas'!D38</f>
        <v>57499.970385830791</v>
      </c>
      <c r="E38" s="79"/>
      <c r="F38" s="79">
        <f>'Total Allocation Current RZ'!H38-'Total Allocation RZ - Gas'!F38</f>
        <v>0</v>
      </c>
      <c r="G38" s="79"/>
      <c r="H38" s="123"/>
      <c r="I38" s="74">
        <f>_xlfn.IFNA(MATCH(H38,'Dist RZ Factors'!$B$13:$B$105,0),0)</f>
        <v>0</v>
      </c>
      <c r="J38" s="79">
        <f t="shared" ca="1" si="10"/>
        <v>57499.970385830791</v>
      </c>
      <c r="L38" s="2" t="s">
        <v>441</v>
      </c>
      <c r="M38" s="74">
        <f>MATCH(L38,'Dist RZ Factors'!$B$13:$B$128,0)</f>
        <v>17</v>
      </c>
      <c r="N38" s="9">
        <f ca="1">OFFSET('Dist RZ Factors'!$B$13,$M38-1,N$9)*$J38+OFFSET('Dist RZ Factors'!$B$13,$I38-1,N$9)*$F38</f>
        <v>31379.22221557553</v>
      </c>
      <c r="O38" s="9">
        <f ca="1">OFFSET('Dist RZ Factors'!$B$13,$M38-1,O$9)*$J38+OFFSET('Dist RZ Factors'!$B$13,$I38-1,O$9)*$F38</f>
        <v>7592.4604053034973</v>
      </c>
      <c r="P38" s="9"/>
      <c r="Q38" s="9">
        <f ca="1">OFFSET('Dist RZ Factors'!$B$13,$M38-1,P$9)*$J38+OFFSET('Dist RZ Factors'!$B$13,$I38-1,P$9)*$F38</f>
        <v>18528.287764951758</v>
      </c>
      <c r="R38" s="9">
        <f ca="1">OFFSET('Dist RZ Factors'!$B$13,$M38-1,Q$9)*$J38+OFFSET('Dist RZ Factors'!$B$13,$I38-1,Q$9)*$F38</f>
        <v>0</v>
      </c>
    </row>
    <row r="39" spans="1:18 16382:16382" x14ac:dyDescent="0.2">
      <c r="A39" s="2">
        <f t="shared" ref="A39:A52" si="11">A38+1</f>
        <v>23</v>
      </c>
      <c r="B39" s="31" t="s">
        <v>289</v>
      </c>
      <c r="D39" s="20">
        <f ca="1">'Total Allocation Current RZ'!F39-'Total Allocation RZ - Gas'!D39</f>
        <v>305620.80955824681</v>
      </c>
      <c r="E39" s="79"/>
      <c r="F39" s="79">
        <f>'Total Allocation Current RZ'!H39-'Total Allocation RZ - Gas'!F39</f>
        <v>0</v>
      </c>
      <c r="G39" s="79"/>
      <c r="H39" s="123"/>
      <c r="I39" s="74">
        <f>_xlfn.IFNA(MATCH(H39,'Dist RZ Factors'!$B$13:$B$105,0),0)</f>
        <v>0</v>
      </c>
      <c r="J39" s="79">
        <f t="shared" ca="1" si="10"/>
        <v>305620.80955824681</v>
      </c>
      <c r="L39" s="2" t="s">
        <v>442</v>
      </c>
      <c r="M39" s="74">
        <f>MATCH(L39,'Dist RZ Factors'!$B$13:$B$128,0)</f>
        <v>23</v>
      </c>
      <c r="N39" s="9">
        <f ca="1">OFFSET('Dist RZ Factors'!$B$13,$M39-1,N$9)*$J39+OFFSET('Dist RZ Factors'!$B$13,$I39-1,N$9)*$F39</f>
        <v>166607.87655886216</v>
      </c>
      <c r="O39" s="9">
        <f ca="1">OFFSET('Dist RZ Factors'!$B$13,$M39-1,O$9)*$J39+OFFSET('Dist RZ Factors'!$B$13,$I39-1,O$9)*$F39</f>
        <v>40441.033369543518</v>
      </c>
      <c r="P39" s="9"/>
      <c r="Q39" s="9">
        <f ca="1">OFFSET('Dist RZ Factors'!$B$13,$M39-1,P$9)*$J39+OFFSET('Dist RZ Factors'!$B$13,$I39-1,P$9)*$F39</f>
        <v>98571.899629841122</v>
      </c>
      <c r="R39" s="9">
        <f ca="1">OFFSET('Dist RZ Factors'!$B$13,$M39-1,Q$9)*$J39+OFFSET('Dist RZ Factors'!$B$13,$I39-1,Q$9)*$F39</f>
        <v>0</v>
      </c>
    </row>
    <row r="40" spans="1:18 16382:16382" x14ac:dyDescent="0.2">
      <c r="B40" s="31" t="s">
        <v>163</v>
      </c>
      <c r="D40" s="79"/>
      <c r="E40" s="79"/>
      <c r="F40" s="79"/>
      <c r="G40" s="79"/>
      <c r="H40" s="123"/>
      <c r="J40" s="79"/>
      <c r="Q40" s="50"/>
    </row>
    <row r="41" spans="1:18 16382:16382" x14ac:dyDescent="0.2">
      <c r="A41" s="2">
        <f>A39+1</f>
        <v>24</v>
      </c>
      <c r="B41" s="82" t="s">
        <v>165</v>
      </c>
      <c r="D41" s="20">
        <f ca="1">'Total Allocation Current RZ'!F41-'Total Allocation RZ - Gas'!D41</f>
        <v>150927.52203758305</v>
      </c>
      <c r="E41" s="79"/>
      <c r="F41" s="79">
        <f>'Total Allocation Current RZ'!H41-'Total Allocation RZ - Gas'!F41</f>
        <v>0</v>
      </c>
      <c r="G41" s="79"/>
      <c r="H41" s="123"/>
      <c r="I41" s="74">
        <f>_xlfn.IFNA(MATCH(H41,'Dist RZ Factors'!$B$13:$B$105,0),0)</f>
        <v>0</v>
      </c>
      <c r="J41" s="79">
        <f t="shared" ca="1" si="10"/>
        <v>150927.52203758305</v>
      </c>
      <c r="L41" s="2" t="s">
        <v>443</v>
      </c>
      <c r="M41" s="74">
        <f>MATCH(L41,'Dist RZ Factors'!$B$13:$B$128,0)</f>
        <v>14</v>
      </c>
      <c r="N41" s="9">
        <f ca="1">OFFSET('Dist RZ Factors'!$B$13,$M41-1,N$9)*$J41+OFFSET('Dist RZ Factors'!$B$13,$I41-1,N$9)*$F41</f>
        <v>87804.698633689157</v>
      </c>
      <c r="O41" s="9">
        <f ca="1">OFFSET('Dist RZ Factors'!$B$13,$M41-1,O$9)*$J41+OFFSET('Dist RZ Factors'!$B$13,$I41-1,O$9)*$F41</f>
        <v>8645.6703243885077</v>
      </c>
      <c r="P41" s="9"/>
      <c r="Q41" s="9">
        <f ca="1">OFFSET('Dist RZ Factors'!$B$13,$M41-1,P$9)*$J41+OFFSET('Dist RZ Factors'!$B$13,$I41-1,P$9)*$F41</f>
        <v>54477.153079505384</v>
      </c>
      <c r="R41" s="9">
        <f ca="1">OFFSET('Dist RZ Factors'!$B$13,$M41-1,Q$9)*$J41+OFFSET('Dist RZ Factors'!$B$13,$I41-1,Q$9)*$F41</f>
        <v>0</v>
      </c>
    </row>
    <row r="42" spans="1:18 16382:16382" x14ac:dyDescent="0.2">
      <c r="A42" s="2">
        <f t="shared" si="11"/>
        <v>25</v>
      </c>
      <c r="B42" s="82" t="s">
        <v>166</v>
      </c>
      <c r="D42" s="20">
        <f ca="1">'Total Allocation Current RZ'!F42-'Total Allocation RZ - Gas'!D42</f>
        <v>65804.273247662466</v>
      </c>
      <c r="E42" s="79"/>
      <c r="F42" s="79">
        <f>'Total Allocation Current RZ'!H42-'Total Allocation RZ - Gas'!F42</f>
        <v>0</v>
      </c>
      <c r="G42" s="79"/>
      <c r="H42" s="123"/>
      <c r="I42" s="74">
        <f>_xlfn.IFNA(MATCH(H42,'Dist RZ Factors'!$B$13:$B$105,0),0)</f>
        <v>0</v>
      </c>
      <c r="J42" s="79">
        <f t="shared" ca="1" si="10"/>
        <v>65804.273247662466</v>
      </c>
      <c r="L42" s="2" t="s">
        <v>444</v>
      </c>
      <c r="M42" s="74">
        <f>MATCH(L42,'Dist RZ Factors'!$B$13:$B$128,0)</f>
        <v>11</v>
      </c>
      <c r="N42" s="9">
        <f ca="1">OFFSET('Dist RZ Factors'!$B$13,$M42-1,N$9)*$J42+OFFSET('Dist RZ Factors'!$B$13,$I42-1,N$9)*$F42</f>
        <v>37661.088789397269</v>
      </c>
      <c r="O42" s="9">
        <f ca="1">OFFSET('Dist RZ Factors'!$B$13,$M42-1,O$9)*$J42+OFFSET('Dist RZ Factors'!$B$13,$I42-1,O$9)*$F42</f>
        <v>3851.5934536775621</v>
      </c>
      <c r="P42" s="9"/>
      <c r="Q42" s="9">
        <f ca="1">OFFSET('Dist RZ Factors'!$B$13,$M42-1,P$9)*$J42+OFFSET('Dist RZ Factors'!$B$13,$I42-1,P$9)*$F42</f>
        <v>24291.591004587637</v>
      </c>
      <c r="R42" s="9">
        <f ca="1">OFFSET('Dist RZ Factors'!$B$13,$M42-1,Q$9)*$J42+OFFSET('Dist RZ Factors'!$B$13,$I42-1,Q$9)*$F42</f>
        <v>0</v>
      </c>
    </row>
    <row r="43" spans="1:18 16382:16382" x14ac:dyDescent="0.2">
      <c r="A43" s="2">
        <f t="shared" si="11"/>
        <v>26</v>
      </c>
      <c r="B43" s="31" t="s">
        <v>101</v>
      </c>
      <c r="D43" s="20">
        <f ca="1">'Total Allocation Current RZ'!F43-'Total Allocation RZ - Gas'!D43</f>
        <v>406738.78665639873</v>
      </c>
      <c r="E43" s="79"/>
      <c r="F43" s="79">
        <f>'Total Allocation Current RZ'!H43-'Total Allocation RZ - Gas'!F43</f>
        <v>0</v>
      </c>
      <c r="G43" s="79"/>
      <c r="H43" s="123"/>
      <c r="I43" s="74">
        <f>_xlfn.IFNA(MATCH(H43,'Dist RZ Factors'!$B$13:$B$105,0),0)</f>
        <v>0</v>
      </c>
      <c r="J43" s="79">
        <f t="shared" ca="1" si="10"/>
        <v>406738.78665639873</v>
      </c>
      <c r="L43" s="2" t="s">
        <v>447</v>
      </c>
      <c r="M43" s="74">
        <f>MATCH(L43,'Dist RZ Factors'!$B$13:$B$128,0)</f>
        <v>29</v>
      </c>
      <c r="N43" s="9">
        <f ca="1">OFFSET('Dist RZ Factors'!$B$13,$M43-1,N$9)*$J43+OFFSET('Dist RZ Factors'!$B$13,$I43-1,N$9)*$F43</f>
        <v>232504.63458513084</v>
      </c>
      <c r="O43" s="9">
        <f ca="1">OFFSET('Dist RZ Factors'!$B$13,$M43-1,O$9)*$J43+OFFSET('Dist RZ Factors'!$B$13,$I43-1,O$9)*$F43</f>
        <v>50861.099722004037</v>
      </c>
      <c r="P43" s="9"/>
      <c r="Q43" s="9">
        <f ca="1">OFFSET('Dist RZ Factors'!$B$13,$M43-1,P$9)*$J43+OFFSET('Dist RZ Factors'!$B$13,$I43-1,P$9)*$F43</f>
        <v>123373.05234926387</v>
      </c>
      <c r="R43" s="9">
        <f ca="1">OFFSET('Dist RZ Factors'!$B$13,$M43-1,Q$9)*$J43+OFFSET('Dist RZ Factors'!$B$13,$I43-1,Q$9)*$F43</f>
        <v>0</v>
      </c>
    </row>
    <row r="44" spans="1:18 16382:16382" x14ac:dyDescent="0.2">
      <c r="A44" s="2">
        <f t="shared" si="11"/>
        <v>27</v>
      </c>
      <c r="B44" s="31" t="s">
        <v>102</v>
      </c>
      <c r="D44" s="20">
        <f ca="1">'Total Allocation Current RZ'!F44-'Total Allocation RZ - Gas'!D44</f>
        <v>581901.18023431743</v>
      </c>
      <c r="E44" s="79"/>
      <c r="F44" s="79">
        <f>'Total Allocation Current RZ'!H44-'Total Allocation RZ - Gas'!F44</f>
        <v>0</v>
      </c>
      <c r="G44" s="79"/>
      <c r="H44" s="123"/>
      <c r="I44" s="74">
        <f>_xlfn.IFNA(MATCH(H44,'Dist RZ Factors'!$B$13:$B$105,0),0)</f>
        <v>0</v>
      </c>
      <c r="J44" s="79">
        <f t="shared" ca="1" si="10"/>
        <v>581901.18023431743</v>
      </c>
      <c r="L44" s="2" t="s">
        <v>448</v>
      </c>
      <c r="M44" s="74">
        <f>MATCH(L44,'Dist RZ Factors'!$B$13:$B$128,0)</f>
        <v>35</v>
      </c>
      <c r="N44" s="9">
        <f ca="1">OFFSET('Dist RZ Factors'!$B$13,$M44-1,N$9)*$J44+OFFSET('Dist RZ Factors'!$B$13,$I44-1,N$9)*$F44</f>
        <v>374447.96083025628</v>
      </c>
      <c r="O44" s="9">
        <f ca="1">OFFSET('Dist RZ Factors'!$B$13,$M44-1,O$9)*$J44+OFFSET('Dist RZ Factors'!$B$13,$I44-1,O$9)*$F44</f>
        <v>70561.096384294826</v>
      </c>
      <c r="P44" s="9"/>
      <c r="Q44" s="9">
        <f ca="1">OFFSET('Dist RZ Factors'!$B$13,$M44-1,P$9)*$J44+OFFSET('Dist RZ Factors'!$B$13,$I44-1,P$9)*$F44</f>
        <v>136892.12301976632</v>
      </c>
      <c r="R44" s="9">
        <f ca="1">OFFSET('Dist RZ Factors'!$B$13,$M44-1,Q$9)*$J44+OFFSET('Dist RZ Factors'!$B$13,$I44-1,Q$9)*$F44</f>
        <v>0</v>
      </c>
    </row>
    <row r="45" spans="1:18 16382:16382" x14ac:dyDescent="0.2">
      <c r="A45" s="2">
        <f t="shared" si="11"/>
        <v>28</v>
      </c>
      <c r="B45" s="31" t="s">
        <v>103</v>
      </c>
      <c r="D45" s="20">
        <f ca="1">'Total Allocation Current RZ'!F45-'Total Allocation RZ - Gas'!D45</f>
        <v>292716.36554732081</v>
      </c>
      <c r="E45" s="79"/>
      <c r="F45" s="79">
        <f>'Total Allocation Current RZ'!H45-'Total Allocation RZ - Gas'!F45</f>
        <v>0</v>
      </c>
      <c r="G45" s="79"/>
      <c r="H45" s="123"/>
      <c r="I45" s="74">
        <f>_xlfn.IFNA(MATCH(H45,'Dist RZ Factors'!$B$13:$B$105,0),0)</f>
        <v>0</v>
      </c>
      <c r="J45" s="79">
        <f t="shared" ca="1" si="10"/>
        <v>292716.36554732081</v>
      </c>
      <c r="L45" s="2" t="s">
        <v>449</v>
      </c>
      <c r="M45" s="74">
        <f>MATCH(L45,'Dist RZ Factors'!$B$13:$B$128,0)</f>
        <v>32</v>
      </c>
      <c r="N45" s="9">
        <f ca="1">OFFSET('Dist RZ Factors'!$B$13,$M45-1,N$9)*$J45+OFFSET('Dist RZ Factors'!$B$13,$I45-1,N$9)*$F45</f>
        <v>153466.09332043628</v>
      </c>
      <c r="O45" s="9">
        <f ca="1">OFFSET('Dist RZ Factors'!$B$13,$M45-1,O$9)*$J45+OFFSET('Dist RZ Factors'!$B$13,$I45-1,O$9)*$F45</f>
        <v>30043.0405771066</v>
      </c>
      <c r="P45" s="9"/>
      <c r="Q45" s="9">
        <f ca="1">OFFSET('Dist RZ Factors'!$B$13,$M45-1,P$9)*$J45+OFFSET('Dist RZ Factors'!$B$13,$I45-1,P$9)*$F45</f>
        <v>109207.23164977792</v>
      </c>
      <c r="R45" s="9">
        <f ca="1">OFFSET('Dist RZ Factors'!$B$13,$M45-1,Q$9)*$J45+OFFSET('Dist RZ Factors'!$B$13,$I45-1,Q$9)*$F45</f>
        <v>0</v>
      </c>
    </row>
    <row r="46" spans="1:18 16382:16382" x14ac:dyDescent="0.2">
      <c r="A46" s="2">
        <f t="shared" si="11"/>
        <v>29</v>
      </c>
      <c r="B46" s="31" t="s">
        <v>186</v>
      </c>
      <c r="D46" s="20">
        <f ca="1">'Total Allocation Current RZ'!F46-'Total Allocation RZ - Gas'!D46</f>
        <v>45316.467170216376</v>
      </c>
      <c r="E46" s="79"/>
      <c r="F46" s="79">
        <f>'Total Allocation Current RZ'!H46-'Total Allocation RZ - Gas'!F46</f>
        <v>0</v>
      </c>
      <c r="G46" s="79"/>
      <c r="H46" s="123"/>
      <c r="I46" s="74">
        <f>_xlfn.IFNA(MATCH(H46,'Dist RZ Factors'!$B$13:$B$105,0),0)</f>
        <v>0</v>
      </c>
      <c r="J46" s="79">
        <f t="shared" ca="1" si="10"/>
        <v>45316.467170216376</v>
      </c>
      <c r="L46" s="2" t="s">
        <v>450</v>
      </c>
      <c r="M46" s="74">
        <f>MATCH(L46,'Dist RZ Factors'!$B$13:$B$128,0)</f>
        <v>38</v>
      </c>
      <c r="N46" s="9">
        <f ca="1">OFFSET('Dist RZ Factors'!$B$13,$M46-1,N$9)*$J46+OFFSET('Dist RZ Factors'!$B$13,$I46-1,N$9)*$F46</f>
        <v>27084.213746108406</v>
      </c>
      <c r="O46" s="9">
        <f ca="1">OFFSET('Dist RZ Factors'!$B$13,$M46-1,O$9)*$J46+OFFSET('Dist RZ Factors'!$B$13,$I46-1,O$9)*$F46</f>
        <v>5683.8498102281874</v>
      </c>
      <c r="P46" s="9"/>
      <c r="Q46" s="9">
        <f ca="1">OFFSET('Dist RZ Factors'!$B$13,$M46-1,P$9)*$J46+OFFSET('Dist RZ Factors'!$B$13,$I46-1,P$9)*$F46</f>
        <v>12548.403613879787</v>
      </c>
      <c r="R46" s="9">
        <f ca="1">OFFSET('Dist RZ Factors'!$B$13,$M46-1,Q$9)*$J46+OFFSET('Dist RZ Factors'!$B$13,$I46-1,Q$9)*$F46</f>
        <v>0</v>
      </c>
    </row>
    <row r="47" spans="1:18 16382:16382" x14ac:dyDescent="0.2">
      <c r="B47" s="31" t="s">
        <v>164</v>
      </c>
      <c r="D47" s="20"/>
      <c r="E47" s="79"/>
      <c r="F47" s="79"/>
      <c r="G47" s="79"/>
      <c r="H47" s="123"/>
      <c r="J47" s="79"/>
      <c r="L47" s="1"/>
      <c r="N47" s="38"/>
      <c r="O47" s="38"/>
      <c r="P47" s="38"/>
      <c r="Q47" s="50"/>
    </row>
    <row r="48" spans="1:18 16382:16382" x14ac:dyDescent="0.2">
      <c r="A48" s="2">
        <f>A46+1</f>
        <v>30</v>
      </c>
      <c r="B48" s="82" t="s">
        <v>176</v>
      </c>
      <c r="D48" s="20">
        <f ca="1">'Total Allocation Current RZ'!F48-'Total Allocation RZ - Gas'!D48</f>
        <v>12566.425637658689</v>
      </c>
      <c r="F48" s="79">
        <f>'Total Allocation Current RZ'!H48-'Total Allocation RZ - Gas'!F48</f>
        <v>0</v>
      </c>
      <c r="I48" s="74">
        <f>_xlfn.IFNA(MATCH(H48,'Dist RZ Factors'!$B$13:$B$105,0),0)</f>
        <v>0</v>
      </c>
      <c r="J48" s="79">
        <f t="shared" ca="1" si="10"/>
        <v>12566.425637658689</v>
      </c>
      <c r="L48" s="2" t="s">
        <v>445</v>
      </c>
      <c r="M48" s="74">
        <f>MATCH(L48,'Dist RZ Factors'!$B$13:$B$128,0)</f>
        <v>5</v>
      </c>
      <c r="N48" s="9">
        <f ca="1">OFFSET('Dist RZ Factors'!$B$13,$M48-1,N$9)*$J48+OFFSET('Dist RZ Factors'!$B$13,$I48-1,N$9)*$F48</f>
        <v>7480.9912365986784</v>
      </c>
      <c r="O48" s="9">
        <f ca="1">OFFSET('Dist RZ Factors'!$B$13,$M48-1,O$9)*$J48+OFFSET('Dist RZ Factors'!$B$13,$I48-1,O$9)*$F48</f>
        <v>1192.0455207869995</v>
      </c>
      <c r="P48" s="9"/>
      <c r="Q48" s="9">
        <f ca="1">OFFSET('Dist RZ Factors'!$B$13,$M48-1,P$9)*$J48+OFFSET('Dist RZ Factors'!$B$13,$I48-1,P$9)*$F48</f>
        <v>3893.3888802730116</v>
      </c>
      <c r="R48" s="9">
        <f ca="1">OFFSET('Dist RZ Factors'!$B$13,$M48-1,Q$9)*$J48+OFFSET('Dist RZ Factors'!$B$13,$I48-1,Q$9)*$F48</f>
        <v>0</v>
      </c>
    </row>
    <row r="49" spans="1:18" x14ac:dyDescent="0.2">
      <c r="A49" s="2">
        <f t="shared" si="11"/>
        <v>31</v>
      </c>
      <c r="B49" s="82" t="s">
        <v>72</v>
      </c>
      <c r="D49" s="20">
        <f ca="1">'Total Allocation Current RZ'!F49-'Total Allocation RZ - Gas'!D49</f>
        <v>131846.18325045024</v>
      </c>
      <c r="F49" s="79">
        <f>'Total Allocation Current RZ'!H49-'Total Allocation RZ - Gas'!F49</f>
        <v>11615.53513385792</v>
      </c>
      <c r="H49" s="2" t="s">
        <v>451</v>
      </c>
      <c r="I49" s="74">
        <f>_xlfn.IFNA(MATCH(H49,'Dist RZ Factors'!$B$13:$B$105,0),0)</f>
        <v>2</v>
      </c>
      <c r="J49" s="79">
        <f t="shared" ca="1" si="10"/>
        <v>120230.64811659232</v>
      </c>
      <c r="L49" s="2" t="s">
        <v>452</v>
      </c>
      <c r="M49" s="74">
        <f>MATCH(L49,'Dist RZ Factors'!$B$13:$B$128,0)</f>
        <v>41</v>
      </c>
      <c r="N49" s="9">
        <f ca="1">OFFSET('Dist RZ Factors'!$B$13,$M49-1,N$9)*$J49+OFFSET('Dist RZ Factors'!$B$13,$I49-1,N$9)*$F49</f>
        <v>77321.998278656611</v>
      </c>
      <c r="O49" s="9">
        <f ca="1">OFFSET('Dist RZ Factors'!$B$13,$M49-1,O$9)*$J49+OFFSET('Dist RZ Factors'!$B$13,$I49-1,O$9)*$F49</f>
        <v>12448.058509013845</v>
      </c>
      <c r="P49" s="9"/>
      <c r="Q49" s="9">
        <f ca="1">OFFSET('Dist RZ Factors'!$B$13,$M49-1,P$9)*$J49+OFFSET('Dist RZ Factors'!$B$13,$I49-1,P$9)*$F49</f>
        <v>42055.109152126061</v>
      </c>
      <c r="R49" s="9">
        <f ca="1">OFFSET('Dist RZ Factors'!$B$13,$M49-1,Q$9)*$J49+OFFSET('Dist RZ Factors'!$B$13,$I49-1,Q$9)*$F49</f>
        <v>21.017310653739997</v>
      </c>
    </row>
    <row r="50" spans="1:18" x14ac:dyDescent="0.2">
      <c r="A50" s="2">
        <f t="shared" si="11"/>
        <v>32</v>
      </c>
      <c r="B50" s="82" t="s">
        <v>174</v>
      </c>
      <c r="D50" s="20">
        <f ca="1">'Total Allocation Current RZ'!F50-'Total Allocation RZ - Gas'!D50</f>
        <v>18740.671483974045</v>
      </c>
      <c r="F50" s="79">
        <f>'Total Allocation Current RZ'!H50-'Total Allocation RZ - Gas'!F50</f>
        <v>0</v>
      </c>
      <c r="I50" s="74">
        <f>_xlfn.IFNA(MATCH(H50,'Dist RZ Factors'!$B$13:$B$105,0),0)</f>
        <v>0</v>
      </c>
      <c r="J50" s="79">
        <f t="shared" ca="1" si="10"/>
        <v>18740.671483974045</v>
      </c>
      <c r="L50" s="2" t="s">
        <v>453</v>
      </c>
      <c r="M50" s="74">
        <f>MATCH(L50,'Dist RZ Factors'!$B$13:$B$128,0)</f>
        <v>26</v>
      </c>
      <c r="N50" s="9">
        <f ca="1">OFFSET('Dist RZ Factors'!$B$13,$M50-1,N$9)*$J50+OFFSET('Dist RZ Factors'!$B$13,$I50-1,N$9)*$F50</f>
        <v>9757.4205700963776</v>
      </c>
      <c r="O50" s="9">
        <f ca="1">OFFSET('Dist RZ Factors'!$B$13,$M50-1,O$9)*$J50+OFFSET('Dist RZ Factors'!$B$13,$I50-1,O$9)*$F50</f>
        <v>1562.3280566151036</v>
      </c>
      <c r="P50" s="9"/>
      <c r="Q50" s="9">
        <f ca="1">OFFSET('Dist RZ Factors'!$B$13,$M50-1,P$9)*$J50+OFFSET('Dist RZ Factors'!$B$13,$I50-1,P$9)*$F50</f>
        <v>7420.9228572625634</v>
      </c>
      <c r="R50" s="9">
        <f ca="1">OFFSET('Dist RZ Factors'!$B$13,$M50-1,Q$9)*$J50+OFFSET('Dist RZ Factors'!$B$13,$I50-1,Q$9)*$F50</f>
        <v>0</v>
      </c>
    </row>
    <row r="51" spans="1:18" x14ac:dyDescent="0.2">
      <c r="A51" s="2">
        <f t="shared" si="11"/>
        <v>33</v>
      </c>
      <c r="B51" s="31" t="s">
        <v>249</v>
      </c>
      <c r="D51" s="20">
        <f ca="1">'Total Allocation Current RZ'!F51-'Total Allocation RZ - Gas'!D51</f>
        <v>0</v>
      </c>
      <c r="F51" s="79"/>
      <c r="I51" s="74">
        <f>_xlfn.IFNA(MATCH(H51,'Dist RZ Factors'!$B$13:$B$105,0),0)</f>
        <v>0</v>
      </c>
      <c r="J51" s="79">
        <f t="shared" ca="1" si="10"/>
        <v>0</v>
      </c>
      <c r="L51" s="2" t="s">
        <v>446</v>
      </c>
      <c r="M51" s="74">
        <f>MATCH(L51,'Dist RZ Factors'!$B$13:$B$128,0)</f>
        <v>8</v>
      </c>
      <c r="N51" s="9">
        <f ca="1">OFFSET('Dist RZ Factors'!$B$13,$M51-1,N$9)*$J51+OFFSET('Dist RZ Factors'!$B$13,$I51-1,N$9)*$F51</f>
        <v>0</v>
      </c>
      <c r="O51" s="9">
        <f ca="1">OFFSET('Dist RZ Factors'!$B$13,$M51-1,O$9)*$J51+OFFSET('Dist RZ Factors'!$B$13,$I51-1,O$9)*$F51</f>
        <v>0</v>
      </c>
      <c r="P51" s="9"/>
      <c r="Q51" s="9">
        <f ca="1">OFFSET('Dist RZ Factors'!$B$13,$M51-1,P$9)*$J51+OFFSET('Dist RZ Factors'!$B$13,$I51-1,P$9)*$F51</f>
        <v>0</v>
      </c>
      <c r="R51" s="9">
        <f ca="1">OFFSET('Dist RZ Factors'!$B$13,$M51-1,Q$9)*$J51+OFFSET('Dist RZ Factors'!$B$13,$I51-1,Q$9)*$F51</f>
        <v>0</v>
      </c>
    </row>
    <row r="52" spans="1:18" x14ac:dyDescent="0.2">
      <c r="A52" s="2">
        <f t="shared" si="11"/>
        <v>34</v>
      </c>
      <c r="B52" s="31" t="s">
        <v>382</v>
      </c>
      <c r="D52" s="41">
        <f ca="1">SUM(D37:D51)</f>
        <v>2370309.2073122398</v>
      </c>
      <c r="F52" s="41">
        <f>SUM(F37:F51)</f>
        <v>11615.53513385792</v>
      </c>
      <c r="J52" s="41">
        <f ca="1">SUM(J37:J51)</f>
        <v>2358693.6721783821</v>
      </c>
      <c r="N52" s="41">
        <f t="shared" ref="N52:R52" ca="1" si="12">SUM(N37:N51)</f>
        <v>1363934.4099857267</v>
      </c>
      <c r="O52" s="41">
        <f t="shared" ca="1" si="12"/>
        <v>271212.86278392223</v>
      </c>
      <c r="P52" s="9"/>
      <c r="Q52" s="41">
        <f t="shared" ca="1" si="12"/>
        <v>734837.88059902238</v>
      </c>
      <c r="R52" s="41">
        <f t="shared" ca="1" si="12"/>
        <v>324.05394356895226</v>
      </c>
    </row>
    <row r="53" spans="1:18" x14ac:dyDescent="0.2">
      <c r="D53" s="50"/>
      <c r="P53" s="9"/>
      <c r="Q53" s="50"/>
    </row>
    <row r="54" spans="1:18" ht="13.5" thickBot="1" x14ac:dyDescent="0.25">
      <c r="A54" s="2">
        <f>A52+1</f>
        <v>35</v>
      </c>
      <c r="B54" s="31" t="s">
        <v>411</v>
      </c>
      <c r="D54" s="83">
        <f ca="1">D17+D24+D34+D52</f>
        <v>2909079.3907174626</v>
      </c>
      <c r="F54" s="83">
        <f ca="1">F17+F24+F34+F52</f>
        <v>32422.674420939402</v>
      </c>
      <c r="J54" s="83">
        <f ca="1">J17+J24+J34+J52</f>
        <v>2876656.7162965233</v>
      </c>
      <c r="N54" s="83">
        <f t="shared" ref="N54:R54" ca="1" si="13">N17+N24+N34+N52</f>
        <v>1601663.01822058</v>
      </c>
      <c r="O54" s="83">
        <f ca="1">O17+O24+O34+O52+P34+P24+P17</f>
        <v>297752.69090152346</v>
      </c>
      <c r="P54" s="9"/>
      <c r="Q54" s="83">
        <f t="shared" ca="1" si="13"/>
        <v>894708.01385808853</v>
      </c>
      <c r="R54" s="83">
        <f t="shared" ca="1" si="13"/>
        <v>114955.66773727088</v>
      </c>
    </row>
    <row r="55" spans="1:18" ht="13.5" thickTop="1" x14ac:dyDescent="0.2">
      <c r="D55" s="50"/>
      <c r="N55" s="50"/>
      <c r="O55" s="50"/>
      <c r="P55" s="9"/>
    </row>
    <row r="56" spans="1:18" x14ac:dyDescent="0.2">
      <c r="D56" s="50"/>
      <c r="E56" s="50"/>
      <c r="F56" s="50"/>
      <c r="G56" s="50"/>
      <c r="H56" s="50"/>
      <c r="I56" s="128"/>
      <c r="J56" s="50"/>
      <c r="K56" s="129"/>
      <c r="L56" s="50"/>
      <c r="M56" s="128"/>
      <c r="N56" s="50"/>
      <c r="O56" s="50"/>
      <c r="P56" s="50"/>
    </row>
    <row r="57" spans="1:18" x14ac:dyDescent="0.2"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</row>
    <row r="58" spans="1:18" x14ac:dyDescent="0.2">
      <c r="D58" s="79"/>
      <c r="E58" s="79"/>
      <c r="F58" s="79"/>
      <c r="G58" s="79"/>
      <c r="H58" s="79"/>
      <c r="I58" s="127"/>
      <c r="J58" s="79"/>
      <c r="K58" s="126"/>
      <c r="L58" s="79"/>
      <c r="M58" s="127"/>
      <c r="N58" s="79"/>
      <c r="O58" s="79"/>
      <c r="P58" s="79"/>
    </row>
    <row r="60" spans="1:18" x14ac:dyDescent="0.2">
      <c r="F60" s="50"/>
    </row>
  </sheetData>
  <mergeCells count="3">
    <mergeCell ref="B2:L2"/>
    <mergeCell ref="B3:L3"/>
    <mergeCell ref="O36:P36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A6B03-1C70-4FD4-BC60-760F786019D2}">
  <sheetPr>
    <tabColor theme="0" tint="-0.249977111117893"/>
  </sheetPr>
  <dimension ref="A2:V60"/>
  <sheetViews>
    <sheetView topLeftCell="A27" zoomScale="80" zoomScaleNormal="80" workbookViewId="0">
      <selection activeCell="U8" sqref="U8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27.28515625" style="2" bestFit="1" customWidth="1"/>
    <col min="9" max="9" width="1.7109375" style="74" customWidth="1"/>
    <col min="10" max="10" width="17.140625" style="31" customWidth="1"/>
    <col min="11" max="11" width="1.7109375" style="40" customWidth="1"/>
    <col min="12" max="12" width="22.42578125" style="2" customWidth="1"/>
    <col min="13" max="13" width="2" style="74" customWidth="1"/>
    <col min="14" max="14" width="12.85546875" style="31" customWidth="1"/>
    <col min="15" max="15" width="14.5703125" style="31" customWidth="1"/>
    <col min="16" max="16" width="17.140625" style="31" customWidth="1"/>
    <col min="17" max="17" width="15.85546875" style="31" customWidth="1"/>
    <col min="18" max="18" width="13" style="31" customWidth="1"/>
    <col min="19" max="16384" width="9.140625" style="31"/>
  </cols>
  <sheetData>
    <row r="2" spans="1:22" x14ac:dyDescent="0.2">
      <c r="B2" s="161" t="s">
        <v>511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</row>
    <row r="3" spans="1:22" x14ac:dyDescent="0.2">
      <c r="B3" s="161" t="s">
        <v>530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</row>
    <row r="5" spans="1:22" x14ac:dyDescent="0.2">
      <c r="D5" s="2" t="s">
        <v>150</v>
      </c>
    </row>
    <row r="6" spans="1:22" x14ac:dyDescent="0.2">
      <c r="A6" s="2" t="s">
        <v>2</v>
      </c>
      <c r="D6" s="2" t="s">
        <v>5</v>
      </c>
      <c r="F6" s="2" t="s">
        <v>167</v>
      </c>
      <c r="H6" s="2" t="s">
        <v>168</v>
      </c>
      <c r="I6" s="73"/>
      <c r="J6" s="2" t="s">
        <v>169</v>
      </c>
      <c r="L6" s="2" t="s">
        <v>104</v>
      </c>
      <c r="N6" s="18"/>
      <c r="O6" s="18" t="s">
        <v>415</v>
      </c>
      <c r="P6" s="18" t="s">
        <v>415</v>
      </c>
      <c r="Q6" s="18" t="s">
        <v>415</v>
      </c>
      <c r="R6" s="18"/>
    </row>
    <row r="7" spans="1:22" x14ac:dyDescent="0.2">
      <c r="A7" s="33" t="s">
        <v>4</v>
      </c>
      <c r="B7" s="80" t="s">
        <v>374</v>
      </c>
      <c r="D7" s="33" t="s">
        <v>152</v>
      </c>
      <c r="F7" s="33" t="s">
        <v>131</v>
      </c>
      <c r="H7" s="33" t="s">
        <v>6</v>
      </c>
      <c r="I7" s="73"/>
      <c r="J7" s="33" t="s">
        <v>170</v>
      </c>
      <c r="L7" s="33" t="s">
        <v>6</v>
      </c>
      <c r="N7" s="4" t="s">
        <v>416</v>
      </c>
      <c r="O7" s="4" t="s">
        <v>417</v>
      </c>
      <c r="P7" s="4" t="s">
        <v>418</v>
      </c>
      <c r="Q7" s="4" t="s">
        <v>413</v>
      </c>
      <c r="R7" s="4" t="s">
        <v>408</v>
      </c>
      <c r="S7" s="3"/>
      <c r="T7" s="18"/>
      <c r="U7" s="1"/>
      <c r="V7" s="18"/>
    </row>
    <row r="8" spans="1:22" x14ac:dyDescent="0.2">
      <c r="D8" s="120" t="s">
        <v>12</v>
      </c>
      <c r="F8" s="120" t="s">
        <v>13</v>
      </c>
      <c r="H8" s="120" t="s">
        <v>14</v>
      </c>
      <c r="I8" s="40"/>
      <c r="J8" s="120" t="s">
        <v>366</v>
      </c>
      <c r="K8" s="74"/>
      <c r="L8" s="120" t="s">
        <v>15</v>
      </c>
      <c r="M8" s="40"/>
      <c r="N8" s="120" t="s">
        <v>16</v>
      </c>
      <c r="O8" s="120" t="s">
        <v>59</v>
      </c>
      <c r="P8" s="120" t="s">
        <v>61</v>
      </c>
      <c r="Q8" s="120" t="s">
        <v>62</v>
      </c>
      <c r="R8" s="120" t="s">
        <v>82</v>
      </c>
    </row>
    <row r="9" spans="1:22" x14ac:dyDescent="0.2">
      <c r="D9" s="120"/>
      <c r="F9" s="120"/>
      <c r="H9" s="120"/>
      <c r="J9" s="120"/>
      <c r="L9" s="120"/>
      <c r="N9" s="121">
        <v>4</v>
      </c>
      <c r="O9" s="121">
        <v>6</v>
      </c>
      <c r="P9" s="121">
        <v>8</v>
      </c>
      <c r="Q9" s="121">
        <v>10</v>
      </c>
      <c r="R9" s="121">
        <v>12</v>
      </c>
    </row>
    <row r="10" spans="1:22" x14ac:dyDescent="0.2">
      <c r="B10" s="77" t="s">
        <v>384</v>
      </c>
      <c r="N10" s="40"/>
      <c r="O10" s="40"/>
      <c r="P10" s="40"/>
    </row>
    <row r="11" spans="1:22" x14ac:dyDescent="0.2">
      <c r="A11" s="2">
        <v>1</v>
      </c>
      <c r="B11" s="31" t="s">
        <v>132</v>
      </c>
      <c r="D11" s="79">
        <f ca="1">SUM('Gas Supply Class'!P$116:P$120,'Gas Supply Class'!P$122)</f>
        <v>1878311.1040714213</v>
      </c>
      <c r="F11" s="79"/>
      <c r="I11" s="74">
        <f>_xlfn.IFNA(MATCH(H11,'RZ Factors'!$B$13:$B$122,0),0)</f>
        <v>0</v>
      </c>
      <c r="J11" s="79">
        <f ca="1">D11-F11</f>
        <v>1878311.1040714213</v>
      </c>
      <c r="L11" s="2" t="s">
        <v>422</v>
      </c>
      <c r="M11" s="74">
        <f>MATCH(L11,'RZ Factors'!$B$13:$B$122,0)</f>
        <v>47</v>
      </c>
      <c r="N11" s="9">
        <f ca="1">OFFSET('RZ Factors'!$B$13,$M11-1,N$9)*$J11+OFFSET('RZ Factors'!$B$13,$I11-1,N$9)*$F11</f>
        <v>1102518.0690424258</v>
      </c>
      <c r="O11" s="9">
        <f ca="1">OFFSET('RZ Factors'!$B$13,$M11-1,O$9)*$J11+OFFSET('RZ Factors'!$B$13,$I11-1,O$9)*$F11</f>
        <v>34086.353963475041</v>
      </c>
      <c r="P11" s="9">
        <f ca="1">OFFSET('RZ Factors'!$B$13,$M11-1,P$9)*$J11+OFFSET('RZ Factors'!$B$13,$I11-1,P$9)*$F11</f>
        <v>129814.86539854913</v>
      </c>
      <c r="Q11" s="9">
        <f ca="1">OFFSET('RZ Factors'!$B$13,$M11-1,Q$9)*$J11+OFFSET('RZ Factors'!$B$13,$I11-1,Q$9)*$F11</f>
        <v>611891.81566697138</v>
      </c>
      <c r="R11" s="9">
        <f ca="1">OFFSET('RZ Factors'!$B$13,$M11-1,R$9)*$J11+OFFSET('RZ Factors'!$B$13,$I11-1,R$9)*$F11</f>
        <v>0</v>
      </c>
    </row>
    <row r="12" spans="1:22" x14ac:dyDescent="0.2">
      <c r="A12" s="2">
        <f>A11+1</f>
        <v>2</v>
      </c>
      <c r="B12" s="31" t="s">
        <v>385</v>
      </c>
      <c r="D12" s="79">
        <f ca="1">SUM('Gas Supply Class'!R$116:R$120,'Gas Supply Class'!R$122)</f>
        <v>161486.41315728414</v>
      </c>
      <c r="E12" s="74"/>
      <c r="F12" s="79"/>
      <c r="I12" s="74">
        <f>_xlfn.IFNA(MATCH(H12,'RZ Factors'!$B$13:$B$122,0),0)</f>
        <v>0</v>
      </c>
      <c r="J12" s="79">
        <f ca="1">D12-F12</f>
        <v>161486.41315728414</v>
      </c>
      <c r="L12" s="2" t="s">
        <v>423</v>
      </c>
      <c r="M12" s="74">
        <f>MATCH(L12,'RZ Factors'!$B$13:$B$122,0)</f>
        <v>26</v>
      </c>
      <c r="N12" s="9">
        <f ca="1">OFFSET('RZ Factors'!$B$13,$M12-1,N$9)*$J12+OFFSET('RZ Factors'!$B$13,$I12-1,N$9)*$F12</f>
        <v>119958.96529675428</v>
      </c>
      <c r="O12" s="9">
        <f ca="1">OFFSET('RZ Factors'!$B$13,$M12-1,O$9)*$J12+OFFSET('RZ Factors'!$B$13,$I12-1,O$9)*$F12</f>
        <v>10238.216967525721</v>
      </c>
      <c r="P12" s="9">
        <f ca="1">OFFSET('RZ Factors'!$B$13,$M12-1,P$9)*$J12+OFFSET('RZ Factors'!$B$13,$I12-1,P$9)*$F12</f>
        <v>31289.230893004158</v>
      </c>
      <c r="Q12" s="9">
        <f ca="1">OFFSET('RZ Factors'!$B$13,$M12-1,Q$9)*$J12+OFFSET('RZ Factors'!$B$13,$I12-1,Q$9)*$F12</f>
        <v>0</v>
      </c>
      <c r="R12" s="9">
        <f ca="1">OFFSET('RZ Factors'!$B$13,$M12-1,R$9)*$J12+OFFSET('RZ Factors'!$B$13,$I12-1,R$9)*$F12</f>
        <v>0</v>
      </c>
    </row>
    <row r="13" spans="1:22" x14ac:dyDescent="0.2">
      <c r="A13" s="2">
        <f t="shared" ref="A13:A17" si="0">A12+1</f>
        <v>3</v>
      </c>
      <c r="B13" s="31" t="s">
        <v>386</v>
      </c>
      <c r="D13" s="79">
        <f ca="1">SUM('Gas Supply Class'!T$116:T$120,'Gas Supply Class'!T$122)</f>
        <v>40328.527901042762</v>
      </c>
      <c r="F13" s="79"/>
      <c r="I13" s="74">
        <f>_xlfn.IFNA(MATCH(H13,'RZ Factors'!$B$13:$B$122,0),0)</f>
        <v>0</v>
      </c>
      <c r="J13" s="79">
        <f t="shared" ref="J13:J16" ca="1" si="1">D13-F13</f>
        <v>40328.527901042762</v>
      </c>
      <c r="L13" s="2" t="s">
        <v>424</v>
      </c>
      <c r="M13" s="74">
        <f>MATCH(L13,'RZ Factors'!$B$13:$B$122,0)</f>
        <v>29</v>
      </c>
      <c r="N13" s="9">
        <f ca="1">OFFSET('RZ Factors'!$B$13,$M13-1,N$9)*$J13+OFFSET('RZ Factors'!$B$13,$I13-1,N$9)*$F13</f>
        <v>23604.021689045923</v>
      </c>
      <c r="O13" s="9">
        <f ca="1">OFFSET('RZ Factors'!$B$13,$M13-1,O$9)*$J13+OFFSET('RZ Factors'!$B$13,$I13-1,O$9)*$F13</f>
        <v>759.15736935511347</v>
      </c>
      <c r="P13" s="9">
        <f ca="1">OFFSET('RZ Factors'!$B$13,$M13-1,P$9)*$J13+OFFSET('RZ Factors'!$B$13,$I13-1,P$9)*$F13</f>
        <v>2197.2129288199922</v>
      </c>
      <c r="Q13" s="9">
        <f ca="1">OFFSET('RZ Factors'!$B$13,$M13-1,Q$9)*$J13+OFFSET('RZ Factors'!$B$13,$I13-1,Q$9)*$F13</f>
        <v>13768.135913821732</v>
      </c>
      <c r="R13" s="9">
        <f ca="1">OFFSET('RZ Factors'!$B$13,$M13-1,R$9)*$J13+OFFSET('RZ Factors'!$B$13,$I13-1,R$9)*$F13</f>
        <v>0</v>
      </c>
    </row>
    <row r="14" spans="1:22" x14ac:dyDescent="0.2">
      <c r="A14" s="2">
        <f t="shared" si="0"/>
        <v>4</v>
      </c>
      <c r="B14" s="31" t="s">
        <v>115</v>
      </c>
      <c r="D14" s="79">
        <f ca="1">SUM('Gas Supply Class'!V$116:V$120,'Gas Supply Class'!V$122)</f>
        <v>152523.42553920622</v>
      </c>
      <c r="F14" s="79"/>
      <c r="H14" s="2" t="s">
        <v>426</v>
      </c>
      <c r="I14" s="74">
        <f>_xlfn.IFNA(MATCH(H14,'RZ Factors'!$B$13:$B$122,0),0)</f>
        <v>8</v>
      </c>
      <c r="J14" s="79">
        <f t="shared" ca="1" si="1"/>
        <v>152523.42553920622</v>
      </c>
      <c r="L14" s="2" t="s">
        <v>425</v>
      </c>
      <c r="M14" s="74">
        <f>MATCH(L14,'RZ Factors'!$B$13:$B$122,0)</f>
        <v>50</v>
      </c>
      <c r="N14" s="9">
        <f ca="1">OFFSET('RZ Factors'!$B$13,$M14-1,N$9)*$J14+OFFSET('RZ Factors'!$B$13,$I14-1,N$9)*$F14</f>
        <v>128207.84407962111</v>
      </c>
      <c r="O14" s="9">
        <f ca="1">OFFSET('RZ Factors'!$B$13,$M14-1,O$9)*$J14+OFFSET('RZ Factors'!$B$13,$I14-1,O$9)*$F14</f>
        <v>8008.3358629204267</v>
      </c>
      <c r="P14" s="9">
        <f ca="1">OFFSET('RZ Factors'!$B$13,$M14-1,P$9)*$J14+OFFSET('RZ Factors'!$B$13,$I14-1,P$9)*$F14</f>
        <v>15163.659190107315</v>
      </c>
      <c r="Q14" s="9">
        <f ca="1">OFFSET('RZ Factors'!$B$13,$M14-1,Q$9)*$J14+OFFSET('RZ Factors'!$B$13,$I14-1,Q$9)*$F14</f>
        <v>1143.5864065573767</v>
      </c>
      <c r="R14" s="9">
        <f ca="1">OFFSET('RZ Factors'!$B$13,$M14-1,R$9)*$J14+OFFSET('RZ Factors'!$B$13,$I14-1,R$9)*$F14</f>
        <v>0</v>
      </c>
    </row>
    <row r="15" spans="1:22" x14ac:dyDescent="0.2">
      <c r="A15" s="2">
        <f t="shared" si="0"/>
        <v>5</v>
      </c>
      <c r="B15" s="31" t="s">
        <v>133</v>
      </c>
      <c r="D15" s="79">
        <f ca="1">SUM('Gas Supply Class'!X$116:X$120,'Gas Supply Class'!X$122)</f>
        <v>14888.543237034275</v>
      </c>
      <c r="F15" s="79"/>
      <c r="I15" s="74">
        <f>_xlfn.IFNA(MATCH(H15,'RZ Factors'!$B$13:$B$122,0),0)</f>
        <v>0</v>
      </c>
      <c r="J15" s="79">
        <f t="shared" ca="1" si="1"/>
        <v>14888.543237034275</v>
      </c>
      <c r="L15" s="2" t="s">
        <v>427</v>
      </c>
      <c r="M15" s="74">
        <f>MATCH(L15,'RZ Factors'!$B$13:$B$122,0)</f>
        <v>53</v>
      </c>
      <c r="N15" s="9">
        <f ca="1">OFFSET('RZ Factors'!$B$13,$M15-1,N$9)*$J15+OFFSET('RZ Factors'!$B$13,$I15-1,N$9)*$F15</f>
        <v>11955.5993527677</v>
      </c>
      <c r="O15" s="9">
        <f ca="1">OFFSET('RZ Factors'!$B$13,$M15-1,O$9)*$J15+OFFSET('RZ Factors'!$B$13,$I15-1,O$9)*$F15</f>
        <v>1695.3215271433728</v>
      </c>
      <c r="P15" s="9">
        <f ca="1">OFFSET('RZ Factors'!$B$13,$M15-1,P$9)*$J15+OFFSET('RZ Factors'!$B$13,$I15-1,P$9)*$F15</f>
        <v>1115.790999434686</v>
      </c>
      <c r="Q15" s="9">
        <f ca="1">OFFSET('RZ Factors'!$B$13,$M15-1,Q$9)*$J15+OFFSET('RZ Factors'!$B$13,$I15-1,Q$9)*$F15</f>
        <v>121.83135768851581</v>
      </c>
      <c r="R15" s="9">
        <f ca="1">OFFSET('RZ Factors'!$B$13,$M15-1,R$9)*$J15+OFFSET('RZ Factors'!$B$13,$I15-1,R$9)*$F15</f>
        <v>0</v>
      </c>
    </row>
    <row r="16" spans="1:22" x14ac:dyDescent="0.2">
      <c r="A16" s="2">
        <f t="shared" si="0"/>
        <v>6</v>
      </c>
      <c r="B16" s="31" t="s">
        <v>135</v>
      </c>
      <c r="D16" s="79">
        <f ca="1">SUM('Gas Supply Class'!Z$116:Z$120,'Gas Supply Class'!Z$122)</f>
        <v>0</v>
      </c>
      <c r="F16" s="79"/>
      <c r="I16" s="74">
        <f>_xlfn.IFNA(MATCH(H16,'RZ Factors'!$B$13:$B$122,0),0)</f>
        <v>0</v>
      </c>
      <c r="J16" s="79">
        <f t="shared" ca="1" si="1"/>
        <v>0</v>
      </c>
      <c r="L16" s="2" t="s">
        <v>428</v>
      </c>
      <c r="M16" s="74">
        <f>MATCH(L16,'RZ Factors'!$B$13:$B$122,0)</f>
        <v>11</v>
      </c>
      <c r="N16" s="9">
        <f ca="1">OFFSET('RZ Factors'!$B$13,$M16-1,N$9)*$J16+OFFSET('RZ Factors'!$B$13,$I16-1,N$9)*$F16</f>
        <v>0</v>
      </c>
      <c r="O16" s="9">
        <f ca="1">OFFSET('RZ Factors'!$B$13,$M16-1,O$9)*$J16+OFFSET('RZ Factors'!$B$13,$I16-1,O$9)*$F16</f>
        <v>0</v>
      </c>
      <c r="P16" s="9">
        <f ca="1">OFFSET('RZ Factors'!$B$13,$M16-1,P$9)*$J16+OFFSET('RZ Factors'!$B$13,$I16-1,P$9)*$F16</f>
        <v>0</v>
      </c>
      <c r="Q16" s="9">
        <f ca="1">OFFSET('RZ Factors'!$B$13,$M16-1,Q$9)*$J16+OFFSET('RZ Factors'!$B$13,$I16-1,Q$9)*$F16</f>
        <v>0</v>
      </c>
      <c r="R16" s="9">
        <f ca="1">OFFSET('RZ Factors'!$B$13,$M16-1,R$9)*$J16+OFFSET('RZ Factors'!$B$13,$I16-1,R$9)*$F16</f>
        <v>0</v>
      </c>
    </row>
    <row r="17" spans="1:18" x14ac:dyDescent="0.2">
      <c r="A17" s="2">
        <f t="shared" si="0"/>
        <v>7</v>
      </c>
      <c r="B17" s="31" t="s">
        <v>383</v>
      </c>
      <c r="D17" s="81">
        <f ca="1">SUM(D11:D16)</f>
        <v>2247538.0139059885</v>
      </c>
      <c r="F17" s="81">
        <f>SUM(F11:F16)</f>
        <v>0</v>
      </c>
      <c r="J17" s="41">
        <f ca="1">SUM(J11:J16)</f>
        <v>2247538.0139059885</v>
      </c>
      <c r="N17" s="41">
        <f t="shared" ref="N17:R17" ca="1" si="2">SUM(N11:N16)</f>
        <v>1386244.499460615</v>
      </c>
      <c r="O17" s="41">
        <f t="shared" ca="1" si="2"/>
        <v>54787.385690419673</v>
      </c>
      <c r="P17" s="41">
        <f t="shared" ca="1" si="2"/>
        <v>179580.75940991528</v>
      </c>
      <c r="Q17" s="41">
        <f t="shared" ca="1" si="2"/>
        <v>626925.36934503901</v>
      </c>
      <c r="R17" s="41">
        <f t="shared" ca="1" si="2"/>
        <v>0</v>
      </c>
    </row>
    <row r="18" spans="1:18" x14ac:dyDescent="0.2">
      <c r="D18" s="79"/>
      <c r="N18" s="79" t="s">
        <v>225</v>
      </c>
      <c r="O18" s="79"/>
      <c r="P18" s="79"/>
      <c r="Q18" s="50">
        <f t="shared" ref="Q18:Q26" si="3">D18-SUM(N18:P18)</f>
        <v>0</v>
      </c>
    </row>
    <row r="19" spans="1:18" x14ac:dyDescent="0.2">
      <c r="B19" s="77" t="s">
        <v>97</v>
      </c>
      <c r="D19" s="79"/>
      <c r="N19" s="79"/>
      <c r="O19" s="79"/>
      <c r="P19" s="79"/>
      <c r="Q19" s="50">
        <f t="shared" si="3"/>
        <v>0</v>
      </c>
    </row>
    <row r="20" spans="1:18" x14ac:dyDescent="0.2">
      <c r="A20" s="2">
        <f>A17+1</f>
        <v>8</v>
      </c>
      <c r="B20" s="31" t="s">
        <v>89</v>
      </c>
      <c r="D20" s="79">
        <f ca="1">SUM('Storage Class'!P$116:P$120,'Storage Class'!P$122)</f>
        <v>10261.28838620118</v>
      </c>
      <c r="F20" s="79"/>
      <c r="I20" s="74">
        <f>_xlfn.IFNA(MATCH(H20,'RZ Factors'!$B$13:$B$122,0),0)</f>
        <v>0</v>
      </c>
      <c r="J20" s="79">
        <f ca="1">D20-F20</f>
        <v>10261.28838620118</v>
      </c>
      <c r="L20" s="2" t="s">
        <v>424</v>
      </c>
      <c r="M20" s="74">
        <f>MATCH(L20,'RZ Factors'!$B$13:$B$122,0)</f>
        <v>29</v>
      </c>
      <c r="N20" s="9">
        <f ca="1">OFFSET('RZ Factors'!$B$13,$M20-1,N$9)*$J20+OFFSET('RZ Factors'!$B$13,$I20-1,N$9)*$F20</f>
        <v>6005.8644892710063</v>
      </c>
      <c r="O20" s="9">
        <f ca="1">OFFSET('RZ Factors'!$B$13,$M20-1,O$9)*$J20+OFFSET('RZ Factors'!$B$13,$I20-1,O$9)*$F20</f>
        <v>193.16184108126703</v>
      </c>
      <c r="P20" s="9">
        <f ca="1">OFFSET('RZ Factors'!$B$13,$M20-1,P$9)*$J20+OFFSET('RZ Factors'!$B$13,$I20-1,P$9)*$F20</f>
        <v>559.06418314685607</v>
      </c>
      <c r="Q20" s="9">
        <f ca="1">OFFSET('RZ Factors'!$B$13,$M20-1,Q$9)*$J20+OFFSET('RZ Factors'!$B$13,$I20-1,Q$9)*$F20</f>
        <v>3503.197872702051</v>
      </c>
      <c r="R20" s="9">
        <f ca="1">OFFSET('RZ Factors'!$B$13,$M20-1,R$9)*$J20+OFFSET('RZ Factors'!$B$13,$I20-1,R$9)*$F20</f>
        <v>0</v>
      </c>
    </row>
    <row r="21" spans="1:18" x14ac:dyDescent="0.2">
      <c r="A21" s="2">
        <f>A20+1</f>
        <v>9</v>
      </c>
      <c r="B21" s="31" t="s">
        <v>90</v>
      </c>
      <c r="D21" s="79">
        <f ca="1">SUM('Storage Class'!R$116:R$120,'Storage Class'!R$122)</f>
        <v>2984.6043876559602</v>
      </c>
      <c r="F21" s="79"/>
      <c r="H21" s="2" t="s">
        <v>430</v>
      </c>
      <c r="I21" s="74">
        <f>_xlfn.IFNA(MATCH(H21,'RZ Factors'!$B$13:$B$122,0),0)</f>
        <v>2</v>
      </c>
      <c r="J21" s="79">
        <f t="shared" ref="J21:J23" ca="1" si="4">D21-F21</f>
        <v>2984.6043876559602</v>
      </c>
      <c r="L21" s="2" t="s">
        <v>429</v>
      </c>
      <c r="M21" s="74">
        <f>MATCH(L21,'RZ Factors'!$B$13:$B$122,0)</f>
        <v>41</v>
      </c>
      <c r="N21" s="9">
        <f ca="1">OFFSET('RZ Factors'!$B$13,$M21-1,N$9)*$J21+OFFSET('RZ Factors'!$B$13,$I21-1,N$9)*$F21</f>
        <v>1724.4417527780331</v>
      </c>
      <c r="O21" s="9">
        <f ca="1">OFFSET('RZ Factors'!$B$13,$M21-1,O$9)*$J21+OFFSET('RZ Factors'!$B$13,$I21-1,O$9)*$F21</f>
        <v>62.421378797705167</v>
      </c>
      <c r="P21" s="9">
        <f ca="1">OFFSET('RZ Factors'!$B$13,$M21-1,P$9)*$J21+OFFSET('RZ Factors'!$B$13,$I21-1,P$9)*$F21</f>
        <v>179.53127226689591</v>
      </c>
      <c r="Q21" s="9">
        <f ca="1">OFFSET('RZ Factors'!$B$13,$M21-1,Q$9)*$J21+OFFSET('RZ Factors'!$B$13,$I21-1,Q$9)*$F21</f>
        <v>1018.2099838133259</v>
      </c>
      <c r="R21" s="9">
        <f ca="1">OFFSET('RZ Factors'!$B$13,$M21-1,R$9)*$J21+OFFSET('RZ Factors'!$B$13,$I21-1,R$9)*$F21</f>
        <v>0</v>
      </c>
    </row>
    <row r="22" spans="1:18" x14ac:dyDescent="0.2">
      <c r="A22" s="2">
        <f t="shared" ref="A22:A24" si="5">A21+1</f>
        <v>10</v>
      </c>
      <c r="B22" s="31" t="s">
        <v>345</v>
      </c>
      <c r="D22" s="79">
        <f ca="1">SUM('Storage Class'!T$116:T$120,'Storage Class'!T$122)</f>
        <v>0</v>
      </c>
      <c r="F22" s="79"/>
      <c r="I22" s="74">
        <f>_xlfn.IFNA(MATCH(H22,'RZ Factors'!$B$13:$B$122,0),0)</f>
        <v>0</v>
      </c>
      <c r="J22" s="79">
        <f t="shared" ca="1" si="4"/>
        <v>0</v>
      </c>
      <c r="L22" s="2" t="s">
        <v>431</v>
      </c>
      <c r="M22" s="74">
        <f>MATCH(L22,'RZ Factors'!$B$13:$B$122,0)</f>
        <v>32</v>
      </c>
      <c r="N22" s="9">
        <f ca="1">OFFSET('RZ Factors'!$B$13,$M22-1,N$9)*$J22+OFFSET('RZ Factors'!$B$13,$I22-1,N$9)*$F22</f>
        <v>0</v>
      </c>
      <c r="O22" s="9">
        <f ca="1">OFFSET('RZ Factors'!$B$13,$M22-1,O$9)*$J22+OFFSET('RZ Factors'!$B$13,$I22-1,O$9)*$F22</f>
        <v>0</v>
      </c>
      <c r="P22" s="9">
        <f ca="1">OFFSET('RZ Factors'!$B$13,$M22-1,P$9)*$J22+OFFSET('RZ Factors'!$B$13,$I22-1,P$9)*$F22</f>
        <v>0</v>
      </c>
      <c r="Q22" s="9">
        <f ca="1">OFFSET('RZ Factors'!$B$13,$M22-1,Q$9)*$J22+OFFSET('RZ Factors'!$B$13,$I22-1,Q$9)*$F22</f>
        <v>0</v>
      </c>
      <c r="R22" s="9">
        <f ca="1">OFFSET('RZ Factors'!$B$13,$M22-1,R$9)*$J22+OFFSET('RZ Factors'!$B$13,$I22-1,R$9)*$F22</f>
        <v>0</v>
      </c>
    </row>
    <row r="23" spans="1:18" x14ac:dyDescent="0.2">
      <c r="A23" s="2">
        <f t="shared" si="5"/>
        <v>11</v>
      </c>
      <c r="B23" s="31" t="s">
        <v>91</v>
      </c>
      <c r="D23" s="79">
        <f ca="1">SUM('Storage Class'!V$116:V$120,'Storage Class'!V$122)</f>
        <v>14135.587472300971</v>
      </c>
      <c r="F23" s="79"/>
      <c r="I23" s="74">
        <f>_xlfn.IFNA(MATCH(H23,'RZ Factors'!$B$13:$B$122,0),0)</f>
        <v>0</v>
      </c>
      <c r="J23" s="79">
        <f t="shared" ca="1" si="4"/>
        <v>14135.587472300971</v>
      </c>
      <c r="L23" s="2" t="s">
        <v>432</v>
      </c>
      <c r="M23" s="74">
        <f>MATCH(L23,'RZ Factors'!$B$13:$B$122,0)</f>
        <v>44</v>
      </c>
      <c r="N23" s="9">
        <f ca="1">OFFSET('RZ Factors'!$B$13,$M23-1,N$9)*$J23+OFFSET('RZ Factors'!$B$13,$I23-1,N$9)*$F23</f>
        <v>7898.437235328639</v>
      </c>
      <c r="O23" s="9">
        <f ca="1">OFFSET('RZ Factors'!$B$13,$M23-1,O$9)*$J23+OFFSET('RZ Factors'!$B$13,$I23-1,O$9)*$F23</f>
        <v>262.51137065294904</v>
      </c>
      <c r="P23" s="9">
        <f ca="1">OFFSET('RZ Factors'!$B$13,$M23-1,P$9)*$J23+OFFSET('RZ Factors'!$B$13,$I23-1,P$9)*$F23</f>
        <v>720.41014638295508</v>
      </c>
      <c r="Q23" s="9">
        <f ca="1">OFFSET('RZ Factors'!$B$13,$M23-1,Q$9)*$J23+OFFSET('RZ Factors'!$B$13,$I23-1,Q$9)*$F23</f>
        <v>5254.2287199364273</v>
      </c>
      <c r="R23" s="9">
        <f ca="1">OFFSET('RZ Factors'!$B$13,$M23-1,R$9)*$J23+OFFSET('RZ Factors'!$B$13,$I23-1,R$9)*$F23</f>
        <v>0</v>
      </c>
    </row>
    <row r="24" spans="1:18" x14ac:dyDescent="0.2">
      <c r="A24" s="2">
        <f t="shared" si="5"/>
        <v>12</v>
      </c>
      <c r="B24" s="31" t="s">
        <v>96</v>
      </c>
      <c r="D24" s="41">
        <f ca="1">SUM(D20:D23)</f>
        <v>27381.480246158113</v>
      </c>
      <c r="F24" s="41">
        <f>SUM(F20:F23)</f>
        <v>0</v>
      </c>
      <c r="H24" s="122"/>
      <c r="J24" s="41">
        <f ca="1">SUM(J20:J23)</f>
        <v>27381.480246158113</v>
      </c>
      <c r="N24" s="41">
        <f t="shared" ref="N24:R24" ca="1" si="6">SUM(N20:N23)</f>
        <v>15628.743477377679</v>
      </c>
      <c r="O24" s="41">
        <f t="shared" ca="1" si="6"/>
        <v>518.0945905319212</v>
      </c>
      <c r="P24" s="41">
        <f t="shared" ca="1" si="6"/>
        <v>1459.0056017967072</v>
      </c>
      <c r="Q24" s="41">
        <f t="shared" ca="1" si="6"/>
        <v>9775.636576451805</v>
      </c>
      <c r="R24" s="41">
        <f t="shared" ca="1" si="6"/>
        <v>0</v>
      </c>
    </row>
    <row r="25" spans="1:18" x14ac:dyDescent="0.2">
      <c r="N25" s="79"/>
      <c r="O25" s="79"/>
      <c r="P25" s="79"/>
      <c r="Q25" s="50">
        <f t="shared" si="3"/>
        <v>0</v>
      </c>
    </row>
    <row r="26" spans="1:18" x14ac:dyDescent="0.2">
      <c r="B26" s="77" t="s">
        <v>98</v>
      </c>
      <c r="N26" s="79"/>
      <c r="O26" s="79"/>
      <c r="P26" s="79"/>
      <c r="Q26" s="50">
        <f t="shared" si="3"/>
        <v>0</v>
      </c>
    </row>
    <row r="27" spans="1:18" x14ac:dyDescent="0.2">
      <c r="A27" s="2">
        <f>A24+1</f>
        <v>13</v>
      </c>
      <c r="B27" s="31" t="s">
        <v>92</v>
      </c>
      <c r="D27" s="79">
        <f ca="1">SUM('Transmission Class'!P$116:P$120,'Transmission Class'!P$122)</f>
        <v>0</v>
      </c>
      <c r="F27" s="79"/>
      <c r="I27" s="74">
        <f>_xlfn.IFNA(MATCH(H27,'RZ Factors'!$B$13:$B$122,0),0)</f>
        <v>0</v>
      </c>
      <c r="J27" s="79">
        <f ca="1">D27-F27</f>
        <v>0</v>
      </c>
      <c r="L27" s="2" t="s">
        <v>536</v>
      </c>
      <c r="M27" s="74">
        <f>MATCH(L27,'RZ Factors'!$B$13:$B$122,0)</f>
        <v>17</v>
      </c>
      <c r="N27" s="9">
        <f ca="1">OFFSET('RZ Factors'!$B$13,$M27-1,N$9)*$J27+OFFSET('RZ Factors'!$B$13,$I27-1,N$9)*$F27</f>
        <v>0</v>
      </c>
      <c r="O27" s="9">
        <f ca="1">OFFSET('RZ Factors'!$B$13,$M27-1,O$9)*$J27+OFFSET('RZ Factors'!$B$13,$I27-1,O$9)*$F27</f>
        <v>0</v>
      </c>
      <c r="P27" s="9">
        <f ca="1">OFFSET('RZ Factors'!$B$13,$M27-1,P$9)*$J27+OFFSET('RZ Factors'!$B$13,$I27-1,P$9)*$F27</f>
        <v>0</v>
      </c>
      <c r="Q27" s="9">
        <f ca="1">OFFSET('RZ Factors'!$B$13,$M27-1,Q$9)*$J27+OFFSET('RZ Factors'!$B$13,$I27-1,Q$9)*$F27</f>
        <v>0</v>
      </c>
      <c r="R27" s="9">
        <f ca="1">OFFSET('RZ Factors'!$B$13,$M27-1,R$9)*$J27+OFFSET('RZ Factors'!$B$13,$I27-1,R$9)*$F27</f>
        <v>0</v>
      </c>
    </row>
    <row r="28" spans="1:18" x14ac:dyDescent="0.2">
      <c r="A28" s="2">
        <f>A27+1</f>
        <v>14</v>
      </c>
      <c r="B28" s="31" t="s">
        <v>93</v>
      </c>
      <c r="D28" s="79">
        <f ca="1">SUM('Transmission Class'!R$116:R$120,'Transmission Class'!R$122)</f>
        <v>0</v>
      </c>
      <c r="F28" s="79"/>
      <c r="I28" s="74">
        <f>_xlfn.IFNA(MATCH(H28,'RZ Factors'!$B$13:$B$122,0),0)</f>
        <v>0</v>
      </c>
      <c r="J28" s="79">
        <f t="shared" ref="J28:J33" ca="1" si="7">D28-F28</f>
        <v>0</v>
      </c>
      <c r="L28" s="2" t="s">
        <v>433</v>
      </c>
      <c r="M28" s="74">
        <f>MATCH(L28,'RZ Factors'!$B$13:$B$122,0)</f>
        <v>23</v>
      </c>
      <c r="N28" s="9">
        <f ca="1">OFFSET('RZ Factors'!$B$13,$M28-1,N$9)*$J28+OFFSET('RZ Factors'!$B$13,$I28-1,N$9)*$F28</f>
        <v>0</v>
      </c>
      <c r="O28" s="9">
        <f ca="1">OFFSET('RZ Factors'!$B$13,$M28-1,O$9)*$J28+OFFSET('RZ Factors'!$B$13,$I28-1,O$9)*$F28</f>
        <v>0</v>
      </c>
      <c r="P28" s="9">
        <f ca="1">OFFSET('RZ Factors'!$B$13,$M28-1,P$9)*$J28+OFFSET('RZ Factors'!$B$13,$I28-1,P$9)*$F28</f>
        <v>0</v>
      </c>
      <c r="Q28" s="9">
        <f ca="1">OFFSET('RZ Factors'!$B$13,$M28-1,Q$9)*$J28+OFFSET('RZ Factors'!$B$13,$I28-1,Q$9)*$F28</f>
        <v>0</v>
      </c>
      <c r="R28" s="9">
        <f ca="1">OFFSET('RZ Factors'!$B$13,$M28-1,R$9)*$J28+OFFSET('RZ Factors'!$B$13,$I28-1,R$9)*$F28</f>
        <v>0</v>
      </c>
    </row>
    <row r="29" spans="1:18" x14ac:dyDescent="0.2">
      <c r="A29" s="2">
        <f t="shared" ref="A29:A34" si="8">A28+1</f>
        <v>15</v>
      </c>
      <c r="B29" s="31" t="s">
        <v>94</v>
      </c>
      <c r="D29" s="79">
        <f ca="1">SUM('Transmission Class'!T$116:T$120,'Transmission Class'!T$122)</f>
        <v>0</v>
      </c>
      <c r="F29" s="79"/>
      <c r="I29" s="74">
        <f>_xlfn.IFNA(MATCH(H29,'RZ Factors'!$B$13:$B$122,0),0)</f>
        <v>0</v>
      </c>
      <c r="J29" s="79">
        <f t="shared" ca="1" si="7"/>
        <v>0</v>
      </c>
      <c r="L29" s="2" t="s">
        <v>434</v>
      </c>
      <c r="M29" s="74">
        <f>MATCH(L29,'RZ Factors'!$B$13:$B$122,0)</f>
        <v>38</v>
      </c>
      <c r="N29" s="9">
        <f ca="1">OFFSET('RZ Factors'!$B$13,$M29-1,N$9)*$J29+OFFSET('RZ Factors'!$B$13,$I29-1,N$9)*$F29</f>
        <v>0</v>
      </c>
      <c r="O29" s="9">
        <f ca="1">OFFSET('RZ Factors'!$B$13,$M29-1,O$9)*$J29+OFFSET('RZ Factors'!$B$13,$I29-1,O$9)*$F29</f>
        <v>0</v>
      </c>
      <c r="P29" s="9">
        <f ca="1">OFFSET('RZ Factors'!$B$13,$M29-1,P$9)*$J29+OFFSET('RZ Factors'!$B$13,$I29-1,P$9)*$F29</f>
        <v>0</v>
      </c>
      <c r="Q29" s="9">
        <f ca="1">OFFSET('RZ Factors'!$B$13,$M29-1,Q$9)*$J29+OFFSET('RZ Factors'!$B$13,$I29-1,Q$9)*$F29</f>
        <v>0</v>
      </c>
      <c r="R29" s="9">
        <f ca="1">OFFSET('RZ Factors'!$B$13,$M29-1,R$9)*$J29+OFFSET('RZ Factors'!$B$13,$I29-1,R$9)*$F29</f>
        <v>0</v>
      </c>
    </row>
    <row r="30" spans="1:18" x14ac:dyDescent="0.2">
      <c r="A30" s="2">
        <f t="shared" si="8"/>
        <v>16</v>
      </c>
      <c r="B30" s="31" t="s">
        <v>330</v>
      </c>
      <c r="D30" s="79">
        <f ca="1">SUM('Transmission Class'!V$116:V$120,'Transmission Class'!V$122)</f>
        <v>0</v>
      </c>
      <c r="F30" s="79"/>
      <c r="I30" s="74">
        <f>_xlfn.IFNA(MATCH(H30,'RZ Factors'!$B$13:$B$122,0),0)</f>
        <v>0</v>
      </c>
      <c r="J30" s="79">
        <f t="shared" ca="1" si="7"/>
        <v>0</v>
      </c>
      <c r="L30" s="2" t="s">
        <v>435</v>
      </c>
      <c r="M30" s="74">
        <f>MATCH(L30,'RZ Factors'!$B$13:$B$122,0)</f>
        <v>20</v>
      </c>
      <c r="N30" s="9">
        <f ca="1">OFFSET('RZ Factors'!$B$13,$M30-1,N$9)*$J30+OFFSET('RZ Factors'!$B$13,$I30-1,N$9)*$F30</f>
        <v>0</v>
      </c>
      <c r="O30" s="9">
        <f ca="1">OFFSET('RZ Factors'!$B$13,$M30-1,O$9)*$J30+OFFSET('RZ Factors'!$B$13,$I30-1,O$9)*$F30</f>
        <v>0</v>
      </c>
      <c r="P30" s="9">
        <f ca="1">OFFSET('RZ Factors'!$B$13,$M30-1,P$9)*$J30+OFFSET('RZ Factors'!$B$13,$I30-1,P$9)*$F30</f>
        <v>0</v>
      </c>
      <c r="Q30" s="9">
        <f ca="1">OFFSET('RZ Factors'!$B$13,$M30-1,Q$9)*$J30+OFFSET('RZ Factors'!$B$13,$I30-1,Q$9)*$F30</f>
        <v>0</v>
      </c>
      <c r="R30" s="9">
        <f ca="1">OFFSET('RZ Factors'!$B$13,$M30-1,R$9)*$J30+OFFSET('RZ Factors'!$B$13,$I30-1,R$9)*$F30</f>
        <v>0</v>
      </c>
    </row>
    <row r="31" spans="1:18" x14ac:dyDescent="0.2">
      <c r="A31" s="2">
        <f t="shared" si="8"/>
        <v>17</v>
      </c>
      <c r="B31" s="31" t="s">
        <v>331</v>
      </c>
      <c r="D31" s="79">
        <f ca="1">SUM('Transmission Class'!X$116:X$120,'Transmission Class'!X$122)</f>
        <v>0</v>
      </c>
      <c r="F31" s="79"/>
      <c r="I31" s="74">
        <f>_xlfn.IFNA(MATCH(H31,'RZ Factors'!$B$13:$B$122,0),0)</f>
        <v>0</v>
      </c>
      <c r="J31" s="79">
        <f t="shared" ca="1" si="7"/>
        <v>0</v>
      </c>
      <c r="L31" s="2" t="s">
        <v>436</v>
      </c>
      <c r="M31" s="74">
        <f>MATCH(L31,'RZ Factors'!$B$13:$B$122,0)</f>
        <v>14</v>
      </c>
      <c r="N31" s="9">
        <f ca="1">OFFSET('RZ Factors'!$B$13,$M31-1,N$9)*$J31+OFFSET('RZ Factors'!$B$13,$I31-1,N$9)*$F31</f>
        <v>0</v>
      </c>
      <c r="O31" s="9">
        <f ca="1">OFFSET('RZ Factors'!$B$13,$M31-1,O$9)*$J31+OFFSET('RZ Factors'!$B$13,$I31-1,O$9)*$F31</f>
        <v>0</v>
      </c>
      <c r="P31" s="9">
        <f ca="1">OFFSET('RZ Factors'!$B$13,$M31-1,P$9)*$J31+OFFSET('RZ Factors'!$B$13,$I31-1,P$9)*$F31</f>
        <v>0</v>
      </c>
      <c r="Q31" s="9">
        <f ca="1">OFFSET('RZ Factors'!$B$13,$M31-1,Q$9)*$J31+OFFSET('RZ Factors'!$B$13,$I31-1,Q$9)*$F31</f>
        <v>0</v>
      </c>
      <c r="R31" s="9">
        <f ca="1">OFFSET('RZ Factors'!$B$13,$M31-1,R$9)*$J31+OFFSET('RZ Factors'!$B$13,$I31-1,R$9)*$F31</f>
        <v>0</v>
      </c>
    </row>
    <row r="32" spans="1:18" x14ac:dyDescent="0.2">
      <c r="A32" s="2">
        <f t="shared" si="8"/>
        <v>18</v>
      </c>
      <c r="B32" s="31" t="s">
        <v>146</v>
      </c>
      <c r="D32" s="79">
        <f ca="1">SUM('Transmission Class'!Z$116:Z$120,'Transmission Class'!Z$122)</f>
        <v>1294.5219427863499</v>
      </c>
      <c r="F32" s="79"/>
      <c r="I32" s="74">
        <f>_xlfn.IFNA(MATCH(H32,'RZ Factors'!$B$13:$B$122,0),0)</f>
        <v>0</v>
      </c>
      <c r="J32" s="79">
        <f t="shared" ca="1" si="7"/>
        <v>1294.5219427863499</v>
      </c>
      <c r="L32" s="2" t="s">
        <v>437</v>
      </c>
      <c r="M32" s="74">
        <f>MATCH(L32,'RZ Factors'!$B$13:$B$122,0)</f>
        <v>35</v>
      </c>
      <c r="N32" s="9">
        <f ca="1">OFFSET('RZ Factors'!$B$13,$M32-1,N$9)*$J32+OFFSET('RZ Factors'!$B$13,$I32-1,N$9)*$F32</f>
        <v>0</v>
      </c>
      <c r="O32" s="9">
        <f ca="1">OFFSET('RZ Factors'!$B$13,$M32-1,O$9)*$J32+OFFSET('RZ Factors'!$B$13,$I32-1,O$9)*$F32</f>
        <v>0</v>
      </c>
      <c r="P32" s="9">
        <f ca="1">OFFSET('RZ Factors'!$B$13,$M32-1,P$9)*$J32+OFFSET('RZ Factors'!$B$13,$I32-1,P$9)*$F32</f>
        <v>0</v>
      </c>
      <c r="Q32" s="9">
        <f ca="1">OFFSET('RZ Factors'!$B$13,$M32-1,Q$9)*$J32+OFFSET('RZ Factors'!$B$13,$I32-1,Q$9)*$F32</f>
        <v>1294.5219427863499</v>
      </c>
      <c r="R32" s="9">
        <f ca="1">OFFSET('RZ Factors'!$B$13,$M32-1,R$9)*$J32+OFFSET('RZ Factors'!$B$13,$I32-1,R$9)*$F32</f>
        <v>0</v>
      </c>
    </row>
    <row r="33" spans="1:18" x14ac:dyDescent="0.2">
      <c r="A33" s="2">
        <f t="shared" si="8"/>
        <v>19</v>
      </c>
      <c r="B33" s="31" t="s">
        <v>95</v>
      </c>
      <c r="D33" s="79">
        <f ca="1">SUM('Transmission Class'!AB$116:AB$120,'Transmission Class'!AB$122)</f>
        <v>29913.696260682678</v>
      </c>
      <c r="F33" s="79">
        <f ca="1">'Transmission Class'!AB117</f>
        <v>18533.95038585359</v>
      </c>
      <c r="H33" s="2" t="s">
        <v>438</v>
      </c>
      <c r="I33" s="74">
        <f>_xlfn.IFNA(MATCH(H33,'RZ Factors'!$B$13:$B$122,0),0)</f>
        <v>5</v>
      </c>
      <c r="J33" s="79">
        <f t="shared" ca="1" si="7"/>
        <v>11379.745874829088</v>
      </c>
      <c r="L33" s="2" t="s">
        <v>439</v>
      </c>
      <c r="M33" s="74">
        <f>MATCH(L33,'RZ Factors'!$B$13:$B$122,0)</f>
        <v>56</v>
      </c>
      <c r="N33" s="9">
        <f ca="1">OFFSET('RZ Factors'!$B$13,$M33-1,N$9)*$J33+OFFSET('RZ Factors'!$B$13,$I33-1,N$9)*$F33</f>
        <v>3577.0325743260541</v>
      </c>
      <c r="O33" s="9">
        <f ca="1">OFFSET('RZ Factors'!$B$13,$M33-1,O$9)*$J33+OFFSET('RZ Factors'!$B$13,$I33-1,O$9)*$F33</f>
        <v>269.74831056023822</v>
      </c>
      <c r="P33" s="9">
        <f ca="1">OFFSET('RZ Factors'!$B$13,$M33-1,P$9)*$J33+OFFSET('RZ Factors'!$B$13,$I33-1,P$9)*$F33</f>
        <v>730.53155031370738</v>
      </c>
      <c r="Q33" s="9">
        <f ca="1">OFFSET('RZ Factors'!$B$13,$M33-1,Q$9)*$J33+OFFSET('RZ Factors'!$B$13,$I33-1,Q$9)*$F33</f>
        <v>4680.2587595675095</v>
      </c>
      <c r="R33" s="9">
        <f ca="1">OFFSET('RZ Factors'!$B$13,$M33-1,R$9)*$J33+OFFSET('RZ Factors'!$B$13,$I33-1,R$9)*$F33</f>
        <v>20656.12506591517</v>
      </c>
    </row>
    <row r="34" spans="1:18" x14ac:dyDescent="0.2">
      <c r="A34" s="2">
        <f t="shared" si="8"/>
        <v>20</v>
      </c>
      <c r="B34" s="31" t="s">
        <v>99</v>
      </c>
      <c r="D34" s="41">
        <f ca="1">SUM(D27:D33)</f>
        <v>31208.218203469027</v>
      </c>
      <c r="F34" s="41">
        <f ca="1">SUM(F27:F33)</f>
        <v>18533.95038585359</v>
      </c>
      <c r="J34" s="41">
        <f ca="1">SUM(J27:J33)</f>
        <v>12674.267817615439</v>
      </c>
      <c r="N34" s="41">
        <f t="shared" ref="N34:R34" ca="1" si="9">SUM(N27:N33)</f>
        <v>3577.0325743260541</v>
      </c>
      <c r="O34" s="41">
        <f t="shared" ca="1" si="9"/>
        <v>269.74831056023822</v>
      </c>
      <c r="P34" s="41">
        <f t="shared" ca="1" si="9"/>
        <v>730.53155031370738</v>
      </c>
      <c r="Q34" s="41">
        <f t="shared" ca="1" si="9"/>
        <v>5974.7807023538589</v>
      </c>
      <c r="R34" s="41">
        <f t="shared" ca="1" si="9"/>
        <v>20656.12506591517</v>
      </c>
    </row>
    <row r="35" spans="1:18" x14ac:dyDescent="0.2">
      <c r="N35" s="79"/>
      <c r="O35" s="79"/>
      <c r="P35" s="79"/>
      <c r="Q35" s="50"/>
    </row>
    <row r="36" spans="1:18" ht="15" x14ac:dyDescent="0.25">
      <c r="B36" s="77" t="s">
        <v>100</v>
      </c>
      <c r="N36" s="79"/>
      <c r="O36" s="163" t="s">
        <v>488</v>
      </c>
      <c r="P36" s="160"/>
      <c r="Q36" s="50"/>
    </row>
    <row r="37" spans="1:18" x14ac:dyDescent="0.2">
      <c r="A37" s="2">
        <f>A34+1</f>
        <v>21</v>
      </c>
      <c r="B37" s="31" t="s">
        <v>287</v>
      </c>
      <c r="D37" s="79">
        <f ca="1">SUM('Distribution Class'!P116:P120,'Distribution Class'!P122)</f>
        <v>10709.990086266376</v>
      </c>
      <c r="E37" s="79"/>
      <c r="F37" s="79"/>
      <c r="G37" s="79"/>
      <c r="H37" s="123"/>
      <c r="I37" s="74">
        <f>_xlfn.IFNA(MATCH(H37,'Dist RZ Factors'!$B$13:$B$105,0),0)</f>
        <v>0</v>
      </c>
      <c r="J37" s="79">
        <f t="shared" ref="J37:J51" ca="1" si="10">D37-F37</f>
        <v>10709.990086266376</v>
      </c>
      <c r="L37" s="2" t="s">
        <v>440</v>
      </c>
      <c r="M37" s="74">
        <f>MATCH(L37,'Dist RZ Factors'!$B$13:$B$105,0)</f>
        <v>20</v>
      </c>
      <c r="N37" s="9">
        <f ca="1">OFFSET('Dist RZ Factors'!$B$13,$M37-1,N$9)*$J37+OFFSET('Dist RZ Factors'!$B$13,$I37-1,N$9)*$F37</f>
        <v>5643.6628273268916</v>
      </c>
      <c r="O37" s="9">
        <f ca="1">OFFSET('Dist RZ Factors'!$B$13,$M37-1,O$9)*$J37+OFFSET('Dist RZ Factors'!$B$13,$I37-1,O$9)*$F37</f>
        <v>1365.5305495779226</v>
      </c>
      <c r="P37" s="9"/>
      <c r="Q37" s="9">
        <f ca="1">OFFSET('Dist RZ Factors'!$B$13,$M37-1,P$9)*$J37+OFFSET('Dist RZ Factors'!$B$13,$I37-1,P$9)*$F37</f>
        <v>3690.0010024329126</v>
      </c>
      <c r="R37" s="9">
        <f ca="1">OFFSET('Dist RZ Factors'!$B$13,$M37-1,Q$9)*$J37+OFFSET('Dist RZ Factors'!$B$13,$I37-1,Q$9)*$F37</f>
        <v>10.795706928649199</v>
      </c>
    </row>
    <row r="38" spans="1:18" x14ac:dyDescent="0.2">
      <c r="A38" s="2">
        <f>A37+1</f>
        <v>22</v>
      </c>
      <c r="B38" s="31" t="s">
        <v>288</v>
      </c>
      <c r="D38" s="79">
        <f ca="1">SUM('Distribution Class'!R$113:R$120,'Distribution Class'!R$122)</f>
        <v>0</v>
      </c>
      <c r="E38" s="79"/>
      <c r="F38" s="79"/>
      <c r="G38" s="79"/>
      <c r="H38" s="123"/>
      <c r="I38" s="74">
        <f>_xlfn.IFNA(MATCH(H38,'Dist RZ Factors'!$B$13:$B$105,0),0)</f>
        <v>0</v>
      </c>
      <c r="J38" s="79">
        <f t="shared" ca="1" si="10"/>
        <v>0</v>
      </c>
      <c r="L38" s="2" t="s">
        <v>441</v>
      </c>
      <c r="M38" s="74">
        <f>MATCH(L38,'Dist RZ Factors'!$B$13:$B$105,0)</f>
        <v>17</v>
      </c>
      <c r="N38" s="9">
        <f ca="1">OFFSET('Dist RZ Factors'!$B$13,$M38-1,N$9)*$J38+OFFSET('Dist RZ Factors'!$B$13,$I38-1,N$9)*$F38</f>
        <v>0</v>
      </c>
      <c r="O38" s="9">
        <f ca="1">OFFSET('Dist RZ Factors'!$B$13,$M38-1,O$9)*$J38+OFFSET('Dist RZ Factors'!$B$13,$I38-1,O$9)*$F38</f>
        <v>0</v>
      </c>
      <c r="P38" s="9"/>
      <c r="Q38" s="9">
        <f ca="1">OFFSET('Dist RZ Factors'!$B$13,$M38-1,P$9)*$J38+OFFSET('Dist RZ Factors'!$B$13,$I38-1,P$9)*$F38</f>
        <v>0</v>
      </c>
      <c r="R38" s="9">
        <f ca="1">OFFSET('Dist RZ Factors'!$B$13,$M38-1,Q$9)*$J38+OFFSET('Dist RZ Factors'!$B$13,$I38-1,Q$9)*$F38</f>
        <v>0</v>
      </c>
    </row>
    <row r="39" spans="1:18" x14ac:dyDescent="0.2">
      <c r="A39" s="2">
        <f t="shared" ref="A39:A52" si="11">A38+1</f>
        <v>23</v>
      </c>
      <c r="B39" s="31" t="s">
        <v>289</v>
      </c>
      <c r="D39" s="79">
        <f ca="1">SUM('Distribution Class'!T$113:T$120,'Distribution Class'!T$122)</f>
        <v>0</v>
      </c>
      <c r="E39" s="79"/>
      <c r="F39" s="79"/>
      <c r="G39" s="79"/>
      <c r="H39" s="123"/>
      <c r="I39" s="74">
        <f>_xlfn.IFNA(MATCH(H39,'Dist RZ Factors'!$B$13:$B$105,0),0)</f>
        <v>0</v>
      </c>
      <c r="J39" s="79">
        <f t="shared" ca="1" si="10"/>
        <v>0</v>
      </c>
      <c r="L39" s="2" t="s">
        <v>442</v>
      </c>
      <c r="M39" s="74">
        <f>MATCH(L39,'Dist RZ Factors'!$B$13:$B$105,0)</f>
        <v>23</v>
      </c>
      <c r="N39" s="9">
        <f ca="1">OFFSET('Dist RZ Factors'!$B$13,$M39-1,N$9)*$J39+OFFSET('Dist RZ Factors'!$B$13,$I39-1,N$9)*$F39</f>
        <v>0</v>
      </c>
      <c r="O39" s="9">
        <f ca="1">OFFSET('Dist RZ Factors'!$B$13,$M39-1,O$9)*$J39+OFFSET('Dist RZ Factors'!$B$13,$I39-1,O$9)*$F39</f>
        <v>0</v>
      </c>
      <c r="P39" s="9"/>
      <c r="Q39" s="9">
        <f ca="1">OFFSET('Dist RZ Factors'!$B$13,$M39-1,P$9)*$J39+OFFSET('Dist RZ Factors'!$B$13,$I39-1,P$9)*$F39</f>
        <v>0</v>
      </c>
      <c r="R39" s="9">
        <f ca="1">OFFSET('Dist RZ Factors'!$B$13,$M39-1,Q$9)*$J39+OFFSET('Dist RZ Factors'!$B$13,$I39-1,Q$9)*$F39</f>
        <v>0</v>
      </c>
    </row>
    <row r="40" spans="1:18" x14ac:dyDescent="0.2">
      <c r="B40" s="31" t="s">
        <v>163</v>
      </c>
      <c r="D40" s="79"/>
      <c r="E40" s="79"/>
      <c r="F40" s="79"/>
      <c r="G40" s="79"/>
      <c r="H40" s="123"/>
      <c r="J40" s="79"/>
      <c r="Q40" s="50"/>
    </row>
    <row r="41" spans="1:18" x14ac:dyDescent="0.2">
      <c r="A41" s="2">
        <f>A39+1</f>
        <v>24</v>
      </c>
      <c r="B41" s="82" t="s">
        <v>165</v>
      </c>
      <c r="D41" s="79">
        <f ca="1">SUM('Distribution Class'!V$113:V$120,'Distribution Class'!V$122)</f>
        <v>0</v>
      </c>
      <c r="E41" s="79"/>
      <c r="F41" s="79"/>
      <c r="G41" s="79"/>
      <c r="H41" s="123"/>
      <c r="I41" s="74">
        <f>_xlfn.IFNA(MATCH(H41,'Dist RZ Factors'!$B$13:$B$105,0),0)</f>
        <v>0</v>
      </c>
      <c r="J41" s="79">
        <f t="shared" ca="1" si="10"/>
        <v>0</v>
      </c>
      <c r="L41" s="2" t="s">
        <v>443</v>
      </c>
      <c r="M41" s="74">
        <f>MATCH(L41,'Dist RZ Factors'!$B$13:$B$105,0)</f>
        <v>14</v>
      </c>
      <c r="N41" s="9">
        <f ca="1">OFFSET('Dist RZ Factors'!$B$13,$M41-1,N$9)*$J41+OFFSET('Dist RZ Factors'!$B$13,$I41-1,N$9)*$F41</f>
        <v>0</v>
      </c>
      <c r="O41" s="9">
        <f ca="1">OFFSET('Dist RZ Factors'!$B$13,$M41-1,O$9)*$J41+OFFSET('Dist RZ Factors'!$B$13,$I41-1,O$9)*$F41</f>
        <v>0</v>
      </c>
      <c r="P41" s="9"/>
      <c r="Q41" s="9">
        <f ca="1">OFFSET('Dist RZ Factors'!$B$13,$M41-1,P$9)*$J41+OFFSET('Dist RZ Factors'!$B$13,$I41-1,P$9)*$F41</f>
        <v>0</v>
      </c>
      <c r="R41" s="9">
        <f ca="1">OFFSET('Dist RZ Factors'!$B$13,$M41-1,Q$9)*$J41+OFFSET('Dist RZ Factors'!$B$13,$I41-1,Q$9)*$F41</f>
        <v>0</v>
      </c>
    </row>
    <row r="42" spans="1:18" x14ac:dyDescent="0.2">
      <c r="A42" s="2">
        <f t="shared" si="11"/>
        <v>25</v>
      </c>
      <c r="B42" s="82" t="s">
        <v>166</v>
      </c>
      <c r="D42" s="79">
        <f ca="1">SUM('Distribution Class'!X$113:X$120,'Distribution Class'!X$122)</f>
        <v>0</v>
      </c>
      <c r="E42" s="79"/>
      <c r="F42" s="79"/>
      <c r="G42" s="79"/>
      <c r="H42" s="123"/>
      <c r="I42" s="74">
        <f>_xlfn.IFNA(MATCH(H42,'Dist RZ Factors'!$B$13:$B$105,0),0)</f>
        <v>0</v>
      </c>
      <c r="J42" s="79">
        <f t="shared" ca="1" si="10"/>
        <v>0</v>
      </c>
      <c r="L42" s="2" t="s">
        <v>444</v>
      </c>
      <c r="M42" s="74">
        <f>MATCH(L42,'Dist RZ Factors'!$B$13:$B$105,0)</f>
        <v>11</v>
      </c>
      <c r="N42" s="9">
        <f ca="1">OFFSET('Dist RZ Factors'!$B$13,$M42-1,N$9)*$J42+OFFSET('Dist RZ Factors'!$B$13,$I42-1,N$9)*$F42</f>
        <v>0</v>
      </c>
      <c r="O42" s="9">
        <f ca="1">OFFSET('Dist RZ Factors'!$B$13,$M42-1,O$9)*$J42+OFFSET('Dist RZ Factors'!$B$13,$I42-1,O$9)*$F42</f>
        <v>0</v>
      </c>
      <c r="P42" s="9"/>
      <c r="Q42" s="9">
        <f ca="1">OFFSET('Dist RZ Factors'!$B$13,$M42-1,P$9)*$J42+OFFSET('Dist RZ Factors'!$B$13,$I42-1,P$9)*$F42</f>
        <v>0</v>
      </c>
      <c r="R42" s="9">
        <f ca="1">OFFSET('Dist RZ Factors'!$B$13,$M42-1,Q$9)*$J42+OFFSET('Dist RZ Factors'!$B$13,$I42-1,Q$9)*$F42</f>
        <v>0</v>
      </c>
    </row>
    <row r="43" spans="1:18" x14ac:dyDescent="0.2">
      <c r="A43" s="2">
        <f t="shared" si="11"/>
        <v>26</v>
      </c>
      <c r="B43" s="31" t="s">
        <v>101</v>
      </c>
      <c r="D43" s="79">
        <f ca="1">SUM('Distribution Class'!X$113:X$120,'Distribution Class'!X$122)</f>
        <v>0</v>
      </c>
      <c r="E43" s="79"/>
      <c r="F43" s="79"/>
      <c r="G43" s="79"/>
      <c r="H43" s="123"/>
      <c r="I43" s="74">
        <f>_xlfn.IFNA(MATCH(H43,'Dist RZ Factors'!$B$13:$B$105,0),0)</f>
        <v>0</v>
      </c>
      <c r="J43" s="79">
        <f t="shared" ca="1" si="10"/>
        <v>0</v>
      </c>
      <c r="L43" s="2" t="s">
        <v>447</v>
      </c>
      <c r="M43" s="74">
        <f>MATCH(L43,'Dist RZ Factors'!$B$13:$B$105,0)</f>
        <v>29</v>
      </c>
      <c r="N43" s="9">
        <f ca="1">OFFSET('Dist RZ Factors'!$B$13,$M43-1,N$9)*$J43+OFFSET('Dist RZ Factors'!$B$13,$I43-1,N$9)*$F43</f>
        <v>0</v>
      </c>
      <c r="O43" s="9">
        <f ca="1">OFFSET('Dist RZ Factors'!$B$13,$M43-1,O$9)*$J43+OFFSET('Dist RZ Factors'!$B$13,$I43-1,O$9)*$F43</f>
        <v>0</v>
      </c>
      <c r="P43" s="9"/>
      <c r="Q43" s="9">
        <f ca="1">OFFSET('Dist RZ Factors'!$B$13,$M43-1,P$9)*$J43+OFFSET('Dist RZ Factors'!$B$13,$I43-1,P$9)*$F43</f>
        <v>0</v>
      </c>
      <c r="R43" s="9">
        <f ca="1">OFFSET('Dist RZ Factors'!$B$13,$M43-1,Q$9)*$J43+OFFSET('Dist RZ Factors'!$B$13,$I43-1,Q$9)*$F43</f>
        <v>0</v>
      </c>
    </row>
    <row r="44" spans="1:18" x14ac:dyDescent="0.2">
      <c r="A44" s="2">
        <f t="shared" si="11"/>
        <v>27</v>
      </c>
      <c r="B44" s="31" t="s">
        <v>102</v>
      </c>
      <c r="D44" s="79">
        <f ca="1">SUM('Distribution Class'!Z$113:Z$120,'Distribution Class'!Z$122)</f>
        <v>0</v>
      </c>
      <c r="E44" s="79"/>
      <c r="F44" s="79"/>
      <c r="G44" s="79"/>
      <c r="H44" s="123"/>
      <c r="I44" s="74">
        <f>_xlfn.IFNA(MATCH(H44,'Dist RZ Factors'!$B$13:$B$105,0),0)</f>
        <v>0</v>
      </c>
      <c r="J44" s="79">
        <f t="shared" ca="1" si="10"/>
        <v>0</v>
      </c>
      <c r="L44" s="2" t="s">
        <v>448</v>
      </c>
      <c r="M44" s="74">
        <f>MATCH(L44,'Dist RZ Factors'!$B$13:$B$105,0)</f>
        <v>35</v>
      </c>
      <c r="N44" s="9">
        <f ca="1">OFFSET('Dist RZ Factors'!$B$13,$M44-1,N$9)*$J44+OFFSET('Dist RZ Factors'!$B$13,$I44-1,N$9)*$F44</f>
        <v>0</v>
      </c>
      <c r="O44" s="9">
        <f ca="1">OFFSET('Dist RZ Factors'!$B$13,$M44-1,O$9)*$J44+OFFSET('Dist RZ Factors'!$B$13,$I44-1,O$9)*$F44</f>
        <v>0</v>
      </c>
      <c r="P44" s="9"/>
      <c r="Q44" s="9">
        <f ca="1">OFFSET('Dist RZ Factors'!$B$13,$M44-1,P$9)*$J44+OFFSET('Dist RZ Factors'!$B$13,$I44-1,P$9)*$F44</f>
        <v>0</v>
      </c>
      <c r="R44" s="9">
        <f ca="1">OFFSET('Dist RZ Factors'!$B$13,$M44-1,Q$9)*$J44+OFFSET('Dist RZ Factors'!$B$13,$I44-1,Q$9)*$F44</f>
        <v>0</v>
      </c>
    </row>
    <row r="45" spans="1:18" x14ac:dyDescent="0.2">
      <c r="A45" s="2">
        <f t="shared" si="11"/>
        <v>28</v>
      </c>
      <c r="B45" s="31" t="s">
        <v>103</v>
      </c>
      <c r="D45" s="79">
        <f ca="1">SUM('Distribution Class'!AB$113:AB$120,'Distribution Class'!AB$122)</f>
        <v>0</v>
      </c>
      <c r="E45" s="79"/>
      <c r="F45" s="79"/>
      <c r="G45" s="79"/>
      <c r="H45" s="123"/>
      <c r="I45" s="74">
        <f>_xlfn.IFNA(MATCH(H45,'Dist RZ Factors'!$B$13:$B$105,0),0)</f>
        <v>0</v>
      </c>
      <c r="J45" s="79">
        <f t="shared" ca="1" si="10"/>
        <v>0</v>
      </c>
      <c r="L45" s="2" t="s">
        <v>449</v>
      </c>
      <c r="M45" s="74">
        <f>MATCH(L45,'Dist RZ Factors'!$B$13:$B$105,0)</f>
        <v>32</v>
      </c>
      <c r="N45" s="9">
        <f ca="1">OFFSET('Dist RZ Factors'!$B$13,$M45-1,N$9)*$J45+OFFSET('Dist RZ Factors'!$B$13,$I45-1,N$9)*$F45</f>
        <v>0</v>
      </c>
      <c r="O45" s="9">
        <f ca="1">OFFSET('Dist RZ Factors'!$B$13,$M45-1,O$9)*$J45+OFFSET('Dist RZ Factors'!$B$13,$I45-1,O$9)*$F45</f>
        <v>0</v>
      </c>
      <c r="P45" s="9"/>
      <c r="Q45" s="9">
        <f ca="1">OFFSET('Dist RZ Factors'!$B$13,$M45-1,P$9)*$J45+OFFSET('Dist RZ Factors'!$B$13,$I45-1,P$9)*$F45</f>
        <v>0</v>
      </c>
      <c r="R45" s="9">
        <f ca="1">OFFSET('Dist RZ Factors'!$B$13,$M45-1,Q$9)*$J45+OFFSET('Dist RZ Factors'!$B$13,$I45-1,Q$9)*$F45</f>
        <v>0</v>
      </c>
    </row>
    <row r="46" spans="1:18" x14ac:dyDescent="0.2">
      <c r="A46" s="2">
        <f t="shared" si="11"/>
        <v>29</v>
      </c>
      <c r="B46" s="31" t="s">
        <v>186</v>
      </c>
      <c r="D46" s="79">
        <f ca="1">SUM('Distribution Class'!AD$113:AD$120,'Distribution Class'!AD$122)</f>
        <v>0</v>
      </c>
      <c r="E46" s="79"/>
      <c r="F46" s="79"/>
      <c r="G46" s="79"/>
      <c r="H46" s="123"/>
      <c r="I46" s="74">
        <f>_xlfn.IFNA(MATCH(H46,'Dist RZ Factors'!$B$13:$B$105,0),0)</f>
        <v>0</v>
      </c>
      <c r="J46" s="79">
        <f t="shared" ca="1" si="10"/>
        <v>0</v>
      </c>
      <c r="L46" s="2" t="s">
        <v>450</v>
      </c>
      <c r="M46" s="74">
        <f>MATCH(L46,'Dist RZ Factors'!$B$13:$B$105,0)</f>
        <v>38</v>
      </c>
      <c r="N46" s="9">
        <f ca="1">OFFSET('Dist RZ Factors'!$B$13,$M46-1,N$9)*$J46+OFFSET('Dist RZ Factors'!$B$13,$I46-1,N$9)*$F46</f>
        <v>0</v>
      </c>
      <c r="O46" s="9">
        <f ca="1">OFFSET('Dist RZ Factors'!$B$13,$M46-1,O$9)*$J46+OFFSET('Dist RZ Factors'!$B$13,$I46-1,O$9)*$F46</f>
        <v>0</v>
      </c>
      <c r="P46" s="9"/>
      <c r="Q46" s="9">
        <f ca="1">OFFSET('Dist RZ Factors'!$B$13,$M46-1,P$9)*$J46+OFFSET('Dist RZ Factors'!$B$13,$I46-1,P$9)*$F46</f>
        <v>0</v>
      </c>
      <c r="R46" s="9">
        <f ca="1">OFFSET('Dist RZ Factors'!$B$13,$M46-1,Q$9)*$J46+OFFSET('Dist RZ Factors'!$B$13,$I46-1,Q$9)*$F46</f>
        <v>0</v>
      </c>
    </row>
    <row r="47" spans="1:18" x14ac:dyDescent="0.2">
      <c r="B47" s="31" t="s">
        <v>164</v>
      </c>
      <c r="D47" s="79"/>
      <c r="E47" s="79"/>
      <c r="F47" s="79"/>
      <c r="G47" s="79"/>
      <c r="H47" s="123"/>
      <c r="J47" s="79"/>
      <c r="L47" s="1"/>
      <c r="N47" s="38"/>
      <c r="O47" s="38"/>
      <c r="P47" s="38"/>
      <c r="Q47" s="50"/>
    </row>
    <row r="48" spans="1:18" x14ac:dyDescent="0.2">
      <c r="A48" s="2">
        <f>A46+1</f>
        <v>30</v>
      </c>
      <c r="B48" s="82" t="s">
        <v>176</v>
      </c>
      <c r="D48" s="79">
        <f ca="1">SUM('Dist Cust Class'!P$116:P$120,'Dist Cust Class'!P$122)</f>
        <v>0</v>
      </c>
      <c r="I48" s="74">
        <f>_xlfn.IFNA(MATCH(H48,'Dist RZ Factors'!$B$13:$B$105,0),0)</f>
        <v>0</v>
      </c>
      <c r="J48" s="79">
        <f t="shared" ca="1" si="10"/>
        <v>0</v>
      </c>
      <c r="L48" s="2" t="s">
        <v>445</v>
      </c>
      <c r="M48" s="74">
        <f>MATCH(L48,'Dist RZ Factors'!$B$13:$B$105,0)</f>
        <v>5</v>
      </c>
      <c r="N48" s="9">
        <f ca="1">OFFSET('Dist RZ Factors'!$B$13,$M48-1,N$9)*$J48+OFFSET('Dist RZ Factors'!$B$13,$I48-1,N$9)*$F48</f>
        <v>0</v>
      </c>
      <c r="O48" s="9">
        <f ca="1">OFFSET('Dist RZ Factors'!$B$13,$M48-1,O$9)*$J48+OFFSET('Dist RZ Factors'!$B$13,$I48-1,O$9)*$F48</f>
        <v>0</v>
      </c>
      <c r="P48" s="9"/>
      <c r="Q48" s="9">
        <f ca="1">OFFSET('Dist RZ Factors'!$B$13,$M48-1,P$9)*$J48+OFFSET('Dist RZ Factors'!$B$13,$I48-1,P$9)*$F48</f>
        <v>0</v>
      </c>
      <c r="R48" s="9">
        <f ca="1">OFFSET('Dist RZ Factors'!$B$13,$M48-1,Q$9)*$J48+OFFSET('Dist RZ Factors'!$B$13,$I48-1,Q$9)*$F48</f>
        <v>0</v>
      </c>
    </row>
    <row r="49" spans="1:18" x14ac:dyDescent="0.2">
      <c r="A49" s="2">
        <f t="shared" si="11"/>
        <v>31</v>
      </c>
      <c r="B49" s="82" t="s">
        <v>72</v>
      </c>
      <c r="D49" s="79">
        <f ca="1">SUM('Dist Cust Class'!R$116:R$120,'Dist Cust Class'!R$122)</f>
        <v>0</v>
      </c>
      <c r="F49" s="79"/>
      <c r="I49" s="74">
        <f>_xlfn.IFNA(MATCH(H49,'Dist RZ Factors'!$B$13:$B$105,0),0)</f>
        <v>0</v>
      </c>
      <c r="J49" s="79">
        <f t="shared" ca="1" si="10"/>
        <v>0</v>
      </c>
      <c r="L49" s="2" t="s">
        <v>452</v>
      </c>
      <c r="M49" s="74">
        <f>MATCH(L49,'Dist RZ Factors'!$B$13:$B$105,0)</f>
        <v>41</v>
      </c>
      <c r="N49" s="9">
        <f ca="1">OFFSET('Dist RZ Factors'!$B$13,$M49-1,N$9)*$J49+OFFSET('Dist RZ Factors'!$B$13,$I49-1,N$9)*$F49</f>
        <v>0</v>
      </c>
      <c r="O49" s="9">
        <f ca="1">OFFSET('Dist RZ Factors'!$B$13,$M49-1,O$9)*$J49+OFFSET('Dist RZ Factors'!$B$13,$I49-1,O$9)*$F49</f>
        <v>0</v>
      </c>
      <c r="P49" s="9"/>
      <c r="Q49" s="9">
        <f ca="1">OFFSET('Dist RZ Factors'!$B$13,$M49-1,P$9)*$J49+OFFSET('Dist RZ Factors'!$B$13,$I49-1,P$9)*$F49</f>
        <v>0</v>
      </c>
      <c r="R49" s="9">
        <f ca="1">OFFSET('Dist RZ Factors'!$B$13,$M49-1,Q$9)*$J49+OFFSET('Dist RZ Factors'!$B$13,$I49-1,Q$9)*$F49</f>
        <v>0</v>
      </c>
    </row>
    <row r="50" spans="1:18" x14ac:dyDescent="0.2">
      <c r="A50" s="2">
        <f t="shared" si="11"/>
        <v>32</v>
      </c>
      <c r="B50" s="82" t="s">
        <v>174</v>
      </c>
      <c r="D50" s="79">
        <f ca="1">SUM('Dist Cust Class'!T$116:T$120,'Dist Cust Class'!T$122)</f>
        <v>0</v>
      </c>
      <c r="I50" s="74">
        <f>_xlfn.IFNA(MATCH(H50,'Dist RZ Factors'!$B$13:$B$105,0),0)</f>
        <v>0</v>
      </c>
      <c r="J50" s="79">
        <f t="shared" ca="1" si="10"/>
        <v>0</v>
      </c>
      <c r="L50" s="2" t="s">
        <v>453</v>
      </c>
      <c r="M50" s="74">
        <f>MATCH(L50,'Dist RZ Factors'!$B$13:$B$105,0)</f>
        <v>26</v>
      </c>
      <c r="N50" s="9">
        <f ca="1">OFFSET('Dist RZ Factors'!$B$13,$M50-1,N$9)*$J50+OFFSET('Dist RZ Factors'!$B$13,$I50-1,N$9)*$F50</f>
        <v>0</v>
      </c>
      <c r="O50" s="9">
        <f ca="1">OFFSET('Dist RZ Factors'!$B$13,$M50-1,O$9)*$J50+OFFSET('Dist RZ Factors'!$B$13,$I50-1,O$9)*$F50</f>
        <v>0</v>
      </c>
      <c r="P50" s="9"/>
      <c r="Q50" s="9">
        <f ca="1">OFFSET('Dist RZ Factors'!$B$13,$M50-1,P$9)*$J50+OFFSET('Dist RZ Factors'!$B$13,$I50-1,P$9)*$F50</f>
        <v>0</v>
      </c>
      <c r="R50" s="9">
        <f ca="1">OFFSET('Dist RZ Factors'!$B$13,$M50-1,Q$9)*$J50+OFFSET('Dist RZ Factors'!$B$13,$I50-1,Q$9)*$F50</f>
        <v>0</v>
      </c>
    </row>
    <row r="51" spans="1:18" x14ac:dyDescent="0.2">
      <c r="A51" s="2">
        <f t="shared" si="11"/>
        <v>33</v>
      </c>
      <c r="B51" s="31" t="s">
        <v>249</v>
      </c>
      <c r="D51" s="79">
        <f ca="1">SUM('Distribution Class'!AH$113:AH$120,'Distribution Class'!AH$122)</f>
        <v>18339.883386175716</v>
      </c>
      <c r="F51" s="79"/>
      <c r="I51" s="74">
        <f>_xlfn.IFNA(MATCH(H51,'Dist RZ Factors'!$B$13:$B$105,0),0)</f>
        <v>0</v>
      </c>
      <c r="J51" s="79">
        <f t="shared" ca="1" si="10"/>
        <v>18339.883386175716</v>
      </c>
      <c r="L51" s="2" t="s">
        <v>446</v>
      </c>
      <c r="M51" s="74">
        <f>MATCH(L51,'Dist RZ Factors'!$B$13:$B$105,0)</f>
        <v>8</v>
      </c>
      <c r="N51" s="9">
        <f ca="1">OFFSET('Dist RZ Factors'!$B$13,$M51-1,N$9)*$J51+OFFSET('Dist RZ Factors'!$B$13,$I51-1,N$9)*$F51</f>
        <v>7618.9551613508575</v>
      </c>
      <c r="O51" s="9">
        <f ca="1">OFFSET('Dist RZ Factors'!$B$13,$M51-1,O$9)*$J51+OFFSET('Dist RZ Factors'!$B$13,$I51-1,O$9)*$F51</f>
        <v>2425.8228741204316</v>
      </c>
      <c r="P51" s="9"/>
      <c r="Q51" s="9">
        <f ca="1">OFFSET('Dist RZ Factors'!$B$13,$M51-1,P$9)*$J51+OFFSET('Dist RZ Factors'!$B$13,$I51-1,P$9)*$F51</f>
        <v>8295.1053507044253</v>
      </c>
      <c r="R51" s="9">
        <f ca="1">OFFSET('Dist RZ Factors'!$B$13,$M51-1,Q$9)*$J51+OFFSET('Dist RZ Factors'!$B$13,$I51-1,Q$9)*$F51</f>
        <v>0</v>
      </c>
    </row>
    <row r="52" spans="1:18" x14ac:dyDescent="0.2">
      <c r="A52" s="2">
        <f t="shared" si="11"/>
        <v>34</v>
      </c>
      <c r="B52" s="31" t="s">
        <v>382</v>
      </c>
      <c r="D52" s="41">
        <f ca="1">SUM(D37:D51)</f>
        <v>29049.873472442094</v>
      </c>
      <c r="F52" s="41">
        <f>SUM(F37:F51)</f>
        <v>0</v>
      </c>
      <c r="J52" s="41">
        <f ca="1">SUM(J37:J51)</f>
        <v>29049.873472442094</v>
      </c>
      <c r="N52" s="41">
        <f t="shared" ref="N52:R52" ca="1" si="12">SUM(N37:N51)</f>
        <v>13262.61798867775</v>
      </c>
      <c r="O52" s="41">
        <f t="shared" ca="1" si="12"/>
        <v>3791.3534236983542</v>
      </c>
      <c r="P52" s="9"/>
      <c r="Q52" s="41">
        <f t="shared" ca="1" si="12"/>
        <v>11985.106353137338</v>
      </c>
      <c r="R52" s="41">
        <f t="shared" ca="1" si="12"/>
        <v>10.795706928649199</v>
      </c>
    </row>
    <row r="53" spans="1:18" x14ac:dyDescent="0.2">
      <c r="D53" s="50"/>
      <c r="P53" s="9"/>
      <c r="Q53" s="50"/>
    </row>
    <row r="54" spans="1:18" ht="13.5" thickBot="1" x14ac:dyDescent="0.25">
      <c r="A54" s="2">
        <f>A52+1</f>
        <v>35</v>
      </c>
      <c r="B54" s="31" t="s">
        <v>411</v>
      </c>
      <c r="D54" s="83">
        <f ca="1">D17+D24+D34+D52</f>
        <v>2335177.585828058</v>
      </c>
      <c r="F54" s="83">
        <f ca="1">F17+F24+F34+F52</f>
        <v>18533.95038585359</v>
      </c>
      <c r="J54" s="83">
        <f ca="1">J17+J24+J34+J52</f>
        <v>2316643.6354422043</v>
      </c>
      <c r="N54" s="83">
        <f t="shared" ref="N54:R54" ca="1" si="13">N17+N24+N34+N52</f>
        <v>1418712.8935009963</v>
      </c>
      <c r="O54" s="83">
        <f ca="1">O17+O24+O34+O52+P34+P24+P17</f>
        <v>241136.87857723588</v>
      </c>
      <c r="P54" s="9"/>
      <c r="Q54" s="83">
        <f t="shared" ca="1" si="13"/>
        <v>654660.89297698194</v>
      </c>
      <c r="R54" s="83">
        <f t="shared" ca="1" si="13"/>
        <v>20666.92077284382</v>
      </c>
    </row>
    <row r="55" spans="1:18" ht="13.5" thickTop="1" x14ac:dyDescent="0.2">
      <c r="D55" s="50"/>
      <c r="N55" s="50"/>
      <c r="O55" s="50"/>
      <c r="P55" s="9"/>
    </row>
    <row r="56" spans="1:18" x14ac:dyDescent="0.2">
      <c r="D56" s="50"/>
      <c r="E56" s="50"/>
      <c r="F56" s="50"/>
      <c r="G56" s="50"/>
      <c r="H56" s="50"/>
      <c r="I56" s="128"/>
      <c r="J56" s="50"/>
      <c r="K56" s="129"/>
      <c r="L56" s="50"/>
      <c r="M56" s="128"/>
      <c r="N56" s="50"/>
      <c r="O56" s="50"/>
      <c r="P56" s="9"/>
    </row>
    <row r="57" spans="1:18" x14ac:dyDescent="0.2"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</row>
    <row r="58" spans="1:18" x14ac:dyDescent="0.2">
      <c r="D58" s="79"/>
      <c r="E58" s="79"/>
      <c r="F58" s="79"/>
      <c r="G58" s="79"/>
      <c r="H58" s="79"/>
      <c r="I58" s="127"/>
      <c r="J58" s="79"/>
      <c r="K58" s="126"/>
      <c r="L58" s="79"/>
      <c r="M58" s="127"/>
      <c r="N58" s="79"/>
      <c r="O58" s="79"/>
      <c r="P58" s="79"/>
    </row>
    <row r="60" spans="1:18" x14ac:dyDescent="0.2">
      <c r="F60" s="50"/>
    </row>
  </sheetData>
  <mergeCells count="3">
    <mergeCell ref="B2:L2"/>
    <mergeCell ref="B3:L3"/>
    <mergeCell ref="O36:P36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1AFB1-F584-4787-8406-D2116CFC263C}">
  <dimension ref="A6:V122"/>
  <sheetViews>
    <sheetView topLeftCell="A58" zoomScale="80" zoomScaleNormal="80" workbookViewId="0">
      <selection activeCell="Z82" sqref="Z82"/>
    </sheetView>
  </sheetViews>
  <sheetFormatPr defaultColWidth="9.140625" defaultRowHeight="12.75" x14ac:dyDescent="0.2"/>
  <cols>
    <col min="1" max="1" width="7" style="2" customWidth="1"/>
    <col min="2" max="2" width="29.28515625" style="1" customWidth="1"/>
    <col min="3" max="3" width="5" style="1" customWidth="1"/>
    <col min="4" max="4" width="14.28515625" style="1" customWidth="1"/>
    <col min="5" max="5" width="1.85546875" style="1" customWidth="1"/>
    <col min="6" max="6" width="14.5703125" style="1" bestFit="1" customWidth="1"/>
    <col min="7" max="7" width="1.85546875" style="1" customWidth="1"/>
    <col min="8" max="8" width="14" style="1" customWidth="1"/>
    <col min="9" max="9" width="1.85546875" style="1" customWidth="1"/>
    <col min="10" max="10" width="12.140625" style="1" customWidth="1"/>
    <col min="11" max="11" width="1.7109375" style="1" customWidth="1"/>
    <col min="12" max="12" width="12.140625" style="1" customWidth="1"/>
    <col min="13" max="13" width="1.7109375" style="1" customWidth="1"/>
    <col min="14" max="14" width="12.5703125" style="1" customWidth="1"/>
    <col min="15" max="15" width="1.7109375" style="1" customWidth="1"/>
    <col min="16" max="16" width="10.7109375" style="1" customWidth="1"/>
    <col min="17" max="17" width="1.7109375" style="1" customWidth="1"/>
    <col min="18" max="18" width="10.7109375" style="1" customWidth="1"/>
    <col min="19" max="19" width="1.7109375" style="1" customWidth="1"/>
    <col min="20" max="20" width="10.7109375" style="1" customWidth="1"/>
    <col min="21" max="21" width="1.7109375" style="1" customWidth="1"/>
    <col min="22" max="22" width="10.7109375" style="1" customWidth="1"/>
    <col min="23" max="23" width="1.7109375" style="1" customWidth="1"/>
    <col min="24" max="24" width="10.7109375" style="1" customWidth="1"/>
    <col min="25" max="25" width="1.7109375" style="1" customWidth="1"/>
    <col min="26" max="26" width="10.7109375" style="1" customWidth="1"/>
    <col min="27" max="27" width="1.7109375" style="1" customWidth="1"/>
    <col min="28" max="28" width="10.7109375" style="1" customWidth="1"/>
    <col min="29" max="29" width="9.140625" style="1"/>
    <col min="30" max="30" width="12.140625" style="1" bestFit="1" customWidth="1"/>
    <col min="31" max="16384" width="9.140625" style="1"/>
  </cols>
  <sheetData>
    <row r="6" spans="1:14" ht="15" customHeight="1" x14ac:dyDescent="0.2">
      <c r="B6" s="157" t="s">
        <v>512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</row>
    <row r="7" spans="1:14" ht="15" customHeight="1" x14ac:dyDescent="0.2">
      <c r="B7" s="157" t="s">
        <v>539</v>
      </c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</row>
    <row r="8" spans="1:14" x14ac:dyDescent="0.2">
      <c r="F8" s="18"/>
      <c r="H8" s="18"/>
      <c r="J8" s="18"/>
      <c r="K8" s="18"/>
      <c r="L8" s="18"/>
    </row>
    <row r="9" spans="1:14" x14ac:dyDescent="0.2">
      <c r="A9" s="2" t="s">
        <v>2</v>
      </c>
      <c r="B9" s="2"/>
      <c r="C9" s="31"/>
      <c r="D9" s="31"/>
      <c r="F9" s="18"/>
      <c r="G9" s="18"/>
      <c r="H9" s="18" t="s">
        <v>419</v>
      </c>
      <c r="I9" s="3"/>
      <c r="J9" s="18" t="s">
        <v>419</v>
      </c>
    </row>
    <row r="10" spans="1:14" x14ac:dyDescent="0.2">
      <c r="A10" s="33" t="s">
        <v>4</v>
      </c>
      <c r="B10" s="33" t="s">
        <v>405</v>
      </c>
      <c r="C10" s="31"/>
      <c r="D10" s="33" t="s">
        <v>11</v>
      </c>
      <c r="F10" s="18" t="s">
        <v>416</v>
      </c>
      <c r="G10" s="18"/>
      <c r="H10" s="18" t="s">
        <v>420</v>
      </c>
      <c r="I10" s="18"/>
      <c r="J10" s="18" t="s">
        <v>412</v>
      </c>
      <c r="K10" s="3"/>
      <c r="L10" s="18" t="s">
        <v>421</v>
      </c>
      <c r="N10" s="18" t="s">
        <v>408</v>
      </c>
    </row>
    <row r="11" spans="1:14" x14ac:dyDescent="0.2">
      <c r="B11" s="2"/>
      <c r="C11" s="31"/>
      <c r="D11" s="2" t="s">
        <v>12</v>
      </c>
      <c r="F11" s="153" t="s">
        <v>13</v>
      </c>
      <c r="G11" s="153"/>
      <c r="H11" s="153" t="s">
        <v>14</v>
      </c>
      <c r="I11" s="153"/>
      <c r="J11" s="153" t="s">
        <v>366</v>
      </c>
      <c r="K11" s="153"/>
      <c r="L11" s="153" t="s">
        <v>15</v>
      </c>
      <c r="M11" s="21"/>
      <c r="N11" s="153" t="s">
        <v>16</v>
      </c>
    </row>
    <row r="12" spans="1:14" x14ac:dyDescent="0.2">
      <c r="A12" s="18"/>
      <c r="C12" s="18"/>
      <c r="D12" s="18"/>
      <c r="E12" s="18"/>
      <c r="F12" s="57"/>
      <c r="G12" s="18"/>
      <c r="H12" s="57"/>
      <c r="I12" s="18"/>
      <c r="J12" s="57"/>
      <c r="K12" s="18"/>
      <c r="L12" s="57"/>
    </row>
    <row r="13" spans="1:14" x14ac:dyDescent="0.2">
      <c r="A13" s="18">
        <v>1</v>
      </c>
      <c r="B13" s="18"/>
      <c r="C13" s="2" t="s">
        <v>368</v>
      </c>
      <c r="D13" s="20">
        <f>SUM(F13:N13)</f>
        <v>28256.55440729922</v>
      </c>
      <c r="F13" s="20">
        <v>17540.334264621124</v>
      </c>
      <c r="G13" s="20">
        <v>0</v>
      </c>
      <c r="H13" s="20">
        <v>630.44230357891513</v>
      </c>
      <c r="I13" s="20">
        <v>0</v>
      </c>
      <c r="J13" s="20">
        <v>1693.6289519026407</v>
      </c>
      <c r="K13" s="20">
        <v>0</v>
      </c>
      <c r="L13" s="20">
        <v>8392.1488871965394</v>
      </c>
      <c r="M13" s="20">
        <v>0</v>
      </c>
      <c r="N13" s="20">
        <v>0</v>
      </c>
    </row>
    <row r="14" spans="1:14" x14ac:dyDescent="0.2">
      <c r="A14" s="18">
        <v>2</v>
      </c>
      <c r="B14" s="18" t="s">
        <v>430</v>
      </c>
      <c r="C14" s="2"/>
      <c r="D14" s="37">
        <f>SUM(F14:N14)</f>
        <v>0.99999999999999989</v>
      </c>
      <c r="E14" s="37"/>
      <c r="F14" s="37">
        <f>IFERROR(F13/$D13,0)</f>
        <v>0.62075276453699935</v>
      </c>
      <c r="G14" s="37"/>
      <c r="H14" s="37">
        <f>IFERROR(H13/$D13,0)</f>
        <v>2.2311365161212279E-2</v>
      </c>
      <c r="I14" s="37"/>
      <c r="J14" s="37">
        <f>IFERROR(J13/$D13,0)</f>
        <v>5.9937560945687814E-2</v>
      </c>
      <c r="K14" s="20"/>
      <c r="L14" s="37">
        <f>IFERROR(L13/$D13,0)</f>
        <v>0.2969983093561005</v>
      </c>
      <c r="N14" s="37">
        <f>IFERROR(N13/$D13,0)</f>
        <v>0</v>
      </c>
    </row>
    <row r="15" spans="1:14" x14ac:dyDescent="0.2">
      <c r="A15" s="18"/>
      <c r="B15" s="6"/>
      <c r="C15" s="18"/>
      <c r="D15" s="18"/>
      <c r="E15" s="18"/>
      <c r="F15" s="57"/>
      <c r="G15" s="18"/>
      <c r="H15" s="57"/>
      <c r="I15" s="18"/>
      <c r="J15" s="57"/>
      <c r="K15" s="18"/>
      <c r="L15" s="57"/>
    </row>
    <row r="16" spans="1:14" x14ac:dyDescent="0.2">
      <c r="A16" s="18">
        <v>3</v>
      </c>
      <c r="C16" s="2" t="s">
        <v>367</v>
      </c>
      <c r="D16" s="20">
        <f>SUM(F16:N16)</f>
        <v>18533.950357628506</v>
      </c>
      <c r="E16" s="20"/>
      <c r="F16" s="20">
        <v>3368.0941461927323</v>
      </c>
      <c r="G16" s="20">
        <v>0</v>
      </c>
      <c r="H16" s="20">
        <v>262.77322742029065</v>
      </c>
      <c r="I16" s="20">
        <v>0</v>
      </c>
      <c r="J16" s="20">
        <v>711.64165146981838</v>
      </c>
      <c r="L16" s="20">
        <v>4472.5161039693821</v>
      </c>
      <c r="N16" s="9">
        <v>9718.9252285762832</v>
      </c>
    </row>
    <row r="17" spans="1:14" x14ac:dyDescent="0.2">
      <c r="A17" s="18">
        <v>4</v>
      </c>
      <c r="B17" s="2" t="s">
        <v>438</v>
      </c>
      <c r="C17" s="2"/>
      <c r="D17" s="37">
        <f>SUM(F17:N17)</f>
        <v>1</v>
      </c>
      <c r="E17" s="37"/>
      <c r="F17" s="37">
        <f>IFERROR(F16/$D16,0)</f>
        <v>0.18172564840211936</v>
      </c>
      <c r="G17" s="37"/>
      <c r="H17" s="37">
        <f>IFERROR(H16/$D16,0)</f>
        <v>1.4177939529881937E-2</v>
      </c>
      <c r="I17" s="37"/>
      <c r="J17" s="37">
        <f>IFERROR(J16/$D16,0)</f>
        <v>3.8396652507322021E-2</v>
      </c>
      <c r="K17" s="20"/>
      <c r="L17" s="37">
        <f>IFERROR(L16/$D16,0)</f>
        <v>0.24131477735012444</v>
      </c>
      <c r="N17" s="37">
        <f>IFERROR(N16/$D16,0)</f>
        <v>0.5243849822105523</v>
      </c>
    </row>
    <row r="18" spans="1:14" x14ac:dyDescent="0.2">
      <c r="A18" s="18"/>
      <c r="B18" s="6"/>
      <c r="C18" s="18"/>
      <c r="D18" s="18"/>
      <c r="E18" s="18"/>
      <c r="F18" s="57"/>
      <c r="G18" s="18"/>
      <c r="H18" s="57"/>
      <c r="I18" s="18"/>
      <c r="J18" s="57"/>
      <c r="K18" s="18"/>
      <c r="L18" s="57"/>
    </row>
    <row r="19" spans="1:14" x14ac:dyDescent="0.2">
      <c r="A19" s="18">
        <v>5</v>
      </c>
      <c r="B19" s="18"/>
      <c r="C19" s="2" t="s">
        <v>367</v>
      </c>
      <c r="D19" s="20">
        <f>SUM(F19:N19)</f>
        <v>-7449.4151202177381</v>
      </c>
      <c r="E19" s="20"/>
      <c r="F19" s="20">
        <v>-4389.327624597051</v>
      </c>
      <c r="G19" s="20"/>
      <c r="H19" s="20">
        <v>-304.2233599669741</v>
      </c>
      <c r="I19" s="20"/>
      <c r="J19" s="20">
        <v>-2755.8641356537128</v>
      </c>
      <c r="L19" s="9">
        <v>0</v>
      </c>
      <c r="N19" s="15">
        <v>0</v>
      </c>
    </row>
    <row r="20" spans="1:14" x14ac:dyDescent="0.2">
      <c r="A20" s="18">
        <v>6</v>
      </c>
      <c r="B20" s="18" t="s">
        <v>426</v>
      </c>
      <c r="C20" s="2"/>
      <c r="D20" s="37">
        <f>SUM(F20:N20)</f>
        <v>0.99999999999999989</v>
      </c>
      <c r="E20" s="37"/>
      <c r="F20" s="37">
        <f>IFERROR(F19/$D19,0)</f>
        <v>0.58921775116067843</v>
      </c>
      <c r="G20" s="37"/>
      <c r="H20" s="37">
        <f>IFERROR(H19/$D19,0)</f>
        <v>4.0838556458118555E-2</v>
      </c>
      <c r="I20" s="37"/>
      <c r="J20" s="37">
        <f>IFERROR(J19/$D19,0)</f>
        <v>0.36994369238120295</v>
      </c>
      <c r="K20" s="20"/>
      <c r="L20" s="37">
        <f>IFERROR(L19/$D19,0)</f>
        <v>0</v>
      </c>
      <c r="N20" s="37">
        <f>IFERROR(N19/$D19,0)</f>
        <v>0</v>
      </c>
    </row>
    <row r="21" spans="1:14" x14ac:dyDescent="0.2">
      <c r="A21" s="18"/>
      <c r="B21" s="6"/>
      <c r="C21" s="18"/>
      <c r="D21" s="18"/>
      <c r="E21" s="18"/>
      <c r="F21" s="57"/>
      <c r="G21" s="18"/>
      <c r="H21" s="57"/>
      <c r="I21" s="18"/>
      <c r="J21" s="57"/>
      <c r="K21" s="18"/>
      <c r="L21" s="57"/>
    </row>
    <row r="22" spans="1:14" x14ac:dyDescent="0.2">
      <c r="A22" s="18">
        <v>7</v>
      </c>
      <c r="B22" s="18"/>
      <c r="C22" s="2" t="s">
        <v>367</v>
      </c>
      <c r="D22" s="20">
        <f>SUM(F22:N22)</f>
        <v>15491.673288166032</v>
      </c>
      <c r="E22" s="20"/>
      <c r="F22" s="20">
        <v>9609.779501061641</v>
      </c>
      <c r="G22" s="20"/>
      <c r="H22" s="20">
        <v>370.84643159245962</v>
      </c>
      <c r="I22" s="20"/>
      <c r="J22" s="20">
        <v>945.2630200863382</v>
      </c>
      <c r="L22" s="9">
        <v>4565.7843354255938</v>
      </c>
      <c r="N22" s="15">
        <v>0</v>
      </c>
    </row>
    <row r="23" spans="1:14" x14ac:dyDescent="0.2">
      <c r="A23" s="18">
        <v>8</v>
      </c>
      <c r="B23" s="18" t="s">
        <v>428</v>
      </c>
      <c r="C23" s="18"/>
      <c r="D23" s="37">
        <f>SUM(F23:N23)</f>
        <v>1</v>
      </c>
      <c r="E23" s="37"/>
      <c r="F23" s="37">
        <f>IFERROR(F22/$D22,0)</f>
        <v>0.62031901411208279</v>
      </c>
      <c r="G23" s="37"/>
      <c r="H23" s="37">
        <f>IFERROR(H22/$D22,0)</f>
        <v>2.3938436132379986E-2</v>
      </c>
      <c r="I23" s="37"/>
      <c r="J23" s="37">
        <f>IFERROR(J22/$D22,0)</f>
        <v>6.1017490009192051E-2</v>
      </c>
      <c r="K23" s="20"/>
      <c r="L23" s="37">
        <f>IFERROR(L22/$D22,0)</f>
        <v>0.29472505974634522</v>
      </c>
      <c r="N23" s="37">
        <f>IFERROR(N22/$D22,0)</f>
        <v>0</v>
      </c>
    </row>
    <row r="24" spans="1:14" x14ac:dyDescent="0.2">
      <c r="A24" s="18"/>
      <c r="B24" s="6"/>
      <c r="C24" s="18"/>
      <c r="D24" s="18"/>
      <c r="E24" s="18"/>
      <c r="F24" s="57"/>
      <c r="G24" s="18"/>
      <c r="H24" s="57"/>
      <c r="I24" s="18"/>
      <c r="J24" s="57"/>
      <c r="K24" s="18"/>
      <c r="L24" s="57"/>
    </row>
    <row r="25" spans="1:14" x14ac:dyDescent="0.2">
      <c r="A25" s="18">
        <v>9</v>
      </c>
      <c r="B25" s="18"/>
      <c r="C25" s="2" t="s">
        <v>367</v>
      </c>
      <c r="D25" s="20">
        <f>SUM(F25:N25)</f>
        <v>30569.722628306641</v>
      </c>
      <c r="E25" s="20"/>
      <c r="F25" s="20">
        <v>12227.889051322658</v>
      </c>
      <c r="G25" s="20"/>
      <c r="H25" s="20">
        <v>0</v>
      </c>
      <c r="I25" s="20"/>
      <c r="J25" s="20">
        <v>0</v>
      </c>
      <c r="L25" s="9">
        <v>0</v>
      </c>
      <c r="N25" s="9">
        <v>18341.833576983983</v>
      </c>
    </row>
    <row r="26" spans="1:14" x14ac:dyDescent="0.2">
      <c r="A26" s="18">
        <v>10</v>
      </c>
      <c r="B26" s="18" t="s">
        <v>436</v>
      </c>
      <c r="C26" s="2"/>
      <c r="D26" s="37">
        <f>SUM(F26:N26)</f>
        <v>1</v>
      </c>
      <c r="E26" s="37"/>
      <c r="F26" s="37">
        <f>IFERROR(F25/$D25,0)</f>
        <v>0.4</v>
      </c>
      <c r="G26" s="37"/>
      <c r="H26" s="37">
        <f>IFERROR(H25/$D25,0)</f>
        <v>0</v>
      </c>
      <c r="I26" s="37"/>
      <c r="J26" s="37">
        <f>IFERROR(J25/$D25,0)</f>
        <v>0</v>
      </c>
      <c r="K26" s="20"/>
      <c r="L26" s="37">
        <f>IFERROR(L25/$D25,0)</f>
        <v>0</v>
      </c>
      <c r="N26" s="37">
        <f>IFERROR(N25/$D25,0)</f>
        <v>0.6</v>
      </c>
    </row>
    <row r="27" spans="1:14" x14ac:dyDescent="0.2">
      <c r="A27" s="18"/>
      <c r="B27" s="6"/>
      <c r="C27" s="18"/>
      <c r="D27" s="18"/>
      <c r="E27" s="18"/>
      <c r="F27" s="57"/>
      <c r="G27" s="18"/>
      <c r="H27" s="57"/>
      <c r="I27" s="18"/>
      <c r="J27" s="57"/>
      <c r="K27" s="18"/>
      <c r="L27" s="57"/>
    </row>
    <row r="28" spans="1:14" x14ac:dyDescent="0.2">
      <c r="A28" s="18">
        <v>11</v>
      </c>
      <c r="B28" s="18"/>
      <c r="C28" s="2" t="s">
        <v>367</v>
      </c>
      <c r="D28" s="20">
        <f>SUM(F28:N28)</f>
        <v>12889.72691135346</v>
      </c>
      <c r="E28" s="20"/>
      <c r="F28" s="20">
        <v>4807.6632450940742</v>
      </c>
      <c r="G28" s="20"/>
      <c r="H28" s="20">
        <v>47.882758574584528</v>
      </c>
      <c r="I28" s="20"/>
      <c r="J28" s="20">
        <v>549.90589197103895</v>
      </c>
      <c r="L28" s="9">
        <v>2801.1189262642133</v>
      </c>
      <c r="N28" s="9">
        <v>4683.1560894495487</v>
      </c>
    </row>
    <row r="29" spans="1:14" x14ac:dyDescent="0.2">
      <c r="A29" s="18">
        <v>12</v>
      </c>
      <c r="B29" s="18" t="s">
        <v>536</v>
      </c>
      <c r="C29" s="2"/>
      <c r="D29" s="37">
        <f>SUM(F29:N29)</f>
        <v>1</v>
      </c>
      <c r="E29" s="37"/>
      <c r="F29" s="37">
        <f>IFERROR(F28/$D28,0)</f>
        <v>0.37298410417519506</v>
      </c>
      <c r="G29" s="37"/>
      <c r="H29" s="37">
        <f>IFERROR(H28/$D28,0)</f>
        <v>3.7148000810171308E-3</v>
      </c>
      <c r="I29" s="37"/>
      <c r="J29" s="37">
        <f>IFERROR(J28/$D28,0)</f>
        <v>4.2662338446183355E-2</v>
      </c>
      <c r="K29" s="20"/>
      <c r="L29" s="37">
        <f>IFERROR(L28/$D28,0)</f>
        <v>0.21731406301532633</v>
      </c>
      <c r="N29" s="37">
        <f>IFERROR(N28/$D28,0)</f>
        <v>0.36332469428227809</v>
      </c>
    </row>
    <row r="30" spans="1:14" x14ac:dyDescent="0.2">
      <c r="A30" s="18"/>
      <c r="B30" s="6"/>
      <c r="C30" s="18"/>
      <c r="D30" s="18"/>
      <c r="E30" s="18"/>
      <c r="F30" s="57"/>
      <c r="G30" s="18"/>
      <c r="H30" s="57"/>
      <c r="I30" s="18"/>
      <c r="J30" s="57"/>
      <c r="K30" s="18"/>
      <c r="L30" s="57"/>
    </row>
    <row r="31" spans="1:14" x14ac:dyDescent="0.2">
      <c r="A31" s="18">
        <v>13</v>
      </c>
      <c r="B31" s="18"/>
      <c r="C31" s="2" t="s">
        <v>367</v>
      </c>
      <c r="D31" s="20">
        <f>SUM(F31:N31)</f>
        <v>229743.82612937456</v>
      </c>
      <c r="E31" s="20"/>
      <c r="F31" s="20">
        <v>104883.41266641355</v>
      </c>
      <c r="G31" s="20"/>
      <c r="H31" s="20">
        <v>1048.651856681696</v>
      </c>
      <c r="I31" s="20"/>
      <c r="J31" s="20">
        <v>12043.162336134012</v>
      </c>
      <c r="L31" s="9">
        <v>45205.240605894047</v>
      </c>
      <c r="N31" s="9">
        <v>66563.358664251253</v>
      </c>
    </row>
    <row r="32" spans="1:14" x14ac:dyDescent="0.2">
      <c r="A32" s="18">
        <v>14</v>
      </c>
      <c r="B32" s="18" t="s">
        <v>435</v>
      </c>
      <c r="C32" s="2"/>
      <c r="D32" s="37">
        <f>SUM(F32:N32)</f>
        <v>1</v>
      </c>
      <c r="E32" s="37"/>
      <c r="F32" s="37">
        <f>IFERROR(F31/$D31,0)</f>
        <v>0.45652331308938437</v>
      </c>
      <c r="G32" s="37"/>
      <c r="H32" s="37">
        <f>IFERROR(H31/$D31,0)</f>
        <v>4.5644397690633642E-3</v>
      </c>
      <c r="I32" s="37"/>
      <c r="J32" s="37">
        <f>IFERROR(J31/$D31,0)</f>
        <v>5.2419960697234154E-2</v>
      </c>
      <c r="K32" s="20"/>
      <c r="L32" s="37">
        <f>IFERROR(L31/$D31,0)</f>
        <v>0.19676367964916644</v>
      </c>
      <c r="N32" s="37">
        <f>IFERROR(N31/$D31,0)</f>
        <v>0.28972860679515167</v>
      </c>
    </row>
    <row r="33" spans="1:22" x14ac:dyDescent="0.2">
      <c r="A33" s="18"/>
      <c r="B33" s="6"/>
      <c r="C33" s="18"/>
      <c r="D33" s="18"/>
      <c r="E33" s="18"/>
      <c r="F33" s="57"/>
      <c r="G33" s="18"/>
      <c r="H33" s="57"/>
      <c r="I33" s="18"/>
      <c r="J33" s="57"/>
      <c r="K33" s="18"/>
      <c r="L33" s="57"/>
    </row>
    <row r="34" spans="1:22" x14ac:dyDescent="0.2">
      <c r="A34" s="18">
        <v>15</v>
      </c>
      <c r="C34" s="2" t="s">
        <v>367</v>
      </c>
      <c r="D34" s="20">
        <f>SUM(F34:N34)</f>
        <v>1418.3718363261082</v>
      </c>
      <c r="E34" s="20"/>
      <c r="F34" s="20">
        <v>135.75366221986272</v>
      </c>
      <c r="G34" s="20"/>
      <c r="H34" s="20">
        <v>0</v>
      </c>
      <c r="I34" s="20"/>
      <c r="J34" s="20">
        <v>0</v>
      </c>
      <c r="L34" s="20">
        <v>286.05282800224472</v>
      </c>
      <c r="N34" s="9">
        <v>996.5653461040007</v>
      </c>
    </row>
    <row r="35" spans="1:22" x14ac:dyDescent="0.2">
      <c r="A35" s="18">
        <v>16</v>
      </c>
      <c r="B35" s="18" t="s">
        <v>433</v>
      </c>
      <c r="C35" s="2"/>
      <c r="D35" s="37">
        <f>SUM(F35:N35)</f>
        <v>1</v>
      </c>
      <c r="E35" s="37"/>
      <c r="F35" s="37">
        <f>IFERROR(F34/$D34,0)</f>
        <v>9.5710912148040284E-2</v>
      </c>
      <c r="G35" s="37"/>
      <c r="H35" s="37">
        <f>IFERROR(H34/$D34,0)</f>
        <v>0</v>
      </c>
      <c r="I35" s="37"/>
      <c r="J35" s="37">
        <f>IFERROR(J34/$D34,0)</f>
        <v>0</v>
      </c>
      <c r="K35" s="20"/>
      <c r="L35" s="37">
        <f>IFERROR(L34/$D34,0)</f>
        <v>0.20167689506806891</v>
      </c>
      <c r="N35" s="37">
        <f>IFERROR(N34/$D34,0)</f>
        <v>0.70261219278389075</v>
      </c>
    </row>
    <row r="36" spans="1:22" x14ac:dyDescent="0.2">
      <c r="A36" s="18"/>
      <c r="B36" s="6"/>
      <c r="C36" s="18"/>
      <c r="D36" s="18"/>
      <c r="E36" s="18"/>
      <c r="F36" s="57"/>
      <c r="G36" s="18"/>
      <c r="H36" s="57"/>
      <c r="I36" s="18"/>
      <c r="J36" s="57"/>
      <c r="K36" s="18"/>
      <c r="L36" s="57"/>
    </row>
    <row r="37" spans="1:22" x14ac:dyDescent="0.2">
      <c r="A37" s="18">
        <v>17</v>
      </c>
      <c r="C37" s="2" t="s">
        <v>367</v>
      </c>
      <c r="D37" s="20">
        <f>SUM(F37:N37)</f>
        <v>161486.41315728414</v>
      </c>
      <c r="E37" s="20"/>
      <c r="F37" s="20">
        <v>119958.96529675426</v>
      </c>
      <c r="G37" s="20"/>
      <c r="H37" s="20">
        <v>10238.216967525721</v>
      </c>
      <c r="I37" s="20"/>
      <c r="J37" s="20">
        <v>31289.230893004158</v>
      </c>
      <c r="L37" s="61">
        <v>0</v>
      </c>
      <c r="N37" s="15">
        <v>0</v>
      </c>
    </row>
    <row r="38" spans="1:22" x14ac:dyDescent="0.2">
      <c r="A38" s="18">
        <v>18</v>
      </c>
      <c r="B38" s="18" t="s">
        <v>423</v>
      </c>
      <c r="C38" s="2"/>
      <c r="D38" s="37">
        <f>SUM(F38:N38)</f>
        <v>1</v>
      </c>
      <c r="E38" s="37"/>
      <c r="F38" s="37">
        <f>IFERROR(F37/$D37,0)</f>
        <v>0.74284246551390631</v>
      </c>
      <c r="G38" s="37"/>
      <c r="H38" s="37">
        <f>IFERROR(H37/$D37,0)</f>
        <v>6.3399866077611916E-2</v>
      </c>
      <c r="I38" s="37"/>
      <c r="J38" s="37">
        <f>IFERROR(J37/$D37,0)</f>
        <v>0.19375766840848183</v>
      </c>
      <c r="K38" s="20"/>
      <c r="L38" s="37">
        <f>IFERROR(L37/$D37,0)</f>
        <v>0</v>
      </c>
      <c r="N38" s="37">
        <f>IFERROR(N37/$D37,0)</f>
        <v>0</v>
      </c>
    </row>
    <row r="39" spans="1:22" x14ac:dyDescent="0.2">
      <c r="A39" s="18"/>
      <c r="B39" s="6"/>
      <c r="C39" s="18"/>
      <c r="D39" s="18"/>
      <c r="E39" s="18"/>
      <c r="F39" s="57"/>
      <c r="G39" s="18"/>
      <c r="H39" s="57"/>
      <c r="I39" s="18"/>
      <c r="J39" s="57"/>
      <c r="K39" s="18"/>
      <c r="L39" s="57"/>
    </row>
    <row r="40" spans="1:22" x14ac:dyDescent="0.2">
      <c r="A40" s="18">
        <v>19</v>
      </c>
      <c r="C40" s="2" t="s">
        <v>367</v>
      </c>
      <c r="D40" s="20">
        <f>SUM(F40:N40)</f>
        <v>40328.527901042762</v>
      </c>
      <c r="E40" s="20"/>
      <c r="F40" s="20">
        <v>23604.021689045923</v>
      </c>
      <c r="G40" s="20"/>
      <c r="H40" s="20">
        <v>759.15736935511347</v>
      </c>
      <c r="I40" s="20"/>
      <c r="J40" s="20">
        <v>2197.2129288199922</v>
      </c>
      <c r="L40" s="9">
        <v>13768.135913821732</v>
      </c>
      <c r="N40" s="15">
        <v>0</v>
      </c>
    </row>
    <row r="41" spans="1:22" x14ac:dyDescent="0.2">
      <c r="A41" s="18">
        <v>20</v>
      </c>
      <c r="B41" s="18" t="s">
        <v>424</v>
      </c>
      <c r="C41" s="2"/>
      <c r="D41" s="37">
        <f>SUM(F41:N41)</f>
        <v>1</v>
      </c>
      <c r="E41" s="37"/>
      <c r="F41" s="37">
        <f>IFERROR(F40/$D40,0)</f>
        <v>0.58529341182412964</v>
      </c>
      <c r="G41" s="37"/>
      <c r="H41" s="37">
        <f>IFERROR(H40/$D40,0)</f>
        <v>1.882432632348785E-2</v>
      </c>
      <c r="I41" s="37"/>
      <c r="J41" s="37">
        <f>IFERROR(J40/$D40,0)</f>
        <v>5.4482844853932282E-2</v>
      </c>
      <c r="K41" s="20"/>
      <c r="L41" s="37">
        <f>IFERROR(L40/$D40,0)</f>
        <v>0.34139941699845022</v>
      </c>
      <c r="N41" s="37">
        <f>IFERROR(N40/$D40,0)</f>
        <v>0</v>
      </c>
    </row>
    <row r="42" spans="1:22" x14ac:dyDescent="0.2">
      <c r="A42" s="18"/>
      <c r="B42" s="6"/>
      <c r="C42" s="18"/>
      <c r="D42" s="18"/>
      <c r="E42" s="18"/>
      <c r="F42" s="57"/>
      <c r="G42" s="18"/>
      <c r="H42" s="57"/>
      <c r="I42" s="18"/>
      <c r="J42" s="57"/>
      <c r="K42" s="18"/>
      <c r="L42" s="57"/>
    </row>
    <row r="43" spans="1:22" x14ac:dyDescent="0.2">
      <c r="A43" s="18">
        <v>21</v>
      </c>
      <c r="C43" s="2" t="s">
        <v>367</v>
      </c>
      <c r="D43" s="20">
        <f>SUM(F43:N43)</f>
        <v>5768.9625818688937</v>
      </c>
      <c r="E43" s="20"/>
      <c r="F43" s="20">
        <v>3229.3411295980759</v>
      </c>
      <c r="G43" s="20"/>
      <c r="H43" s="20">
        <v>121.02913994849065</v>
      </c>
      <c r="I43" s="20"/>
      <c r="J43" s="20">
        <v>340.51671702640135</v>
      </c>
      <c r="L43" s="9">
        <v>1682.6449750057097</v>
      </c>
      <c r="N43" s="55">
        <v>395.43062029021604</v>
      </c>
    </row>
    <row r="44" spans="1:22" x14ac:dyDescent="0.2">
      <c r="A44" s="18">
        <v>22</v>
      </c>
      <c r="B44" s="18" t="s">
        <v>431</v>
      </c>
      <c r="C44" s="2"/>
      <c r="D44" s="37">
        <f>SUM(F44:N44)</f>
        <v>1</v>
      </c>
      <c r="E44" s="37"/>
      <c r="F44" s="37">
        <f>IFERROR(F43/$D43,0)</f>
        <v>0.55977848421958554</v>
      </c>
      <c r="G44" s="37"/>
      <c r="H44" s="37">
        <f>IFERROR(H43/$D43,0)</f>
        <v>2.0979359500245268E-2</v>
      </c>
      <c r="I44" s="37"/>
      <c r="J44" s="37">
        <f>IFERROR(J43/$D43,0)</f>
        <v>5.9025641472628287E-2</v>
      </c>
      <c r="K44" s="20"/>
      <c r="L44" s="37">
        <f>IFERROR(L43/$D43,0)</f>
        <v>0.29167202094429356</v>
      </c>
      <c r="N44" s="37">
        <f>IFERROR(N43/$D43,0)</f>
        <v>6.854449386324736E-2</v>
      </c>
      <c r="O44" s="18"/>
      <c r="P44" s="18"/>
      <c r="Q44" s="18"/>
      <c r="R44" s="18"/>
      <c r="S44" s="18"/>
      <c r="T44" s="18"/>
      <c r="U44" s="18"/>
      <c r="V44" s="18"/>
    </row>
    <row r="45" spans="1:22" x14ac:dyDescent="0.2">
      <c r="A45" s="18"/>
      <c r="B45" s="6"/>
      <c r="C45" s="18"/>
      <c r="D45" s="18"/>
      <c r="E45" s="18"/>
      <c r="F45" s="57"/>
      <c r="G45" s="18"/>
      <c r="H45" s="57"/>
      <c r="I45" s="18"/>
      <c r="J45" s="57"/>
      <c r="K45" s="18"/>
      <c r="L45" s="57"/>
    </row>
    <row r="46" spans="1:22" x14ac:dyDescent="0.2">
      <c r="A46" s="18">
        <v>23</v>
      </c>
      <c r="C46" s="2" t="s">
        <v>367</v>
      </c>
      <c r="D46" s="20">
        <f>SUM(F46:N46)</f>
        <v>53148.309605428796</v>
      </c>
      <c r="E46" s="20"/>
      <c r="F46" s="20">
        <v>0</v>
      </c>
      <c r="G46" s="20"/>
      <c r="H46" s="20">
        <v>0</v>
      </c>
      <c r="I46" s="20"/>
      <c r="J46" s="20">
        <v>0</v>
      </c>
      <c r="L46" s="20">
        <v>53148.309605428796</v>
      </c>
      <c r="N46" s="15">
        <v>0</v>
      </c>
    </row>
    <row r="47" spans="1:22" x14ac:dyDescent="0.2">
      <c r="A47" s="18">
        <v>24</v>
      </c>
      <c r="B47" s="18" t="s">
        <v>437</v>
      </c>
      <c r="C47" s="2"/>
      <c r="D47" s="37">
        <f>SUM(F47:N47)</f>
        <v>1</v>
      </c>
      <c r="E47" s="37"/>
      <c r="F47" s="37">
        <f>IFERROR(F46/$D46,0)</f>
        <v>0</v>
      </c>
      <c r="G47" s="37"/>
      <c r="H47" s="37">
        <f>IFERROR(H46/$D46,0)</f>
        <v>0</v>
      </c>
      <c r="I47" s="37"/>
      <c r="J47" s="37">
        <f>IFERROR(J46/$D46,0)</f>
        <v>0</v>
      </c>
      <c r="K47" s="20"/>
      <c r="L47" s="37">
        <f>IFERROR(L46/$D46,0)</f>
        <v>1</v>
      </c>
      <c r="N47" s="37">
        <f>IFERROR(N46/$D46,0)</f>
        <v>0</v>
      </c>
    </row>
    <row r="48" spans="1:22" x14ac:dyDescent="0.2">
      <c r="A48" s="18"/>
      <c r="B48" s="6"/>
      <c r="C48" s="18"/>
      <c r="D48" s="18"/>
      <c r="E48" s="18"/>
      <c r="F48" s="57"/>
      <c r="G48" s="18"/>
      <c r="H48" s="57"/>
      <c r="I48" s="18"/>
      <c r="J48" s="57"/>
      <c r="K48" s="18"/>
      <c r="L48" s="57"/>
    </row>
    <row r="49" spans="1:22" x14ac:dyDescent="0.2">
      <c r="A49" s="18">
        <v>25</v>
      </c>
      <c r="C49" s="2" t="s">
        <v>367</v>
      </c>
      <c r="D49" s="20">
        <f>SUM(F49:N49)</f>
        <v>46033.650718814592</v>
      </c>
      <c r="E49" s="20"/>
      <c r="F49" s="20">
        <v>18507.938128719048</v>
      </c>
      <c r="G49" s="20"/>
      <c r="H49" s="20">
        <v>310.34216371686807</v>
      </c>
      <c r="I49" s="20"/>
      <c r="J49" s="20">
        <v>3564.1009297557439</v>
      </c>
      <c r="L49" s="9">
        <v>0</v>
      </c>
      <c r="N49" s="9">
        <v>23651.269496622928</v>
      </c>
    </row>
    <row r="50" spans="1:22" x14ac:dyDescent="0.2">
      <c r="A50" s="18">
        <v>26</v>
      </c>
      <c r="B50" s="18" t="s">
        <v>434</v>
      </c>
      <c r="C50" s="2"/>
      <c r="D50" s="37">
        <f>SUM(F50:N50)</f>
        <v>1</v>
      </c>
      <c r="E50" s="37"/>
      <c r="F50" s="37">
        <f>IFERROR(F49/$D49,0)</f>
        <v>0.40205236473140715</v>
      </c>
      <c r="G50" s="37"/>
      <c r="H50" s="37">
        <f>IFERROR(H49/$D49,0)</f>
        <v>6.7416370170707953E-3</v>
      </c>
      <c r="I50" s="37"/>
      <c r="J50" s="37">
        <f>IFERROR(J49/$D49,0)</f>
        <v>7.7423816579879609E-2</v>
      </c>
      <c r="K50" s="20"/>
      <c r="L50" s="37">
        <f>IFERROR(L49/$D49,0)</f>
        <v>0</v>
      </c>
      <c r="N50" s="37">
        <f>IFERROR(N49/$D49,0)</f>
        <v>0.51378218167164236</v>
      </c>
    </row>
    <row r="51" spans="1:22" x14ac:dyDescent="0.2">
      <c r="A51" s="18"/>
      <c r="B51" s="6"/>
      <c r="C51" s="18"/>
      <c r="D51" s="18"/>
      <c r="E51" s="18"/>
      <c r="F51" s="57"/>
      <c r="G51" s="18"/>
      <c r="H51" s="57"/>
      <c r="I51" s="18"/>
      <c r="J51" s="57"/>
      <c r="K51" s="18"/>
      <c r="L51" s="57"/>
    </row>
    <row r="52" spans="1:22" x14ac:dyDescent="0.2">
      <c r="A52" s="18">
        <v>27</v>
      </c>
      <c r="C52" s="2" t="s">
        <v>367</v>
      </c>
      <c r="D52" s="20">
        <f>SUM(F52:N52)</f>
        <v>39060.878900513679</v>
      </c>
      <c r="E52" s="20"/>
      <c r="F52" s="20">
        <v>22568.555737182269</v>
      </c>
      <c r="G52" s="20"/>
      <c r="H52" s="20">
        <v>816.93705474151182</v>
      </c>
      <c r="I52" s="20"/>
      <c r="J52" s="20">
        <v>2349.6076444422656</v>
      </c>
      <c r="L52" s="20">
        <v>13325.77846414763</v>
      </c>
      <c r="N52" s="15">
        <v>0</v>
      </c>
    </row>
    <row r="53" spans="1:22" x14ac:dyDescent="0.2">
      <c r="A53" s="18">
        <v>28</v>
      </c>
      <c r="B53" s="18" t="s">
        <v>429</v>
      </c>
      <c r="C53" s="2"/>
      <c r="D53" s="37">
        <f>SUM(F53:N53)</f>
        <v>1</v>
      </c>
      <c r="E53" s="37"/>
      <c r="F53" s="109">
        <f>IFERROR(F52/$D52,0)</f>
        <v>0.57777900478541144</v>
      </c>
      <c r="G53" s="37"/>
      <c r="H53" s="37">
        <f>IFERROR(H52/$D52,0)</f>
        <v>2.0914456554400995E-2</v>
      </c>
      <c r="I53" s="37"/>
      <c r="J53" s="37">
        <f>IFERROR(J52/$D52,0)</f>
        <v>6.0152452033314756E-2</v>
      </c>
      <c r="K53" s="20"/>
      <c r="L53" s="37">
        <f>IFERROR(L52/$D52,0)</f>
        <v>0.34115408662687274</v>
      </c>
      <c r="N53" s="37">
        <f>IFERROR(N52/$D52,0)</f>
        <v>0</v>
      </c>
    </row>
    <row r="54" spans="1:22" x14ac:dyDescent="0.2">
      <c r="A54" s="18"/>
      <c r="B54" s="6"/>
      <c r="C54" s="18"/>
      <c r="D54" s="18"/>
      <c r="E54" s="18"/>
      <c r="F54" s="57"/>
      <c r="G54" s="18"/>
      <c r="H54" s="57"/>
      <c r="I54" s="18"/>
      <c r="J54" s="57"/>
      <c r="K54" s="18"/>
      <c r="L54" s="57"/>
    </row>
    <row r="55" spans="1:22" x14ac:dyDescent="0.2">
      <c r="A55" s="18">
        <v>29</v>
      </c>
      <c r="B55" s="18"/>
      <c r="C55" s="2" t="s">
        <v>367</v>
      </c>
      <c r="D55" s="20">
        <f>SUM(F55:N55)</f>
        <v>14135.587472300969</v>
      </c>
      <c r="E55" s="20"/>
      <c r="F55" s="20">
        <v>7898.437235328639</v>
      </c>
      <c r="G55" s="20"/>
      <c r="H55" s="20">
        <v>262.51137065294898</v>
      </c>
      <c r="I55" s="20"/>
      <c r="J55" s="20">
        <v>720.41014638295496</v>
      </c>
      <c r="L55" s="9">
        <v>5254.2287199364264</v>
      </c>
      <c r="N55" s="15">
        <v>0</v>
      </c>
      <c r="O55" s="18"/>
      <c r="P55" s="18"/>
      <c r="Q55" s="18"/>
      <c r="R55" s="18"/>
      <c r="S55" s="18"/>
      <c r="T55" s="18"/>
      <c r="U55" s="18"/>
      <c r="V55" s="18"/>
    </row>
    <row r="56" spans="1:22" x14ac:dyDescent="0.2">
      <c r="A56" s="18">
        <v>30</v>
      </c>
      <c r="B56" s="18" t="s">
        <v>432</v>
      </c>
      <c r="C56" s="2"/>
      <c r="D56" s="37">
        <f>SUM(F56:N56)</f>
        <v>1</v>
      </c>
      <c r="E56" s="37"/>
      <c r="F56" s="37">
        <f>IFERROR(F55/$D55,0)</f>
        <v>0.55876257359701675</v>
      </c>
      <c r="G56" s="37"/>
      <c r="H56" s="37">
        <f>IFERROR(H55/$D55,0)</f>
        <v>1.8570955835217069E-2</v>
      </c>
      <c r="I56" s="37"/>
      <c r="J56" s="37">
        <f>IFERROR(J55/$D55,0)</f>
        <v>5.096428767425594E-2</v>
      </c>
      <c r="K56" s="20"/>
      <c r="L56" s="37">
        <f>IFERROR(L55/$D55,0)</f>
        <v>0.3717021828935102</v>
      </c>
      <c r="N56" s="37">
        <f>IFERROR(N55/$D55,0)</f>
        <v>0</v>
      </c>
      <c r="O56" s="18"/>
      <c r="P56" s="18"/>
      <c r="Q56" s="18"/>
      <c r="R56" s="18"/>
      <c r="S56" s="18"/>
      <c r="T56" s="18"/>
      <c r="U56" s="18"/>
      <c r="V56" s="18"/>
    </row>
    <row r="57" spans="1:22" x14ac:dyDescent="0.2">
      <c r="A57" s="18"/>
      <c r="B57" s="6"/>
      <c r="C57" s="18"/>
      <c r="D57" s="18"/>
      <c r="E57" s="18"/>
      <c r="F57" s="57"/>
      <c r="G57" s="18"/>
      <c r="H57" s="57"/>
      <c r="I57" s="18"/>
      <c r="J57" s="57"/>
      <c r="K57" s="18"/>
      <c r="L57" s="57"/>
    </row>
    <row r="58" spans="1:22" x14ac:dyDescent="0.2">
      <c r="A58" s="18">
        <v>31</v>
      </c>
      <c r="B58" s="18"/>
      <c r="C58" s="2" t="s">
        <v>367</v>
      </c>
      <c r="D58" s="20">
        <f>SUM(F58:N58)</f>
        <v>1878311.5547881117</v>
      </c>
      <c r="E58" s="20"/>
      <c r="F58" s="20">
        <v>1102518.3336009933</v>
      </c>
      <c r="G58" s="20"/>
      <c r="H58" s="20">
        <v>34086.362142784965</v>
      </c>
      <c r="I58" s="20"/>
      <c r="J58" s="20">
        <v>129814.89654872779</v>
      </c>
      <c r="L58" s="9">
        <v>611891.96249560558</v>
      </c>
      <c r="N58" s="15">
        <v>0</v>
      </c>
    </row>
    <row r="59" spans="1:22" x14ac:dyDescent="0.2">
      <c r="A59" s="18">
        <v>32</v>
      </c>
      <c r="B59" s="18" t="s">
        <v>422</v>
      </c>
      <c r="C59" s="2"/>
      <c r="D59" s="37">
        <f>SUM(F59:N59)</f>
        <v>0.99999999999999989</v>
      </c>
      <c r="E59" s="37"/>
      <c r="F59" s="37">
        <f>IFERROR(F58/$D58,0)</f>
        <v>0.58697308803244097</v>
      </c>
      <c r="G59" s="37"/>
      <c r="H59" s="37">
        <f>IFERROR(H58/$D58,0)</f>
        <v>1.8147341986952836E-2</v>
      </c>
      <c r="I59" s="37"/>
      <c r="J59" s="37">
        <f>IFERROR(J58/$D58,0)</f>
        <v>6.9112547499273591E-2</v>
      </c>
      <c r="K59" s="20"/>
      <c r="L59" s="37">
        <f>IFERROR(L58/$D58,0)</f>
        <v>0.3257670224813326</v>
      </c>
      <c r="N59" s="37">
        <f>IFERROR(N58/$D58,0)</f>
        <v>0</v>
      </c>
    </row>
    <row r="60" spans="1:22" x14ac:dyDescent="0.2">
      <c r="A60" s="18"/>
      <c r="B60" s="6"/>
      <c r="C60" s="18"/>
      <c r="D60" s="18"/>
      <c r="E60" s="18"/>
      <c r="F60" s="57"/>
      <c r="G60" s="18"/>
      <c r="H60" s="57"/>
      <c r="I60" s="18"/>
      <c r="J60" s="57"/>
      <c r="K60" s="18"/>
      <c r="L60" s="57"/>
    </row>
    <row r="61" spans="1:22" x14ac:dyDescent="0.2">
      <c r="A61" s="18">
        <v>33</v>
      </c>
      <c r="B61" s="18"/>
      <c r="C61" s="2" t="s">
        <v>367</v>
      </c>
      <c r="D61" s="20">
        <f>SUM(F61:N61)</f>
        <v>152523.42553920622</v>
      </c>
      <c r="E61" s="20"/>
      <c r="F61" s="20">
        <v>128207.84407962111</v>
      </c>
      <c r="G61" s="20">
        <v>0</v>
      </c>
      <c r="H61" s="20">
        <v>8008.3358629204267</v>
      </c>
      <c r="I61" s="20">
        <v>0</v>
      </c>
      <c r="J61" s="20">
        <v>15163.659190107315</v>
      </c>
      <c r="L61" s="9">
        <v>1143.5864065573767</v>
      </c>
      <c r="N61" s="15">
        <v>0</v>
      </c>
    </row>
    <row r="62" spans="1:22" x14ac:dyDescent="0.2">
      <c r="A62" s="18">
        <v>34</v>
      </c>
      <c r="B62" s="18" t="s">
        <v>425</v>
      </c>
      <c r="C62" s="2"/>
      <c r="D62" s="37">
        <f>SUM(F62:N62)</f>
        <v>1</v>
      </c>
      <c r="E62" s="37"/>
      <c r="F62" s="37">
        <f>IFERROR(F61/$D61,0)</f>
        <v>0.84057805301956856</v>
      </c>
      <c r="G62" s="37"/>
      <c r="H62" s="37">
        <f>IFERROR(H61/$D61,0)</f>
        <v>5.2505612397630554E-2</v>
      </c>
      <c r="I62" s="37"/>
      <c r="J62" s="37">
        <f>IFERROR(J61/$D61,0)</f>
        <v>9.9418559060683365E-2</v>
      </c>
      <c r="K62" s="20"/>
      <c r="L62" s="37">
        <f>IFERROR(L61/$D61,0)</f>
        <v>7.497775522117534E-3</v>
      </c>
      <c r="N62" s="37">
        <f>IFERROR(N61/$D61,0)</f>
        <v>0</v>
      </c>
    </row>
    <row r="64" spans="1:22" x14ac:dyDescent="0.2">
      <c r="A64" s="18">
        <v>35</v>
      </c>
      <c r="B64" s="18"/>
      <c r="C64" s="2" t="s">
        <v>367</v>
      </c>
      <c r="D64" s="20">
        <f>SUM(F64:N64)</f>
        <v>14888.543237034275</v>
      </c>
      <c r="E64" s="20"/>
      <c r="F64" s="20">
        <v>11955.5993527677</v>
      </c>
      <c r="G64" s="20"/>
      <c r="H64" s="20">
        <v>1695.3215271433728</v>
      </c>
      <c r="I64" s="20"/>
      <c r="J64" s="20">
        <v>1115.790999434686</v>
      </c>
      <c r="L64" s="20">
        <v>121.83135768851581</v>
      </c>
      <c r="N64" s="15">
        <v>0</v>
      </c>
    </row>
    <row r="65" spans="1:14" x14ac:dyDescent="0.2">
      <c r="A65" s="18">
        <v>36</v>
      </c>
      <c r="B65" s="18" t="s">
        <v>427</v>
      </c>
      <c r="C65" s="2"/>
      <c r="D65" s="37">
        <f>SUM(F65:N65)</f>
        <v>1</v>
      </c>
      <c r="E65" s="37"/>
      <c r="F65" s="37">
        <f>IFERROR(F64/$D64,0)</f>
        <v>0.80300665836996943</v>
      </c>
      <c r="G65" s="37"/>
      <c r="H65" s="37">
        <f>IFERROR(H64/$D64,0)</f>
        <v>0.11386752217143525</v>
      </c>
      <c r="I65" s="37"/>
      <c r="J65" s="37">
        <f>IFERROR(J64/$D64,0)</f>
        <v>7.4942926360936982E-2</v>
      </c>
      <c r="K65" s="20"/>
      <c r="L65" s="37">
        <f>IFERROR(L64/$D64,0)</f>
        <v>8.1828930976583589E-3</v>
      </c>
      <c r="N65" s="37">
        <f>IFERROR(N64/$D64,0)</f>
        <v>0</v>
      </c>
    </row>
    <row r="67" spans="1:14" x14ac:dyDescent="0.2">
      <c r="A67" s="2">
        <v>37</v>
      </c>
      <c r="B67" s="18"/>
      <c r="C67" s="2" t="s">
        <v>367</v>
      </c>
      <c r="D67" s="20">
        <f>SUM(F67:N67)</f>
        <v>11379.741150279393</v>
      </c>
      <c r="E67" s="20"/>
      <c r="F67" s="20">
        <v>208.93833625875726</v>
      </c>
      <c r="G67" s="20">
        <v>0</v>
      </c>
      <c r="H67" s="20">
        <v>6.9750798439162507</v>
      </c>
      <c r="I67" s="20">
        <v>0</v>
      </c>
      <c r="J67" s="20">
        <v>18.889889917587229</v>
      </c>
      <c r="K67" s="9"/>
      <c r="L67" s="9">
        <v>207.7425625381062</v>
      </c>
      <c r="M67" s="9"/>
      <c r="N67" s="9">
        <v>10937.195281721026</v>
      </c>
    </row>
    <row r="68" spans="1:14" x14ac:dyDescent="0.2">
      <c r="A68" s="2">
        <v>38</v>
      </c>
      <c r="B68" s="18" t="s">
        <v>439</v>
      </c>
      <c r="C68" s="2"/>
      <c r="D68" s="37">
        <f>SUM(F68:N68)</f>
        <v>1</v>
      </c>
      <c r="E68" s="37"/>
      <c r="F68" s="37">
        <f>IFERROR(F67/$D67,0)</f>
        <v>1.8360552625894082E-2</v>
      </c>
      <c r="G68" s="37"/>
      <c r="H68" s="37">
        <f>IFERROR(H67/$D67,0)</f>
        <v>6.1293835701570416E-4</v>
      </c>
      <c r="I68" s="37"/>
      <c r="J68" s="37">
        <f>IFERROR(J67/$D67,0)</f>
        <v>1.6599577853423713E-3</v>
      </c>
      <c r="K68" s="20"/>
      <c r="L68" s="37">
        <f>IFERROR(L67/$D67,0)</f>
        <v>1.8255473458902511E-2</v>
      </c>
      <c r="N68" s="37">
        <f>IFERROR(N67/$D67,0)</f>
        <v>0.96111107777284532</v>
      </c>
    </row>
    <row r="69" spans="1:14" x14ac:dyDescent="0.2">
      <c r="A69" s="18"/>
      <c r="B69" s="18"/>
      <c r="C69" s="2"/>
      <c r="D69" s="24"/>
      <c r="F69" s="24"/>
      <c r="H69" s="24"/>
      <c r="J69" s="24"/>
      <c r="L69" s="24"/>
    </row>
    <row r="70" spans="1:14" x14ac:dyDescent="0.2">
      <c r="A70" s="18"/>
      <c r="B70" s="18"/>
      <c r="C70" s="2"/>
      <c r="D70" s="24"/>
      <c r="F70" s="24"/>
      <c r="H70" s="24"/>
      <c r="J70" s="24"/>
      <c r="L70" s="24"/>
    </row>
    <row r="73" spans="1:14" x14ac:dyDescent="0.2">
      <c r="A73" s="18"/>
      <c r="B73" s="18"/>
      <c r="C73" s="2"/>
      <c r="D73" s="24"/>
      <c r="F73" s="24"/>
      <c r="H73" s="24"/>
      <c r="J73" s="24"/>
      <c r="L73" s="24"/>
    </row>
    <row r="76" spans="1:14" x14ac:dyDescent="0.2">
      <c r="A76" s="18"/>
      <c r="B76" s="18"/>
      <c r="C76" s="2"/>
      <c r="D76" s="24"/>
      <c r="F76" s="24"/>
      <c r="H76" s="24"/>
      <c r="J76" s="24"/>
      <c r="L76" s="24"/>
    </row>
    <row r="79" spans="1:14" x14ac:dyDescent="0.2">
      <c r="B79" s="18"/>
      <c r="C79" s="2"/>
      <c r="D79" s="24"/>
      <c r="F79" s="24"/>
      <c r="H79" s="24"/>
      <c r="J79" s="24"/>
      <c r="L79" s="24"/>
    </row>
    <row r="82" spans="1:22" x14ac:dyDescent="0.2">
      <c r="B82" s="18"/>
      <c r="C82" s="2"/>
      <c r="D82" s="24"/>
      <c r="F82" s="24"/>
      <c r="H82" s="24"/>
      <c r="J82" s="24"/>
      <c r="L82" s="24"/>
    </row>
    <row r="86" spans="1:22" x14ac:dyDescent="0.2">
      <c r="A86" s="18"/>
      <c r="B86" s="124"/>
      <c r="C86" s="2"/>
      <c r="D86" s="20"/>
      <c r="E86" s="20"/>
      <c r="F86" s="20"/>
      <c r="G86" s="20"/>
      <c r="H86" s="20"/>
      <c r="I86" s="20"/>
      <c r="J86" s="20"/>
      <c r="L86" s="9"/>
    </row>
    <row r="87" spans="1:22" x14ac:dyDescent="0.2">
      <c r="A87" s="18"/>
      <c r="B87" s="18"/>
      <c r="C87" s="18"/>
      <c r="D87" s="37"/>
      <c r="E87" s="37"/>
      <c r="F87" s="37"/>
      <c r="G87" s="37"/>
      <c r="H87" s="37"/>
      <c r="I87" s="37"/>
      <c r="J87" s="37"/>
      <c r="K87" s="20"/>
      <c r="L87" s="37"/>
      <c r="N87" s="37"/>
    </row>
    <row r="90" spans="1:22" x14ac:dyDescent="0.2">
      <c r="A90" s="18"/>
      <c r="B90" s="18"/>
      <c r="C90" s="2"/>
      <c r="D90" s="24"/>
      <c r="F90" s="24"/>
      <c r="H90" s="24"/>
      <c r="J90" s="24"/>
      <c r="L90" s="24"/>
    </row>
    <row r="93" spans="1:22" x14ac:dyDescent="0.2">
      <c r="A93" s="18"/>
      <c r="B93" s="18"/>
      <c r="C93" s="2"/>
      <c r="D93" s="24"/>
      <c r="F93" s="24"/>
      <c r="H93" s="24"/>
      <c r="J93" s="24"/>
      <c r="L93" s="24"/>
    </row>
    <row r="96" spans="1:22" x14ac:dyDescent="0.2">
      <c r="A96" s="18"/>
      <c r="B96" s="18"/>
      <c r="C96" s="2"/>
      <c r="D96" s="24"/>
      <c r="F96" s="24"/>
      <c r="H96" s="24"/>
      <c r="J96" s="24"/>
      <c r="L96" s="24"/>
      <c r="O96" s="18"/>
      <c r="P96" s="18"/>
      <c r="Q96" s="18"/>
      <c r="R96" s="18"/>
      <c r="S96" s="18"/>
      <c r="T96" s="18"/>
      <c r="U96" s="18"/>
      <c r="V96" s="18"/>
    </row>
    <row r="99" spans="1:22" x14ac:dyDescent="0.2">
      <c r="A99" s="18"/>
      <c r="B99" s="18"/>
      <c r="C99" s="2"/>
      <c r="D99" s="24"/>
      <c r="F99" s="24"/>
      <c r="H99" s="24"/>
      <c r="J99" s="24"/>
      <c r="L99" s="24"/>
      <c r="O99" s="18"/>
      <c r="P99" s="18"/>
      <c r="Q99" s="18"/>
      <c r="R99" s="18"/>
      <c r="S99" s="18"/>
      <c r="T99" s="18"/>
      <c r="U99" s="18"/>
      <c r="V99" s="18"/>
    </row>
    <row r="100" spans="1:22" x14ac:dyDescent="0.2">
      <c r="A100" s="18"/>
      <c r="B100" s="124"/>
      <c r="C100" s="2"/>
      <c r="D100" s="20"/>
      <c r="E100" s="20"/>
      <c r="F100" s="20"/>
      <c r="G100" s="20"/>
      <c r="H100" s="20"/>
      <c r="I100" s="20"/>
      <c r="J100" s="20"/>
      <c r="L100" s="9"/>
      <c r="O100" s="18"/>
      <c r="P100" s="18"/>
      <c r="Q100" s="18"/>
      <c r="R100" s="18"/>
      <c r="S100" s="18"/>
      <c r="T100" s="18"/>
      <c r="U100" s="18"/>
      <c r="V100" s="18"/>
    </row>
    <row r="101" spans="1:22" x14ac:dyDescent="0.2">
      <c r="A101" s="18"/>
      <c r="B101" s="18"/>
      <c r="C101" s="18"/>
      <c r="D101" s="37"/>
      <c r="E101" s="37"/>
      <c r="F101" s="37"/>
      <c r="G101" s="37"/>
      <c r="H101" s="37"/>
      <c r="I101" s="37"/>
      <c r="J101" s="37"/>
      <c r="K101" s="20"/>
      <c r="L101" s="37"/>
      <c r="N101" s="37"/>
    </row>
    <row r="104" spans="1:22" x14ac:dyDescent="0.2">
      <c r="A104" s="18"/>
      <c r="B104" s="18"/>
      <c r="C104" s="2"/>
      <c r="D104" s="24"/>
      <c r="F104" s="24"/>
      <c r="H104" s="24"/>
      <c r="J104" s="24"/>
      <c r="L104" s="24"/>
    </row>
    <row r="107" spans="1:22" x14ac:dyDescent="0.2">
      <c r="A107" s="18"/>
      <c r="B107" s="18"/>
      <c r="C107" s="2"/>
      <c r="D107" s="24"/>
      <c r="F107" s="24"/>
      <c r="H107" s="24"/>
      <c r="J107" s="24"/>
      <c r="L107" s="24"/>
    </row>
    <row r="110" spans="1:22" x14ac:dyDescent="0.2">
      <c r="B110" s="18"/>
      <c r="C110" s="2"/>
      <c r="D110" s="24"/>
      <c r="F110" s="24"/>
      <c r="H110" s="24"/>
      <c r="J110" s="24"/>
      <c r="L110" s="24"/>
    </row>
    <row r="113" spans="1:12" x14ac:dyDescent="0.2">
      <c r="A113" s="18"/>
    </row>
    <row r="116" spans="1:12" x14ac:dyDescent="0.2">
      <c r="A116" s="18"/>
      <c r="B116" s="18"/>
      <c r="C116" s="2"/>
      <c r="D116" s="24"/>
      <c r="F116" s="24"/>
      <c r="H116" s="24"/>
      <c r="J116" s="24"/>
      <c r="L116" s="24"/>
    </row>
    <row r="119" spans="1:12" x14ac:dyDescent="0.2">
      <c r="A119" s="18"/>
      <c r="B119" s="18"/>
      <c r="C119" s="2"/>
      <c r="D119" s="24"/>
      <c r="F119" s="24"/>
      <c r="H119" s="24"/>
      <c r="J119" s="24"/>
      <c r="L119" s="24"/>
    </row>
    <row r="122" spans="1:12" x14ac:dyDescent="0.2">
      <c r="C122" s="2"/>
      <c r="D122" s="24"/>
      <c r="F122" s="24"/>
      <c r="H122" s="24"/>
      <c r="J122" s="24"/>
      <c r="L122" s="24"/>
    </row>
  </sheetData>
  <mergeCells count="2">
    <mergeCell ref="B6:N6"/>
    <mergeCell ref="B7:N7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8AC12-521A-4AC8-9548-3245FBC4667A}">
  <dimension ref="A6:T93"/>
  <sheetViews>
    <sheetView zoomScale="80" zoomScaleNormal="80" workbookViewId="0">
      <selection activeCell="D13" sqref="D13:L53"/>
    </sheetView>
  </sheetViews>
  <sheetFormatPr defaultColWidth="9.140625" defaultRowHeight="12.75" x14ac:dyDescent="0.2"/>
  <cols>
    <col min="1" max="1" width="7" style="31" customWidth="1"/>
    <col min="2" max="2" width="29.28515625" style="1" customWidth="1"/>
    <col min="3" max="3" width="5" style="1" customWidth="1"/>
    <col min="4" max="4" width="14.28515625" style="1" customWidth="1"/>
    <col min="5" max="5" width="1.85546875" style="1" customWidth="1"/>
    <col min="6" max="6" width="14.5703125" style="1" bestFit="1" customWidth="1"/>
    <col min="7" max="7" width="1.85546875" style="1" customWidth="1"/>
    <col min="8" max="8" width="14" style="1" customWidth="1"/>
    <col min="9" max="9" width="1.85546875" style="1" customWidth="1"/>
    <col min="10" max="10" width="12.140625" style="1" customWidth="1"/>
    <col min="11" max="11" width="1.7109375" style="1" customWidth="1"/>
    <col min="12" max="12" width="12.5703125" style="1" customWidth="1"/>
    <col min="13" max="13" width="1.7109375" style="1" customWidth="1"/>
    <col min="14" max="14" width="10.7109375" style="1" customWidth="1"/>
    <col min="15" max="15" width="1.7109375" style="1" customWidth="1"/>
    <col min="16" max="16" width="10.7109375" style="1" customWidth="1"/>
    <col min="17" max="17" width="1.7109375" style="1" customWidth="1"/>
    <col min="18" max="18" width="10.7109375" style="1" customWidth="1"/>
    <col min="19" max="19" width="1.7109375" style="1" customWidth="1"/>
    <col min="20" max="20" width="10.7109375" style="1" customWidth="1"/>
    <col min="21" max="21" width="1.7109375" style="1" customWidth="1"/>
    <col min="22" max="22" width="10.7109375" style="1" customWidth="1"/>
    <col min="23" max="23" width="1.7109375" style="1" customWidth="1"/>
    <col min="24" max="24" width="10.7109375" style="1" customWidth="1"/>
    <col min="25" max="25" width="1.7109375" style="1" customWidth="1"/>
    <col min="26" max="26" width="10.7109375" style="1" customWidth="1"/>
    <col min="27" max="27" width="9.140625" style="1"/>
    <col min="28" max="28" width="12.140625" style="1" bestFit="1" customWidth="1"/>
    <col min="29" max="16384" width="9.140625" style="1"/>
  </cols>
  <sheetData>
    <row r="6" spans="1:20" x14ac:dyDescent="0.2">
      <c r="B6" s="157" t="s">
        <v>512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</row>
    <row r="7" spans="1:20" x14ac:dyDescent="0.2">
      <c r="B7" s="157" t="s">
        <v>531</v>
      </c>
      <c r="C7" s="157"/>
      <c r="D7" s="157"/>
      <c r="E7" s="157"/>
      <c r="F7" s="157"/>
      <c r="G7" s="157"/>
      <c r="H7" s="157"/>
      <c r="I7" s="157"/>
      <c r="J7" s="157"/>
      <c r="K7" s="157"/>
      <c r="L7" s="157"/>
    </row>
    <row r="8" spans="1:20" x14ac:dyDescent="0.2">
      <c r="F8" s="18"/>
      <c r="H8" s="18"/>
      <c r="J8" s="18"/>
    </row>
    <row r="9" spans="1:20" x14ac:dyDescent="0.2">
      <c r="A9" s="2" t="s">
        <v>2</v>
      </c>
      <c r="B9" s="2"/>
      <c r="G9" s="18"/>
      <c r="I9" s="3"/>
    </row>
    <row r="10" spans="1:20" x14ac:dyDescent="0.2">
      <c r="A10" s="33" t="s">
        <v>4</v>
      </c>
      <c r="B10" s="33" t="s">
        <v>405</v>
      </c>
      <c r="D10" s="4" t="s">
        <v>11</v>
      </c>
      <c r="F10" s="4" t="s">
        <v>416</v>
      </c>
      <c r="G10" s="18"/>
      <c r="H10" s="4" t="s">
        <v>419</v>
      </c>
      <c r="I10" s="18"/>
      <c r="J10" s="4" t="s">
        <v>421</v>
      </c>
      <c r="L10" s="4" t="s">
        <v>408</v>
      </c>
    </row>
    <row r="11" spans="1:20" x14ac:dyDescent="0.2">
      <c r="A11" s="2"/>
      <c r="B11" s="2"/>
      <c r="D11" s="18" t="s">
        <v>12</v>
      </c>
      <c r="F11" s="18" t="s">
        <v>13</v>
      </c>
      <c r="G11" s="18"/>
      <c r="H11" s="18" t="s">
        <v>14</v>
      </c>
      <c r="I11" s="18"/>
      <c r="J11" s="18" t="s">
        <v>366</v>
      </c>
      <c r="L11" s="18" t="s">
        <v>15</v>
      </c>
    </row>
    <row r="12" spans="1:20" x14ac:dyDescent="0.2">
      <c r="A12" s="1"/>
      <c r="C12" s="18"/>
      <c r="D12" s="18"/>
      <c r="E12" s="18"/>
      <c r="F12" s="57"/>
      <c r="G12" s="18"/>
      <c r="H12" s="57"/>
      <c r="I12" s="18"/>
      <c r="J12" s="57"/>
    </row>
    <row r="13" spans="1:20" x14ac:dyDescent="0.2">
      <c r="A13" s="18">
        <v>1</v>
      </c>
      <c r="C13" s="2" t="s">
        <v>367</v>
      </c>
      <c r="D13" s="20">
        <f>SUM(F13:L13)</f>
        <v>11615.535133857922</v>
      </c>
      <c r="E13" s="20"/>
      <c r="F13" s="20">
        <v>6919.3453907221292</v>
      </c>
      <c r="G13" s="20"/>
      <c r="H13" s="20">
        <v>1102.0664417844009</v>
      </c>
      <c r="I13" s="20"/>
      <c r="J13" s="9">
        <v>3573.1059906976511</v>
      </c>
      <c r="L13" s="9">
        <v>21.017310653740001</v>
      </c>
      <c r="M13" s="18"/>
      <c r="N13" s="18"/>
      <c r="O13" s="18"/>
      <c r="P13" s="18"/>
      <c r="Q13" s="18"/>
      <c r="R13" s="18"/>
      <c r="S13" s="18"/>
      <c r="T13" s="18"/>
    </row>
    <row r="14" spans="1:20" x14ac:dyDescent="0.2">
      <c r="A14" s="18">
        <v>2</v>
      </c>
      <c r="B14" s="2" t="s">
        <v>451</v>
      </c>
      <c r="C14" s="2"/>
      <c r="D14" s="37">
        <f>SUM(F14:L14)</f>
        <v>1</v>
      </c>
      <c r="E14" s="37"/>
      <c r="F14" s="37">
        <f>IFERROR(F13/$D13,0)</f>
        <v>0.59569751294135809</v>
      </c>
      <c r="G14" s="37"/>
      <c r="H14" s="37">
        <f>IFERROR(H13/$D13,0)</f>
        <v>9.4878662849721532E-2</v>
      </c>
      <c r="I14" s="37"/>
      <c r="J14" s="37">
        <f>IFERROR(J13/$D13,0)</f>
        <v>0.30761441031523951</v>
      </c>
      <c r="L14" s="37">
        <f>IFERROR(L13/$D13,0)</f>
        <v>1.8094138936808005E-3</v>
      </c>
      <c r="M14" s="18"/>
      <c r="N14" s="18"/>
      <c r="O14" s="18"/>
      <c r="P14" s="18"/>
      <c r="Q14" s="18"/>
      <c r="R14" s="18"/>
      <c r="S14" s="18"/>
      <c r="T14" s="18"/>
    </row>
    <row r="15" spans="1:20" x14ac:dyDescent="0.2">
      <c r="A15" s="1"/>
      <c r="C15" s="18"/>
      <c r="D15" s="18"/>
      <c r="E15" s="18"/>
      <c r="F15" s="57"/>
      <c r="G15" s="18"/>
      <c r="H15" s="57"/>
      <c r="I15" s="18"/>
      <c r="J15" s="57"/>
    </row>
    <row r="16" spans="1:20" x14ac:dyDescent="0.2">
      <c r="A16" s="18">
        <v>3</v>
      </c>
      <c r="C16" s="2" t="s">
        <v>367</v>
      </c>
      <c r="D16" s="20">
        <f>SUM(F16:L16)</f>
        <v>12566.312827559041</v>
      </c>
      <c r="E16" s="20"/>
      <c r="F16" s="20">
        <v>7480.9240789684018</v>
      </c>
      <c r="G16" s="20"/>
      <c r="H16" s="20">
        <v>1192.0348196713553</v>
      </c>
      <c r="I16" s="20"/>
      <c r="J16" s="9">
        <v>3893.3539289192836</v>
      </c>
      <c r="L16" s="15">
        <v>0</v>
      </c>
      <c r="M16" s="18"/>
      <c r="N16" s="18"/>
      <c r="O16" s="18"/>
      <c r="P16" s="18"/>
      <c r="Q16" s="18"/>
      <c r="R16" s="18"/>
      <c r="S16" s="18"/>
      <c r="T16" s="18"/>
    </row>
    <row r="17" spans="1:20" x14ac:dyDescent="0.2">
      <c r="A17" s="18">
        <v>4</v>
      </c>
      <c r="B17" s="2" t="s">
        <v>445</v>
      </c>
      <c r="C17" s="2"/>
      <c r="D17" s="37">
        <f>SUM(F17:L17)</f>
        <v>1</v>
      </c>
      <c r="E17" s="37"/>
      <c r="F17" s="37">
        <f>IFERROR(F16/$D16,0)</f>
        <v>0.59531576060736535</v>
      </c>
      <c r="G17" s="37"/>
      <c r="H17" s="37">
        <f>IFERROR(H16/$D16,0)</f>
        <v>9.4859553158434584E-2</v>
      </c>
      <c r="I17" s="37"/>
      <c r="J17" s="37">
        <f>IFERROR(J16/$D16,0)</f>
        <v>0.30982468623420012</v>
      </c>
      <c r="L17" s="37">
        <f>IFERROR(L16/$D16,0)</f>
        <v>0</v>
      </c>
      <c r="M17" s="18"/>
      <c r="N17" s="18"/>
      <c r="O17" s="18"/>
      <c r="P17" s="18"/>
      <c r="Q17" s="18"/>
      <c r="R17" s="18"/>
      <c r="S17" s="18"/>
      <c r="T17" s="18"/>
    </row>
    <row r="18" spans="1:20" x14ac:dyDescent="0.2">
      <c r="A18" s="1"/>
      <c r="C18" s="18"/>
      <c r="D18" s="18"/>
      <c r="E18" s="18"/>
      <c r="F18" s="57"/>
      <c r="G18" s="18"/>
      <c r="H18" s="57"/>
      <c r="I18" s="18"/>
      <c r="J18" s="57"/>
    </row>
    <row r="19" spans="1:20" x14ac:dyDescent="0.2">
      <c r="A19" s="18">
        <v>5</v>
      </c>
      <c r="B19" s="18"/>
      <c r="C19" s="2" t="s">
        <v>367</v>
      </c>
      <c r="D19" s="20">
        <f>SUM(F19:L19)</f>
        <v>18339.876000526288</v>
      </c>
      <c r="E19" s="20"/>
      <c r="F19" s="20">
        <v>7618.9520931235065</v>
      </c>
      <c r="G19" s="20"/>
      <c r="H19" s="20">
        <v>2425.8218972179648</v>
      </c>
      <c r="I19" s="20"/>
      <c r="J19" s="9">
        <v>8295.1020101848153</v>
      </c>
      <c r="L19" s="9">
        <v>0</v>
      </c>
    </row>
    <row r="20" spans="1:20" x14ac:dyDescent="0.2">
      <c r="A20" s="18">
        <v>6</v>
      </c>
      <c r="B20" s="2" t="s">
        <v>446</v>
      </c>
      <c r="C20" s="2"/>
      <c r="D20" s="37">
        <f>SUM(F20:L20)</f>
        <v>1</v>
      </c>
      <c r="E20" s="37"/>
      <c r="F20" s="37">
        <f>IFERROR(F19/$D19,0)</f>
        <v>0.4154309490917425</v>
      </c>
      <c r="G20" s="37"/>
      <c r="H20" s="37">
        <f>IFERROR(H19/$D19,0)</f>
        <v>0.13227035434418163</v>
      </c>
      <c r="I20" s="37"/>
      <c r="J20" s="37">
        <f>IFERROR(J19/$D19,0)</f>
        <v>0.45229869656407579</v>
      </c>
      <c r="L20" s="37">
        <f>IFERROR(L19/$D19,0)</f>
        <v>0</v>
      </c>
    </row>
    <row r="21" spans="1:20" x14ac:dyDescent="0.2">
      <c r="A21" s="1"/>
      <c r="C21" s="18"/>
      <c r="D21" s="18"/>
      <c r="E21" s="18"/>
      <c r="F21" s="57"/>
      <c r="G21" s="18"/>
      <c r="H21" s="57"/>
      <c r="I21" s="18"/>
      <c r="J21" s="57"/>
    </row>
    <row r="22" spans="1:20" x14ac:dyDescent="0.2">
      <c r="A22" s="18">
        <v>7</v>
      </c>
      <c r="B22" s="18"/>
      <c r="C22" s="2" t="s">
        <v>367</v>
      </c>
      <c r="D22" s="20">
        <f>SUM(F22:L22)</f>
        <v>65804.273247662466</v>
      </c>
      <c r="E22" s="20"/>
      <c r="F22" s="20">
        <v>37661.088789397269</v>
      </c>
      <c r="G22" s="20"/>
      <c r="H22" s="20">
        <v>3851.5934536775621</v>
      </c>
      <c r="I22" s="20"/>
      <c r="J22" s="20">
        <v>24291.591004587637</v>
      </c>
      <c r="L22" s="15">
        <v>0</v>
      </c>
    </row>
    <row r="23" spans="1:20" x14ac:dyDescent="0.2">
      <c r="A23" s="18">
        <v>8</v>
      </c>
      <c r="B23" s="2" t="s">
        <v>444</v>
      </c>
      <c r="C23" s="2"/>
      <c r="D23" s="37">
        <f>SUM(F23:L23)</f>
        <v>1</v>
      </c>
      <c r="E23" s="37"/>
      <c r="F23" s="37">
        <f>IFERROR(F22/$D22,0)</f>
        <v>0.57231980433330121</v>
      </c>
      <c r="G23" s="37"/>
      <c r="H23" s="37">
        <f>IFERROR(H22/$D22,0)</f>
        <v>5.8531053738434542E-2</v>
      </c>
      <c r="I23" s="37"/>
      <c r="J23" s="37">
        <f>IFERROR(J22/$D22,0)</f>
        <v>0.36914914192826431</v>
      </c>
      <c r="L23" s="37">
        <f>IFERROR(L22/$D22,0)</f>
        <v>0</v>
      </c>
    </row>
    <row r="24" spans="1:20" x14ac:dyDescent="0.2">
      <c r="A24" s="1"/>
      <c r="C24" s="18"/>
      <c r="D24" s="18"/>
      <c r="E24" s="18"/>
      <c r="F24" s="57"/>
      <c r="G24" s="18"/>
      <c r="H24" s="57"/>
      <c r="I24" s="18"/>
      <c r="J24" s="57"/>
    </row>
    <row r="25" spans="1:20" x14ac:dyDescent="0.2">
      <c r="A25" s="18">
        <v>9</v>
      </c>
      <c r="B25" s="18"/>
      <c r="C25" s="2" t="s">
        <v>367</v>
      </c>
      <c r="D25" s="20">
        <f>SUM(F25:L25)</f>
        <v>150927.52203758305</v>
      </c>
      <c r="E25" s="20"/>
      <c r="F25" s="20">
        <v>87804.698633689157</v>
      </c>
      <c r="G25" s="20"/>
      <c r="H25" s="20">
        <v>8645.6703243885077</v>
      </c>
      <c r="I25" s="20"/>
      <c r="J25" s="9">
        <v>54477.153079505384</v>
      </c>
      <c r="L25" s="15">
        <v>0</v>
      </c>
    </row>
    <row r="26" spans="1:20" x14ac:dyDescent="0.2">
      <c r="A26" s="18">
        <v>10</v>
      </c>
      <c r="B26" s="2" t="s">
        <v>443</v>
      </c>
      <c r="C26" s="2"/>
      <c r="D26" s="37">
        <f>SUM(F26:L26)</f>
        <v>1</v>
      </c>
      <c r="E26" s="37"/>
      <c r="F26" s="37">
        <f>IFERROR(F25/$D25,0)</f>
        <v>0.58176731088067934</v>
      </c>
      <c r="G26" s="37"/>
      <c r="H26" s="37">
        <f>IFERROR(H25/$D25,0)</f>
        <v>5.7283590213822073E-2</v>
      </c>
      <c r="I26" s="37"/>
      <c r="J26" s="37">
        <f>IFERROR(J25/$D25,0)</f>
        <v>0.36094909890549859</v>
      </c>
      <c r="L26" s="37">
        <f>IFERROR(L25/$D25,0)</f>
        <v>0</v>
      </c>
    </row>
    <row r="27" spans="1:20" x14ac:dyDescent="0.2">
      <c r="A27" s="1"/>
      <c r="C27" s="18"/>
      <c r="D27" s="18"/>
      <c r="E27" s="18"/>
      <c r="F27" s="57"/>
      <c r="G27" s="18"/>
      <c r="H27" s="57"/>
      <c r="I27" s="18"/>
      <c r="J27" s="57"/>
    </row>
    <row r="28" spans="1:20" x14ac:dyDescent="0.2">
      <c r="A28" s="18">
        <v>11</v>
      </c>
      <c r="C28" s="2" t="s">
        <v>367</v>
      </c>
      <c r="D28" s="20">
        <f>SUM(F28:L28)</f>
        <v>57499.970385830791</v>
      </c>
      <c r="E28" s="20"/>
      <c r="F28" s="20">
        <v>31379.22221557553</v>
      </c>
      <c r="G28" s="20"/>
      <c r="H28" s="20">
        <v>7592.4604053034982</v>
      </c>
      <c r="I28" s="20"/>
      <c r="J28" s="61">
        <v>18528.287764951758</v>
      </c>
      <c r="L28" s="15">
        <v>0</v>
      </c>
    </row>
    <row r="29" spans="1:20" x14ac:dyDescent="0.2">
      <c r="A29" s="18">
        <v>12</v>
      </c>
      <c r="B29" s="2" t="s">
        <v>441</v>
      </c>
      <c r="C29" s="2"/>
      <c r="D29" s="37">
        <f>SUM(F29:L29)</f>
        <v>0.99999999999999989</v>
      </c>
      <c r="E29" s="37"/>
      <c r="F29" s="37">
        <f>IFERROR(F28/$D28,0)</f>
        <v>0.54572588481381257</v>
      </c>
      <c r="G29" s="37"/>
      <c r="H29" s="37">
        <f>IFERROR(H28/$D28,0)</f>
        <v>0.13204285766335699</v>
      </c>
      <c r="I29" s="37"/>
      <c r="J29" s="37">
        <f>IFERROR(J28/$D28,0)</f>
        <v>0.32223125752283033</v>
      </c>
      <c r="L29" s="37">
        <f>IFERROR(L28/$D28,0)</f>
        <v>0</v>
      </c>
      <c r="T29" s="2"/>
    </row>
    <row r="30" spans="1:20" x14ac:dyDescent="0.2">
      <c r="A30" s="1"/>
      <c r="C30" s="18"/>
      <c r="D30" s="18"/>
      <c r="E30" s="18"/>
      <c r="F30" s="57"/>
      <c r="G30" s="18"/>
      <c r="H30" s="57"/>
      <c r="I30" s="18"/>
      <c r="J30" s="57"/>
    </row>
    <row r="31" spans="1:20" x14ac:dyDescent="0.2">
      <c r="A31" s="18">
        <v>13</v>
      </c>
      <c r="B31" s="18"/>
      <c r="C31" s="2" t="s">
        <v>367</v>
      </c>
      <c r="D31" s="20">
        <f>SUM(F31:L31)</f>
        <v>311340.5421888472</v>
      </c>
      <c r="E31" s="20"/>
      <c r="F31" s="20">
        <v>164061.87404824593</v>
      </c>
      <c r="G31" s="20"/>
      <c r="H31" s="20">
        <v>39696.117200537505</v>
      </c>
      <c r="I31" s="20"/>
      <c r="J31" s="9">
        <v>107268.7186002199</v>
      </c>
      <c r="L31" s="9">
        <v>313.8323398438614</v>
      </c>
    </row>
    <row r="32" spans="1:20" x14ac:dyDescent="0.2">
      <c r="A32" s="18">
        <v>14</v>
      </c>
      <c r="B32" s="2" t="s">
        <v>440</v>
      </c>
      <c r="C32" s="2"/>
      <c r="D32" s="37">
        <f>SUM(F32:L32)</f>
        <v>0.99999999999999989</v>
      </c>
      <c r="E32" s="37"/>
      <c r="F32" s="37">
        <f>IFERROR(F31/$D31,0)</f>
        <v>0.52695313271707578</v>
      </c>
      <c r="G32" s="37"/>
      <c r="H32" s="37">
        <f>IFERROR(H31/$D31,0)</f>
        <v>0.12750063618910051</v>
      </c>
      <c r="I32" s="37"/>
      <c r="J32" s="37">
        <f>IFERROR(J31/$D31,0)</f>
        <v>0.34453822764641689</v>
      </c>
      <c r="L32" s="37">
        <f>IFERROR(L31/$D31,0)</f>
        <v>1.0080034474068038E-3</v>
      </c>
    </row>
    <row r="33" spans="1:12" x14ac:dyDescent="0.2">
      <c r="A33" s="1"/>
      <c r="C33" s="18"/>
      <c r="D33" s="18"/>
      <c r="E33" s="18"/>
      <c r="F33" s="57"/>
      <c r="G33" s="18"/>
      <c r="H33" s="57"/>
      <c r="I33" s="18"/>
      <c r="J33" s="57"/>
    </row>
    <row r="34" spans="1:12" x14ac:dyDescent="0.2">
      <c r="A34" s="18">
        <v>15</v>
      </c>
      <c r="C34" s="2" t="s">
        <v>367</v>
      </c>
      <c r="D34" s="20">
        <f>SUM(F34:L34)</f>
        <v>305620.80955824675</v>
      </c>
      <c r="E34" s="20"/>
      <c r="F34" s="20">
        <v>166607.87655886213</v>
      </c>
      <c r="G34" s="20"/>
      <c r="H34" s="20">
        <v>40441.033369543511</v>
      </c>
      <c r="I34" s="20"/>
      <c r="J34" s="9">
        <v>98571.899629841108</v>
      </c>
      <c r="L34" s="15">
        <v>0</v>
      </c>
    </row>
    <row r="35" spans="1:12" x14ac:dyDescent="0.2">
      <c r="A35" s="18">
        <v>16</v>
      </c>
      <c r="B35" s="2" t="s">
        <v>442</v>
      </c>
      <c r="C35" s="2"/>
      <c r="D35" s="37">
        <f>SUM(F35:L35)</f>
        <v>1</v>
      </c>
      <c r="E35" s="37"/>
      <c r="F35" s="37">
        <f>IFERROR(F34/$D34,0)</f>
        <v>0.54514572093334224</v>
      </c>
      <c r="G35" s="37"/>
      <c r="H35" s="37">
        <f>IFERROR(H34/$D34,0)</f>
        <v>0.13232421387796911</v>
      </c>
      <c r="I35" s="37"/>
      <c r="J35" s="37">
        <f>IFERROR(J34/$D34,0)</f>
        <v>0.3225300651886886</v>
      </c>
      <c r="L35" s="37">
        <f>IFERROR(L34/$D34,0)</f>
        <v>0</v>
      </c>
    </row>
    <row r="36" spans="1:12" x14ac:dyDescent="0.2">
      <c r="A36" s="1"/>
      <c r="C36" s="18"/>
      <c r="D36" s="18"/>
      <c r="E36" s="18"/>
      <c r="F36" s="57"/>
      <c r="G36" s="18"/>
      <c r="H36" s="57"/>
      <c r="I36" s="18"/>
      <c r="J36" s="57"/>
    </row>
    <row r="37" spans="1:12" x14ac:dyDescent="0.2">
      <c r="A37" s="18">
        <v>17</v>
      </c>
      <c r="B37" s="18"/>
      <c r="C37" s="2" t="s">
        <v>367</v>
      </c>
      <c r="D37" s="20">
        <f>SUM(F37:L37)</f>
        <v>18745.764185794989</v>
      </c>
      <c r="E37" s="20"/>
      <c r="F37" s="20">
        <v>9760.0721097462538</v>
      </c>
      <c r="G37" s="20"/>
      <c r="H37" s="20">
        <v>1562.7526129574758</v>
      </c>
      <c r="I37" s="20"/>
      <c r="J37" s="9">
        <v>7422.9394630912602</v>
      </c>
      <c r="L37" s="9">
        <v>0</v>
      </c>
    </row>
    <row r="38" spans="1:12" x14ac:dyDescent="0.2">
      <c r="A38" s="18">
        <v>18</v>
      </c>
      <c r="B38" s="2" t="s">
        <v>453</v>
      </c>
      <c r="C38" s="2"/>
      <c r="D38" s="37">
        <f>SUM(F38:L38)</f>
        <v>1</v>
      </c>
      <c r="E38" s="37"/>
      <c r="F38" s="37">
        <f>IFERROR(F37/$D37,0)</f>
        <v>0.52065480035976131</v>
      </c>
      <c r="G38" s="37"/>
      <c r="H38" s="37">
        <f>IFERROR(H37/$D37,0)</f>
        <v>8.3365639163522909E-2</v>
      </c>
      <c r="I38" s="37"/>
      <c r="J38" s="37">
        <f>IFERROR(J37/$D37,0)</f>
        <v>0.39597956047671579</v>
      </c>
      <c r="L38" s="37">
        <f>IFERROR(L37/$D37,0)</f>
        <v>0</v>
      </c>
    </row>
    <row r="39" spans="1:12" x14ac:dyDescent="0.2">
      <c r="A39" s="1"/>
      <c r="C39" s="18"/>
      <c r="D39" s="18"/>
      <c r="E39" s="18"/>
      <c r="F39" s="57"/>
      <c r="G39" s="18"/>
      <c r="H39" s="57"/>
      <c r="I39" s="18"/>
      <c r="J39" s="57"/>
    </row>
    <row r="40" spans="1:12" x14ac:dyDescent="0.2">
      <c r="A40" s="18">
        <v>19</v>
      </c>
      <c r="B40" s="18"/>
      <c r="C40" s="2" t="s">
        <v>367</v>
      </c>
      <c r="D40" s="20">
        <f>SUM(F40:L40)</f>
        <v>406738.78665639873</v>
      </c>
      <c r="E40" s="20"/>
      <c r="F40" s="20">
        <v>232504.63458513084</v>
      </c>
      <c r="G40" s="20"/>
      <c r="H40" s="20">
        <v>50861.09972200403</v>
      </c>
      <c r="I40" s="20"/>
      <c r="J40" s="9">
        <v>123373.05234926387</v>
      </c>
      <c r="L40" s="15">
        <v>0</v>
      </c>
    </row>
    <row r="41" spans="1:12" x14ac:dyDescent="0.2">
      <c r="A41" s="18">
        <v>20</v>
      </c>
      <c r="B41" s="2" t="s">
        <v>447</v>
      </c>
      <c r="C41" s="18"/>
      <c r="D41" s="37">
        <f>SUM(F41:L41)</f>
        <v>1</v>
      </c>
      <c r="E41" s="37"/>
      <c r="F41" s="37">
        <f>IFERROR(F40/$D40,0)</f>
        <v>0.57163133247369424</v>
      </c>
      <c r="G41" s="37"/>
      <c r="H41" s="37">
        <f>IFERROR(H40/$D40,0)</f>
        <v>0.12504610179940875</v>
      </c>
      <c r="I41" s="37"/>
      <c r="J41" s="37">
        <f>IFERROR(J40/$D40,0)</f>
        <v>0.30332256572689709</v>
      </c>
      <c r="L41" s="37">
        <f>IFERROR(L40/$D40,0)</f>
        <v>0</v>
      </c>
    </row>
    <row r="42" spans="1:12" x14ac:dyDescent="0.2">
      <c r="A42" s="1"/>
      <c r="B42" s="6"/>
      <c r="C42" s="18"/>
      <c r="D42" s="18"/>
      <c r="E42" s="18"/>
      <c r="F42" s="57"/>
      <c r="G42" s="18"/>
      <c r="H42" s="57"/>
      <c r="I42" s="18"/>
      <c r="J42" s="57"/>
      <c r="L42" s="9"/>
    </row>
    <row r="43" spans="1:12" x14ac:dyDescent="0.2">
      <c r="A43" s="18">
        <v>21</v>
      </c>
      <c r="C43" s="2" t="s">
        <v>367</v>
      </c>
      <c r="D43" s="20">
        <f>SUM(F43:L43)</f>
        <v>292716.36554732075</v>
      </c>
      <c r="E43" s="20"/>
      <c r="F43" s="20">
        <v>153466.09332043625</v>
      </c>
      <c r="G43" s="20"/>
      <c r="H43" s="20">
        <v>30043.040577106593</v>
      </c>
      <c r="I43" s="20"/>
      <c r="J43" s="20">
        <v>109207.23164977791</v>
      </c>
      <c r="L43" s="15">
        <v>0</v>
      </c>
    </row>
    <row r="44" spans="1:12" x14ac:dyDescent="0.2">
      <c r="A44" s="18">
        <v>22</v>
      </c>
      <c r="B44" s="2" t="s">
        <v>449</v>
      </c>
      <c r="C44" s="2"/>
      <c r="D44" s="37">
        <f>SUM(F44:L44)</f>
        <v>1</v>
      </c>
      <c r="E44" s="37"/>
      <c r="F44" s="37">
        <f>IFERROR(F43/$D43,0)</f>
        <v>0.52428258677469408</v>
      </c>
      <c r="G44" s="37"/>
      <c r="H44" s="37">
        <f>IFERROR(H43/$D43,0)</f>
        <v>0.10263532932616237</v>
      </c>
      <c r="I44" s="37"/>
      <c r="J44" s="37">
        <f>IFERROR(J43/$D43,0)</f>
        <v>0.3730820838991436</v>
      </c>
      <c r="L44" s="37">
        <f>IFERROR(L43/$D43,0)</f>
        <v>0</v>
      </c>
    </row>
    <row r="45" spans="1:12" x14ac:dyDescent="0.2">
      <c r="A45" s="18"/>
      <c r="B45" s="18"/>
      <c r="C45" s="2"/>
      <c r="D45" s="24"/>
      <c r="F45" s="24"/>
      <c r="H45" s="24"/>
      <c r="J45" s="24"/>
    </row>
    <row r="46" spans="1:12" x14ac:dyDescent="0.2">
      <c r="A46" s="18">
        <v>23</v>
      </c>
      <c r="B46" s="18"/>
      <c r="C46" s="2" t="s">
        <v>367</v>
      </c>
      <c r="D46" s="20">
        <f>SUM(F46:L46)</f>
        <v>581901.18023431743</v>
      </c>
      <c r="E46" s="20"/>
      <c r="F46" s="20">
        <v>374447.96083025628</v>
      </c>
      <c r="G46" s="20"/>
      <c r="H46" s="20">
        <v>70561.096384294826</v>
      </c>
      <c r="I46" s="20"/>
      <c r="J46" s="9">
        <v>136892.12301976632</v>
      </c>
      <c r="L46" s="15">
        <v>0</v>
      </c>
    </row>
    <row r="47" spans="1:12" x14ac:dyDescent="0.2">
      <c r="A47" s="18">
        <v>24</v>
      </c>
      <c r="B47" s="2" t="s">
        <v>448</v>
      </c>
      <c r="C47" s="2"/>
      <c r="D47" s="37">
        <f>SUM(F47:L47)</f>
        <v>1</v>
      </c>
      <c r="E47" s="37"/>
      <c r="F47" s="37">
        <f>IFERROR(F46/$D46,0)</f>
        <v>0.6434906364676477</v>
      </c>
      <c r="G47" s="37"/>
      <c r="H47" s="37">
        <f>IFERROR(H46/$D46,0)</f>
        <v>0.12125958630274919</v>
      </c>
      <c r="I47" s="37"/>
      <c r="J47" s="37">
        <f>IFERROR(J46/$D46,0)</f>
        <v>0.23524977722960314</v>
      </c>
      <c r="L47" s="37">
        <f>IFERROR(L46/$D46,0)</f>
        <v>0</v>
      </c>
    </row>
    <row r="48" spans="1:12" x14ac:dyDescent="0.2">
      <c r="A48" s="18"/>
      <c r="B48" s="18"/>
      <c r="C48" s="2"/>
      <c r="D48" s="24"/>
      <c r="F48" s="24"/>
      <c r="H48" s="24"/>
      <c r="J48" s="24"/>
    </row>
    <row r="49" spans="1:20" x14ac:dyDescent="0.2">
      <c r="A49" s="18">
        <v>25</v>
      </c>
      <c r="C49" s="2" t="s">
        <v>367</v>
      </c>
      <c r="D49" s="20">
        <f>SUM(F49:L49)</f>
        <v>45316.467170216369</v>
      </c>
      <c r="E49" s="20"/>
      <c r="F49" s="20">
        <v>27084.213746108402</v>
      </c>
      <c r="G49" s="20"/>
      <c r="H49" s="20">
        <v>5683.8498102281865</v>
      </c>
      <c r="I49" s="20"/>
      <c r="J49" s="20">
        <v>12548.403613879784</v>
      </c>
      <c r="L49" s="15">
        <v>0</v>
      </c>
    </row>
    <row r="50" spans="1:20" x14ac:dyDescent="0.2">
      <c r="A50" s="18">
        <v>26</v>
      </c>
      <c r="B50" s="2" t="s">
        <v>450</v>
      </c>
      <c r="C50" s="2"/>
      <c r="D50" s="37">
        <f>SUM(F50:L50)</f>
        <v>1</v>
      </c>
      <c r="E50" s="37"/>
      <c r="F50" s="37">
        <f>IFERROR(F49/$D49,0)</f>
        <v>0.59766825256645628</v>
      </c>
      <c r="G50" s="37"/>
      <c r="H50" s="37">
        <f>IFERROR(H49/$D49,0)</f>
        <v>0.12542570427828539</v>
      </c>
      <c r="I50" s="37"/>
      <c r="J50" s="37">
        <f>IFERROR(J49/$D49,0)</f>
        <v>0.27690604315525841</v>
      </c>
      <c r="L50" s="37">
        <f>IFERROR(L49/$D49,0)</f>
        <v>0</v>
      </c>
      <c r="M50" s="18"/>
      <c r="N50" s="18"/>
      <c r="O50" s="18"/>
      <c r="P50" s="18"/>
      <c r="Q50" s="18"/>
      <c r="R50" s="18"/>
      <c r="S50" s="18"/>
      <c r="T50" s="18"/>
    </row>
    <row r="51" spans="1:20" x14ac:dyDescent="0.2">
      <c r="A51" s="18"/>
      <c r="B51" s="18"/>
      <c r="C51" s="2"/>
      <c r="D51" s="24"/>
      <c r="F51" s="24"/>
      <c r="H51" s="24"/>
      <c r="J51" s="24"/>
      <c r="T51" s="2"/>
    </row>
    <row r="52" spans="1:20" x14ac:dyDescent="0.2">
      <c r="A52" s="18">
        <v>27</v>
      </c>
      <c r="B52" s="18"/>
      <c r="C52" s="2" t="s">
        <v>367</v>
      </c>
      <c r="D52" s="20">
        <f>SUM(F52:L52)</f>
        <v>120225.66822487098</v>
      </c>
      <c r="E52" s="20"/>
      <c r="F52" s="20">
        <v>70399.736846194966</v>
      </c>
      <c r="G52" s="20"/>
      <c r="H52" s="20">
        <v>11345.522122062794</v>
      </c>
      <c r="I52" s="20"/>
      <c r="J52" s="9">
        <v>38480.409256613239</v>
      </c>
      <c r="L52" s="9">
        <f>0</f>
        <v>0</v>
      </c>
      <c r="M52" s="18"/>
      <c r="N52" s="18"/>
      <c r="O52" s="18"/>
      <c r="P52" s="18"/>
      <c r="Q52" s="18"/>
      <c r="R52" s="18"/>
      <c r="S52" s="18"/>
      <c r="T52" s="18"/>
    </row>
    <row r="53" spans="1:20" x14ac:dyDescent="0.2">
      <c r="A53" s="18">
        <v>28</v>
      </c>
      <c r="B53" s="2" t="s">
        <v>452</v>
      </c>
      <c r="C53" s="2"/>
      <c r="D53" s="37">
        <f>SUM(F53:L53)</f>
        <v>1.0000000000000002</v>
      </c>
      <c r="E53" s="37"/>
      <c r="F53" s="37">
        <f>IFERROR(F52/$D52,0)</f>
        <v>0.58556328183195272</v>
      </c>
      <c r="G53" s="37"/>
      <c r="H53" s="37">
        <f>IFERROR(H52/$D52,0)</f>
        <v>9.4368551155332686E-2</v>
      </c>
      <c r="I53" s="37"/>
      <c r="J53" s="37">
        <f>IFERROR(J52/$D52,0)</f>
        <v>0.32006816701271473</v>
      </c>
      <c r="L53" s="37">
        <f>IFERROR(L52/$D52,0)</f>
        <v>0</v>
      </c>
    </row>
    <row r="54" spans="1:20" x14ac:dyDescent="0.2">
      <c r="A54" s="18"/>
      <c r="B54" s="18"/>
      <c r="C54" s="2"/>
      <c r="D54" s="24"/>
      <c r="F54" s="24"/>
      <c r="H54" s="24"/>
      <c r="J54" s="24"/>
      <c r="T54" s="2"/>
    </row>
    <row r="57" spans="1:20" x14ac:dyDescent="0.2">
      <c r="B57" s="18"/>
      <c r="C57" s="2"/>
      <c r="D57" s="24"/>
      <c r="F57" s="24"/>
      <c r="H57" s="24"/>
      <c r="J57" s="24"/>
    </row>
    <row r="60" spans="1:20" x14ac:dyDescent="0.2">
      <c r="B60" s="124"/>
      <c r="C60" s="2"/>
      <c r="D60" s="20"/>
      <c r="E60" s="20"/>
      <c r="F60" s="20"/>
      <c r="G60" s="20"/>
      <c r="H60" s="20"/>
      <c r="I60" s="20"/>
      <c r="J60" s="9"/>
    </row>
    <row r="63" spans="1:20" x14ac:dyDescent="0.2">
      <c r="B63" s="18"/>
      <c r="C63" s="2"/>
      <c r="D63" s="24"/>
      <c r="F63" s="24"/>
      <c r="H63" s="24"/>
      <c r="J63" s="24"/>
    </row>
    <row r="66" spans="1:20" x14ac:dyDescent="0.2">
      <c r="A66" s="18"/>
      <c r="B66" s="18"/>
      <c r="C66" s="2"/>
      <c r="D66" s="24"/>
      <c r="F66" s="24"/>
      <c r="H66" s="24"/>
      <c r="J66" s="24"/>
    </row>
    <row r="69" spans="1:20" x14ac:dyDescent="0.2">
      <c r="A69" s="18"/>
      <c r="M69" s="18"/>
      <c r="N69" s="18"/>
      <c r="O69" s="18"/>
      <c r="P69" s="18"/>
      <c r="Q69" s="18"/>
      <c r="R69" s="18"/>
      <c r="S69" s="18"/>
      <c r="T69" s="18"/>
    </row>
    <row r="72" spans="1:20" x14ac:dyDescent="0.2">
      <c r="B72" s="18"/>
      <c r="C72" s="2"/>
      <c r="D72" s="24"/>
      <c r="F72" s="24"/>
      <c r="H72" s="24"/>
      <c r="J72" s="24"/>
      <c r="M72" s="18"/>
      <c r="N72" s="18"/>
      <c r="O72" s="18"/>
      <c r="P72" s="18"/>
      <c r="Q72" s="18"/>
      <c r="R72" s="18"/>
      <c r="S72" s="18"/>
      <c r="T72" s="18"/>
    </row>
    <row r="75" spans="1:20" x14ac:dyDescent="0.2">
      <c r="A75" s="18"/>
      <c r="B75" s="18"/>
      <c r="C75" s="2"/>
      <c r="D75" s="24"/>
      <c r="F75" s="24"/>
      <c r="H75" s="24"/>
      <c r="J75" s="24"/>
      <c r="M75" s="18"/>
      <c r="N75" s="18"/>
      <c r="O75" s="18"/>
      <c r="P75" s="18"/>
      <c r="Q75" s="18"/>
      <c r="R75" s="18"/>
      <c r="S75" s="18"/>
      <c r="T75" s="18"/>
    </row>
    <row r="78" spans="1:20" x14ac:dyDescent="0.2">
      <c r="A78" s="1"/>
      <c r="B78" s="18"/>
      <c r="C78" s="2"/>
      <c r="D78" s="24"/>
      <c r="F78" s="24"/>
      <c r="H78" s="24"/>
      <c r="J78" s="24"/>
    </row>
    <row r="81" spans="1:12" x14ac:dyDescent="0.2">
      <c r="A81" s="1"/>
    </row>
    <row r="84" spans="1:12" x14ac:dyDescent="0.2">
      <c r="A84" s="18"/>
    </row>
    <row r="85" spans="1:12" x14ac:dyDescent="0.2">
      <c r="A85" s="18"/>
      <c r="B85" s="18"/>
      <c r="C85" s="2"/>
      <c r="D85" s="20"/>
      <c r="E85" s="20"/>
      <c r="F85" s="20"/>
      <c r="G85" s="20"/>
      <c r="H85" s="20"/>
      <c r="I85" s="20"/>
      <c r="J85" s="9"/>
      <c r="L85" s="9"/>
    </row>
    <row r="86" spans="1:12" x14ac:dyDescent="0.2">
      <c r="A86" s="18"/>
      <c r="B86" s="2"/>
      <c r="C86" s="2"/>
      <c r="D86" s="37"/>
      <c r="E86" s="37"/>
      <c r="F86" s="37"/>
      <c r="G86" s="37"/>
      <c r="H86" s="37"/>
      <c r="I86" s="37"/>
      <c r="J86" s="37"/>
      <c r="L86" s="37"/>
    </row>
    <row r="91" spans="1:12" x14ac:dyDescent="0.2">
      <c r="A91" s="18"/>
    </row>
    <row r="92" spans="1:12" x14ac:dyDescent="0.2">
      <c r="A92" s="18"/>
    </row>
    <row r="93" spans="1:12" x14ac:dyDescent="0.2">
      <c r="A93" s="18"/>
    </row>
  </sheetData>
  <mergeCells count="2">
    <mergeCell ref="B7:L7"/>
    <mergeCell ref="B6:L6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D2843-ECD8-405F-981F-7F7CC5EA448A}">
  <sheetPr>
    <tabColor theme="0" tint="-0.249977111117893"/>
  </sheetPr>
  <dimension ref="A2:W57"/>
  <sheetViews>
    <sheetView topLeftCell="A22" zoomScale="70" zoomScaleNormal="70" workbookViewId="0">
      <selection activeCell="L57" sqref="L57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23.5703125" style="2" bestFit="1" customWidth="1"/>
    <col min="9" max="9" width="1.7109375" style="31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31" customWidth="1"/>
    <col min="14" max="15" width="12.85546875" style="31" customWidth="1"/>
    <col min="16" max="23" width="10.7109375" style="31" customWidth="1"/>
    <col min="24" max="16384" width="9.140625" style="31"/>
  </cols>
  <sheetData>
    <row r="2" spans="1:23" x14ac:dyDescent="0.2">
      <c r="B2" s="161" t="s">
        <v>363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</row>
    <row r="3" spans="1:23" x14ac:dyDescent="0.2">
      <c r="B3" s="161" t="s">
        <v>513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</row>
    <row r="5" spans="1:23" x14ac:dyDescent="0.2">
      <c r="D5" s="2" t="s">
        <v>150</v>
      </c>
    </row>
    <row r="6" spans="1:23" x14ac:dyDescent="0.2">
      <c r="A6" s="2" t="s">
        <v>2</v>
      </c>
      <c r="D6" s="2" t="s">
        <v>5</v>
      </c>
      <c r="F6" s="2" t="s">
        <v>167</v>
      </c>
      <c r="H6" s="2" t="s">
        <v>168</v>
      </c>
      <c r="I6" s="2"/>
      <c r="J6" s="2" t="s">
        <v>169</v>
      </c>
      <c r="L6" s="2" t="s">
        <v>104</v>
      </c>
      <c r="N6" s="2" t="s">
        <v>80</v>
      </c>
      <c r="O6" s="2" t="s">
        <v>80</v>
      </c>
      <c r="P6" s="2" t="s">
        <v>80</v>
      </c>
      <c r="Q6" s="2" t="s">
        <v>80</v>
      </c>
      <c r="R6" s="2" t="s">
        <v>80</v>
      </c>
      <c r="S6" s="2" t="s">
        <v>80</v>
      </c>
      <c r="T6" s="2" t="s">
        <v>80</v>
      </c>
      <c r="U6" s="2" t="s">
        <v>80</v>
      </c>
      <c r="V6" s="2" t="s">
        <v>80</v>
      </c>
      <c r="W6" s="2" t="s">
        <v>80</v>
      </c>
    </row>
    <row r="7" spans="1:23" x14ac:dyDescent="0.2">
      <c r="A7" s="33" t="s">
        <v>4</v>
      </c>
      <c r="B7" s="80" t="s">
        <v>374</v>
      </c>
      <c r="D7" s="33" t="s">
        <v>152</v>
      </c>
      <c r="F7" s="33" t="s">
        <v>131</v>
      </c>
      <c r="H7" s="33" t="s">
        <v>6</v>
      </c>
      <c r="I7" s="2"/>
      <c r="J7" s="33" t="s">
        <v>170</v>
      </c>
      <c r="L7" s="33" t="s">
        <v>6</v>
      </c>
      <c r="N7" s="33">
        <v>1</v>
      </c>
      <c r="O7" s="33">
        <v>6</v>
      </c>
      <c r="P7" s="33">
        <v>100</v>
      </c>
      <c r="Q7" s="33">
        <v>110</v>
      </c>
      <c r="R7" s="33">
        <v>115</v>
      </c>
      <c r="S7" s="33">
        <v>125</v>
      </c>
      <c r="T7" s="33">
        <v>135</v>
      </c>
      <c r="U7" s="33">
        <v>145</v>
      </c>
      <c r="V7" s="33">
        <v>170</v>
      </c>
      <c r="W7" s="33">
        <v>200</v>
      </c>
    </row>
    <row r="8" spans="1:23" x14ac:dyDescent="0.2">
      <c r="D8" s="120" t="s">
        <v>12</v>
      </c>
      <c r="F8" s="120" t="s">
        <v>13</v>
      </c>
      <c r="H8" s="120" t="s">
        <v>14</v>
      </c>
      <c r="J8" s="120" t="s">
        <v>366</v>
      </c>
      <c r="K8" s="74"/>
      <c r="L8" s="120" t="s">
        <v>15</v>
      </c>
      <c r="M8" s="40"/>
      <c r="N8" s="120" t="s">
        <v>16</v>
      </c>
      <c r="O8" s="120" t="s">
        <v>59</v>
      </c>
      <c r="P8" s="2" t="s">
        <v>61</v>
      </c>
      <c r="Q8" s="120" t="s">
        <v>62</v>
      </c>
      <c r="R8" s="120" t="s">
        <v>82</v>
      </c>
      <c r="S8" s="120" t="s">
        <v>143</v>
      </c>
      <c r="T8" s="120" t="s">
        <v>144</v>
      </c>
      <c r="U8" s="120" t="s">
        <v>145</v>
      </c>
      <c r="V8" s="120" t="s">
        <v>184</v>
      </c>
      <c r="W8" s="120" t="s">
        <v>193</v>
      </c>
    </row>
    <row r="10" spans="1:23" x14ac:dyDescent="0.2">
      <c r="B10" s="77" t="s">
        <v>384</v>
      </c>
    </row>
    <row r="11" spans="1:23" x14ac:dyDescent="0.2">
      <c r="A11" s="2">
        <v>1</v>
      </c>
      <c r="B11" s="31" t="s">
        <v>132</v>
      </c>
      <c r="D11" s="79">
        <f ca="1">'Total Allocation Current RZ'!P11</f>
        <v>1102518.0690424258</v>
      </c>
      <c r="J11" s="79">
        <f ca="1">D11-F11</f>
        <v>1102518.0690424258</v>
      </c>
      <c r="L11" s="2" t="s">
        <v>221</v>
      </c>
      <c r="N11" s="79">
        <f ca="1">IF($J11&lt;&gt;0,VLOOKUP($L11,'Allocation Factors - EGD'!$B$12:$S$104,5,FALSE)*$J11,0)+IF($F11&lt;&gt;0,VLOOKUP($H11,'Allocation Factors - EGD'!$B$12:$S$104,5,FALSE)*$F11,0)</f>
        <v>664796.33064683108</v>
      </c>
      <c r="O11" s="79">
        <f ca="1">IF($J11&lt;&gt;0,VLOOKUP($L11,'Allocation Factors - EGD'!$B$12:$S$104,6,FALSE)*$J11,0)+IF($F11&lt;&gt;0,VLOOKUP($H11,'Allocation Factors - EGD'!$B$12:$S$104,6,FALSE)*$F11,0)</f>
        <v>401389.07798596349</v>
      </c>
      <c r="P11" s="79">
        <f ca="1">IF($J11&lt;&gt;0,VLOOKUP($L11,'Allocation Factors - EGD'!$B$12:$S$104,7,FALSE)*$J11,0)+IF($F11&lt;&gt;0,VLOOKUP($H11,'Allocation Factors - EGD'!$B$12:$S$104,7,FALSE)*$F11,0)</f>
        <v>1991.3709063058056</v>
      </c>
      <c r="Q11" s="79">
        <f ca="1">IF($J11&lt;&gt;0,VLOOKUP($L11,'Allocation Factors - EGD'!$B$12:$S$104,8,FALSE)*$J11,0)+IF($F11&lt;&gt;0,VLOOKUP($H11,'Allocation Factors - EGD'!$B$12:$S$104,8,FALSE)*$F11,0)</f>
        <v>13791.212881294163</v>
      </c>
      <c r="R11" s="79">
        <f ca="1">IF($J11&lt;&gt;0,VLOOKUP($L11,'Allocation Factors - EGD'!$B$12:$S$104,9,FALSE)*$J11,0)+IF($F11&lt;&gt;0,VLOOKUP($H11,'Allocation Factors - EGD'!$B$12:$S$104,9,FALSE)*$F11,0)</f>
        <v>222.81674344852806</v>
      </c>
      <c r="S11" s="79">
        <f ca="1">IF($J11&lt;&gt;0,VLOOKUP($L11,'Allocation Factors - EGD'!$B$12:$S$104,10,FALSE)*$J11,0)+IF($F11&lt;&gt;0,VLOOKUP($H11,'Allocation Factors - EGD'!$B$12:$S$104,10,FALSE)*$F11,0)</f>
        <v>0</v>
      </c>
      <c r="T11" s="79">
        <f ca="1">IF($J11&lt;&gt;0,VLOOKUP($L11,'Allocation Factors - EGD'!$B$12:$S$104,11,FALSE)*$J11,0)+IF($F11&lt;&gt;0,VLOOKUP($H11,'Allocation Factors - EGD'!$B$12:$S$104,11,FALSE)*$F11,0)</f>
        <v>592.62271457760971</v>
      </c>
      <c r="U11" s="79">
        <f ca="1">IF($J11&lt;&gt;0,VLOOKUP($L11,'Allocation Factors - EGD'!$B$12:$S$104,12,FALSE)*$J11,0)+IF($F11&lt;&gt;0,VLOOKUP($H11,'Allocation Factors - EGD'!$B$12:$S$104,12,FALSE)*$F11,0)</f>
        <v>77.409221273682832</v>
      </c>
      <c r="V11" s="79">
        <f ca="1">IF($J11&lt;&gt;0,VLOOKUP($L11,'Allocation Factors - EGD'!$B$12:$S$104,13,FALSE)*$J11,0)+IF($F11&lt;&gt;0,VLOOKUP($H11,'Allocation Factors - EGD'!$B$12:$S$104,13,FALSE)*$F11,0)</f>
        <v>723.34573217424372</v>
      </c>
      <c r="W11" s="79">
        <f ca="1">IF($J11&lt;&gt;0,VLOOKUP($L11,'Allocation Factors - EGD'!$B$12:$S$104,14,FALSE)*$J11,0)+IF($F11&lt;&gt;0,VLOOKUP($H11,'Allocation Factors - EGD'!$B$12:$S$104,14,FALSE)*$F11,0)</f>
        <v>18933.882210557331</v>
      </c>
    </row>
    <row r="12" spans="1:23" x14ac:dyDescent="0.2">
      <c r="A12" s="2">
        <f>A11+1</f>
        <v>2</v>
      </c>
      <c r="B12" s="31" t="s">
        <v>385</v>
      </c>
      <c r="D12" s="79">
        <f ca="1">'Total Allocation Current RZ'!P12</f>
        <v>114100.03492767722</v>
      </c>
      <c r="J12" s="79">
        <f t="shared" ref="J12:J16" ca="1" si="0">D12-F12</f>
        <v>114100.03492767722</v>
      </c>
      <c r="L12" s="2" t="s">
        <v>263</v>
      </c>
      <c r="N12" s="79">
        <f ca="1">IF($J12&lt;&gt;0,VLOOKUP($L12,'Allocation Factors - EGD'!$B$12:$S$104,5,FALSE)*$J12,0)+IF($F12&lt;&gt;0,VLOOKUP($H12,'Allocation Factors - EGD'!$B$12:$S$104,5,FALSE)*$F12,0)</f>
        <v>58366.957184214036</v>
      </c>
      <c r="O12" s="79">
        <f ca="1">IF($J12&lt;&gt;0,VLOOKUP($L12,'Allocation Factors - EGD'!$B$12:$S$104,6,FALSE)*$J12,0)+IF($F12&lt;&gt;0,VLOOKUP($H12,'Allocation Factors - EGD'!$B$12:$S$104,6,FALSE)*$F12,0)</f>
        <v>50654.986669031729</v>
      </c>
      <c r="P12" s="79">
        <f ca="1">IF($J12&lt;&gt;0,VLOOKUP($L12,'Allocation Factors - EGD'!$B$12:$S$104,7,FALSE)*$J12,0)+IF($F12&lt;&gt;0,VLOOKUP($H12,'Allocation Factors - EGD'!$B$12:$S$104,7,FALSE)*$F12,0)</f>
        <v>135.99400092720711</v>
      </c>
      <c r="Q12" s="79">
        <f ca="1">IF($J12&lt;&gt;0,VLOOKUP($L12,'Allocation Factors - EGD'!$B$12:$S$104,8,FALSE)*$J12,0)+IF($F12&lt;&gt;0,VLOOKUP($H12,'Allocation Factors - EGD'!$B$12:$S$104,8,FALSE)*$F12,0)</f>
        <v>3705.9845942271468</v>
      </c>
      <c r="R12" s="79">
        <f ca="1">IF($J12&lt;&gt;0,VLOOKUP($L12,'Allocation Factors - EGD'!$B$12:$S$104,9,FALSE)*$J12,0)+IF($F12&lt;&gt;0,VLOOKUP($H12,'Allocation Factors - EGD'!$B$12:$S$104,9,FALSE)*$F12,0)</f>
        <v>136.68091578848018</v>
      </c>
      <c r="S12" s="79">
        <f ca="1">IF($J12&lt;&gt;0,VLOOKUP($L12,'Allocation Factors - EGD'!$B$12:$S$104,10,FALSE)*$J12,0)+IF($F12&lt;&gt;0,VLOOKUP($H12,'Allocation Factors - EGD'!$B$12:$S$104,10,FALSE)*$F12,0)</f>
        <v>0</v>
      </c>
      <c r="T12" s="79">
        <f ca="1">IF($J12&lt;&gt;0,VLOOKUP($L12,'Allocation Factors - EGD'!$B$12:$S$104,11,FALSE)*$J12,0)+IF($F12&lt;&gt;0,VLOOKUP($H12,'Allocation Factors - EGD'!$B$12:$S$104,11,FALSE)*$F12,0)</f>
        <v>0</v>
      </c>
      <c r="U12" s="79">
        <f ca="1">IF($J12&lt;&gt;0,VLOOKUP($L12,'Allocation Factors - EGD'!$B$12:$S$104,12,FALSE)*$J12,0)+IF($F12&lt;&gt;0,VLOOKUP($H12,'Allocation Factors - EGD'!$B$12:$S$104,12,FALSE)*$F12,0)</f>
        <v>0</v>
      </c>
      <c r="V12" s="79">
        <f ca="1">IF($J12&lt;&gt;0,VLOOKUP($L12,'Allocation Factors - EGD'!$B$12:$S$104,13,FALSE)*$J12,0)+IF($F12&lt;&gt;0,VLOOKUP($H12,'Allocation Factors - EGD'!$B$12:$S$104,13,FALSE)*$F12,0)</f>
        <v>0</v>
      </c>
      <c r="W12" s="79">
        <f ca="1">IF($J12&lt;&gt;0,VLOOKUP($L12,'Allocation Factors - EGD'!$B$12:$S$104,14,FALSE)*$J12,0)+IF($F12&lt;&gt;0,VLOOKUP($H12,'Allocation Factors - EGD'!$B$12:$S$104,14,FALSE)*$F12,0)</f>
        <v>1099.4315634886188</v>
      </c>
    </row>
    <row r="13" spans="1:23" x14ac:dyDescent="0.2">
      <c r="A13" s="2">
        <f t="shared" ref="A13:A17" si="1">A12+1</f>
        <v>3</v>
      </c>
      <c r="B13" s="31" t="s">
        <v>386</v>
      </c>
      <c r="D13" s="79">
        <f ca="1">'Total Allocation Current RZ'!P13</f>
        <v>23604.021689045923</v>
      </c>
      <c r="J13" s="79">
        <f t="shared" ca="1" si="0"/>
        <v>23604.021689045923</v>
      </c>
      <c r="L13" s="2" t="s">
        <v>156</v>
      </c>
      <c r="N13" s="79">
        <f ca="1">IF($J13&lt;&gt;0,VLOOKUP($L13,'Allocation Factors - EGD'!$B$12:$S$104,5,FALSE)*$J13,0)+IF($F13&lt;&gt;0,VLOOKUP($H13,'Allocation Factors - EGD'!$B$12:$S$104,5,FALSE)*$F13,0)</f>
        <v>12074.44786649768</v>
      </c>
      <c r="O13" s="79">
        <f ca="1">IF($J13&lt;&gt;0,VLOOKUP($L13,'Allocation Factors - EGD'!$B$12:$S$104,6,FALSE)*$J13,0)+IF($F13&lt;&gt;0,VLOOKUP($H13,'Allocation Factors - EGD'!$B$12:$S$104,6,FALSE)*$F13,0)</f>
        <v>10479.062559025788</v>
      </c>
      <c r="P13" s="79">
        <f ca="1">IF($J13&lt;&gt;0,VLOOKUP($L13,'Allocation Factors - EGD'!$B$12:$S$104,7,FALSE)*$J13,0)+IF($F13&lt;&gt;0,VLOOKUP($H13,'Allocation Factors - EGD'!$B$12:$S$104,7,FALSE)*$F13,0)</f>
        <v>28.13325473125931</v>
      </c>
      <c r="Q13" s="79">
        <f ca="1">IF($J13&lt;&gt;0,VLOOKUP($L13,'Allocation Factors - EGD'!$B$12:$S$104,8,FALSE)*$J13,0)+IF($F13&lt;&gt;0,VLOOKUP($H13,'Allocation Factors - EGD'!$B$12:$S$104,8,FALSE)*$F13,0)</f>
        <v>766.66182264409247</v>
      </c>
      <c r="R13" s="79">
        <f ca="1">IF($J13&lt;&gt;0,VLOOKUP($L13,'Allocation Factors - EGD'!$B$12:$S$104,9,FALSE)*$J13,0)+IF($F13&lt;&gt;0,VLOOKUP($H13,'Allocation Factors - EGD'!$B$12:$S$104,9,FALSE)*$F13,0)</f>
        <v>28.275357696383686</v>
      </c>
      <c r="S13" s="79">
        <f ca="1">IF($J13&lt;&gt;0,VLOOKUP($L13,'Allocation Factors - EGD'!$B$12:$S$104,10,FALSE)*$J13,0)+IF($F13&lt;&gt;0,VLOOKUP($H13,'Allocation Factors - EGD'!$B$12:$S$104,10,FALSE)*$F13,0)</f>
        <v>0</v>
      </c>
      <c r="T13" s="79">
        <f ca="1">IF($J13&lt;&gt;0,VLOOKUP($L13,'Allocation Factors - EGD'!$B$12:$S$104,11,FALSE)*$J13,0)+IF($F13&lt;&gt;0,VLOOKUP($H13,'Allocation Factors - EGD'!$B$12:$S$104,11,FALSE)*$F13,0)</f>
        <v>0</v>
      </c>
      <c r="U13" s="79">
        <f ca="1">IF($J13&lt;&gt;0,VLOOKUP($L13,'Allocation Factors - EGD'!$B$12:$S$104,12,FALSE)*$J13,0)+IF($F13&lt;&gt;0,VLOOKUP($H13,'Allocation Factors - EGD'!$B$12:$S$104,12,FALSE)*$F13,0)</f>
        <v>0</v>
      </c>
      <c r="V13" s="79">
        <f ca="1">IF($J13&lt;&gt;0,VLOOKUP($L13,'Allocation Factors - EGD'!$B$12:$S$104,13,FALSE)*$J13,0)+IF($F13&lt;&gt;0,VLOOKUP($H13,'Allocation Factors - EGD'!$B$12:$S$104,13,FALSE)*$F13,0)</f>
        <v>0</v>
      </c>
      <c r="W13" s="79">
        <f ca="1">IF($J13&lt;&gt;0,VLOOKUP($L13,'Allocation Factors - EGD'!$B$12:$S$104,14,FALSE)*$J13,0)+IF($F13&lt;&gt;0,VLOOKUP($H13,'Allocation Factors - EGD'!$B$12:$S$104,14,FALSE)*$F13,0)</f>
        <v>227.44082845072032</v>
      </c>
    </row>
    <row r="14" spans="1:23" x14ac:dyDescent="0.2">
      <c r="A14" s="2">
        <f t="shared" si="1"/>
        <v>4</v>
      </c>
      <c r="B14" s="31" t="s">
        <v>115</v>
      </c>
      <c r="D14" s="79">
        <f ca="1">'Total Allocation Current RZ'!P14</f>
        <v>123818.51645502406</v>
      </c>
      <c r="F14" s="50">
        <v>-4389.327624597051</v>
      </c>
      <c r="H14" s="2" t="s">
        <v>410</v>
      </c>
      <c r="J14" s="79">
        <f t="shared" ca="1" si="0"/>
        <v>128207.84407962111</v>
      </c>
      <c r="L14" s="2" t="s">
        <v>262</v>
      </c>
      <c r="N14" s="79">
        <f ca="1">IF($J14&lt;&gt;0,VLOOKUP($L14,'Allocation Factors - EGD'!$B$12:$S$104,5,FALSE)*$J14,0)+IF($F14&lt;&gt;0,VLOOKUP($H14,'Allocation Factors - EGD'!$B$12:$S$104,5,FALSE)*$F14,0)</f>
        <v>50444.13330365518</v>
      </c>
      <c r="O14" s="79">
        <f ca="1">IF($J14&lt;&gt;0,VLOOKUP($L14,'Allocation Factors - EGD'!$B$12:$S$104,6,FALSE)*$J14,0)+IF($F14&lt;&gt;0,VLOOKUP($H14,'Allocation Factors - EGD'!$B$12:$S$104,6,FALSE)*$F14,0)</f>
        <v>52529.316242740846</v>
      </c>
      <c r="P14" s="79">
        <f ca="1">IF($J14&lt;&gt;0,VLOOKUP($L14,'Allocation Factors - EGD'!$B$12:$S$104,7,FALSE)*$J14,0)+IF($F14&lt;&gt;0,VLOOKUP($H14,'Allocation Factors - EGD'!$B$12:$S$104,7,FALSE)*$F14,0)</f>
        <v>273.95584603309646</v>
      </c>
      <c r="Q14" s="79">
        <f ca="1">IF($J14&lt;&gt;0,VLOOKUP($L14,'Allocation Factors - EGD'!$B$12:$S$104,8,FALSE)*$J14,0)+IF($F14&lt;&gt;0,VLOOKUP($H14,'Allocation Factors - EGD'!$B$12:$S$104,8,FALSE)*$F14,0)</f>
        <v>10959.497550878907</v>
      </c>
      <c r="R14" s="79">
        <f ca="1">IF($J14&lt;&gt;0,VLOOKUP($L14,'Allocation Factors - EGD'!$B$12:$S$104,9,FALSE)*$J14,0)+IF($F14&lt;&gt;0,VLOOKUP($H14,'Allocation Factors - EGD'!$B$12:$S$104,9,FALSE)*$F14,0)</f>
        <v>3814.0565987468476</v>
      </c>
      <c r="S14" s="79">
        <f ca="1">IF($J14&lt;&gt;0,VLOOKUP($L14,'Allocation Factors - EGD'!$B$12:$S$104,10,FALSE)*$J14,0)+IF($F14&lt;&gt;0,VLOOKUP($H14,'Allocation Factors - EGD'!$B$12:$S$104,10,FALSE)*$F14,0)</f>
        <v>0</v>
      </c>
      <c r="T14" s="79">
        <f ca="1">IF($J14&lt;&gt;0,VLOOKUP($L14,'Allocation Factors - EGD'!$B$12:$S$104,11,FALSE)*$J14,0)+IF($F14&lt;&gt;0,VLOOKUP($H14,'Allocation Factors - EGD'!$B$12:$S$104,11,FALSE)*$F14,0)</f>
        <v>525.82074567152847</v>
      </c>
      <c r="U14" s="79">
        <f ca="1">IF($J14&lt;&gt;0,VLOOKUP($L14,'Allocation Factors - EGD'!$B$12:$S$104,12,FALSE)*$J14,0)+IF($F14&lt;&gt;0,VLOOKUP($H14,'Allocation Factors - EGD'!$B$12:$S$104,12,FALSE)*$F14,0)</f>
        <v>156.94432241558857</v>
      </c>
      <c r="V14" s="79">
        <f ca="1">IF($J14&lt;&gt;0,VLOOKUP($L14,'Allocation Factors - EGD'!$B$12:$S$104,13,FALSE)*$J14,0)+IF($F14&lt;&gt;0,VLOOKUP($H14,'Allocation Factors - EGD'!$B$12:$S$104,13,FALSE)*$F14,0)</f>
        <v>3228.5817933891794</v>
      </c>
      <c r="W14" s="79">
        <f ca="1">IF($J14&lt;&gt;0,VLOOKUP($L14,'Allocation Factors - EGD'!$B$12:$S$104,14,FALSE)*$J14,0)+IF($F14&lt;&gt;0,VLOOKUP($H14,'Allocation Factors - EGD'!$B$12:$S$104,14,FALSE)*$F14,0)</f>
        <v>1886.2100514928632</v>
      </c>
    </row>
    <row r="15" spans="1:23" x14ac:dyDescent="0.2">
      <c r="A15" s="2">
        <f t="shared" si="1"/>
        <v>5</v>
      </c>
      <c r="B15" s="31" t="s">
        <v>133</v>
      </c>
      <c r="D15" s="79">
        <f ca="1">'Total Allocation Current RZ'!P15</f>
        <v>11955.5993527677</v>
      </c>
      <c r="J15" s="79">
        <f t="shared" ca="1" si="0"/>
        <v>11955.5993527677</v>
      </c>
      <c r="L15" s="2" t="s">
        <v>264</v>
      </c>
      <c r="N15" s="79">
        <f ca="1">IF($J15&lt;&gt;0,VLOOKUP($L15,'Allocation Factors - EGD'!$B$12:$S$104,5,FALSE)*$J15,0)+IF($F15&lt;&gt;0,VLOOKUP($H15,'Allocation Factors - EGD'!$B$12:$S$104,5,FALSE)*$F15,0)</f>
        <v>5048.2059121763796</v>
      </c>
      <c r="O15" s="79">
        <f ca="1">IF($J15&lt;&gt;0,VLOOKUP($L15,'Allocation Factors - EGD'!$B$12:$S$104,6,FALSE)*$J15,0)+IF($F15&lt;&gt;0,VLOOKUP($H15,'Allocation Factors - EGD'!$B$12:$S$104,6,FALSE)*$F15,0)</f>
        <v>4834.3065911979456</v>
      </c>
      <c r="P15" s="79">
        <f ca="1">IF($J15&lt;&gt;0,VLOOKUP($L15,'Allocation Factors - EGD'!$B$12:$S$104,7,FALSE)*$J15,0)+IF($F15&lt;&gt;0,VLOOKUP($H15,'Allocation Factors - EGD'!$B$12:$S$104,7,FALSE)*$F15,0)</f>
        <v>27.629566360633593</v>
      </c>
      <c r="Q15" s="79">
        <f ca="1">IF($J15&lt;&gt;0,VLOOKUP($L15,'Allocation Factors - EGD'!$B$12:$S$104,8,FALSE)*$J15,0)+IF($F15&lt;&gt;0,VLOOKUP($H15,'Allocation Factors - EGD'!$B$12:$S$104,8,FALSE)*$F15,0)</f>
        <v>1076.0867906701237</v>
      </c>
      <c r="R15" s="79">
        <f ca="1">IF($J15&lt;&gt;0,VLOOKUP($L15,'Allocation Factors - EGD'!$B$12:$S$104,9,FALSE)*$J15,0)+IF($F15&lt;&gt;0,VLOOKUP($H15,'Allocation Factors - EGD'!$B$12:$S$104,9,FALSE)*$F15,0)</f>
        <v>384.66319089083254</v>
      </c>
      <c r="S15" s="79">
        <f ca="1">IF($J15&lt;&gt;0,VLOOKUP($L15,'Allocation Factors - EGD'!$B$12:$S$104,10,FALSE)*$J15,0)+IF($F15&lt;&gt;0,VLOOKUP($H15,'Allocation Factors - EGD'!$B$12:$S$104,10,FALSE)*$F15,0)</f>
        <v>0</v>
      </c>
      <c r="T15" s="79">
        <f ca="1">IF($J15&lt;&gt;0,VLOOKUP($L15,'Allocation Factors - EGD'!$B$12:$S$104,11,FALSE)*$J15,0)+IF($F15&lt;&gt;0,VLOOKUP($H15,'Allocation Factors - EGD'!$B$12:$S$104,11,FALSE)*$F15,0)</f>
        <v>53.031170521450349</v>
      </c>
      <c r="U15" s="79">
        <f ca="1">IF($J15&lt;&gt;0,VLOOKUP($L15,'Allocation Factors - EGD'!$B$12:$S$104,12,FALSE)*$J15,0)+IF($F15&lt;&gt;0,VLOOKUP($H15,'Allocation Factors - EGD'!$B$12:$S$104,12,FALSE)*$F15,0)</f>
        <v>15.828476135465685</v>
      </c>
      <c r="V15" s="79">
        <f ca="1">IF($J15&lt;&gt;0,VLOOKUP($L15,'Allocation Factors - EGD'!$B$12:$S$104,13,FALSE)*$J15,0)+IF($F15&lt;&gt;0,VLOOKUP($H15,'Allocation Factors - EGD'!$B$12:$S$104,13,FALSE)*$F15,0)</f>
        <v>325.61566472431849</v>
      </c>
      <c r="W15" s="79">
        <f ca="1">IF($J15&lt;&gt;0,VLOOKUP($L15,'Allocation Factors - EGD'!$B$12:$S$104,14,FALSE)*$J15,0)+IF($F15&lt;&gt;0,VLOOKUP($H15,'Allocation Factors - EGD'!$B$12:$S$104,14,FALSE)*$F15,0)</f>
        <v>190.23199009054971</v>
      </c>
    </row>
    <row r="16" spans="1:23" x14ac:dyDescent="0.2">
      <c r="A16" s="2">
        <f t="shared" si="1"/>
        <v>6</v>
      </c>
      <c r="B16" s="31" t="s">
        <v>135</v>
      </c>
      <c r="D16" s="79">
        <f ca="1">'Total Allocation Current RZ'!P16</f>
        <v>9609.779501061641</v>
      </c>
      <c r="J16" s="79">
        <f t="shared" ca="1" si="0"/>
        <v>9609.779501061641</v>
      </c>
      <c r="L16" s="2" t="s">
        <v>221</v>
      </c>
      <c r="N16" s="79">
        <f ca="1">IF($J16&lt;&gt;0,VLOOKUP($L16,'Allocation Factors - EGD'!$B$12:$S$104,5,FALSE)*$J16,0)+IF($F16&lt;&gt;0,VLOOKUP($H16,'Allocation Factors - EGD'!$B$12:$S$104,5,FALSE)*$F16,0)</f>
        <v>5794.5047160810545</v>
      </c>
      <c r="O16" s="79">
        <f ca="1">IF($J16&lt;&gt;0,VLOOKUP($L16,'Allocation Factors - EGD'!$B$12:$S$104,6,FALSE)*$J16,0)+IF($F16&lt;&gt;0,VLOOKUP($H16,'Allocation Factors - EGD'!$B$12:$S$104,6,FALSE)*$F16,0)</f>
        <v>3498.5916710913457</v>
      </c>
      <c r="P16" s="79">
        <f ca="1">IF($J16&lt;&gt;0,VLOOKUP($L16,'Allocation Factors - EGD'!$B$12:$S$104,7,FALSE)*$J16,0)+IF($F16&lt;&gt;0,VLOOKUP($H16,'Allocation Factors - EGD'!$B$12:$S$104,7,FALSE)*$F16,0)</f>
        <v>17.357207878732442</v>
      </c>
      <c r="Q16" s="79">
        <f ca="1">IF($J16&lt;&gt;0,VLOOKUP($L16,'Allocation Factors - EGD'!$B$12:$S$104,8,FALSE)*$J16,0)+IF($F16&lt;&gt;0,VLOOKUP($H16,'Allocation Factors - EGD'!$B$12:$S$104,8,FALSE)*$F16,0)</f>
        <v>120.20711366349317</v>
      </c>
      <c r="R16" s="79">
        <f ca="1">IF($J16&lt;&gt;0,VLOOKUP($L16,'Allocation Factors - EGD'!$B$12:$S$104,9,FALSE)*$J16,0)+IF($F16&lt;&gt;0,VLOOKUP($H16,'Allocation Factors - EGD'!$B$12:$S$104,9,FALSE)*$F16,0)</f>
        <v>1.9421176249244578</v>
      </c>
      <c r="S16" s="79">
        <f ca="1">IF($J16&lt;&gt;0,VLOOKUP($L16,'Allocation Factors - EGD'!$B$12:$S$104,10,FALSE)*$J16,0)+IF($F16&lt;&gt;0,VLOOKUP($H16,'Allocation Factors - EGD'!$B$12:$S$104,10,FALSE)*$F16,0)</f>
        <v>0</v>
      </c>
      <c r="T16" s="79">
        <f ca="1">IF($J16&lt;&gt;0,VLOOKUP($L16,'Allocation Factors - EGD'!$B$12:$S$104,11,FALSE)*$J16,0)+IF($F16&lt;&gt;0,VLOOKUP($H16,'Allocation Factors - EGD'!$B$12:$S$104,11,FALSE)*$F16,0)</f>
        <v>5.1654242903771133</v>
      </c>
      <c r="U16" s="79">
        <f ca="1">IF($J16&lt;&gt;0,VLOOKUP($L16,'Allocation Factors - EGD'!$B$12:$S$104,12,FALSE)*$J16,0)+IF($F16&lt;&gt;0,VLOOKUP($H16,'Allocation Factors - EGD'!$B$12:$S$104,12,FALSE)*$F16,0)</f>
        <v>0.67471506243437052</v>
      </c>
      <c r="V16" s="79">
        <f ca="1">IF($J16&lt;&gt;0,VLOOKUP($L16,'Allocation Factors - EGD'!$B$12:$S$104,13,FALSE)*$J16,0)+IF($F16&lt;&gt;0,VLOOKUP($H16,'Allocation Factors - EGD'!$B$12:$S$104,13,FALSE)*$F16,0)</f>
        <v>6.3048336207911921</v>
      </c>
      <c r="W16" s="79">
        <f ca="1">IF($J16&lt;&gt;0,VLOOKUP($L16,'Allocation Factors - EGD'!$B$12:$S$104,14,FALSE)*$J16,0)+IF($F16&lt;&gt;0,VLOOKUP($H16,'Allocation Factors - EGD'!$B$12:$S$104,14,FALSE)*$F16,0)</f>
        <v>165.0317017484889</v>
      </c>
    </row>
    <row r="17" spans="1:23" x14ac:dyDescent="0.2">
      <c r="A17" s="2">
        <f t="shared" si="1"/>
        <v>7</v>
      </c>
      <c r="B17" s="31" t="s">
        <v>383</v>
      </c>
      <c r="D17" s="81">
        <f ca="1">SUM(D11:D16)</f>
        <v>1385606.0209680023</v>
      </c>
      <c r="F17" s="81">
        <f>SUM(F11:F16)</f>
        <v>-4389.327624597051</v>
      </c>
      <c r="J17" s="41">
        <f ca="1">SUM(J11:J16)</f>
        <v>1389995.3485925994</v>
      </c>
      <c r="N17" s="41">
        <f t="shared" ref="N17:W17" ca="1" si="2">SUM(N11:N16)</f>
        <v>796524.57962945546</v>
      </c>
      <c r="O17" s="41">
        <f t="shared" ca="1" si="2"/>
        <v>523385.34171905112</v>
      </c>
      <c r="P17" s="41">
        <f t="shared" ca="1" si="2"/>
        <v>2474.4407822367348</v>
      </c>
      <c r="Q17" s="41">
        <f t="shared" ca="1" si="2"/>
        <v>30419.650753377926</v>
      </c>
      <c r="R17" s="41">
        <f t="shared" ca="1" si="2"/>
        <v>4588.4349241959962</v>
      </c>
      <c r="S17" s="41">
        <f t="shared" ca="1" si="2"/>
        <v>0</v>
      </c>
      <c r="T17" s="41">
        <f t="shared" ca="1" si="2"/>
        <v>1176.6400550609658</v>
      </c>
      <c r="U17" s="41">
        <f t="shared" ca="1" si="2"/>
        <v>250.85673488717146</v>
      </c>
      <c r="V17" s="41">
        <f t="shared" ca="1" si="2"/>
        <v>4283.8480239085329</v>
      </c>
      <c r="W17" s="41">
        <f t="shared" ca="1" si="2"/>
        <v>22502.228345828571</v>
      </c>
    </row>
    <row r="18" spans="1:23" x14ac:dyDescent="0.2">
      <c r="D18" s="79"/>
      <c r="N18" s="79"/>
      <c r="O18" s="79"/>
      <c r="P18" s="79"/>
      <c r="Q18" s="79"/>
      <c r="R18" s="79"/>
      <c r="S18" s="79"/>
      <c r="T18" s="79"/>
      <c r="U18" s="79"/>
      <c r="V18" s="79"/>
      <c r="W18" s="79"/>
    </row>
    <row r="19" spans="1:23" x14ac:dyDescent="0.2">
      <c r="B19" s="77" t="s">
        <v>97</v>
      </c>
      <c r="D19" s="79"/>
      <c r="N19" s="79"/>
      <c r="O19" s="79"/>
      <c r="P19" s="79"/>
      <c r="Q19" s="79"/>
      <c r="R19" s="79"/>
      <c r="S19" s="79"/>
      <c r="T19" s="79"/>
      <c r="U19" s="79"/>
      <c r="V19" s="79"/>
      <c r="W19" s="79"/>
    </row>
    <row r="20" spans="1:23" x14ac:dyDescent="0.2">
      <c r="A20" s="2">
        <f>A17+1</f>
        <v>8</v>
      </c>
      <c r="B20" s="31" t="s">
        <v>89</v>
      </c>
      <c r="D20" s="79">
        <f ca="1">'Total Allocation Current RZ'!P20</f>
        <v>62196.505084344171</v>
      </c>
      <c r="J20" s="79">
        <f t="shared" ref="J20:J23" ca="1" si="3">D20-F20</f>
        <v>62196.505084344171</v>
      </c>
      <c r="L20" s="2" t="s">
        <v>156</v>
      </c>
      <c r="N20" s="79">
        <f ca="1">IF($J20&lt;&gt;0,VLOOKUP($L20,'Allocation Factors - EGD'!$B$12:$S$104,5,FALSE)*$J20,0)+IF($F20&lt;&gt;0,VLOOKUP($H20,'Allocation Factors - EGD'!$B$12:$S$104,5,FALSE)*$F20,0)</f>
        <v>31816.123032448653</v>
      </c>
      <c r="O20" s="79">
        <f ca="1">IF($J20&lt;&gt;0,VLOOKUP($L20,'Allocation Factors - EGD'!$B$12:$S$104,6,FALSE)*$J20,0)+IF($F20&lt;&gt;0,VLOOKUP($H20,'Allocation Factors - EGD'!$B$12:$S$104,6,FALSE)*$F20,0)</f>
        <v>27612.288969979858</v>
      </c>
      <c r="P20" s="79">
        <f ca="1">IF($J20&lt;&gt;0,VLOOKUP($L20,'Allocation Factors - EGD'!$B$12:$S$104,7,FALSE)*$J20,0)+IF($F20&lt;&gt;0,VLOOKUP($H20,'Allocation Factors - EGD'!$B$12:$S$104,7,FALSE)*$F20,0)</f>
        <v>74.131016484532225</v>
      </c>
      <c r="Q20" s="79">
        <f ca="1">IF($J20&lt;&gt;0,VLOOKUP($L20,'Allocation Factors - EGD'!$B$12:$S$104,8,FALSE)*$J20,0)+IF($F20&lt;&gt;0,VLOOKUP($H20,'Allocation Factors - EGD'!$B$12:$S$104,8,FALSE)*$F20,0)</f>
        <v>2020.1509123415506</v>
      </c>
      <c r="R20" s="79">
        <f ca="1">IF($J20&lt;&gt;0,VLOOKUP($L20,'Allocation Factors - EGD'!$B$12:$S$104,9,FALSE)*$J20,0)+IF($F20&lt;&gt;0,VLOOKUP($H20,'Allocation Factors - EGD'!$B$12:$S$104,9,FALSE)*$F20,0)</f>
        <v>74.505457243369534</v>
      </c>
      <c r="S20" s="79">
        <f ca="1">IF($J20&lt;&gt;0,VLOOKUP($L20,'Allocation Factors - EGD'!$B$12:$S$104,10,FALSE)*$J20,0)+IF($F20&lt;&gt;0,VLOOKUP($H20,'Allocation Factors - EGD'!$B$12:$S$104,10,FALSE)*$F20,0)</f>
        <v>0</v>
      </c>
      <c r="T20" s="79">
        <f ca="1">IF($J20&lt;&gt;0,VLOOKUP($L20,'Allocation Factors - EGD'!$B$12:$S$104,11,FALSE)*$J20,0)+IF($F20&lt;&gt;0,VLOOKUP($H20,'Allocation Factors - EGD'!$B$12:$S$104,11,FALSE)*$F20,0)</f>
        <v>0</v>
      </c>
      <c r="U20" s="79">
        <f ca="1">IF($J20&lt;&gt;0,VLOOKUP($L20,'Allocation Factors - EGD'!$B$12:$S$104,12,FALSE)*$J20,0)+IF($F20&lt;&gt;0,VLOOKUP($H20,'Allocation Factors - EGD'!$B$12:$S$104,12,FALSE)*$F20,0)</f>
        <v>0</v>
      </c>
      <c r="V20" s="79">
        <f ca="1">IF($J20&lt;&gt;0,VLOOKUP($L20,'Allocation Factors - EGD'!$B$12:$S$104,13,FALSE)*$J20,0)+IF($F20&lt;&gt;0,VLOOKUP($H20,'Allocation Factors - EGD'!$B$12:$S$104,13,FALSE)*$F20,0)</f>
        <v>0</v>
      </c>
      <c r="W20" s="79">
        <f ca="1">IF($J20&lt;&gt;0,VLOOKUP($L20,'Allocation Factors - EGD'!$B$12:$S$104,14,FALSE)*$J20,0)+IF($F20&lt;&gt;0,VLOOKUP($H20,'Allocation Factors - EGD'!$B$12:$S$104,14,FALSE)*$F20,0)</f>
        <v>599.30569584620901</v>
      </c>
    </row>
    <row r="21" spans="1:23" x14ac:dyDescent="0.2">
      <c r="A21" s="2">
        <f>A20+1</f>
        <v>9</v>
      </c>
      <c r="B21" s="31" t="s">
        <v>90</v>
      </c>
      <c r="D21" s="79">
        <f ca="1">'Total Allocation Current RZ'!P21</f>
        <v>40108.890001803389</v>
      </c>
      <c r="F21" s="79">
        <v>17540.334264621124</v>
      </c>
      <c r="H21" s="2" t="s">
        <v>333</v>
      </c>
      <c r="J21" s="79">
        <f t="shared" ca="1" si="3"/>
        <v>22568.555737182265</v>
      </c>
      <c r="L21" s="2" t="s">
        <v>157</v>
      </c>
      <c r="N21" s="79">
        <f ca="1">IF($J21&lt;&gt;0,VLOOKUP($L21,'Allocation Factors - EGD'!$B$12:$S$104,5,FALSE)*$J21,0)+IF($F21&lt;&gt;0,VLOOKUP($H21,'Allocation Factors - EGD'!$B$12:$S$104,5,FALSE)*$F21,0)</f>
        <v>20822.470003711445</v>
      </c>
      <c r="O21" s="79">
        <f ca="1">IF($J21&lt;&gt;0,VLOOKUP($L21,'Allocation Factors - EGD'!$B$12:$S$104,6,FALSE)*$J21,0)+IF($F21&lt;&gt;0,VLOOKUP($H21,'Allocation Factors - EGD'!$B$12:$S$104,6,FALSE)*$F21,0)</f>
        <v>16824.086250644395</v>
      </c>
      <c r="P21" s="79">
        <f ca="1">IF($J21&lt;&gt;0,VLOOKUP($L21,'Allocation Factors - EGD'!$B$12:$S$104,7,FALSE)*$J21,0)+IF($F21&lt;&gt;0,VLOOKUP($H21,'Allocation Factors - EGD'!$B$12:$S$104,7,FALSE)*$F21,0)</f>
        <v>66.502472646867616</v>
      </c>
      <c r="Q21" s="79">
        <f ca="1">IF($J21&lt;&gt;0,VLOOKUP($L21,'Allocation Factors - EGD'!$B$12:$S$104,8,FALSE)*$J21,0)+IF($F21&lt;&gt;0,VLOOKUP($H21,'Allocation Factors - EGD'!$B$12:$S$104,8,FALSE)*$F21,0)</f>
        <v>1419.2796172815858</v>
      </c>
      <c r="R21" s="79">
        <f ca="1">IF($J21&lt;&gt;0,VLOOKUP($L21,'Allocation Factors - EGD'!$B$12:$S$104,9,FALSE)*$J21,0)+IF($F21&lt;&gt;0,VLOOKUP($H21,'Allocation Factors - EGD'!$B$12:$S$104,9,FALSE)*$F21,0)</f>
        <v>182.79397180654422</v>
      </c>
      <c r="S21" s="79">
        <f ca="1">IF($J21&lt;&gt;0,VLOOKUP($L21,'Allocation Factors - EGD'!$B$12:$S$104,10,FALSE)*$J21,0)+IF($F21&lt;&gt;0,VLOOKUP($H21,'Allocation Factors - EGD'!$B$12:$S$104,10,FALSE)*$F21,0)</f>
        <v>0</v>
      </c>
      <c r="T21" s="79">
        <f ca="1">IF($J21&lt;&gt;0,VLOOKUP($L21,'Allocation Factors - EGD'!$B$12:$S$104,11,FALSE)*$J21,0)+IF($F21&lt;&gt;0,VLOOKUP($H21,'Allocation Factors - EGD'!$B$12:$S$104,11,FALSE)*$F21,0)</f>
        <v>0</v>
      </c>
      <c r="U21" s="79">
        <f ca="1">IF($J21&lt;&gt;0,VLOOKUP($L21,'Allocation Factors - EGD'!$B$12:$S$104,12,FALSE)*$J21,0)+IF($F21&lt;&gt;0,VLOOKUP($H21,'Allocation Factors - EGD'!$B$12:$S$104,12,FALSE)*$F21,0)</f>
        <v>34.69809056987561</v>
      </c>
      <c r="V21" s="79">
        <f ca="1">IF($J21&lt;&gt;0,VLOOKUP($L21,'Allocation Factors - EGD'!$B$12:$S$104,13,FALSE)*$J21,0)+IF($F21&lt;&gt;0,VLOOKUP($H21,'Allocation Factors - EGD'!$B$12:$S$104,13,FALSE)*$F21,0)</f>
        <v>156.59312725938184</v>
      </c>
      <c r="W21" s="79">
        <f ca="1">IF($J21&lt;&gt;0,VLOOKUP($L21,'Allocation Factors - EGD'!$B$12:$S$104,14,FALSE)*$J21,0)+IF($F21&lt;&gt;0,VLOOKUP($H21,'Allocation Factors - EGD'!$B$12:$S$104,14,FALSE)*$F21,0)</f>
        <v>602.46646788329895</v>
      </c>
    </row>
    <row r="22" spans="1:23" x14ac:dyDescent="0.2">
      <c r="A22" s="2">
        <f t="shared" ref="A22:A24" si="4">A21+1</f>
        <v>10</v>
      </c>
      <c r="B22" s="31" t="s">
        <v>345</v>
      </c>
      <c r="D22" s="79">
        <f ca="1">'Total Allocation Current RZ'!P22</f>
        <v>3229.3411295980759</v>
      </c>
      <c r="J22" s="79">
        <f t="shared" ca="1" si="3"/>
        <v>3229.3411295980759</v>
      </c>
      <c r="L22" s="2" t="s">
        <v>346</v>
      </c>
      <c r="N22" s="79">
        <f ca="1">IF($J22&lt;&gt;0,VLOOKUP($L22,'Allocation Factors - EGD'!$B$12:$S$104,5,FALSE)*$J22,0)+IF($F22&lt;&gt;0,VLOOKUP($H22,'Allocation Factors - EGD'!$B$12:$S$104,5,FALSE)*$F22,0)</f>
        <v>1668.1930433829555</v>
      </c>
      <c r="O22" s="79">
        <f ca="1">IF($J22&lt;&gt;0,VLOOKUP($L22,'Allocation Factors - EGD'!$B$12:$S$104,6,FALSE)*$J22,0)+IF($F22&lt;&gt;0,VLOOKUP($H22,'Allocation Factors - EGD'!$B$12:$S$104,6,FALSE)*$F22,0)</f>
        <v>1448.5288216812651</v>
      </c>
      <c r="P22" s="79">
        <f ca="1">IF($J22&lt;&gt;0,VLOOKUP($L22,'Allocation Factors - EGD'!$B$12:$S$104,7,FALSE)*$J22,0)+IF($F22&lt;&gt;0,VLOOKUP($H22,'Allocation Factors - EGD'!$B$12:$S$104,7,FALSE)*$F22,0)</f>
        <v>2.3097837155122902</v>
      </c>
      <c r="Q22" s="79">
        <f ca="1">IF($J22&lt;&gt;0,VLOOKUP($L22,'Allocation Factors - EGD'!$B$12:$S$104,8,FALSE)*$J22,0)+IF($F22&lt;&gt;0,VLOOKUP($H22,'Allocation Factors - EGD'!$B$12:$S$104,8,FALSE)*$F22,0)</f>
        <v>59.182293765738081</v>
      </c>
      <c r="R22" s="79">
        <f ca="1">IF($J22&lt;&gt;0,VLOOKUP($L22,'Allocation Factors - EGD'!$B$12:$S$104,9,FALSE)*$J22,0)+IF($F22&lt;&gt;0,VLOOKUP($H22,'Allocation Factors - EGD'!$B$12:$S$104,9,FALSE)*$F22,0)</f>
        <v>11.583951649146901</v>
      </c>
      <c r="S22" s="79">
        <f ca="1">IF($J22&lt;&gt;0,VLOOKUP($L22,'Allocation Factors - EGD'!$B$12:$S$104,10,FALSE)*$J22,0)+IF($F22&lt;&gt;0,VLOOKUP($H22,'Allocation Factors - EGD'!$B$12:$S$104,10,FALSE)*$F22,0)</f>
        <v>10.293511512314481</v>
      </c>
      <c r="T22" s="79">
        <f ca="1">IF($J22&lt;&gt;0,VLOOKUP($L22,'Allocation Factors - EGD'!$B$12:$S$104,11,FALSE)*$J22,0)+IF($F22&lt;&gt;0,VLOOKUP($H22,'Allocation Factors - EGD'!$B$12:$S$104,11,FALSE)*$F22,0)</f>
        <v>0.69601790728765567</v>
      </c>
      <c r="U22" s="79">
        <f ca="1">IF($J22&lt;&gt;0,VLOOKUP($L22,'Allocation Factors - EGD'!$B$12:$S$104,12,FALSE)*$J22,0)+IF($F22&lt;&gt;0,VLOOKUP($H22,'Allocation Factors - EGD'!$B$12:$S$104,12,FALSE)*$F22,0)</f>
        <v>1.0425558905605121</v>
      </c>
      <c r="V22" s="79">
        <f ca="1">IF($J22&lt;&gt;0,VLOOKUP($L22,'Allocation Factors - EGD'!$B$12:$S$104,13,FALSE)*$J22,0)+IF($F22&lt;&gt;0,VLOOKUP($H22,'Allocation Factors - EGD'!$B$12:$S$104,13,FALSE)*$F22,0)</f>
        <v>7.8535991751245131</v>
      </c>
      <c r="W22" s="79">
        <f ca="1">IF($J22&lt;&gt;0,VLOOKUP($L22,'Allocation Factors - EGD'!$B$12:$S$104,14,FALSE)*$J22,0)+IF($F22&lt;&gt;0,VLOOKUP($H22,'Allocation Factors - EGD'!$B$12:$S$104,14,FALSE)*$F22,0)</f>
        <v>19.657550918170617</v>
      </c>
    </row>
    <row r="23" spans="1:23" x14ac:dyDescent="0.2">
      <c r="A23" s="2">
        <f t="shared" si="4"/>
        <v>11</v>
      </c>
      <c r="B23" s="31" t="s">
        <v>91</v>
      </c>
      <c r="D23" s="79">
        <f ca="1">'Total Allocation Current RZ'!P23</f>
        <v>7898.437235328639</v>
      </c>
      <c r="J23" s="79">
        <f t="shared" ca="1" si="3"/>
        <v>7898.437235328639</v>
      </c>
      <c r="L23" s="2" t="s">
        <v>334</v>
      </c>
      <c r="N23" s="79">
        <f ca="1">IF($J23&lt;&gt;0,VLOOKUP($L23,'Allocation Factors - EGD'!$B$12:$S$104,5,FALSE)*$J23,0)+IF($F23&lt;&gt;0,VLOOKUP($H23,'Allocation Factors - EGD'!$B$12:$S$104,5,FALSE)*$F23,0)</f>
        <v>3335.0847892966226</v>
      </c>
      <c r="O23" s="79">
        <f ca="1">IF($J23&lt;&gt;0,VLOOKUP($L23,'Allocation Factors - EGD'!$B$12:$S$104,6,FALSE)*$J23,0)+IF($F23&lt;&gt;0,VLOOKUP($H23,'Allocation Factors - EGD'!$B$12:$S$104,6,FALSE)*$F23,0)</f>
        <v>3193.772730270784</v>
      </c>
      <c r="P23" s="79">
        <f ca="1">IF($J23&lt;&gt;0,VLOOKUP($L23,'Allocation Factors - EGD'!$B$12:$S$104,7,FALSE)*$J23,0)+IF($F23&lt;&gt;0,VLOOKUP($H23,'Allocation Factors - EGD'!$B$12:$S$104,7,FALSE)*$F23,0)</f>
        <v>18.253404894192276</v>
      </c>
      <c r="Q23" s="79">
        <f ca="1">IF($J23&lt;&gt;0,VLOOKUP($L23,'Allocation Factors - EGD'!$B$12:$S$104,8,FALSE)*$J23,0)+IF($F23&lt;&gt;0,VLOOKUP($H23,'Allocation Factors - EGD'!$B$12:$S$104,8,FALSE)*$F23,0)</f>
        <v>710.91408511498867</v>
      </c>
      <c r="R23" s="79">
        <f ca="1">IF($J23&lt;&gt;0,VLOOKUP($L23,'Allocation Factors - EGD'!$B$12:$S$104,9,FALSE)*$J23,0)+IF($F23&lt;&gt;0,VLOOKUP($H23,'Allocation Factors - EGD'!$B$12:$S$104,9,FALSE)*$F23,0)</f>
        <v>254.12678865732758</v>
      </c>
      <c r="S23" s="79">
        <f ca="1">IF($J23&lt;&gt;0,VLOOKUP($L23,'Allocation Factors - EGD'!$B$12:$S$104,10,FALSE)*$J23,0)+IF($F23&lt;&gt;0,VLOOKUP($H23,'Allocation Factors - EGD'!$B$12:$S$104,10,FALSE)*$F23,0)</f>
        <v>0</v>
      </c>
      <c r="T23" s="79">
        <f ca="1">IF($J23&lt;&gt;0,VLOOKUP($L23,'Allocation Factors - EGD'!$B$12:$S$104,11,FALSE)*$J23,0)+IF($F23&lt;&gt;0,VLOOKUP($H23,'Allocation Factors - EGD'!$B$12:$S$104,11,FALSE)*$F23,0)</f>
        <v>35.034912054218331</v>
      </c>
      <c r="U23" s="79">
        <f ca="1">IF($J23&lt;&gt;0,VLOOKUP($L23,'Allocation Factors - EGD'!$B$12:$S$104,12,FALSE)*$J23,0)+IF($F23&lt;&gt;0,VLOOKUP($H23,'Allocation Factors - EGD'!$B$12:$S$104,12,FALSE)*$F23,0)</f>
        <v>10.457043733063118</v>
      </c>
      <c r="V23" s="79">
        <f ca="1">IF($J23&lt;&gt;0,VLOOKUP($L23,'Allocation Factors - EGD'!$B$12:$S$104,13,FALSE)*$J23,0)+IF($F23&lt;&gt;0,VLOOKUP($H23,'Allocation Factors - EGD'!$B$12:$S$104,13,FALSE)*$F23,0)</f>
        <v>215.11718607979813</v>
      </c>
      <c r="W23" s="79">
        <f ca="1">IF($J23&lt;&gt;0,VLOOKUP($L23,'Allocation Factors - EGD'!$B$12:$S$104,14,FALSE)*$J23,0)+IF($F23&lt;&gt;0,VLOOKUP($H23,'Allocation Factors - EGD'!$B$12:$S$104,14,FALSE)*$F23,0)</f>
        <v>125.67629522764435</v>
      </c>
    </row>
    <row r="24" spans="1:23" x14ac:dyDescent="0.2">
      <c r="A24" s="2">
        <f t="shared" si="4"/>
        <v>12</v>
      </c>
      <c r="B24" s="31" t="s">
        <v>96</v>
      </c>
      <c r="D24" s="41">
        <f ca="1">SUM(D20:D23)</f>
        <v>113433.17345107428</v>
      </c>
      <c r="F24" s="41">
        <f>SUM(F20:F23)</f>
        <v>17540.334264621124</v>
      </c>
      <c r="H24" s="122"/>
      <c r="J24" s="41">
        <f ca="1">SUM(J20:J23)</f>
        <v>95892.839186453159</v>
      </c>
      <c r="N24" s="41">
        <f t="shared" ref="N24:W24" ca="1" si="5">SUM(N20:N23)</f>
        <v>57641.870868839673</v>
      </c>
      <c r="O24" s="41">
        <f t="shared" ca="1" si="5"/>
        <v>49078.676772576298</v>
      </c>
      <c r="P24" s="41">
        <f t="shared" ca="1" si="5"/>
        <v>161.19667774110439</v>
      </c>
      <c r="Q24" s="41">
        <f t="shared" ca="1" si="5"/>
        <v>4209.5269085038635</v>
      </c>
      <c r="R24" s="41">
        <f t="shared" ca="1" si="5"/>
        <v>523.01016935638825</v>
      </c>
      <c r="S24" s="41">
        <f t="shared" ca="1" si="5"/>
        <v>10.293511512314481</v>
      </c>
      <c r="T24" s="41">
        <f t="shared" ca="1" si="5"/>
        <v>35.730929961505986</v>
      </c>
      <c r="U24" s="41">
        <f t="shared" ca="1" si="5"/>
        <v>46.197690193499241</v>
      </c>
      <c r="V24" s="41">
        <f t="shared" ca="1" si="5"/>
        <v>379.56391251430449</v>
      </c>
      <c r="W24" s="41">
        <f t="shared" ca="1" si="5"/>
        <v>1347.1060098753233</v>
      </c>
    </row>
    <row r="25" spans="1:23" x14ac:dyDescent="0.2">
      <c r="N25" s="79"/>
      <c r="O25" s="79"/>
      <c r="P25" s="79"/>
      <c r="Q25" s="79"/>
      <c r="R25" s="79"/>
      <c r="S25" s="79"/>
      <c r="T25" s="79"/>
      <c r="U25" s="79"/>
      <c r="V25" s="79"/>
      <c r="W25" s="79"/>
    </row>
    <row r="26" spans="1:23" x14ac:dyDescent="0.2">
      <c r="B26" s="77" t="s">
        <v>98</v>
      </c>
      <c r="N26" s="79"/>
      <c r="O26" s="79"/>
      <c r="P26" s="79"/>
      <c r="Q26" s="79"/>
      <c r="R26" s="79"/>
      <c r="S26" s="79"/>
      <c r="T26" s="79"/>
      <c r="U26" s="79"/>
      <c r="V26" s="79"/>
      <c r="W26" s="79"/>
    </row>
    <row r="27" spans="1:23" x14ac:dyDescent="0.2">
      <c r="A27" s="2">
        <f>A24+1</f>
        <v>13</v>
      </c>
      <c r="B27" s="31" t="s">
        <v>92</v>
      </c>
      <c r="D27" s="79">
        <f ca="1">'Total Allocation Current RZ'!P27</f>
        <v>4807.6632450940742</v>
      </c>
      <c r="J27" s="79">
        <f t="shared" ref="J27:J33" ca="1" si="6">D27-F27</f>
        <v>4807.6632450940742</v>
      </c>
      <c r="L27" s="2" t="s">
        <v>533</v>
      </c>
      <c r="N27" s="79">
        <f ca="1">IF($J27&lt;&gt;0,VLOOKUP($L27,'Allocation Factors - EGD'!$B$12:$S$104,5,FALSE)*$J27,0)+IF($F27&lt;&gt;0,VLOOKUP($H27,'Allocation Factors - EGD'!$B$12:$S$104,5,FALSE)*$F27,0)</f>
        <v>2354.130788817215</v>
      </c>
      <c r="O27" s="79">
        <f ca="1">IF($J27&lt;&gt;0,VLOOKUP($L27,'Allocation Factors - EGD'!$B$12:$S$104,6,FALSE)*$J27,0)+IF($F27&lt;&gt;0,VLOOKUP($H27,'Allocation Factors - EGD'!$B$12:$S$104,6,FALSE)*$F27,0)</f>
        <v>2097.9088177996673</v>
      </c>
      <c r="P27" s="79">
        <f ca="1">IF($J27&lt;&gt;0,VLOOKUP($L27,'Allocation Factors - EGD'!$B$12:$S$104,7,FALSE)*$J27,0)+IF($F27&lt;&gt;0,VLOOKUP($H27,'Allocation Factors - EGD'!$B$12:$S$104,7,FALSE)*$F27,0)</f>
        <v>7.4050361929467465</v>
      </c>
      <c r="Q27" s="79">
        <f ca="1">IF($J27&lt;&gt;0,VLOOKUP($L27,'Allocation Factors - EGD'!$B$12:$S$104,8,FALSE)*$J27,0)+IF($F27&lt;&gt;0,VLOOKUP($H27,'Allocation Factors - EGD'!$B$12:$S$104,8,FALSE)*$F27,0)</f>
        <v>240.89666978584151</v>
      </c>
      <c r="R27" s="79">
        <f ca="1">IF($J27&lt;&gt;0,VLOOKUP($L27,'Allocation Factors - EGD'!$B$12:$S$104,9,FALSE)*$J27,0)+IF($F27&lt;&gt;0,VLOOKUP($H27,'Allocation Factors - EGD'!$B$12:$S$104,9,FALSE)*$F27,0)</f>
        <v>50.626728641203599</v>
      </c>
      <c r="S27" s="79">
        <f ca="1">IF($J27&lt;&gt;0,VLOOKUP($L27,'Allocation Factors - EGD'!$B$12:$S$104,10,FALSE)*$J27,0)+IF($F27&lt;&gt;0,VLOOKUP($H27,'Allocation Factors - EGD'!$B$12:$S$104,10,FALSE)*$F27,0)</f>
        <v>0</v>
      </c>
      <c r="T27" s="79">
        <f ca="1">IF($J27&lt;&gt;0,VLOOKUP($L27,'Allocation Factors - EGD'!$B$12:$S$104,11,FALSE)*$J27,0)+IF($F27&lt;&gt;0,VLOOKUP($H27,'Allocation Factors - EGD'!$B$12:$S$104,11,FALSE)*$F27,0)</f>
        <v>0.83940317576805545</v>
      </c>
      <c r="U27" s="79">
        <f ca="1">IF($J27&lt;&gt;0,VLOOKUP($L27,'Allocation Factors - EGD'!$B$12:$S$104,12,FALSE)*$J27,0)+IF($F27&lt;&gt;0,VLOOKUP($H27,'Allocation Factors - EGD'!$B$12:$S$104,12,FALSE)*$F27,0)</f>
        <v>0</v>
      </c>
      <c r="V27" s="79">
        <f ca="1">IF($J27&lt;&gt;0,VLOOKUP($L27,'Allocation Factors - EGD'!$B$12:$S$104,13,FALSE)*$J27,0)+IF($F27&lt;&gt;0,VLOOKUP($H27,'Allocation Factors - EGD'!$B$12:$S$104,13,FALSE)*$F27,0)</f>
        <v>0</v>
      </c>
      <c r="W27" s="79">
        <f ca="1">IF($J27&lt;&gt;0,VLOOKUP($L27,'Allocation Factors - EGD'!$B$12:$S$104,14,FALSE)*$J27,0)+IF($F27&lt;&gt;0,VLOOKUP($H27,'Allocation Factors - EGD'!$B$12:$S$104,14,FALSE)*$F27,0)</f>
        <v>55.855800681431298</v>
      </c>
    </row>
    <row r="28" spans="1:23" x14ac:dyDescent="0.2">
      <c r="A28" s="2">
        <f>A27+1</f>
        <v>14</v>
      </c>
      <c r="B28" s="31" t="s">
        <v>93</v>
      </c>
      <c r="D28" s="79">
        <f ca="1">'Total Allocation Current RZ'!P28</f>
        <v>135.75366221986272</v>
      </c>
      <c r="J28" s="79">
        <f t="shared" ca="1" si="6"/>
        <v>135.75366221986272</v>
      </c>
      <c r="L28" s="2" t="s">
        <v>218</v>
      </c>
      <c r="N28" s="79">
        <f ca="1">IF($J28&lt;&gt;0,VLOOKUP($L28,'Allocation Factors - EGD'!$B$12:$S$104,5,FALSE)*$J28,0)+IF($F28&lt;&gt;0,VLOOKUP($H28,'Allocation Factors - EGD'!$B$12:$S$104,5,FALSE)*$F28,0)</f>
        <v>66.473432025960832</v>
      </c>
      <c r="O28" s="79">
        <f ca="1">IF($J28&lt;&gt;0,VLOOKUP($L28,'Allocation Factors - EGD'!$B$12:$S$104,6,FALSE)*$J28,0)+IF($F28&lt;&gt;0,VLOOKUP($H28,'Allocation Factors - EGD'!$B$12:$S$104,6,FALSE)*$F28,0)</f>
        <v>59.238509542087272</v>
      </c>
      <c r="P28" s="79">
        <f ca="1">IF($J28&lt;&gt;0,VLOOKUP($L28,'Allocation Factors - EGD'!$B$12:$S$104,7,FALSE)*$J28,0)+IF($F28&lt;&gt;0,VLOOKUP($H28,'Allocation Factors - EGD'!$B$12:$S$104,7,FALSE)*$F28,0)</f>
        <v>0.2090955066557455</v>
      </c>
      <c r="Q28" s="79">
        <f ca="1">IF($J28&lt;&gt;0,VLOOKUP($L28,'Allocation Factors - EGD'!$B$12:$S$104,8,FALSE)*$J28,0)+IF($F28&lt;&gt;0,VLOOKUP($H28,'Allocation Factors - EGD'!$B$12:$S$104,8,FALSE)*$F28,0)</f>
        <v>6.8021829884545157</v>
      </c>
      <c r="R28" s="79">
        <f ca="1">IF($J28&lt;&gt;0,VLOOKUP($L28,'Allocation Factors - EGD'!$B$12:$S$104,9,FALSE)*$J28,0)+IF($F28&lt;&gt;0,VLOOKUP($H28,'Allocation Factors - EGD'!$B$12:$S$104,9,FALSE)*$F28,0)</f>
        <v>1.4295435160247212</v>
      </c>
      <c r="S28" s="79">
        <f ca="1">IF($J28&lt;&gt;0,VLOOKUP($L28,'Allocation Factors - EGD'!$B$12:$S$104,10,FALSE)*$J28,0)+IF($F28&lt;&gt;0,VLOOKUP($H28,'Allocation Factors - EGD'!$B$12:$S$104,10,FALSE)*$F28,0)</f>
        <v>0</v>
      </c>
      <c r="T28" s="79">
        <f ca="1">IF($J28&lt;&gt;0,VLOOKUP($L28,'Allocation Factors - EGD'!$B$12:$S$104,11,FALSE)*$J28,0)+IF($F28&lt;&gt;0,VLOOKUP($H28,'Allocation Factors - EGD'!$B$12:$S$104,11,FALSE)*$F28,0)</f>
        <v>2.3702170759521843E-2</v>
      </c>
      <c r="U28" s="79">
        <f ca="1">IF($J28&lt;&gt;0,VLOOKUP($L28,'Allocation Factors - EGD'!$B$12:$S$104,12,FALSE)*$J28,0)+IF($F28&lt;&gt;0,VLOOKUP($H28,'Allocation Factors - EGD'!$B$12:$S$104,12,FALSE)*$F28,0)</f>
        <v>0</v>
      </c>
      <c r="V28" s="79">
        <f ca="1">IF($J28&lt;&gt;0,VLOOKUP($L28,'Allocation Factors - EGD'!$B$12:$S$104,13,FALSE)*$J28,0)+IF($F28&lt;&gt;0,VLOOKUP($H28,'Allocation Factors - EGD'!$B$12:$S$104,13,FALSE)*$F28,0)</f>
        <v>0</v>
      </c>
      <c r="W28" s="79">
        <f ca="1">IF($J28&lt;&gt;0,VLOOKUP($L28,'Allocation Factors - EGD'!$B$12:$S$104,14,FALSE)*$J28,0)+IF($F28&lt;&gt;0,VLOOKUP($H28,'Allocation Factors - EGD'!$B$12:$S$104,14,FALSE)*$F28,0)</f>
        <v>1.5771964699201035</v>
      </c>
    </row>
    <row r="29" spans="1:23" x14ac:dyDescent="0.2">
      <c r="A29" s="2">
        <f t="shared" ref="A29:A34" si="7">A28+1</f>
        <v>15</v>
      </c>
      <c r="B29" s="31" t="s">
        <v>94</v>
      </c>
      <c r="D29" s="79">
        <f ca="1">'Total Allocation Current RZ'!P29</f>
        <v>18507.938128719048</v>
      </c>
      <c r="J29" s="79">
        <f t="shared" ca="1" si="6"/>
        <v>18507.938128719048</v>
      </c>
      <c r="L29" s="2" t="s">
        <v>230</v>
      </c>
      <c r="N29" s="79">
        <f ca="1">IF($J29&lt;&gt;0,VLOOKUP($L29,'Allocation Factors - EGD'!$B$12:$S$104,5,FALSE)*$J29,0)+IF($F29&lt;&gt;0,VLOOKUP($H29,'Allocation Factors - EGD'!$B$12:$S$104,5,FALSE)*$F29,0)</f>
        <v>9062.637036985112</v>
      </c>
      <c r="O29" s="79">
        <f ca="1">IF($J29&lt;&gt;0,VLOOKUP($L29,'Allocation Factors - EGD'!$B$12:$S$104,6,FALSE)*$J29,0)+IF($F29&lt;&gt;0,VLOOKUP($H29,'Allocation Factors - EGD'!$B$12:$S$104,6,FALSE)*$F29,0)</f>
        <v>8076.265873894542</v>
      </c>
      <c r="P29" s="79">
        <f ca="1">IF($J29&lt;&gt;0,VLOOKUP($L29,'Allocation Factors - EGD'!$B$12:$S$104,7,FALSE)*$J29,0)+IF($F29&lt;&gt;0,VLOOKUP($H29,'Allocation Factors - EGD'!$B$12:$S$104,7,FALSE)*$F29,0)</f>
        <v>28.506978278862768</v>
      </c>
      <c r="Q29" s="79">
        <f ca="1">IF($J29&lt;&gt;0,VLOOKUP($L29,'Allocation Factors - EGD'!$B$12:$S$104,8,FALSE)*$J29,0)+IF($F29&lt;&gt;0,VLOOKUP($H29,'Allocation Factors - EGD'!$B$12:$S$104,8,FALSE)*$F29,0)</f>
        <v>927.37374323387667</v>
      </c>
      <c r="R29" s="79">
        <f ca="1">IF($J29&lt;&gt;0,VLOOKUP($L29,'Allocation Factors - EGD'!$B$12:$S$104,9,FALSE)*$J29,0)+IF($F29&lt;&gt;0,VLOOKUP($H29,'Allocation Factors - EGD'!$B$12:$S$104,9,FALSE)*$F29,0)</f>
        <v>194.89642131382482</v>
      </c>
      <c r="S29" s="79">
        <f ca="1">IF($J29&lt;&gt;0,VLOOKUP($L29,'Allocation Factors - EGD'!$B$12:$S$104,10,FALSE)*$J29,0)+IF($F29&lt;&gt;0,VLOOKUP($H29,'Allocation Factors - EGD'!$B$12:$S$104,10,FALSE)*$F29,0)</f>
        <v>0</v>
      </c>
      <c r="T29" s="79">
        <f ca="1">IF($J29&lt;&gt;0,VLOOKUP($L29,'Allocation Factors - EGD'!$B$12:$S$104,11,FALSE)*$J29,0)+IF($F29&lt;&gt;0,VLOOKUP($H29,'Allocation Factors - EGD'!$B$12:$S$104,11,FALSE)*$F29,0)</f>
        <v>3.2314289188242551</v>
      </c>
      <c r="U29" s="79">
        <f ca="1">IF($J29&lt;&gt;0,VLOOKUP($L29,'Allocation Factors - EGD'!$B$12:$S$104,12,FALSE)*$J29,0)+IF($F29&lt;&gt;0,VLOOKUP($H29,'Allocation Factors - EGD'!$B$12:$S$104,12,FALSE)*$F29,0)</f>
        <v>0</v>
      </c>
      <c r="V29" s="79">
        <f ca="1">IF($J29&lt;&gt;0,VLOOKUP($L29,'Allocation Factors - EGD'!$B$12:$S$104,13,FALSE)*$J29,0)+IF($F29&lt;&gt;0,VLOOKUP($H29,'Allocation Factors - EGD'!$B$12:$S$104,13,FALSE)*$F29,0)</f>
        <v>0</v>
      </c>
      <c r="W29" s="79">
        <f ca="1">IF($J29&lt;&gt;0,VLOOKUP($L29,'Allocation Factors - EGD'!$B$12:$S$104,14,FALSE)*$J29,0)+IF($F29&lt;&gt;0,VLOOKUP($H29,'Allocation Factors - EGD'!$B$12:$S$104,14,FALSE)*$F29,0)</f>
        <v>215.02664609400392</v>
      </c>
    </row>
    <row r="30" spans="1:23" x14ac:dyDescent="0.2">
      <c r="A30" s="2">
        <f t="shared" si="7"/>
        <v>16</v>
      </c>
      <c r="B30" s="31" t="s">
        <v>330</v>
      </c>
      <c r="D30" s="79">
        <f ca="1">'Total Allocation Current RZ'!P30</f>
        <v>104883.41266641355</v>
      </c>
      <c r="J30" s="79">
        <f t="shared" ca="1" si="6"/>
        <v>104883.41266641355</v>
      </c>
      <c r="L30" s="2" t="s">
        <v>222</v>
      </c>
      <c r="N30" s="79">
        <f ca="1">IF($J30&lt;&gt;0,VLOOKUP($L30,'Allocation Factors - EGD'!$B$12:$S$104,5,FALSE)*$J30,0)+IF($F30&lt;&gt;0,VLOOKUP($H30,'Allocation Factors - EGD'!$B$12:$S$104,5,FALSE)*$F30,0)</f>
        <v>51357.438823566008</v>
      </c>
      <c r="O30" s="79">
        <f ca="1">IF($J30&lt;&gt;0,VLOOKUP($L30,'Allocation Factors - EGD'!$B$12:$S$104,6,FALSE)*$J30,0)+IF($F30&lt;&gt;0,VLOOKUP($H30,'Allocation Factors - EGD'!$B$12:$S$104,6,FALSE)*$F30,0)</f>
        <v>45767.730611815103</v>
      </c>
      <c r="P30" s="79">
        <f ca="1">IF($J30&lt;&gt;0,VLOOKUP($L30,'Allocation Factors - EGD'!$B$12:$S$104,7,FALSE)*$J30,0)+IF($F30&lt;&gt;0,VLOOKUP($H30,'Allocation Factors - EGD'!$B$12:$S$104,7,FALSE)*$F30,0)</f>
        <v>161.54739365888437</v>
      </c>
      <c r="Q30" s="79">
        <f ca="1">IF($J30&lt;&gt;0,VLOOKUP($L30,'Allocation Factors - EGD'!$B$12:$S$104,8,FALSE)*$J30,0)+IF($F30&lt;&gt;0,VLOOKUP($H30,'Allocation Factors - EGD'!$B$12:$S$104,8,FALSE)*$F30,0)</f>
        <v>5255.3732528782366</v>
      </c>
      <c r="R30" s="79">
        <f ca="1">IF($J30&lt;&gt;0,VLOOKUP($L30,'Allocation Factors - EGD'!$B$12:$S$104,9,FALSE)*$J30,0)+IF($F30&lt;&gt;0,VLOOKUP($H30,'Allocation Factors - EGD'!$B$12:$S$104,9,FALSE)*$F30,0)</f>
        <v>1104.4667235052973</v>
      </c>
      <c r="S30" s="79">
        <f ca="1">IF($J30&lt;&gt;0,VLOOKUP($L30,'Allocation Factors - EGD'!$B$12:$S$104,10,FALSE)*$J30,0)+IF($F30&lt;&gt;0,VLOOKUP($H30,'Allocation Factors - EGD'!$B$12:$S$104,10,FALSE)*$F30,0)</f>
        <v>0</v>
      </c>
      <c r="T30" s="79">
        <f ca="1">IF($J30&lt;&gt;0,VLOOKUP($L30,'Allocation Factors - EGD'!$B$12:$S$104,11,FALSE)*$J30,0)+IF($F30&lt;&gt;0,VLOOKUP($H30,'Allocation Factors - EGD'!$B$12:$S$104,11,FALSE)*$F30,0)</f>
        <v>18.312320391287376</v>
      </c>
      <c r="U30" s="79">
        <f ca="1">IF($J30&lt;&gt;0,VLOOKUP($L30,'Allocation Factors - EGD'!$B$12:$S$104,12,FALSE)*$J30,0)+IF($F30&lt;&gt;0,VLOOKUP($H30,'Allocation Factors - EGD'!$B$12:$S$104,12,FALSE)*$F30,0)</f>
        <v>0</v>
      </c>
      <c r="V30" s="79">
        <f ca="1">IF($J30&lt;&gt;0,VLOOKUP($L30,'Allocation Factors - EGD'!$B$12:$S$104,13,FALSE)*$J30,0)+IF($F30&lt;&gt;0,VLOOKUP($H30,'Allocation Factors - EGD'!$B$12:$S$104,13,FALSE)*$F30,0)</f>
        <v>0</v>
      </c>
      <c r="W30" s="79">
        <f ca="1">IF($J30&lt;&gt;0,VLOOKUP($L30,'Allocation Factors - EGD'!$B$12:$S$104,14,FALSE)*$J30,0)+IF($F30&lt;&gt;0,VLOOKUP($H30,'Allocation Factors - EGD'!$B$12:$S$104,14,FALSE)*$F30,0)</f>
        <v>1218.5435405987698</v>
      </c>
    </row>
    <row r="31" spans="1:23" x14ac:dyDescent="0.2">
      <c r="A31" s="2">
        <f t="shared" si="7"/>
        <v>17</v>
      </c>
      <c r="B31" s="31" t="s">
        <v>331</v>
      </c>
      <c r="D31" s="79">
        <f ca="1">'Total Allocation Current RZ'!P31</f>
        <v>12227.889051322658</v>
      </c>
      <c r="J31" s="79">
        <f t="shared" ca="1" si="6"/>
        <v>12227.889051322658</v>
      </c>
      <c r="L31" s="2" t="s">
        <v>332</v>
      </c>
      <c r="N31" s="79">
        <f ca="1">IF($J31&lt;&gt;0,VLOOKUP($L31,'Allocation Factors - EGD'!$B$12:$S$104,5,FALSE)*$J31,0)+IF($F31&lt;&gt;0,VLOOKUP($H31,'Allocation Factors - EGD'!$B$12:$S$104,5,FALSE)*$F31,0)</f>
        <v>5987.5346151446847</v>
      </c>
      <c r="O31" s="79">
        <f ca="1">IF($J31&lt;&gt;0,VLOOKUP($L31,'Allocation Factors - EGD'!$B$12:$S$104,6,FALSE)*$J31,0)+IF($F31&lt;&gt;0,VLOOKUP($H31,'Allocation Factors - EGD'!$B$12:$S$104,6,FALSE)*$F31,0)</f>
        <v>5335.8554782353203</v>
      </c>
      <c r="P31" s="79">
        <f ca="1">IF($J31&lt;&gt;0,VLOOKUP($L31,'Allocation Factors - EGD'!$B$12:$S$104,7,FALSE)*$J31,0)+IF($F31&lt;&gt;0,VLOOKUP($H31,'Allocation Factors - EGD'!$B$12:$S$104,7,FALSE)*$F31,0)</f>
        <v>18.834089738040657</v>
      </c>
      <c r="Q31" s="79">
        <f ca="1">IF($J31&lt;&gt;0,VLOOKUP($L31,'Allocation Factors - EGD'!$B$12:$S$104,8,FALSE)*$J31,0)+IF($F31&lt;&gt;0,VLOOKUP($H31,'Allocation Factors - EGD'!$B$12:$S$104,8,FALSE)*$F31,0)</f>
        <v>612.70051598980956</v>
      </c>
      <c r="R31" s="79">
        <f ca="1">IF($J31&lt;&gt;0,VLOOKUP($L31,'Allocation Factors - EGD'!$B$12:$S$104,9,FALSE)*$J31,0)+IF($F31&lt;&gt;0,VLOOKUP($H31,'Allocation Factors - EGD'!$B$12:$S$104,9,FALSE)*$F31,0)</f>
        <v>128.76484672418923</v>
      </c>
      <c r="S31" s="79">
        <f ca="1">IF($J31&lt;&gt;0,VLOOKUP($L31,'Allocation Factors - EGD'!$B$12:$S$104,10,FALSE)*$J31,0)+IF($F31&lt;&gt;0,VLOOKUP($H31,'Allocation Factors - EGD'!$B$12:$S$104,10,FALSE)*$F31,0)</f>
        <v>0</v>
      </c>
      <c r="T31" s="79">
        <f ca="1">IF($J31&lt;&gt;0,VLOOKUP($L31,'Allocation Factors - EGD'!$B$12:$S$104,11,FALSE)*$J31,0)+IF($F31&lt;&gt;0,VLOOKUP($H31,'Allocation Factors - EGD'!$B$12:$S$104,11,FALSE)*$F31,0)</f>
        <v>2.1349517175716475</v>
      </c>
      <c r="U31" s="79">
        <f ca="1">IF($J31&lt;&gt;0,VLOOKUP($L31,'Allocation Factors - EGD'!$B$12:$S$104,12,FALSE)*$J31,0)+IF($F31&lt;&gt;0,VLOOKUP($H31,'Allocation Factors - EGD'!$B$12:$S$104,12,FALSE)*$F31,0)</f>
        <v>0</v>
      </c>
      <c r="V31" s="79">
        <f ca="1">IF($J31&lt;&gt;0,VLOOKUP($L31,'Allocation Factors - EGD'!$B$12:$S$104,13,FALSE)*$J31,0)+IF($F31&lt;&gt;0,VLOOKUP($H31,'Allocation Factors - EGD'!$B$12:$S$104,13,FALSE)*$F31,0)</f>
        <v>0</v>
      </c>
      <c r="W31" s="79">
        <f ca="1">IF($J31&lt;&gt;0,VLOOKUP($L31,'Allocation Factors - EGD'!$B$12:$S$104,14,FALSE)*$J31,0)+IF($F31&lt;&gt;0,VLOOKUP($H31,'Allocation Factors - EGD'!$B$12:$S$104,14,FALSE)*$F31,0)</f>
        <v>142.06455377303988</v>
      </c>
    </row>
    <row r="32" spans="1:23" x14ac:dyDescent="0.2">
      <c r="A32" s="2">
        <f t="shared" si="7"/>
        <v>18</v>
      </c>
      <c r="B32" s="31" t="s">
        <v>146</v>
      </c>
      <c r="D32" s="79">
        <f ca="1">'Total Allocation Current RZ'!P32</f>
        <v>0</v>
      </c>
      <c r="J32" s="79">
        <f t="shared" ca="1" si="6"/>
        <v>0</v>
      </c>
      <c r="L32" s="2" t="s">
        <v>229</v>
      </c>
      <c r="N32" s="79">
        <f ca="1">IF($J32&lt;&gt;0,VLOOKUP($L32,'Allocation Factors - EGD'!$B$12:$S$104,5,FALSE)*$J32,0)+IF($F32&lt;&gt;0,VLOOKUP($H32,'Allocation Factors - EGD'!$B$12:$S$104,5,FALSE)*$F32,0)</f>
        <v>0</v>
      </c>
      <c r="O32" s="79">
        <f ca="1">IF($J32&lt;&gt;0,VLOOKUP($L32,'Allocation Factors - EGD'!$B$12:$S$104,6,FALSE)*$J32,0)+IF($F32&lt;&gt;0,VLOOKUP($H32,'Allocation Factors - EGD'!$B$12:$S$104,6,FALSE)*$F32,0)</f>
        <v>0</v>
      </c>
      <c r="P32" s="79">
        <f ca="1">IF($J32&lt;&gt;0,VLOOKUP($L32,'Allocation Factors - EGD'!$B$12:$S$104,7,FALSE)*$J32,0)+IF($F32&lt;&gt;0,VLOOKUP($H32,'Allocation Factors - EGD'!$B$12:$S$104,7,FALSE)*$F32,0)</f>
        <v>0</v>
      </c>
      <c r="Q32" s="79">
        <f ca="1">IF($J32&lt;&gt;0,VLOOKUP($L32,'Allocation Factors - EGD'!$B$12:$S$104,8,FALSE)*$J32,0)+IF($F32&lt;&gt;0,VLOOKUP($H32,'Allocation Factors - EGD'!$B$12:$S$104,8,FALSE)*$F32,0)</f>
        <v>0</v>
      </c>
      <c r="R32" s="79">
        <f ca="1">IF($J32&lt;&gt;0,VLOOKUP($L32,'Allocation Factors - EGD'!$B$12:$S$104,9,FALSE)*$J32,0)+IF($F32&lt;&gt;0,VLOOKUP($H32,'Allocation Factors - EGD'!$B$12:$S$104,9,FALSE)*$F32,0)</f>
        <v>0</v>
      </c>
      <c r="S32" s="79">
        <f ca="1">IF($J32&lt;&gt;0,VLOOKUP($L32,'Allocation Factors - EGD'!$B$12:$S$104,10,FALSE)*$J32,0)+IF($F32&lt;&gt;0,VLOOKUP($H32,'Allocation Factors - EGD'!$B$12:$S$104,10,FALSE)*$F32,0)</f>
        <v>0</v>
      </c>
      <c r="T32" s="79">
        <f ca="1">IF($J32&lt;&gt;0,VLOOKUP($L32,'Allocation Factors - EGD'!$B$12:$S$104,11,FALSE)*$J32,0)+IF($F32&lt;&gt;0,VLOOKUP($H32,'Allocation Factors - EGD'!$B$12:$S$104,11,FALSE)*$F32,0)</f>
        <v>0</v>
      </c>
      <c r="U32" s="79">
        <f ca="1">IF($J32&lt;&gt;0,VLOOKUP($L32,'Allocation Factors - EGD'!$B$12:$S$104,12,FALSE)*$J32,0)+IF($F32&lt;&gt;0,VLOOKUP($H32,'Allocation Factors - EGD'!$B$12:$S$104,12,FALSE)*$F32,0)</f>
        <v>0</v>
      </c>
      <c r="V32" s="79">
        <f ca="1">IF($J32&lt;&gt;0,VLOOKUP($L32,'Allocation Factors - EGD'!$B$12:$S$104,13,FALSE)*$J32,0)+IF($F32&lt;&gt;0,VLOOKUP($H32,'Allocation Factors - EGD'!$B$12:$S$104,13,FALSE)*$F32,0)</f>
        <v>0</v>
      </c>
      <c r="W32" s="79">
        <f ca="1">IF($J32&lt;&gt;0,VLOOKUP($L32,'Allocation Factors - EGD'!$B$12:$S$104,14,FALSE)*$J32,0)+IF($F32&lt;&gt;0,VLOOKUP($H32,'Allocation Factors - EGD'!$B$12:$S$104,14,FALSE)*$F32,0)</f>
        <v>0</v>
      </c>
    </row>
    <row r="33" spans="1:23" x14ac:dyDescent="0.2">
      <c r="A33" s="2">
        <f t="shared" si="7"/>
        <v>19</v>
      </c>
      <c r="B33" s="31" t="s">
        <v>95</v>
      </c>
      <c r="D33" s="79">
        <f ca="1">'Total Allocation Current RZ'!P33</f>
        <v>3577.0325743260541</v>
      </c>
      <c r="F33" s="79">
        <v>3368.0941461927323</v>
      </c>
      <c r="H33" s="2" t="s">
        <v>251</v>
      </c>
      <c r="J33" s="79">
        <f t="shared" ca="1" si="6"/>
        <v>208.93842813332185</v>
      </c>
      <c r="L33" s="2" t="s">
        <v>335</v>
      </c>
      <c r="N33" s="79">
        <f ca="1">IF($J33&lt;&gt;0,VLOOKUP($L33,'Allocation Factors - EGD'!$B$12:$S$104,5,FALSE)*$J33,0)+IF($F33&lt;&gt;0,VLOOKUP($H33,'Allocation Factors - EGD'!$B$12:$S$104,5,FALSE)*$F33,0)</f>
        <v>1510.3882671996682</v>
      </c>
      <c r="O33" s="79">
        <f ca="1">IF($J33&lt;&gt;0,VLOOKUP($L33,'Allocation Factors - EGD'!$B$12:$S$104,6,FALSE)*$J33,0)+IF($F33&lt;&gt;0,VLOOKUP($H33,'Allocation Factors - EGD'!$B$12:$S$104,6,FALSE)*$F33,0)</f>
        <v>1446.3910708910648</v>
      </c>
      <c r="P33" s="79">
        <f ca="1">IF($J33&lt;&gt;0,VLOOKUP($L33,'Allocation Factors - EGD'!$B$12:$S$104,7,FALSE)*$J33,0)+IF($F33&lt;&gt;0,VLOOKUP($H33,'Allocation Factors - EGD'!$B$12:$S$104,7,FALSE)*$F33,0)</f>
        <v>8.2665750139586525</v>
      </c>
      <c r="Q33" s="79">
        <f ca="1">IF($J33&lt;&gt;0,VLOOKUP($L33,'Allocation Factors - EGD'!$B$12:$S$104,8,FALSE)*$J33,0)+IF($F33&lt;&gt;0,VLOOKUP($H33,'Allocation Factors - EGD'!$B$12:$S$104,8,FALSE)*$F33,0)</f>
        <v>321.95771951306909</v>
      </c>
      <c r="R33" s="79">
        <f ca="1">IF($J33&lt;&gt;0,VLOOKUP($L33,'Allocation Factors - EGD'!$B$12:$S$104,9,FALSE)*$J33,0)+IF($F33&lt;&gt;0,VLOOKUP($H33,'Allocation Factors - EGD'!$B$12:$S$104,9,FALSE)*$F33,0)</f>
        <v>115.08856422511165</v>
      </c>
      <c r="S33" s="79">
        <f ca="1">IF($J33&lt;&gt;0,VLOOKUP($L33,'Allocation Factors - EGD'!$B$12:$S$104,10,FALSE)*$J33,0)+IF($F33&lt;&gt;0,VLOOKUP($H33,'Allocation Factors - EGD'!$B$12:$S$104,10,FALSE)*$F33,0)</f>
        <v>0</v>
      </c>
      <c r="T33" s="79">
        <f ca="1">IF($J33&lt;&gt;0,VLOOKUP($L33,'Allocation Factors - EGD'!$B$12:$S$104,11,FALSE)*$J33,0)+IF($F33&lt;&gt;0,VLOOKUP($H33,'Allocation Factors - EGD'!$B$12:$S$104,11,FALSE)*$F33,0)</f>
        <v>15.866559158822399</v>
      </c>
      <c r="U33" s="79">
        <f ca="1">IF($J33&lt;&gt;0,VLOOKUP($L33,'Allocation Factors - EGD'!$B$12:$S$104,12,FALSE)*$J33,0)+IF($F33&lt;&gt;0,VLOOKUP($H33,'Allocation Factors - EGD'!$B$12:$S$104,12,FALSE)*$F33,0)</f>
        <v>4.735770501158199</v>
      </c>
      <c r="V33" s="79">
        <f ca="1">IF($J33&lt;&gt;0,VLOOKUP($L33,'Allocation Factors - EGD'!$B$12:$S$104,13,FALSE)*$J33,0)+IF($F33&lt;&gt;0,VLOOKUP($H33,'Allocation Factors - EGD'!$B$12:$S$104,13,FALSE)*$F33,0)</f>
        <v>97.421953100166718</v>
      </c>
      <c r="W33" s="79">
        <f ca="1">IF($J33&lt;&gt;0,VLOOKUP($L33,'Allocation Factors - EGD'!$B$12:$S$104,14,FALSE)*$J33,0)+IF($F33&lt;&gt;0,VLOOKUP($H33,'Allocation Factors - EGD'!$B$12:$S$104,14,FALSE)*$F33,0)</f>
        <v>56.916094723033765</v>
      </c>
    </row>
    <row r="34" spans="1:23" x14ac:dyDescent="0.2">
      <c r="A34" s="2">
        <f t="shared" si="7"/>
        <v>20</v>
      </c>
      <c r="B34" s="31" t="s">
        <v>99</v>
      </c>
      <c r="D34" s="41">
        <f ca="1">SUM(D27:D33)</f>
        <v>144139.68932809526</v>
      </c>
      <c r="F34" s="41">
        <f>SUM(F27:F33)</f>
        <v>3368.0941461927323</v>
      </c>
      <c r="J34" s="41">
        <f ca="1">SUM(J27:J33)</f>
        <v>140771.59518190252</v>
      </c>
      <c r="N34" s="41">
        <f t="shared" ref="N34:W34" ca="1" si="8">SUM(N27:N33)</f>
        <v>70338.602963738653</v>
      </c>
      <c r="O34" s="41">
        <f t="shared" ca="1" si="8"/>
        <v>62783.390362177779</v>
      </c>
      <c r="P34" s="41">
        <f t="shared" ca="1" si="8"/>
        <v>224.76916838934895</v>
      </c>
      <c r="Q34" s="41">
        <f t="shared" ca="1" si="8"/>
        <v>7365.1040843892879</v>
      </c>
      <c r="R34" s="41">
        <f t="shared" ca="1" si="8"/>
        <v>1595.2728279256514</v>
      </c>
      <c r="S34" s="41">
        <f t="shared" ca="1" si="8"/>
        <v>0</v>
      </c>
      <c r="T34" s="41">
        <f t="shared" ca="1" si="8"/>
        <v>40.408365533033255</v>
      </c>
      <c r="U34" s="41">
        <f t="shared" ca="1" si="8"/>
        <v>4.735770501158199</v>
      </c>
      <c r="V34" s="41">
        <f t="shared" ca="1" si="8"/>
        <v>97.421953100166718</v>
      </c>
      <c r="W34" s="41">
        <f t="shared" ca="1" si="8"/>
        <v>1689.9838323401987</v>
      </c>
    </row>
    <row r="35" spans="1:23" x14ac:dyDescent="0.2">
      <c r="N35" s="79"/>
      <c r="O35" s="79"/>
      <c r="P35" s="79"/>
      <c r="Q35" s="79"/>
      <c r="R35" s="79"/>
      <c r="S35" s="79"/>
      <c r="T35" s="79"/>
      <c r="U35" s="79"/>
      <c r="V35" s="79"/>
      <c r="W35" s="79"/>
    </row>
    <row r="36" spans="1:23" x14ac:dyDescent="0.2">
      <c r="B36" s="77" t="s">
        <v>100</v>
      </c>
      <c r="H36" s="31"/>
      <c r="J36" s="2"/>
      <c r="L36" s="31"/>
      <c r="N36" s="2"/>
      <c r="P36" s="79"/>
      <c r="Q36" s="79"/>
      <c r="R36" s="79"/>
      <c r="S36" s="79"/>
      <c r="T36" s="79"/>
      <c r="U36" s="79"/>
      <c r="V36" s="79"/>
      <c r="W36" s="79"/>
    </row>
    <row r="37" spans="1:23" x14ac:dyDescent="0.2">
      <c r="A37" s="2">
        <f>A34+1</f>
        <v>21</v>
      </c>
      <c r="B37" s="31" t="s">
        <v>287</v>
      </c>
      <c r="D37" s="79">
        <f ca="1">'Total Allocation Current RZ'!P37</f>
        <v>164061.87404824595</v>
      </c>
      <c r="E37" s="79"/>
      <c r="F37" s="79"/>
      <c r="G37" s="79"/>
      <c r="H37" s="79"/>
      <c r="I37" s="79"/>
      <c r="J37" s="79">
        <f t="shared" ref="J37:J39" ca="1" si="9">D37-F37</f>
        <v>164061.87404824595</v>
      </c>
      <c r="K37" s="79"/>
      <c r="L37" s="2" t="s">
        <v>290</v>
      </c>
      <c r="N37" s="79">
        <f ca="1">IF($J37&lt;&gt;0,VLOOKUP($L37,'Allocation Factors - EGD'!$B$12:$S$104,5,FALSE)*$J37,0)+IF($F37&lt;&gt;0,VLOOKUP($H37,'Allocation Factors - EGD'!$B$12:$S$104,5,FALSE)*$F37,0)</f>
        <v>73978.260287357203</v>
      </c>
      <c r="O37" s="79">
        <f ca="1">IF($J37&lt;&gt;0,VLOOKUP($L37,'Allocation Factors - EGD'!$B$12:$S$104,6,FALSE)*$J37,0)+IF($F37&lt;&gt;0,VLOOKUP($H37,'Allocation Factors - EGD'!$B$12:$S$104,6,FALSE)*$F37,0)</f>
        <v>65926.517472847176</v>
      </c>
      <c r="P37" s="79">
        <f ca="1">IF($J37&lt;&gt;0,VLOOKUP($L37,'Allocation Factors - EGD'!$B$12:$S$104,7,FALSE)*$J37,0)+IF($F37&lt;&gt;0,VLOOKUP($H37,'Allocation Factors - EGD'!$B$12:$S$104,7,FALSE)*$F37,0)</f>
        <v>232.70231948087806</v>
      </c>
      <c r="Q37" s="79">
        <f ca="1">IF($J37&lt;&gt;0,VLOOKUP($L37,'Allocation Factors - EGD'!$B$12:$S$104,8,FALSE)*$J37,0)+IF($F37&lt;&gt;0,VLOOKUP($H37,'Allocation Factors - EGD'!$B$12:$S$104,8,FALSE)*$F37,0)</f>
        <v>7570.1471746726429</v>
      </c>
      <c r="R37" s="79">
        <f ca="1">IF($J37&lt;&gt;0,VLOOKUP($L37,'Allocation Factors - EGD'!$B$12:$S$104,9,FALSE)*$J37,0)+IF($F37&lt;&gt;0,VLOOKUP($H37,'Allocation Factors - EGD'!$B$12:$S$104,9,FALSE)*$F37,0)</f>
        <v>1590.9385012538321</v>
      </c>
      <c r="S37" s="79">
        <f ca="1">IF($J37&lt;&gt;0,VLOOKUP($L37,'Allocation Factors - EGD'!$B$12:$S$104,10,FALSE)*$J37,0)+IF($F37&lt;&gt;0,VLOOKUP($H37,'Allocation Factors - EGD'!$B$12:$S$104,10,FALSE)*$F37,0)</f>
        <v>12981.668730416002</v>
      </c>
      <c r="T37" s="79">
        <f ca="1">IF($J37&lt;&gt;0,VLOOKUP($L37,'Allocation Factors - EGD'!$B$12:$S$104,11,FALSE)*$J37,0)+IF($F37&lt;&gt;0,VLOOKUP($H37,'Allocation Factors - EGD'!$B$12:$S$104,11,FALSE)*$F37,0)</f>
        <v>26.378137917393758</v>
      </c>
      <c r="U37" s="79">
        <f ca="1">IF($J37&lt;&gt;0,VLOOKUP($L37,'Allocation Factors - EGD'!$B$12:$S$104,12,FALSE)*$J37,0)+IF($F37&lt;&gt;0,VLOOKUP($H37,'Allocation Factors - EGD'!$B$12:$S$104,12,FALSE)*$F37,0)</f>
        <v>0</v>
      </c>
      <c r="V37" s="79">
        <f ca="1">IF($J37&lt;&gt;0,VLOOKUP($L37,'Allocation Factors - EGD'!$B$13:$S$104,13,FALSE)*$J37,0)+IF($F37&lt;&gt;0,VLOOKUP($H37,'Allocation Factors - EGD'!$B$13:$S$104,13,FALSE)*$F37,0)</f>
        <v>0</v>
      </c>
      <c r="W37" s="79">
        <f ca="1">IF($J37&lt;&gt;0,VLOOKUP($L37,'Allocation Factors - EGD'!$B$12:$S$104,14,FALSE)*$J37,0)+IF($F37&lt;&gt;0,VLOOKUP($H37,'Allocation Factors - EGD'!$B$12:$S$104,14,FALSE)*$F37,0)</f>
        <v>1755.261424300799</v>
      </c>
    </row>
    <row r="38" spans="1:23" x14ac:dyDescent="0.2">
      <c r="A38" s="2">
        <f>A37+1</f>
        <v>22</v>
      </c>
      <c r="B38" s="31" t="s">
        <v>288</v>
      </c>
      <c r="D38" s="79">
        <f ca="1">'Total Allocation Current RZ'!P38</f>
        <v>31379.22221557553</v>
      </c>
      <c r="E38" s="79"/>
      <c r="F38" s="79"/>
      <c r="G38" s="79"/>
      <c r="H38" s="79"/>
      <c r="I38" s="79"/>
      <c r="J38" s="79">
        <f t="shared" ca="1" si="9"/>
        <v>31379.22221557553</v>
      </c>
      <c r="K38" s="79"/>
      <c r="L38" s="2" t="s">
        <v>291</v>
      </c>
      <c r="N38" s="79">
        <f ca="1">IF($J38&lt;&gt;0,VLOOKUP($L38,'Allocation Factors - EGD'!$B$12:$S$104,5,FALSE)*$J38,0)+IF($F38&lt;&gt;0,VLOOKUP($H38,'Allocation Factors - EGD'!$B$12:$S$104,5,FALSE)*$F38,0)</f>
        <v>16020.311429447114</v>
      </c>
      <c r="O38" s="79">
        <f ca="1">IF($J38&lt;&gt;0,VLOOKUP($L38,'Allocation Factors - EGD'!$B$12:$S$104,6,FALSE)*$J38,0)+IF($F38&lt;&gt;0,VLOOKUP($H38,'Allocation Factors - EGD'!$B$12:$S$104,6,FALSE)*$F38,0)</f>
        <v>14276.671785351455</v>
      </c>
      <c r="P38" s="79">
        <f ca="1">IF($J38&lt;&gt;0,VLOOKUP($L38,'Allocation Factors - EGD'!$B$12:$S$104,7,FALSE)*$J38,0)+IF($F38&lt;&gt;0,VLOOKUP($H38,'Allocation Factors - EGD'!$B$12:$S$104,7,FALSE)*$F38,0)</f>
        <v>46.471476850746626</v>
      </c>
      <c r="Q38" s="79">
        <f ca="1">IF($J38&lt;&gt;0,VLOOKUP($L38,'Allocation Factors - EGD'!$B$12:$S$104,8,FALSE)*$J38,0)+IF($F38&lt;&gt;0,VLOOKUP($H38,'Allocation Factors - EGD'!$B$12:$S$104,8,FALSE)*$F38,0)</f>
        <v>995.77870003419491</v>
      </c>
      <c r="R38" s="79">
        <f ca="1">IF($J38&lt;&gt;0,VLOOKUP($L38,'Allocation Factors - EGD'!$B$12:$S$104,9,FALSE)*$J38,0)+IF($F38&lt;&gt;0,VLOOKUP($H38,'Allocation Factors - EGD'!$B$12:$S$104,9,FALSE)*$F38,0)</f>
        <v>36.000614621613337</v>
      </c>
      <c r="S38" s="79">
        <f ca="1">IF($J38&lt;&gt;0,VLOOKUP($L38,'Allocation Factors - EGD'!$B$12:$S$104,10,FALSE)*$J38,0)+IF($F38&lt;&gt;0,VLOOKUP($H38,'Allocation Factors - EGD'!$B$12:$S$104,10,FALSE)*$F38,0)</f>
        <v>0</v>
      </c>
      <c r="T38" s="79">
        <f ca="1">IF($J38&lt;&gt;0,VLOOKUP($L38,'Allocation Factors - EGD'!$B$12:$S$104,11,FALSE)*$J38,0)+IF($F38&lt;&gt;0,VLOOKUP($H38,'Allocation Factors - EGD'!$B$12:$S$104,11,FALSE)*$F38,0)</f>
        <v>3.9882092704004455</v>
      </c>
      <c r="U38" s="79">
        <f ca="1">IF($J38&lt;&gt;0,VLOOKUP($L38,'Allocation Factors - EGD'!$B$12:$S$104,12,FALSE)*$J38,0)+IF($F38&lt;&gt;0,VLOOKUP($H38,'Allocation Factors - EGD'!$B$12:$S$104,12,FALSE)*$F38,0)</f>
        <v>0</v>
      </c>
      <c r="V38" s="79">
        <f ca="1">IF($J38&lt;&gt;0,VLOOKUP($L38,'Allocation Factors - EGD'!$B$13:$S$104,13,FALSE)*$J38,0)+IF($F38&lt;&gt;0,VLOOKUP($H38,'Allocation Factors - EGD'!$B$13:$S$104,13,FALSE)*$F38,0)</f>
        <v>0</v>
      </c>
      <c r="W38" s="79">
        <f ca="1">IF($J38&lt;&gt;0,VLOOKUP($L38,'Allocation Factors - EGD'!$B$12:$S$104,14,FALSE)*$J38,0)+IF($F38&lt;&gt;0,VLOOKUP($H38,'Allocation Factors - EGD'!$B$12:$S$104,14,FALSE)*$F38,0)</f>
        <v>0</v>
      </c>
    </row>
    <row r="39" spans="1:23" x14ac:dyDescent="0.2">
      <c r="A39" s="2">
        <f t="shared" ref="A39:A52" si="10">A38+1</f>
        <v>23</v>
      </c>
      <c r="B39" s="31" t="s">
        <v>289</v>
      </c>
      <c r="D39" s="79">
        <f ca="1">'Total Allocation Current RZ'!P39</f>
        <v>166607.87655886216</v>
      </c>
      <c r="E39" s="79"/>
      <c r="F39" s="79"/>
      <c r="G39" s="79"/>
      <c r="H39" s="79"/>
      <c r="I39" s="79"/>
      <c r="J39" s="79">
        <f t="shared" ca="1" si="9"/>
        <v>166607.87655886216</v>
      </c>
      <c r="K39" s="79"/>
      <c r="L39" s="2" t="s">
        <v>292</v>
      </c>
      <c r="N39" s="79">
        <f ca="1">IF($J39&lt;&gt;0,VLOOKUP($L39,'Allocation Factors - EGD'!$B$12:$S$104,5,FALSE)*$J39,0)+IF($F39&lt;&gt;0,VLOOKUP($H39,'Allocation Factors - EGD'!$B$12:$S$104,5,FALSE)*$F39,0)</f>
        <v>85478.931702014015</v>
      </c>
      <c r="O39" s="79">
        <f ca="1">IF($J39&lt;&gt;0,VLOOKUP($L39,'Allocation Factors - EGD'!$B$12:$S$104,6,FALSE)*$J39,0)+IF($F39&lt;&gt;0,VLOOKUP($H39,'Allocation Factors - EGD'!$B$12:$S$104,6,FALSE)*$F39,0)</f>
        <v>76175.463744667271</v>
      </c>
      <c r="P39" s="79">
        <f ca="1">IF($J39&lt;&gt;0,VLOOKUP($L39,'Allocation Factors - EGD'!$B$12:$S$104,7,FALSE)*$J39,0)+IF($F39&lt;&gt;0,VLOOKUP($H39,'Allocation Factors - EGD'!$B$12:$S$104,7,FALSE)*$F39,0)</f>
        <v>179.32027911473452</v>
      </c>
      <c r="Q39" s="79">
        <f ca="1">IF($J39&lt;&gt;0,VLOOKUP($L39,'Allocation Factors - EGD'!$B$12:$S$104,8,FALSE)*$J39,0)+IF($F39&lt;&gt;0,VLOOKUP($H39,'Allocation Factors - EGD'!$B$12:$S$104,8,FALSE)*$F39,0)</f>
        <v>4395.4555485353321</v>
      </c>
      <c r="R39" s="79">
        <f ca="1">IF($J39&lt;&gt;0,VLOOKUP($L39,'Allocation Factors - EGD'!$B$12:$S$104,9,FALSE)*$J39,0)+IF($F39&lt;&gt;0,VLOOKUP($H39,'Allocation Factors - EGD'!$B$12:$S$104,9,FALSE)*$F39,0)</f>
        <v>173.11447344747049</v>
      </c>
      <c r="S39" s="79">
        <f ca="1">IF($J39&lt;&gt;0,VLOOKUP($L39,'Allocation Factors - EGD'!$B$12:$S$104,10,FALSE)*$J39,0)+IF($F39&lt;&gt;0,VLOOKUP($H39,'Allocation Factors - EGD'!$B$12:$S$104,10,FALSE)*$F39,0)</f>
        <v>0</v>
      </c>
      <c r="T39" s="79">
        <f ca="1">IF($J39&lt;&gt;0,VLOOKUP($L39,'Allocation Factors - EGD'!$B$12:$S$104,11,FALSE)*$J39,0)+IF($F39&lt;&gt;0,VLOOKUP($H39,'Allocation Factors - EGD'!$B$12:$S$104,11,FALSE)*$F39,0)</f>
        <v>13.081332187637244</v>
      </c>
      <c r="U39" s="79">
        <f ca="1">IF($J39&lt;&gt;0,VLOOKUP($L39,'Allocation Factors - EGD'!$B$12:$S$104,12,FALSE)*$J39,0)+IF($F39&lt;&gt;0,VLOOKUP($H39,'Allocation Factors - EGD'!$B$12:$S$104,12,FALSE)*$F39,0)</f>
        <v>32.248569176270756</v>
      </c>
      <c r="V39" s="79">
        <f ca="1">IF($J39&lt;&gt;0,VLOOKUP($L39,'Allocation Factors - EGD'!$B$13:$S$104,13,FALSE)*$J39,0)+IF($F39&lt;&gt;0,VLOOKUP($H39,'Allocation Factors - EGD'!$B$13:$S$104,13,FALSE)*$F39,0)</f>
        <v>160.26090971941349</v>
      </c>
      <c r="W39" s="79">
        <f ca="1">IF($J39&lt;&gt;0,VLOOKUP($L39,'Allocation Factors - EGD'!$B$12:$S$104,14,FALSE)*$J39,0)+IF($F39&lt;&gt;0,VLOOKUP($H39,'Allocation Factors - EGD'!$B$12:$S$104,14,FALSE)*$F39,0)</f>
        <v>0</v>
      </c>
    </row>
    <row r="40" spans="1:23" x14ac:dyDescent="0.2">
      <c r="B40" s="31" t="s">
        <v>163</v>
      </c>
      <c r="D40" s="79"/>
      <c r="E40" s="79"/>
      <c r="F40" s="79"/>
      <c r="G40" s="79"/>
      <c r="H40" s="79"/>
      <c r="I40" s="79"/>
      <c r="J40" s="123"/>
      <c r="K40" s="79"/>
      <c r="N40" s="2"/>
    </row>
    <row r="41" spans="1:23" x14ac:dyDescent="0.2">
      <c r="A41" s="2">
        <f>A39+1</f>
        <v>24</v>
      </c>
      <c r="B41" s="82" t="s">
        <v>165</v>
      </c>
      <c r="D41" s="79">
        <f ca="1">'Total Allocation Current RZ'!P41</f>
        <v>87804.698633689157</v>
      </c>
      <c r="E41" s="79"/>
      <c r="F41" s="79"/>
      <c r="G41" s="79"/>
      <c r="H41" s="79"/>
      <c r="I41" s="79"/>
      <c r="J41" s="79">
        <f t="shared" ref="J41:J46" ca="1" si="11">D41-F41</f>
        <v>87804.698633689157</v>
      </c>
      <c r="K41" s="79"/>
      <c r="L41" s="2" t="s">
        <v>161</v>
      </c>
      <c r="N41" s="79">
        <f ca="1">IF($J41&lt;&gt;0,VLOOKUP($L41,'Allocation Factors - EGD'!$B$12:$S$104,5,FALSE)*$J41,0)+IF($F41&lt;&gt;0,VLOOKUP($H41,'Allocation Factors - EGD'!$B$12:$S$104,5,FALSE)*$F41,0)</f>
        <v>59444.826151060151</v>
      </c>
      <c r="O41" s="79">
        <f ca="1">IF($J41&lt;&gt;0,VLOOKUP($L41,'Allocation Factors - EGD'!$B$12:$S$104,6,FALSE)*$J41,0)+IF($F41&lt;&gt;0,VLOOKUP($H41,'Allocation Factors - EGD'!$B$12:$S$104,6,FALSE)*$F41,0)</f>
        <v>24282.806623930665</v>
      </c>
      <c r="P41" s="79">
        <f ca="1">IF($J41&lt;&gt;0,VLOOKUP($L41,'Allocation Factors - EGD'!$B$12:$S$104,7,FALSE)*$J41,0)+IF($F41&lt;&gt;0,VLOOKUP($H41,'Allocation Factors - EGD'!$B$12:$S$104,7,FALSE)*$F41,0)</f>
        <v>193.43436483069971</v>
      </c>
      <c r="Q41" s="79">
        <f ca="1">IF($J41&lt;&gt;0,VLOOKUP($L41,'Allocation Factors - EGD'!$B$12:$S$104,8,FALSE)*$J41,0)+IF($F41&lt;&gt;0,VLOOKUP($H41,'Allocation Factors - EGD'!$B$12:$S$104,8,FALSE)*$F41,0)</f>
        <v>1743.198105267553</v>
      </c>
      <c r="R41" s="79">
        <f ca="1">IF($J41&lt;&gt;0,VLOOKUP($L41,'Allocation Factors - EGD'!$B$12:$S$104,9,FALSE)*$J41,0)+IF($F41&lt;&gt;0,VLOOKUP($H41,'Allocation Factors - EGD'!$B$12:$S$104,9,FALSE)*$F41,0)</f>
        <v>748.45881260444639</v>
      </c>
      <c r="S41" s="79">
        <f ca="1">IF($J41&lt;&gt;0,VLOOKUP($L41,'Allocation Factors - EGD'!$B$12:$S$104,10,FALSE)*$J41,0)+IF($F41&lt;&gt;0,VLOOKUP($H41,'Allocation Factors - EGD'!$B$12:$S$104,10,FALSE)*$F41,0)</f>
        <v>145.72960539149045</v>
      </c>
      <c r="T41" s="79">
        <f ca="1">IF($J41&lt;&gt;0,VLOOKUP($L41,'Allocation Factors - EGD'!$B$12:$S$104,11,FALSE)*$J41,0)+IF($F41&lt;&gt;0,VLOOKUP($H41,'Allocation Factors - EGD'!$B$12:$S$104,11,FALSE)*$F41,0)</f>
        <v>692.12430664186002</v>
      </c>
      <c r="U41" s="79">
        <f ca="1">IF($J41&lt;&gt;0,VLOOKUP($L41,'Allocation Factors - EGD'!$B$12:$S$104,12,FALSE)*$J41,0)+IF($F41&lt;&gt;0,VLOOKUP($H41,'Allocation Factors - EGD'!$B$12:$S$104,12,FALSE)*$F41,0)</f>
        <v>244.46761706919182</v>
      </c>
      <c r="V41" s="79">
        <f ca="1">IF($J41&lt;&gt;0,VLOOKUP($L41,'Allocation Factors - EGD'!$B$13:$S$104,13,FALSE)*$J41,0)+IF($F41&lt;&gt;0,VLOOKUP($H41,'Allocation Factors - EGD'!$B$13:$S$104,13,FALSE)*$F41,0)</f>
        <v>274.39543258236745</v>
      </c>
      <c r="W41" s="79">
        <f ca="1">IF($J41&lt;&gt;0,VLOOKUP($L41,'Allocation Factors - EGD'!$B$12:$S$104,14,FALSE)*$J41,0)+IF($F41&lt;&gt;0,VLOOKUP($H41,'Allocation Factors - EGD'!$B$12:$S$104,14,FALSE)*$F41,0)</f>
        <v>35.257614310746177</v>
      </c>
    </row>
    <row r="42" spans="1:23" x14ac:dyDescent="0.2">
      <c r="A42" s="2">
        <f t="shared" si="10"/>
        <v>25</v>
      </c>
      <c r="B42" s="82" t="s">
        <v>166</v>
      </c>
      <c r="D42" s="79">
        <f ca="1">'Total Allocation Current RZ'!P42</f>
        <v>37661.088789397269</v>
      </c>
      <c r="E42" s="79"/>
      <c r="F42" s="79"/>
      <c r="G42" s="79"/>
      <c r="H42" s="79"/>
      <c r="I42" s="79"/>
      <c r="J42" s="79">
        <f t="shared" ca="1" si="11"/>
        <v>37661.088789397269</v>
      </c>
      <c r="K42" s="79"/>
      <c r="L42" s="2" t="s">
        <v>162</v>
      </c>
      <c r="N42" s="79">
        <f ca="1">IF($J42&lt;&gt;0,VLOOKUP($L42,'Allocation Factors - EGD'!$B$12:$S$104,5,FALSE)*$J42,0)+IF($F42&lt;&gt;0,VLOOKUP($H42,'Allocation Factors - EGD'!$B$12:$S$104,5,FALSE)*$F42,0)</f>
        <v>20109.114802040272</v>
      </c>
      <c r="O42" s="79">
        <f ca="1">IF($J42&lt;&gt;0,VLOOKUP($L42,'Allocation Factors - EGD'!$B$12:$S$104,6,FALSE)*$J42,0)+IF($F42&lt;&gt;0,VLOOKUP($H42,'Allocation Factors - EGD'!$B$12:$S$104,6,FALSE)*$F42,0)</f>
        <v>14477.393674979254</v>
      </c>
      <c r="P42" s="79">
        <f ca="1">IF($J42&lt;&gt;0,VLOOKUP($L42,'Allocation Factors - EGD'!$B$12:$S$104,7,FALSE)*$J42,0)+IF($F42&lt;&gt;0,VLOOKUP($H42,'Allocation Factors - EGD'!$B$12:$S$104,7,FALSE)*$F42,0)</f>
        <v>159.68065767909803</v>
      </c>
      <c r="Q42" s="79">
        <f ca="1">IF($J42&lt;&gt;0,VLOOKUP($L42,'Allocation Factors - EGD'!$B$12:$S$104,8,FALSE)*$J42,0)+IF($F42&lt;&gt;0,VLOOKUP($H42,'Allocation Factors - EGD'!$B$12:$S$104,8,FALSE)*$F42,0)</f>
        <v>1319.2880325510109</v>
      </c>
      <c r="R42" s="79">
        <f ca="1">IF($J42&lt;&gt;0,VLOOKUP($L42,'Allocation Factors - EGD'!$B$12:$S$104,9,FALSE)*$J42,0)+IF($F42&lt;&gt;0,VLOOKUP($H42,'Allocation Factors - EGD'!$B$12:$S$104,9,FALSE)*$F42,0)</f>
        <v>602.44387607300416</v>
      </c>
      <c r="S42" s="79">
        <f ca="1">IF($J42&lt;&gt;0,VLOOKUP($L42,'Allocation Factors - EGD'!$B$12:$S$104,10,FALSE)*$J42,0)+IF($F42&lt;&gt;0,VLOOKUP($H42,'Allocation Factors - EGD'!$B$12:$S$104,10,FALSE)*$F42,0)</f>
        <v>58.491586161354995</v>
      </c>
      <c r="T42" s="79">
        <f ca="1">IF($J42&lt;&gt;0,VLOOKUP($L42,'Allocation Factors - EGD'!$B$12:$S$104,11,FALSE)*$J42,0)+IF($F42&lt;&gt;0,VLOOKUP($H42,'Allocation Factors - EGD'!$B$12:$S$104,11,FALSE)*$F42,0)</f>
        <v>581.32514268022942</v>
      </c>
      <c r="U42" s="79">
        <f ca="1">IF($J42&lt;&gt;0,VLOOKUP($L42,'Allocation Factors - EGD'!$B$12:$S$104,12,FALSE)*$J42,0)+IF($F42&lt;&gt;0,VLOOKUP($H42,'Allocation Factors - EGD'!$B$12:$S$104,12,FALSE)*$F42,0)</f>
        <v>151.42455459393872</v>
      </c>
      <c r="V42" s="79">
        <f ca="1">IF($J42&lt;&gt;0,VLOOKUP($L42,'Allocation Factors - EGD'!$B$13:$S$104,13,FALSE)*$J42,0)+IF($F42&lt;&gt;0,VLOOKUP($H42,'Allocation Factors - EGD'!$B$13:$S$104,13,FALSE)*$F42,0)</f>
        <v>187.77509113322193</v>
      </c>
      <c r="W42" s="79">
        <f ca="1">IF($J42&lt;&gt;0,VLOOKUP($L42,'Allocation Factors - EGD'!$B$12:$S$104,14,FALSE)*$J42,0)+IF($F42&lt;&gt;0,VLOOKUP($H42,'Allocation Factors - EGD'!$B$12:$S$104,14,FALSE)*$F42,0)</f>
        <v>14.15137150588383</v>
      </c>
    </row>
    <row r="43" spans="1:23" x14ac:dyDescent="0.2">
      <c r="A43" s="2">
        <f t="shared" si="10"/>
        <v>26</v>
      </c>
      <c r="B43" s="31" t="s">
        <v>101</v>
      </c>
      <c r="D43" s="79">
        <f ca="1">'Total Allocation Current RZ'!P43</f>
        <v>232504.63458513084</v>
      </c>
      <c r="E43" s="79"/>
      <c r="F43" s="79"/>
      <c r="G43" s="79"/>
      <c r="H43" s="79"/>
      <c r="I43" s="79"/>
      <c r="J43" s="79">
        <f t="shared" ca="1" si="11"/>
        <v>232504.63458513084</v>
      </c>
      <c r="K43" s="79"/>
      <c r="L43" s="2" t="s">
        <v>220</v>
      </c>
      <c r="N43" s="79">
        <f ca="1">IF($J43&lt;&gt;0,VLOOKUP($L43,'Allocation Factors - EGD'!$B$12:$S$104,5,FALSE)*$J43,0)+IF($F43&lt;&gt;0,VLOOKUP($H43,'Allocation Factors - EGD'!$B$12:$S$104,5,FALSE)*$F43,0)</f>
        <v>215241.4037500892</v>
      </c>
      <c r="O43" s="79">
        <f ca="1">IF($J43&lt;&gt;0,VLOOKUP($L43,'Allocation Factors - EGD'!$B$12:$S$104,6,FALSE)*$J43,0)+IF($F43&lt;&gt;0,VLOOKUP($H43,'Allocation Factors - EGD'!$B$12:$S$104,6,FALSE)*$F43,0)</f>
        <v>17212.084477148142</v>
      </c>
      <c r="P43" s="79">
        <f ca="1">IF($J43&lt;&gt;0,VLOOKUP($L43,'Allocation Factors - EGD'!$B$12:$S$104,7,FALSE)*$J43,0)+IF($F43&lt;&gt;0,VLOOKUP($H43,'Allocation Factors - EGD'!$B$12:$S$104,7,FALSE)*$F43,0)</f>
        <v>1.3930914601344646</v>
      </c>
      <c r="Q43" s="79">
        <f ca="1">IF($J43&lt;&gt;0,VLOOKUP($L43,'Allocation Factors - EGD'!$B$12:$S$104,8,FALSE)*$J43,0)+IF($F43&lt;&gt;0,VLOOKUP($H43,'Allocation Factors - EGD'!$B$12:$S$104,8,FALSE)*$F43,0)</f>
        <v>41.394717672566948</v>
      </c>
      <c r="R43" s="79">
        <f ca="1">IF($J43&lt;&gt;0,VLOOKUP($L43,'Allocation Factors - EGD'!$B$12:$S$104,9,FALSE)*$J43,0)+IF($F43&lt;&gt;0,VLOOKUP($H43,'Allocation Factors - EGD'!$B$12:$S$104,9,FALSE)*$F43,0)</f>
        <v>2.1891437230684443</v>
      </c>
      <c r="S43" s="79">
        <f ca="1">IF($J43&lt;&gt;0,VLOOKUP($L43,'Allocation Factors - EGD'!$B$12:$S$104,10,FALSE)*$J43,0)+IF($F43&lt;&gt;0,VLOOKUP($H43,'Allocation Factors - EGD'!$B$12:$S$104,10,FALSE)*$F43,0)</f>
        <v>0.39802613146698995</v>
      </c>
      <c r="T43" s="79">
        <f ca="1">IF($J43&lt;&gt;0,VLOOKUP($L43,'Allocation Factors - EGD'!$B$12:$S$104,11,FALSE)*$J43,0)+IF($F43&lt;&gt;0,VLOOKUP($H43,'Allocation Factors - EGD'!$B$12:$S$104,11,FALSE)*$F43,0)</f>
        <v>4.0797678475366475</v>
      </c>
      <c r="U43" s="79">
        <f ca="1">IF($J43&lt;&gt;0,VLOOKUP($L43,'Allocation Factors - EGD'!$B$12:$S$104,12,FALSE)*$J43,0)+IF($F43&lt;&gt;0,VLOOKUP($H43,'Allocation Factors - EGD'!$B$12:$S$104,12,FALSE)*$F43,0)</f>
        <v>0.49753266433373738</v>
      </c>
      <c r="V43" s="79">
        <f ca="1">IF($J43&lt;&gt;0,VLOOKUP($L43,'Allocation Factors - EGD'!$B$13:$S$104,13,FALSE)*$J43,0)+IF($F43&lt;&gt;0,VLOOKUP($H43,'Allocation Factors - EGD'!$B$13:$S$104,13,FALSE)*$F43,0)</f>
        <v>1.0945718615342221</v>
      </c>
      <c r="W43" s="79">
        <f ca="1">IF($J43&lt;&gt;0,VLOOKUP($L43,'Allocation Factors - EGD'!$B$12:$S$104,14,FALSE)*$J43,0)+IF($F43&lt;&gt;0,VLOOKUP($H43,'Allocation Factors - EGD'!$B$12:$S$104,14,FALSE)*$F43,0)</f>
        <v>9.9506532866747488E-2</v>
      </c>
    </row>
    <row r="44" spans="1:23" x14ac:dyDescent="0.2">
      <c r="A44" s="2">
        <f t="shared" si="10"/>
        <v>27</v>
      </c>
      <c r="B44" s="31" t="s">
        <v>102</v>
      </c>
      <c r="D44" s="79">
        <f ca="1">'Total Allocation Current RZ'!P44</f>
        <v>374447.96083025628</v>
      </c>
      <c r="E44" s="79"/>
      <c r="F44" s="79"/>
      <c r="G44" s="79"/>
      <c r="H44" s="79"/>
      <c r="I44" s="79"/>
      <c r="J44" s="79">
        <f t="shared" ca="1" si="11"/>
        <v>374447.96083025628</v>
      </c>
      <c r="K44" s="79"/>
      <c r="L44" s="2" t="s">
        <v>220</v>
      </c>
      <c r="N44" s="79">
        <f ca="1">IF($J44&lt;&gt;0,VLOOKUP($L44,'Allocation Factors - EGD'!$B$12:$S$104,5,FALSE)*$J44,0)+IF($F44&lt;&gt;0,VLOOKUP($H44,'Allocation Factors - EGD'!$B$12:$S$104,5,FALSE)*$F44,0)</f>
        <v>346645.58349245531</v>
      </c>
      <c r="O44" s="79">
        <f ca="1">IF($J44&lt;&gt;0,VLOOKUP($L44,'Allocation Factors - EGD'!$B$12:$S$104,6,FALSE)*$J44,0)+IF($F44&lt;&gt;0,VLOOKUP($H44,'Allocation Factors - EGD'!$B$12:$S$104,6,FALSE)*$F44,0)</f>
        <v>27720.00629409562</v>
      </c>
      <c r="P44" s="79">
        <f ca="1">IF($J44&lt;&gt;0,VLOOKUP($L44,'Allocation Factors - EGD'!$B$12:$S$104,7,FALSE)*$J44,0)+IF($F44&lt;&gt;0,VLOOKUP($H44,'Allocation Factors - EGD'!$B$12:$S$104,7,FALSE)*$F44,0)</f>
        <v>2.2435692838045238</v>
      </c>
      <c r="Q44" s="79">
        <f ca="1">IF($J44&lt;&gt;0,VLOOKUP($L44,'Allocation Factors - EGD'!$B$12:$S$104,8,FALSE)*$J44,0)+IF($F44&lt;&gt;0,VLOOKUP($H44,'Allocation Factors - EGD'!$B$12:$S$104,8,FALSE)*$F44,0)</f>
        <v>66.666058718762997</v>
      </c>
      <c r="R44" s="79">
        <f ca="1">IF($J44&lt;&gt;0,VLOOKUP($L44,'Allocation Factors - EGD'!$B$12:$S$104,9,FALSE)*$J44,0)+IF($F44&lt;&gt;0,VLOOKUP($H44,'Allocation Factors - EGD'!$B$12:$S$104,9,FALSE)*$F44,0)</f>
        <v>3.5256088745499663</v>
      </c>
      <c r="S44" s="79">
        <f ca="1">IF($J44&lt;&gt;0,VLOOKUP($L44,'Allocation Factors - EGD'!$B$12:$S$104,10,FALSE)*$J44,0)+IF($F44&lt;&gt;0,VLOOKUP($H44,'Allocation Factors - EGD'!$B$12:$S$104,10,FALSE)*$F44,0)</f>
        <v>0.64101979537272125</v>
      </c>
      <c r="T44" s="79">
        <f ca="1">IF($J44&lt;&gt;0,VLOOKUP($L44,'Allocation Factors - EGD'!$B$12:$S$104,11,FALSE)*$J44,0)+IF($F44&lt;&gt;0,VLOOKUP($H44,'Allocation Factors - EGD'!$B$12:$S$104,11,FALSE)*$F44,0)</f>
        <v>6.5704529025703931</v>
      </c>
      <c r="U44" s="79">
        <f ca="1">IF($J44&lt;&gt;0,VLOOKUP($L44,'Allocation Factors - EGD'!$B$12:$S$104,12,FALSE)*$J44,0)+IF($F44&lt;&gt;0,VLOOKUP($H44,'Allocation Factors - EGD'!$B$12:$S$104,12,FALSE)*$F44,0)</f>
        <v>0.80127474421590139</v>
      </c>
      <c r="V44" s="79">
        <f ca="1">IF($J44&lt;&gt;0,VLOOKUP($L44,'Allocation Factors - EGD'!$B$13:$S$104,13,FALSE)*$J44,0)+IF($F44&lt;&gt;0,VLOOKUP($H44,'Allocation Factors - EGD'!$B$13:$S$104,13,FALSE)*$F44,0)</f>
        <v>1.7628044372749831</v>
      </c>
      <c r="W44" s="79">
        <f ca="1">IF($J44&lt;&gt;0,VLOOKUP($L44,'Allocation Factors - EGD'!$B$12:$S$104,14,FALSE)*$J44,0)+IF($F44&lt;&gt;0,VLOOKUP($H44,'Allocation Factors - EGD'!$B$12:$S$104,14,FALSE)*$F44,0)</f>
        <v>0.16025494884318031</v>
      </c>
    </row>
    <row r="45" spans="1:23" x14ac:dyDescent="0.2">
      <c r="A45" s="2">
        <f t="shared" si="10"/>
        <v>28</v>
      </c>
      <c r="B45" s="31" t="s">
        <v>103</v>
      </c>
      <c r="D45" s="79">
        <f ca="1">'Total Allocation Current RZ'!P45</f>
        <v>153466.09332043628</v>
      </c>
      <c r="E45" s="79"/>
      <c r="F45" s="79"/>
      <c r="G45" s="79"/>
      <c r="H45" s="79"/>
      <c r="I45" s="79"/>
      <c r="J45" s="79">
        <f t="shared" ca="1" si="11"/>
        <v>153466.09332043628</v>
      </c>
      <c r="K45" s="79"/>
      <c r="L45" s="2" t="s">
        <v>190</v>
      </c>
      <c r="N45" s="79">
        <f ca="1">IF($J45&lt;&gt;0,VLOOKUP($L45,'Allocation Factors - EGD'!$B$12:$S$104,5,FALSE)*$J45,0)+IF($F45&lt;&gt;0,VLOOKUP($H45,'Allocation Factors - EGD'!$B$12:$S$104,5,FALSE)*$F45,0)</f>
        <v>111888.79947327031</v>
      </c>
      <c r="O45" s="79">
        <f ca="1">IF($J45&lt;&gt;0,VLOOKUP($L45,'Allocation Factors - EGD'!$B$12:$S$104,6,FALSE)*$J45,0)+IF($F45&lt;&gt;0,VLOOKUP($H45,'Allocation Factors - EGD'!$B$12:$S$104,6,FALSE)*$F45,0)</f>
        <v>40067.193559097199</v>
      </c>
      <c r="P45" s="79">
        <f ca="1">IF($J45&lt;&gt;0,VLOOKUP($L45,'Allocation Factors - EGD'!$B$12:$S$104,7,FALSE)*$J45,0)+IF($F45&lt;&gt;0,VLOOKUP($H45,'Allocation Factors - EGD'!$B$12:$S$104,7,FALSE)*$F45,0)</f>
        <v>72.130339207831355</v>
      </c>
      <c r="Q45" s="79">
        <f ca="1">IF($J45&lt;&gt;0,VLOOKUP($L45,'Allocation Factors - EGD'!$B$12:$S$104,8,FALSE)*$J45,0)+IF($F45&lt;&gt;0,VLOOKUP($H45,'Allocation Factors - EGD'!$B$12:$S$104,8,FALSE)*$F45,0)</f>
        <v>879.34546287423814</v>
      </c>
      <c r="R45" s="79">
        <f ca="1">IF($J45&lt;&gt;0,VLOOKUP($L45,'Allocation Factors - EGD'!$B$12:$S$104,9,FALSE)*$J45,0)+IF($F45&lt;&gt;0,VLOOKUP($H45,'Allocation Factors - EGD'!$B$12:$S$104,9,FALSE)*$F45,0)</f>
        <v>149.10907835682039</v>
      </c>
      <c r="S45" s="79">
        <f ca="1">IF($J45&lt;&gt;0,VLOOKUP($L45,'Allocation Factors - EGD'!$B$12:$S$104,10,FALSE)*$J45,0)+IF($F45&lt;&gt;0,VLOOKUP($H45,'Allocation Factors - EGD'!$B$12:$S$104,10,FALSE)*$F45,0)</f>
        <v>38.498849885900682</v>
      </c>
      <c r="T45" s="79">
        <f ca="1">IF($J45&lt;&gt;0,VLOOKUP($L45,'Allocation Factors - EGD'!$B$12:$S$104,11,FALSE)*$J45,0)+IF($F45&lt;&gt;0,VLOOKUP($H45,'Allocation Factors - EGD'!$B$12:$S$104,11,FALSE)*$F45,0)</f>
        <v>250.20083510607731</v>
      </c>
      <c r="U45" s="79">
        <f ca="1">IF($J45&lt;&gt;0,VLOOKUP($L45,'Allocation Factors - EGD'!$B$12:$S$104,12,FALSE)*$J45,0)+IF($F45&lt;&gt;0,VLOOKUP($H45,'Allocation Factors - EGD'!$B$12:$S$104,12,FALSE)*$F45,0)</f>
        <v>22.154042049762371</v>
      </c>
      <c r="V45" s="79">
        <f ca="1">IF($J45&lt;&gt;0,VLOOKUP($L45,'Allocation Factors - EGD'!$B$13:$S$104,13,FALSE)*$J45,0)+IF($F45&lt;&gt;0,VLOOKUP($H45,'Allocation Factors - EGD'!$B$13:$S$104,13,FALSE)*$F45,0)</f>
        <v>98.661680588121598</v>
      </c>
      <c r="W45" s="79">
        <f ca="1">IF($J45&lt;&gt;0,VLOOKUP($L45,'Allocation Factors - EGD'!$B$12:$S$104,14,FALSE)*$J45,0)+IF($F45&lt;&gt;0,VLOOKUP($H45,'Allocation Factors - EGD'!$B$12:$S$104,14,FALSE)*$F45,0)</f>
        <v>0</v>
      </c>
    </row>
    <row r="46" spans="1:23" x14ac:dyDescent="0.2">
      <c r="A46" s="2">
        <f t="shared" si="10"/>
        <v>29</v>
      </c>
      <c r="B46" s="31" t="s">
        <v>186</v>
      </c>
      <c r="D46" s="79">
        <f ca="1">'Total Allocation Current RZ'!P46</f>
        <v>27084.213746108406</v>
      </c>
      <c r="E46" s="79"/>
      <c r="F46" s="79"/>
      <c r="G46" s="79"/>
      <c r="H46" s="79"/>
      <c r="I46" s="79"/>
      <c r="J46" s="79">
        <f t="shared" ca="1" si="11"/>
        <v>27084.213746108406</v>
      </c>
      <c r="K46" s="79"/>
      <c r="L46" s="2" t="s">
        <v>191</v>
      </c>
      <c r="N46" s="79">
        <f ca="1">IF($J46&lt;&gt;0,VLOOKUP($L46,'Allocation Factors - EGD'!$B$12:$S$104,5,FALSE)*$J46,0)+IF($F46&lt;&gt;0,VLOOKUP($H46,'Allocation Factors - EGD'!$B$12:$S$104,5,FALSE)*$F46,0)</f>
        <v>0</v>
      </c>
      <c r="O46" s="79">
        <f ca="1">IF($J46&lt;&gt;0,VLOOKUP($L46,'Allocation Factors - EGD'!$B$12:$S$104,6,FALSE)*$J46,0)+IF($F46&lt;&gt;0,VLOOKUP($H46,'Allocation Factors - EGD'!$B$12:$S$104,6,FALSE)*$F46,0)</f>
        <v>22759.099355388214</v>
      </c>
      <c r="P46" s="79">
        <f ca="1">IF($J46&lt;&gt;0,VLOOKUP($L46,'Allocation Factors - EGD'!$B$12:$S$104,7,FALSE)*$J46,0)+IF($F46&lt;&gt;0,VLOOKUP($H46,'Allocation Factors - EGD'!$B$12:$S$104,7,FALSE)*$F46,0)</f>
        <v>60.790229518654698</v>
      </c>
      <c r="Q46" s="79">
        <f ca="1">IF($J46&lt;&gt;0,VLOOKUP($L46,'Allocation Factors - EGD'!$B$12:$S$104,8,FALSE)*$J46,0)+IF($F46&lt;&gt;0,VLOOKUP($H46,'Allocation Factors - EGD'!$B$12:$S$104,8,FALSE)*$F46,0)</f>
        <v>2454.0328407840725</v>
      </c>
      <c r="R46" s="79">
        <f ca="1">IF($J46&lt;&gt;0,VLOOKUP($L46,'Allocation Factors - EGD'!$B$12:$S$104,9,FALSE)*$J46,0)+IF($F46&lt;&gt;0,VLOOKUP($H46,'Allocation Factors - EGD'!$B$12:$S$104,9,FALSE)*$F46,0)</f>
        <v>309.02145922912189</v>
      </c>
      <c r="S46" s="79">
        <f ca="1">IF($J46&lt;&gt;0,VLOOKUP($L46,'Allocation Factors - EGD'!$B$12:$S$104,10,FALSE)*$J46,0)+IF($F46&lt;&gt;0,VLOOKUP($H46,'Allocation Factors - EGD'!$B$12:$S$104,10,FALSE)*$F46,0)</f>
        <v>813.49386645212007</v>
      </c>
      <c r="T46" s="79">
        <f ca="1">IF($J46&lt;&gt;0,VLOOKUP($L46,'Allocation Factors - EGD'!$B$12:$S$104,11,FALSE)*$J46,0)+IF($F46&lt;&gt;0,VLOOKUP($H46,'Allocation Factors - EGD'!$B$12:$S$104,11,FALSE)*$F46,0)</f>
        <v>355.73198721302833</v>
      </c>
      <c r="U46" s="79">
        <f ca="1">IF($J46&lt;&gt;0,VLOOKUP($L46,'Allocation Factors - EGD'!$B$12:$S$104,12,FALSE)*$J46,0)+IF($F46&lt;&gt;0,VLOOKUP($H46,'Allocation Factors - EGD'!$B$12:$S$104,12,FALSE)*$F46,0)</f>
        <v>238.35677899707551</v>
      </c>
      <c r="V46" s="79">
        <f ca="1">IF($J46&lt;&gt;0,VLOOKUP($L46,'Allocation Factors - EGD'!$B$13:$S$104,13,FALSE)*$J46,0)+IF($F46&lt;&gt;0,VLOOKUP($H46,'Allocation Factors - EGD'!$B$13:$S$104,13,FALSE)*$F46,0)</f>
        <v>93.687228526118105</v>
      </c>
      <c r="W46" s="79">
        <f ca="1">IF($J46&lt;&gt;0,VLOOKUP($L46,'Allocation Factors - EGD'!$B$12:$S$104,14,FALSE)*$J46,0)+IF($F46&lt;&gt;0,VLOOKUP($H46,'Allocation Factors - EGD'!$B$12:$S$104,14,FALSE)*$F46,0)</f>
        <v>0</v>
      </c>
    </row>
    <row r="47" spans="1:23" x14ac:dyDescent="0.2">
      <c r="B47" s="31" t="s">
        <v>164</v>
      </c>
      <c r="D47" s="79"/>
      <c r="E47" s="79"/>
      <c r="F47" s="79"/>
      <c r="G47" s="79"/>
      <c r="H47" s="79"/>
      <c r="I47" s="79"/>
      <c r="J47" s="123"/>
      <c r="K47" s="79"/>
      <c r="N47" s="2"/>
      <c r="P47" s="79"/>
      <c r="Q47" s="79"/>
      <c r="R47" s="79"/>
      <c r="S47" s="79"/>
      <c r="T47" s="79"/>
      <c r="U47" s="79"/>
      <c r="V47" s="79"/>
      <c r="W47" s="79"/>
    </row>
    <row r="48" spans="1:23" x14ac:dyDescent="0.2">
      <c r="A48" s="2">
        <f>A46+1</f>
        <v>30</v>
      </c>
      <c r="B48" s="82" t="s">
        <v>176</v>
      </c>
      <c r="D48" s="79">
        <f ca="1">'Total Allocation Current RZ'!P48</f>
        <v>7480.9912365986784</v>
      </c>
      <c r="F48" s="79"/>
      <c r="H48" s="31"/>
      <c r="J48" s="79">
        <f t="shared" ref="J48:J51" ca="1" si="12">D48-F48</f>
        <v>7480.9912365986784</v>
      </c>
      <c r="L48" s="2" t="s">
        <v>223</v>
      </c>
      <c r="N48" s="79">
        <f ca="1">IF($J48&lt;&gt;0,VLOOKUP($L48,'Allocation Factors - EGD'!$B$12:$S$104,5,FALSE)*$J48,0)+IF($F48&lt;&gt;0,VLOOKUP($H48,'Allocation Factors - EGD'!$B$12:$S$104,5,FALSE)*$F48,0)</f>
        <v>6314.5577868676728</v>
      </c>
      <c r="O48" s="79">
        <f ca="1">IF($J48&lt;&gt;0,VLOOKUP($L48,'Allocation Factors - EGD'!$B$12:$S$104,6,FALSE)*$J48,0)+IF($F48&lt;&gt;0,VLOOKUP($H48,'Allocation Factors - EGD'!$B$12:$S$104,6,FALSE)*$F48,0)</f>
        <v>504.95257961425062</v>
      </c>
      <c r="P48" s="79">
        <f ca="1">IF($J48&lt;&gt;0,VLOOKUP($L48,'Allocation Factors - EGD'!$B$12:$S$104,7,FALSE)*$J48,0)+IF($F48&lt;&gt;0,VLOOKUP($H48,'Allocation Factors - EGD'!$B$12:$S$104,7,FALSE)*$F48,0)</f>
        <v>18.016988680222898</v>
      </c>
      <c r="Q48" s="79">
        <f ca="1">IF($J48&lt;&gt;0,VLOOKUP($L48,'Allocation Factors - EGD'!$B$12:$S$104,8,FALSE)*$J48,0)+IF($F48&lt;&gt;0,VLOOKUP($H48,'Allocation Factors - EGD'!$B$12:$S$104,8,FALSE)*$F48,0)</f>
        <v>535.36194935519472</v>
      </c>
      <c r="R48" s="79">
        <f ca="1">IF($J48&lt;&gt;0,VLOOKUP($L48,'Allocation Factors - EGD'!$B$12:$S$104,9,FALSE)*$J48,0)+IF($F48&lt;&gt;0,VLOOKUP($H48,'Allocation Factors - EGD'!$B$12:$S$104,9,FALSE)*$F48,0)</f>
        <v>28.312410783207415</v>
      </c>
      <c r="S48" s="79">
        <f ca="1">IF($J48&lt;&gt;0,VLOOKUP($L48,'Allocation Factors - EGD'!$B$12:$S$104,10,FALSE)*$J48,0)+IF($F48&lt;&gt;0,VLOOKUP($H48,'Allocation Factors - EGD'!$B$12:$S$104,10,FALSE)*$F48,0)</f>
        <v>5.1477110514922577</v>
      </c>
      <c r="T48" s="79">
        <f ca="1">IF($J48&lt;&gt;0,VLOOKUP($L48,'Allocation Factors - EGD'!$B$12:$S$104,11,FALSE)*$J48,0)+IF($F48&lt;&gt;0,VLOOKUP($H48,'Allocation Factors - EGD'!$B$12:$S$104,11,FALSE)*$F48,0)</f>
        <v>52.764038277795635</v>
      </c>
      <c r="U48" s="79">
        <f ca="1">IF($J48&lt;&gt;0,VLOOKUP($L48,'Allocation Factors - EGD'!$B$12:$S$104,12,FALSE)*$J48,0)+IF($F48&lt;&gt;0,VLOOKUP($H48,'Allocation Factors - EGD'!$B$12:$S$104,12,FALSE)*$F48,0)</f>
        <v>6.4346388143653215</v>
      </c>
      <c r="V48" s="79">
        <f ca="1">IF($J48&lt;&gt;0,VLOOKUP($L48,'Allocation Factors - EGD'!$B$13:$S$104,13,FALSE)*$J48,0)+IF($F48&lt;&gt;0,VLOOKUP($H48,'Allocation Factors - EGD'!$B$13:$S$104,13,FALSE)*$F48,0)</f>
        <v>14.156205391603708</v>
      </c>
      <c r="W48" s="79">
        <f ca="1">IF($J48&lt;&gt;0,VLOOKUP($L48,'Allocation Factors - EGD'!$B$12:$S$104,14,FALSE)*$J48,0)+IF($F48&lt;&gt;0,VLOOKUP($H48,'Allocation Factors - EGD'!$B$12:$S$104,14,FALSE)*$F48,0)</f>
        <v>1.2869277628730644</v>
      </c>
    </row>
    <row r="49" spans="1:23" x14ac:dyDescent="0.2">
      <c r="A49" s="2">
        <f t="shared" si="10"/>
        <v>31</v>
      </c>
      <c r="B49" s="82" t="s">
        <v>72</v>
      </c>
      <c r="D49" s="79">
        <f ca="1">'Total Allocation Current RZ'!P49</f>
        <v>77321.998278656611</v>
      </c>
      <c r="F49" s="79">
        <v>6681.6256767138766</v>
      </c>
      <c r="H49" s="2" t="s">
        <v>341</v>
      </c>
      <c r="J49" s="79">
        <f t="shared" ca="1" si="12"/>
        <v>70640.372601942741</v>
      </c>
      <c r="L49" s="2" t="s">
        <v>220</v>
      </c>
      <c r="N49" s="79">
        <f ca="1">IF($J49&lt;&gt;0,VLOOKUP($L49,'Allocation Factors - EGD'!$B$12:$S$104,5,FALSE)*$J49,0)+IF($F49&lt;&gt;0,VLOOKUP($H49,'Allocation Factors - EGD'!$B$12:$S$104,5,FALSE)*$F49,0)</f>
        <v>70333.768153765282</v>
      </c>
      <c r="O49" s="79">
        <f ca="1">IF($J49&lt;&gt;0,VLOOKUP($L49,'Allocation Factors - EGD'!$B$12:$S$104,6,FALSE)*$J49,0)+IF($F49&lt;&gt;0,VLOOKUP($H49,'Allocation Factors - EGD'!$B$12:$S$104,6,FALSE)*$F49,0)</f>
        <v>5624.8757368470933</v>
      </c>
      <c r="P49" s="79">
        <f ca="1">IF($J49&lt;&gt;0,VLOOKUP($L49,'Allocation Factors - EGD'!$B$12:$S$104,7,FALSE)*$J49,0)+IF($F49&lt;&gt;0,VLOOKUP($H49,'Allocation Factors - EGD'!$B$12:$S$104,7,FALSE)*$F49,0)</f>
        <v>37.13416621132194</v>
      </c>
      <c r="Q49" s="79">
        <f ca="1">IF($J49&lt;&gt;0,VLOOKUP($L49,'Allocation Factors - EGD'!$B$12:$S$104,8,FALSE)*$J49,0)+IF($F49&lt;&gt;0,VLOOKUP($H49,'Allocation Factors - EGD'!$B$12:$S$104,8,FALSE)*$F49,0)</f>
        <v>1103.4152245649948</v>
      </c>
      <c r="R49" s="79">
        <f ca="1">IF($J49&lt;&gt;0,VLOOKUP($L49,'Allocation Factors - EGD'!$B$12:$S$104,9,FALSE)*$J49,0)+IF($F49&lt;&gt;0,VLOOKUP($H49,'Allocation Factors - EGD'!$B$12:$S$104,9,FALSE)*$F49,0)</f>
        <v>58.353689760648777</v>
      </c>
      <c r="S49" s="79">
        <f ca="1">IF($J49&lt;&gt;0,VLOOKUP($L49,'Allocation Factors - EGD'!$B$12:$S$104,10,FALSE)*$J49,0)+IF($F49&lt;&gt;0,VLOOKUP($H49,'Allocation Factors - EGD'!$B$12:$S$104,10,FALSE)*$F49,0)</f>
        <v>10.609761774663413</v>
      </c>
      <c r="T49" s="79">
        <f ca="1">IF($J49&lt;&gt;0,VLOOKUP($L49,'Allocation Factors - EGD'!$B$12:$S$104,11,FALSE)*$J49,0)+IF($F49&lt;&gt;0,VLOOKUP($H49,'Allocation Factors - EGD'!$B$12:$S$104,11,FALSE)*$F49,0)</f>
        <v>108.75005819029997</v>
      </c>
      <c r="U49" s="79">
        <f ca="1">IF($J49&lt;&gt;0,VLOOKUP($L49,'Allocation Factors - EGD'!$B$12:$S$104,12,FALSE)*$J49,0)+IF($F49&lt;&gt;0,VLOOKUP($H49,'Allocation Factors - EGD'!$B$12:$S$104,12,FALSE)*$F49,0)</f>
        <v>13.262202218329268</v>
      </c>
      <c r="V49" s="79">
        <f ca="1">IF($J49&lt;&gt;0,VLOOKUP($L49,'Allocation Factors - EGD'!$B$13:$S$104,13,FALSE)*$J49,0)+IF($F49&lt;&gt;0,VLOOKUP($H49,'Allocation Factors - EGD'!$B$13:$S$104,13,FALSE)*$F49,0)</f>
        <v>29.176844880324388</v>
      </c>
      <c r="W49" s="79">
        <f ca="1">IF($J49&lt;&gt;0,VLOOKUP($L49,'Allocation Factors - EGD'!$B$12:$S$104,14,FALSE)*$J49,0)+IF($F49&lt;&gt;0,VLOOKUP($H49,'Allocation Factors - EGD'!$B$12:$S$104,14,FALSE)*$F49,0)</f>
        <v>2.6524404436658533</v>
      </c>
    </row>
    <row r="50" spans="1:23" x14ac:dyDescent="0.2">
      <c r="A50" s="2">
        <f t="shared" si="10"/>
        <v>32</v>
      </c>
      <c r="B50" s="82" t="s">
        <v>174</v>
      </c>
      <c r="D50" s="79">
        <f ca="1">'Total Allocation Current RZ'!P50</f>
        <v>9757.4205700963776</v>
      </c>
      <c r="F50" s="79"/>
      <c r="H50" s="31"/>
      <c r="J50" s="79">
        <f t="shared" ca="1" si="12"/>
        <v>9757.4205700963776</v>
      </c>
      <c r="L50" s="2" t="s">
        <v>272</v>
      </c>
      <c r="N50" s="79">
        <f ca="1">IF($J50&lt;&gt;0,VLOOKUP($L50,'Allocation Factors - EGD'!$B$12:$S$104,5,FALSE)*$J50,0)+IF($F50&lt;&gt;0,VLOOKUP($H50,'Allocation Factors - EGD'!$B$12:$S$104,5,FALSE)*$F50,0)</f>
        <v>0</v>
      </c>
      <c r="O50" s="79">
        <f ca="1">IF($J50&lt;&gt;0,VLOOKUP($L50,'Allocation Factors - EGD'!$B$12:$S$104,6,FALSE)*$J50,0)+IF($F50&lt;&gt;0,VLOOKUP($H50,'Allocation Factors - EGD'!$B$12:$S$104,6,FALSE)*$F50,0)</f>
        <v>0</v>
      </c>
      <c r="P50" s="79">
        <f ca="1">IF($J50&lt;&gt;0,VLOOKUP($L50,'Allocation Factors - EGD'!$B$12:$S$104,7,FALSE)*$J50,0)+IF($F50&lt;&gt;0,VLOOKUP($H50,'Allocation Factors - EGD'!$B$12:$S$104,7,FALSE)*$F50,0)</f>
        <v>265.76631902986242</v>
      </c>
      <c r="Q50" s="79">
        <f ca="1">IF($J50&lt;&gt;0,VLOOKUP($L50,'Allocation Factors - EGD'!$B$12:$S$104,8,FALSE)*$J50,0)+IF($F50&lt;&gt;0,VLOOKUP($H50,'Allocation Factors - EGD'!$B$12:$S$104,8,FALSE)*$F50,0)</f>
        <v>7897.0563368873409</v>
      </c>
      <c r="R50" s="79">
        <f ca="1">IF($J50&lt;&gt;0,VLOOKUP($L50,'Allocation Factors - EGD'!$B$12:$S$104,9,FALSE)*$J50,0)+IF($F50&lt;&gt;0,VLOOKUP($H50,'Allocation Factors - EGD'!$B$12:$S$104,9,FALSE)*$F50,0)</f>
        <v>417.63278704692669</v>
      </c>
      <c r="S50" s="79">
        <f ca="1">IF($J50&lt;&gt;0,VLOOKUP($L50,'Allocation Factors - EGD'!$B$12:$S$104,10,FALSE)*$J50,0)+IF($F50&lt;&gt;0,VLOOKUP($H50,'Allocation Factors - EGD'!$B$12:$S$104,10,FALSE)*$F50,0)</f>
        <v>75.933234008532125</v>
      </c>
      <c r="T50" s="79">
        <f ca="1">IF($J50&lt;&gt;0,VLOOKUP($L50,'Allocation Factors - EGD'!$B$12:$S$104,11,FALSE)*$J50,0)+IF($F50&lt;&gt;0,VLOOKUP($H50,'Allocation Factors - EGD'!$B$12:$S$104,11,FALSE)*$F50,0)</f>
        <v>778.31564858745423</v>
      </c>
      <c r="U50" s="79">
        <f ca="1">IF($J50&lt;&gt;0,VLOOKUP($L50,'Allocation Factors - EGD'!$B$12:$S$104,12,FALSE)*$J50,0)+IF($F50&lt;&gt;0,VLOOKUP($H50,'Allocation Factors - EGD'!$B$12:$S$104,12,FALSE)*$F50,0)</f>
        <v>94.916542510665153</v>
      </c>
      <c r="V50" s="79">
        <f ca="1">IF($J50&lt;&gt;0,VLOOKUP($L50,'Allocation Factors - EGD'!$B$13:$S$104,13,FALSE)*$J50,0)+IF($F50&lt;&gt;0,VLOOKUP($H50,'Allocation Factors - EGD'!$B$13:$S$104,13,FALSE)*$F50,0)</f>
        <v>208.81639352346335</v>
      </c>
      <c r="W50" s="79">
        <f ca="1">IF($J50&lt;&gt;0,VLOOKUP($L50,'Allocation Factors - EGD'!$B$12:$S$104,14,FALSE)*$J50,0)+IF($F50&lt;&gt;0,VLOOKUP($H50,'Allocation Factors - EGD'!$B$12:$S$104,14,FALSE)*$F50,0)</f>
        <v>18.983308502133031</v>
      </c>
    </row>
    <row r="51" spans="1:23" x14ac:dyDescent="0.2">
      <c r="A51" s="2">
        <f t="shared" si="10"/>
        <v>33</v>
      </c>
      <c r="B51" s="31" t="s">
        <v>249</v>
      </c>
      <c r="D51" s="79">
        <f ca="1">'Total Allocation Current RZ'!P51</f>
        <v>7618.9551613508575</v>
      </c>
      <c r="F51" s="79"/>
      <c r="H51" s="79"/>
      <c r="J51" s="79">
        <f t="shared" ca="1" si="12"/>
        <v>7618.9551613508575</v>
      </c>
      <c r="L51" s="2" t="s">
        <v>336</v>
      </c>
      <c r="N51" s="79">
        <f ca="1">IF($J51&lt;&gt;0,VLOOKUP($L51,'Allocation Factors - EGD'!$B$12:$S$104,5,FALSE)*$J51,0)+IF($F51&lt;&gt;0,VLOOKUP($H51,'Allocation Factors - EGD'!$B$12:$S$104,5,FALSE)*$F51,0)</f>
        <v>3133.900826054451</v>
      </c>
      <c r="O51" s="79">
        <f ca="1">IF($J51&lt;&gt;0,VLOOKUP($L51,'Allocation Factors - EGD'!$B$12:$S$104,6,FALSE)*$J51,0)+IF($F51&lt;&gt;0,VLOOKUP($H51,'Allocation Factors - EGD'!$B$12:$S$104,6,FALSE)*$F51,0)</f>
        <v>3001.1132040024399</v>
      </c>
      <c r="P51" s="79">
        <f ca="1">IF($J51&lt;&gt;0,VLOOKUP($L51,'Allocation Factors - EGD'!$B$12:$S$104,7,FALSE)*$J51,0)+IF($F51&lt;&gt;0,VLOOKUP($H51,'Allocation Factors - EGD'!$B$12:$S$104,7,FALSE)*$F51,0)</f>
        <v>17.152295755659058</v>
      </c>
      <c r="Q51" s="79">
        <f ca="1">IF($J51&lt;&gt;0,VLOOKUP($L51,'Allocation Factors - EGD'!$B$12:$S$104,8,FALSE)*$J51,0)+IF($F51&lt;&gt;0,VLOOKUP($H51,'Allocation Factors - EGD'!$B$12:$S$104,8,FALSE)*$F51,0)</f>
        <v>668.02926442703233</v>
      </c>
      <c r="R51" s="79">
        <f ca="1">IF($J51&lt;&gt;0,VLOOKUP($L51,'Allocation Factors - EGD'!$B$12:$S$104,9,FALSE)*$J51,0)+IF($F51&lt;&gt;0,VLOOKUP($H51,'Allocation Factors - EGD'!$B$12:$S$104,9,FALSE)*$F51,0)</f>
        <v>238.7969731539354</v>
      </c>
      <c r="S51" s="79">
        <f ca="1">IF($J51&lt;&gt;0,VLOOKUP($L51,'Allocation Factors - EGD'!$B$12:$S$104,10,FALSE)*$J51,0)+IF($F51&lt;&gt;0,VLOOKUP($H51,'Allocation Factors - EGD'!$B$12:$S$104,10,FALSE)*$F51,0)</f>
        <v>196.97924764219687</v>
      </c>
      <c r="T51" s="79">
        <f ca="1">IF($J51&lt;&gt;0,VLOOKUP($L51,'Allocation Factors - EGD'!$B$12:$S$104,11,FALSE)*$J51,0)+IF($F51&lt;&gt;0,VLOOKUP($H51,'Allocation Factors - EGD'!$B$12:$S$104,11,FALSE)*$F51,0)</f>
        <v>32.921483789506929</v>
      </c>
      <c r="U51" s="79">
        <f ca="1">IF($J51&lt;&gt;0,VLOOKUP($L51,'Allocation Factors - EGD'!$B$12:$S$104,12,FALSE)*$J51,0)+IF($F51&lt;&gt;0,VLOOKUP($H51,'Allocation Factors - EGD'!$B$12:$S$104,12,FALSE)*$F51,0)</f>
        <v>9.8262383308238395</v>
      </c>
      <c r="V51" s="79">
        <f ca="1">IF($J51&lt;&gt;0,VLOOKUP($L51,'Allocation Factors - EGD'!$B$13:$S$104,13,FALSE)*$J51,0)+IF($F51&lt;&gt;0,VLOOKUP($H51,'Allocation Factors - EGD'!$B$13:$S$104,13,FALSE)*$F51,0)</f>
        <v>202.14056605624398</v>
      </c>
      <c r="W51" s="79">
        <f ca="1">IF($J51&lt;&gt;0,VLOOKUP($L51,'Allocation Factors - EGD'!$B$12:$S$104,14,FALSE)*$J51,0)+IF($F51&lt;&gt;0,VLOOKUP($H51,'Allocation Factors - EGD'!$B$12:$S$104,14,FALSE)*$F51,0)</f>
        <v>118.095062138568</v>
      </c>
    </row>
    <row r="52" spans="1:23" x14ac:dyDescent="0.2">
      <c r="A52" s="2">
        <f t="shared" si="10"/>
        <v>34</v>
      </c>
      <c r="B52" s="31" t="s">
        <v>382</v>
      </c>
      <c r="D52" s="41">
        <f ca="1">SUM(D37:D51)</f>
        <v>1377197.0279744044</v>
      </c>
      <c r="F52" s="41">
        <f>SUM(F37:F51)</f>
        <v>6681.6256767138766</v>
      </c>
      <c r="H52" s="79"/>
      <c r="J52" s="41">
        <f ca="1">SUM(J37:J51)</f>
        <v>1370515.4022976905</v>
      </c>
      <c r="L52" s="50"/>
      <c r="M52" s="50"/>
      <c r="N52" s="41">
        <f t="shared" ref="N52:W52" ca="1" si="13">SUM(N37:N51)</f>
        <v>1008589.457854421</v>
      </c>
      <c r="O52" s="41">
        <f t="shared" ca="1" si="13"/>
        <v>312028.17850796878</v>
      </c>
      <c r="P52" s="41">
        <f t="shared" ca="1" si="13"/>
        <v>1286.2360971036478</v>
      </c>
      <c r="Q52" s="41">
        <f t="shared" ca="1" si="13"/>
        <v>29669.169416344939</v>
      </c>
      <c r="R52" s="41">
        <f t="shared" ca="1" si="13"/>
        <v>4357.8974289286443</v>
      </c>
      <c r="S52" s="41">
        <f t="shared" ca="1" si="13"/>
        <v>14327.591638710592</v>
      </c>
      <c r="T52" s="41">
        <f t="shared" ca="1" si="13"/>
        <v>2906.2314006117904</v>
      </c>
      <c r="U52" s="41">
        <f t="shared" ca="1" si="13"/>
        <v>814.38999116897241</v>
      </c>
      <c r="V52" s="41">
        <f t="shared" ca="1" si="13"/>
        <v>1271.9277286996871</v>
      </c>
      <c r="W52" s="41">
        <f t="shared" ca="1" si="13"/>
        <v>1945.9479104463792</v>
      </c>
    </row>
    <row r="53" spans="1:23" x14ac:dyDescent="0.2">
      <c r="D53" s="50"/>
      <c r="F53" s="50"/>
      <c r="H53" s="79"/>
      <c r="J53" s="2"/>
      <c r="L53" s="31"/>
      <c r="N53" s="2"/>
    </row>
    <row r="54" spans="1:23" ht="13.5" thickBot="1" x14ac:dyDescent="0.25">
      <c r="A54" s="2">
        <f>A52+1</f>
        <v>35</v>
      </c>
      <c r="B54" s="31" t="s">
        <v>149</v>
      </c>
      <c r="D54" s="83">
        <f ca="1">D52+D34+D24+D17</f>
        <v>3020375.911721576</v>
      </c>
      <c r="F54" s="83">
        <f>F17+F24+F34+F52</f>
        <v>23200.726462930681</v>
      </c>
      <c r="H54" s="79"/>
      <c r="J54" s="83">
        <f ca="1">J17+J24+J34+J52</f>
        <v>2997175.1852586456</v>
      </c>
      <c r="L54" s="31"/>
      <c r="N54" s="83">
        <f ca="1">N17+N24+N34+N52</f>
        <v>1933094.5113164547</v>
      </c>
      <c r="O54" s="83">
        <f ca="1">O17+O24+O34+O52</f>
        <v>947275.58736177394</v>
      </c>
      <c r="P54" s="83">
        <f ca="1">P17+P24+P34+P52</f>
        <v>4146.642725470836</v>
      </c>
      <c r="Q54" s="83">
        <f t="shared" ref="Q54:W54" ca="1" si="14">Q17+Q24+Q34+Q52</f>
        <v>71663.451162616024</v>
      </c>
      <c r="R54" s="83">
        <f t="shared" ca="1" si="14"/>
        <v>11064.615350406681</v>
      </c>
      <c r="S54" s="83">
        <f t="shared" ca="1" si="14"/>
        <v>14337.885150222906</v>
      </c>
      <c r="T54" s="83">
        <f t="shared" ca="1" si="14"/>
        <v>4159.0107511672959</v>
      </c>
      <c r="U54" s="83">
        <f t="shared" ca="1" si="14"/>
        <v>1116.1801867508013</v>
      </c>
      <c r="V54" s="83">
        <f t="shared" ca="1" si="14"/>
        <v>6032.7616182226902</v>
      </c>
      <c r="W54" s="83">
        <f t="shared" ca="1" si="14"/>
        <v>27485.266098490472</v>
      </c>
    </row>
    <row r="55" spans="1:23" ht="13.5" thickTop="1" x14ac:dyDescent="0.2">
      <c r="H55" s="79"/>
      <c r="J55" s="31" t="s">
        <v>225</v>
      </c>
      <c r="L55" s="31"/>
      <c r="N55" s="50"/>
    </row>
    <row r="56" spans="1:23" x14ac:dyDescent="0.2">
      <c r="H56" s="79"/>
    </row>
    <row r="57" spans="1:23" x14ac:dyDescent="0.2">
      <c r="D57" s="96"/>
      <c r="E57" s="96"/>
      <c r="F57" s="96"/>
      <c r="G57" s="96"/>
      <c r="H57" s="79"/>
      <c r="I57" s="96"/>
      <c r="J57" s="96"/>
      <c r="K57" s="96"/>
      <c r="L57" s="15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</row>
  </sheetData>
  <mergeCells count="2">
    <mergeCell ref="B2:L2"/>
    <mergeCell ref="B3:L3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E9C87-7B86-45B3-A470-BFF8662691ED}">
  <sheetPr>
    <tabColor theme="0" tint="-0.249977111117893"/>
  </sheetPr>
  <dimension ref="A2:W58"/>
  <sheetViews>
    <sheetView topLeftCell="A11" zoomScale="70" zoomScaleNormal="70" workbookViewId="0">
      <selection activeCell="H56" sqref="H56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23.5703125" style="2" bestFit="1" customWidth="1"/>
    <col min="9" max="9" width="1.7109375" style="31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31" customWidth="1"/>
    <col min="14" max="15" width="12.85546875" style="31" customWidth="1"/>
    <col min="16" max="23" width="10.7109375" style="31" customWidth="1"/>
    <col min="24" max="16384" width="9.140625" style="31"/>
  </cols>
  <sheetData>
    <row r="2" spans="1:23" x14ac:dyDescent="0.2">
      <c r="B2" s="161" t="s">
        <v>511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</row>
    <row r="3" spans="1:23" x14ac:dyDescent="0.2">
      <c r="B3" s="161" t="s">
        <v>514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</row>
    <row r="5" spans="1:23" x14ac:dyDescent="0.2">
      <c r="D5" s="2" t="s">
        <v>150</v>
      </c>
    </row>
    <row r="6" spans="1:23" x14ac:dyDescent="0.2">
      <c r="A6" s="2" t="s">
        <v>2</v>
      </c>
      <c r="D6" s="2" t="s">
        <v>5</v>
      </c>
      <c r="F6" s="2" t="s">
        <v>167</v>
      </c>
      <c r="H6" s="2" t="s">
        <v>168</v>
      </c>
      <c r="I6" s="2"/>
      <c r="J6" s="2" t="s">
        <v>169</v>
      </c>
      <c r="L6" s="2" t="s">
        <v>104</v>
      </c>
      <c r="N6" s="2" t="s">
        <v>80</v>
      </c>
      <c r="O6" s="2" t="s">
        <v>80</v>
      </c>
      <c r="P6" s="2" t="s">
        <v>80</v>
      </c>
      <c r="Q6" s="2" t="s">
        <v>80</v>
      </c>
      <c r="R6" s="2" t="s">
        <v>80</v>
      </c>
      <c r="S6" s="2" t="s">
        <v>80</v>
      </c>
      <c r="T6" s="2" t="s">
        <v>80</v>
      </c>
      <c r="U6" s="2" t="s">
        <v>80</v>
      </c>
      <c r="V6" s="2" t="s">
        <v>80</v>
      </c>
      <c r="W6" s="2" t="s">
        <v>80</v>
      </c>
    </row>
    <row r="7" spans="1:23" x14ac:dyDescent="0.2">
      <c r="A7" s="33" t="s">
        <v>4</v>
      </c>
      <c r="B7" s="80" t="s">
        <v>374</v>
      </c>
      <c r="D7" s="33" t="s">
        <v>152</v>
      </c>
      <c r="F7" s="33" t="s">
        <v>131</v>
      </c>
      <c r="H7" s="33" t="s">
        <v>6</v>
      </c>
      <c r="I7" s="2"/>
      <c r="J7" s="33" t="s">
        <v>170</v>
      </c>
      <c r="L7" s="33" t="s">
        <v>6</v>
      </c>
      <c r="N7" s="33">
        <v>1</v>
      </c>
      <c r="O7" s="33">
        <v>6</v>
      </c>
      <c r="P7" s="33">
        <v>100</v>
      </c>
      <c r="Q7" s="33">
        <v>110</v>
      </c>
      <c r="R7" s="33">
        <v>115</v>
      </c>
      <c r="S7" s="33">
        <v>125</v>
      </c>
      <c r="T7" s="33">
        <v>135</v>
      </c>
      <c r="U7" s="33">
        <v>145</v>
      </c>
      <c r="V7" s="33">
        <v>170</v>
      </c>
      <c r="W7" s="33">
        <v>200</v>
      </c>
    </row>
    <row r="8" spans="1:23" x14ac:dyDescent="0.2">
      <c r="D8" s="120" t="s">
        <v>12</v>
      </c>
      <c r="F8" s="120" t="s">
        <v>13</v>
      </c>
      <c r="H8" s="120" t="s">
        <v>14</v>
      </c>
      <c r="J8" s="120" t="s">
        <v>366</v>
      </c>
      <c r="K8" s="74"/>
      <c r="L8" s="120" t="s">
        <v>15</v>
      </c>
      <c r="M8" s="40"/>
      <c r="N8" s="120" t="s">
        <v>16</v>
      </c>
      <c r="O8" s="120" t="s">
        <v>59</v>
      </c>
      <c r="P8" s="120" t="s">
        <v>61</v>
      </c>
      <c r="Q8" s="120" t="s">
        <v>62</v>
      </c>
      <c r="R8" s="120" t="s">
        <v>82</v>
      </c>
      <c r="S8" s="120" t="s">
        <v>143</v>
      </c>
      <c r="T8" s="120" t="s">
        <v>144</v>
      </c>
      <c r="U8" s="120" t="s">
        <v>145</v>
      </c>
      <c r="V8" s="120" t="s">
        <v>184</v>
      </c>
      <c r="W8" s="120" t="s">
        <v>193</v>
      </c>
    </row>
    <row r="10" spans="1:23" x14ac:dyDescent="0.2">
      <c r="B10" s="77" t="s">
        <v>384</v>
      </c>
    </row>
    <row r="11" spans="1:23" x14ac:dyDescent="0.2">
      <c r="A11" s="2">
        <v>1</v>
      </c>
      <c r="B11" s="31" t="s">
        <v>132</v>
      </c>
      <c r="D11" s="79">
        <f ca="1">'Total Allocation - EGD'!D11-'Total Allocation - Gas EGD'!D11</f>
        <v>0</v>
      </c>
      <c r="J11" s="79">
        <f ca="1">D11-F11</f>
        <v>0</v>
      </c>
      <c r="L11" s="2" t="s">
        <v>221</v>
      </c>
      <c r="N11" s="79">
        <f ca="1">'Total Allocation - EGD'!N11-'Total Allocation - Gas EGD'!N11</f>
        <v>0</v>
      </c>
      <c r="O11" s="79">
        <f ca="1">'Total Allocation - EGD'!O11-'Total Allocation - Gas EGD'!O11</f>
        <v>0</v>
      </c>
      <c r="P11" s="79">
        <f ca="1">'Total Allocation - EGD'!P11-'Total Allocation - Gas EGD'!P11</f>
        <v>0</v>
      </c>
      <c r="Q11" s="79">
        <f ca="1">'Total Allocation - EGD'!Q11-'Total Allocation - Gas EGD'!Q11</f>
        <v>0</v>
      </c>
      <c r="R11" s="79">
        <f ca="1">'Total Allocation - EGD'!R11-'Total Allocation - Gas EGD'!R11</f>
        <v>0</v>
      </c>
      <c r="S11" s="79">
        <f ca="1">'Total Allocation - EGD'!S11-'Total Allocation - Gas EGD'!S11</f>
        <v>0</v>
      </c>
      <c r="T11" s="79">
        <f ca="1">'Total Allocation - EGD'!T11-'Total Allocation - Gas EGD'!T11</f>
        <v>0</v>
      </c>
      <c r="U11" s="79">
        <f ca="1">'Total Allocation - EGD'!U11-'Total Allocation - Gas EGD'!U11</f>
        <v>0</v>
      </c>
      <c r="V11" s="79">
        <f ca="1">'Total Allocation - EGD'!V11-'Total Allocation - Gas EGD'!V11</f>
        <v>0</v>
      </c>
      <c r="W11" s="79">
        <f ca="1">'Total Allocation - EGD'!W11-'Total Allocation - Gas EGD'!W11</f>
        <v>0</v>
      </c>
    </row>
    <row r="12" spans="1:23" x14ac:dyDescent="0.2">
      <c r="A12" s="2">
        <f>A11+1</f>
        <v>2</v>
      </c>
      <c r="B12" s="31" t="s">
        <v>385</v>
      </c>
      <c r="D12" s="79">
        <f ca="1">'Total Allocation - EGD'!D12-'Total Allocation - Gas EGD'!D12</f>
        <v>-5858.9303690770612</v>
      </c>
      <c r="J12" s="79">
        <f t="shared" ref="J12:J16" ca="1" si="0">D12-F12</f>
        <v>-5858.9303690770612</v>
      </c>
      <c r="L12" s="2" t="s">
        <v>263</v>
      </c>
      <c r="N12" s="79">
        <f ca="1">'Total Allocation - EGD'!N12-'Total Allocation - Gas EGD'!N12</f>
        <v>-2997.0888108313957</v>
      </c>
      <c r="O12" s="79">
        <f ca="1">'Total Allocation - EGD'!O12-'Total Allocation - Gas EGD'!O12</f>
        <v>-2601.0863180585511</v>
      </c>
      <c r="P12" s="79">
        <f ca="1">'Total Allocation - EGD'!P12-'Total Allocation - Gas EGD'!P12</f>
        <v>-6.9831651020067511</v>
      </c>
      <c r="Q12" s="79">
        <f ca="1">'Total Allocation - EGD'!Q12-'Total Allocation - Gas EGD'!Q12</f>
        <v>-190.29885223271049</v>
      </c>
      <c r="R12" s="79">
        <f ca="1">'Total Allocation - EGD'!R12-'Total Allocation - Gas EGD'!R12</f>
        <v>-7.0184375394274241</v>
      </c>
      <c r="S12" s="79">
        <f ca="1">'Total Allocation - EGD'!S12-'Total Allocation - Gas EGD'!S12</f>
        <v>0</v>
      </c>
      <c r="T12" s="79">
        <f ca="1">'Total Allocation - EGD'!T12-'Total Allocation - Gas EGD'!T12</f>
        <v>0</v>
      </c>
      <c r="U12" s="79">
        <f ca="1">'Total Allocation - EGD'!U12-'Total Allocation - Gas EGD'!U12</f>
        <v>0</v>
      </c>
      <c r="V12" s="79">
        <f ca="1">'Total Allocation - EGD'!V12-'Total Allocation - Gas EGD'!V12</f>
        <v>0</v>
      </c>
      <c r="W12" s="79">
        <f ca="1">'Total Allocation - EGD'!W12-'Total Allocation - Gas EGD'!W12</f>
        <v>-56.454785312978402</v>
      </c>
    </row>
    <row r="13" spans="1:23" x14ac:dyDescent="0.2">
      <c r="A13" s="2">
        <f t="shared" ref="A13:A17" si="1">A12+1</f>
        <v>3</v>
      </c>
      <c r="B13" s="31" t="s">
        <v>386</v>
      </c>
      <c r="D13" s="79">
        <f ca="1">'Total Allocation - EGD'!D13-'Total Allocation - Gas EGD'!D13</f>
        <v>0</v>
      </c>
      <c r="J13" s="79">
        <f t="shared" ca="1" si="0"/>
        <v>0</v>
      </c>
      <c r="L13" s="2" t="s">
        <v>156</v>
      </c>
      <c r="N13" s="79">
        <f ca="1">'Total Allocation - EGD'!N13-'Total Allocation - Gas EGD'!N13</f>
        <v>0</v>
      </c>
      <c r="O13" s="79">
        <f ca="1">'Total Allocation - EGD'!O13-'Total Allocation - Gas EGD'!O13</f>
        <v>0</v>
      </c>
      <c r="P13" s="79">
        <f ca="1">'Total Allocation - EGD'!P13-'Total Allocation - Gas EGD'!P13</f>
        <v>0</v>
      </c>
      <c r="Q13" s="79">
        <f ca="1">'Total Allocation - EGD'!Q13-'Total Allocation - Gas EGD'!Q13</f>
        <v>0</v>
      </c>
      <c r="R13" s="79">
        <f ca="1">'Total Allocation - EGD'!R13-'Total Allocation - Gas EGD'!R13</f>
        <v>0</v>
      </c>
      <c r="S13" s="79">
        <f ca="1">'Total Allocation - EGD'!S13-'Total Allocation - Gas EGD'!S13</f>
        <v>0</v>
      </c>
      <c r="T13" s="79">
        <f ca="1">'Total Allocation - EGD'!T13-'Total Allocation - Gas EGD'!T13</f>
        <v>0</v>
      </c>
      <c r="U13" s="79">
        <f ca="1">'Total Allocation - EGD'!U13-'Total Allocation - Gas EGD'!U13</f>
        <v>0</v>
      </c>
      <c r="V13" s="79">
        <f ca="1">'Total Allocation - EGD'!V13-'Total Allocation - Gas EGD'!V13</f>
        <v>0</v>
      </c>
      <c r="W13" s="79">
        <f ca="1">'Total Allocation - EGD'!W13-'Total Allocation - Gas EGD'!W13</f>
        <v>0</v>
      </c>
    </row>
    <row r="14" spans="1:23" x14ac:dyDescent="0.2">
      <c r="A14" s="2">
        <f t="shared" si="1"/>
        <v>4</v>
      </c>
      <c r="B14" s="31" t="s">
        <v>115</v>
      </c>
      <c r="D14" s="79">
        <f ca="1">'Total Allocation - EGD'!D14-'Total Allocation - Gas EGD'!D14</f>
        <v>-4389.3276245970483</v>
      </c>
      <c r="F14" s="50">
        <f>'Total Allocation - EGD'!F14-'Total Allocation - Gas EGD'!F14</f>
        <v>-4389.327624597051</v>
      </c>
      <c r="H14" s="2" t="s">
        <v>410</v>
      </c>
      <c r="J14" s="79">
        <f t="shared" ca="1" si="0"/>
        <v>0</v>
      </c>
      <c r="L14" s="2" t="s">
        <v>262</v>
      </c>
      <c r="N14" s="79">
        <f ca="1">'Total Allocation - EGD'!N14-'Total Allocation - Gas EGD'!N14</f>
        <v>-1853.3767326219677</v>
      </c>
      <c r="O14" s="79">
        <f ca="1">'Total Allocation - EGD'!O14-'Total Allocation - Gas EGD'!O14</f>
        <v>-1774.8466505449178</v>
      </c>
      <c r="P14" s="79">
        <f ca="1">'Total Allocation - EGD'!P14-'Total Allocation - Gas EGD'!P14</f>
        <v>-10.143800850460195</v>
      </c>
      <c r="Q14" s="79">
        <f ca="1">'Total Allocation - EGD'!Q14-'Total Allocation - Gas EGD'!Q14</f>
        <v>-395.06990301234146</v>
      </c>
      <c r="R14" s="79">
        <f ca="1">'Total Allocation - EGD'!R14-'Total Allocation - Gas EGD'!R14</f>
        <v>-141.22359909559145</v>
      </c>
      <c r="S14" s="79">
        <f ca="1">'Total Allocation - EGD'!S14-'Total Allocation - Gas EGD'!S14</f>
        <v>0</v>
      </c>
      <c r="T14" s="79">
        <f ca="1">'Total Allocation - EGD'!T14-'Total Allocation - Gas EGD'!T14</f>
        <v>-19.469637185577994</v>
      </c>
      <c r="U14" s="79">
        <f ca="1">'Total Allocation - EGD'!U14-'Total Allocation - Gas EGD'!U14</f>
        <v>-5.8111990462938365</v>
      </c>
      <c r="V14" s="79">
        <f ca="1">'Total Allocation - EGD'!V14-'Total Allocation - Gas EGD'!V14</f>
        <v>-119.54514282423816</v>
      </c>
      <c r="W14" s="79">
        <f ca="1">'Total Allocation - EGD'!W14-'Total Allocation - Gas EGD'!W14</f>
        <v>-69.840959415658517</v>
      </c>
    </row>
    <row r="15" spans="1:23" x14ac:dyDescent="0.2">
      <c r="A15" s="2">
        <f t="shared" si="1"/>
        <v>5</v>
      </c>
      <c r="B15" s="31" t="s">
        <v>133</v>
      </c>
      <c r="D15" s="79">
        <f ca="1">'Total Allocation - EGD'!D15-'Total Allocation - Gas EGD'!D15</f>
        <v>0</v>
      </c>
      <c r="J15" s="79">
        <f t="shared" ca="1" si="0"/>
        <v>0</v>
      </c>
      <c r="L15" s="2" t="s">
        <v>264</v>
      </c>
      <c r="N15" s="79">
        <f ca="1">'Total Allocation - EGD'!N15-'Total Allocation - Gas EGD'!N15</f>
        <v>0</v>
      </c>
      <c r="O15" s="79">
        <f ca="1">'Total Allocation - EGD'!O15-'Total Allocation - Gas EGD'!O15</f>
        <v>0</v>
      </c>
      <c r="P15" s="79">
        <f ca="1">'Total Allocation - EGD'!P15-'Total Allocation - Gas EGD'!P15</f>
        <v>0</v>
      </c>
      <c r="Q15" s="79">
        <f ca="1">'Total Allocation - EGD'!Q15-'Total Allocation - Gas EGD'!Q15</f>
        <v>0</v>
      </c>
      <c r="R15" s="79">
        <f ca="1">'Total Allocation - EGD'!R15-'Total Allocation - Gas EGD'!R15</f>
        <v>0</v>
      </c>
      <c r="S15" s="79">
        <f ca="1">'Total Allocation - EGD'!S15-'Total Allocation - Gas EGD'!S15</f>
        <v>0</v>
      </c>
      <c r="T15" s="79">
        <f ca="1">'Total Allocation - EGD'!T15-'Total Allocation - Gas EGD'!T15</f>
        <v>0</v>
      </c>
      <c r="U15" s="79">
        <f ca="1">'Total Allocation - EGD'!U15-'Total Allocation - Gas EGD'!U15</f>
        <v>0</v>
      </c>
      <c r="V15" s="79">
        <f ca="1">'Total Allocation - EGD'!V15-'Total Allocation - Gas EGD'!V15</f>
        <v>0</v>
      </c>
      <c r="W15" s="79">
        <f ca="1">'Total Allocation - EGD'!W15-'Total Allocation - Gas EGD'!W15</f>
        <v>0</v>
      </c>
    </row>
    <row r="16" spans="1:23" x14ac:dyDescent="0.2">
      <c r="A16" s="2">
        <f t="shared" si="1"/>
        <v>6</v>
      </c>
      <c r="B16" s="31" t="s">
        <v>135</v>
      </c>
      <c r="D16" s="79">
        <f ca="1">'Total Allocation - EGD'!D16-'Total Allocation - Gas EGD'!D16</f>
        <v>9609.779501061641</v>
      </c>
      <c r="J16" s="79">
        <f t="shared" ca="1" si="0"/>
        <v>9609.779501061641</v>
      </c>
      <c r="L16" s="2" t="s">
        <v>221</v>
      </c>
      <c r="N16" s="79">
        <f ca="1">'Total Allocation - EGD'!N16-'Total Allocation - Gas EGD'!N16</f>
        <v>5794.5047160810545</v>
      </c>
      <c r="O16" s="79">
        <f ca="1">'Total Allocation - EGD'!O16-'Total Allocation - Gas EGD'!O16</f>
        <v>3498.5916710913457</v>
      </c>
      <c r="P16" s="79">
        <f ca="1">'Total Allocation - EGD'!P16-'Total Allocation - Gas EGD'!P16</f>
        <v>17.357207878732442</v>
      </c>
      <c r="Q16" s="79">
        <f ca="1">'Total Allocation - EGD'!Q16-'Total Allocation - Gas EGD'!Q16</f>
        <v>120.20711366349317</v>
      </c>
      <c r="R16" s="79">
        <f ca="1">'Total Allocation - EGD'!R16-'Total Allocation - Gas EGD'!R16</f>
        <v>1.9421176249244578</v>
      </c>
      <c r="S16" s="79">
        <f ca="1">'Total Allocation - EGD'!S16-'Total Allocation - Gas EGD'!S16</f>
        <v>0</v>
      </c>
      <c r="T16" s="79">
        <f ca="1">'Total Allocation - EGD'!T16-'Total Allocation - Gas EGD'!T16</f>
        <v>5.1654242903771133</v>
      </c>
      <c r="U16" s="79">
        <f ca="1">'Total Allocation - EGD'!U16-'Total Allocation - Gas EGD'!U16</f>
        <v>0.67471506243437052</v>
      </c>
      <c r="V16" s="79">
        <f ca="1">'Total Allocation - EGD'!V16-'Total Allocation - Gas EGD'!V16</f>
        <v>6.3048336207911921</v>
      </c>
      <c r="W16" s="79">
        <f ca="1">'Total Allocation - EGD'!W16-'Total Allocation - Gas EGD'!W16</f>
        <v>165.0317017484889</v>
      </c>
    </row>
    <row r="17" spans="1:23" x14ac:dyDescent="0.2">
      <c r="A17" s="2">
        <f t="shared" si="1"/>
        <v>7</v>
      </c>
      <c r="B17" s="31" t="s">
        <v>383</v>
      </c>
      <c r="D17" s="81">
        <f ca="1">SUM(D11:D16)</f>
        <v>-638.47849261246847</v>
      </c>
      <c r="F17" s="81">
        <f>SUM(F11:F16)</f>
        <v>-4389.327624597051</v>
      </c>
      <c r="J17" s="41">
        <f ca="1">SUM(J11:J16)</f>
        <v>3750.8491319845798</v>
      </c>
      <c r="N17" s="41">
        <f t="shared" ref="N17:W17" ca="1" si="2">SUM(N11:N16)</f>
        <v>944.03917262769119</v>
      </c>
      <c r="O17" s="41">
        <f t="shared" ca="1" si="2"/>
        <v>-877.34129751212322</v>
      </c>
      <c r="P17" s="41">
        <f t="shared" ca="1" si="2"/>
        <v>0.23024192626549578</v>
      </c>
      <c r="Q17" s="41">
        <f t="shared" ca="1" si="2"/>
        <v>-465.1616415815588</v>
      </c>
      <c r="R17" s="41">
        <f t="shared" ca="1" si="2"/>
        <v>-146.29991901009441</v>
      </c>
      <c r="S17" s="41">
        <f t="shared" ca="1" si="2"/>
        <v>0</v>
      </c>
      <c r="T17" s="41">
        <f t="shared" ca="1" si="2"/>
        <v>-14.30421289520088</v>
      </c>
      <c r="U17" s="41">
        <f t="shared" ca="1" si="2"/>
        <v>-5.136483983859466</v>
      </c>
      <c r="V17" s="41">
        <f t="shared" ca="1" si="2"/>
        <v>-113.24030920344697</v>
      </c>
      <c r="W17" s="41">
        <f t="shared" ca="1" si="2"/>
        <v>38.73595701985198</v>
      </c>
    </row>
    <row r="18" spans="1:23" x14ac:dyDescent="0.2">
      <c r="D18" s="79"/>
      <c r="N18" s="79"/>
      <c r="O18" s="79"/>
      <c r="P18" s="79"/>
      <c r="Q18" s="79"/>
      <c r="R18" s="79"/>
      <c r="S18" s="79"/>
      <c r="T18" s="79"/>
      <c r="U18" s="79"/>
      <c r="V18" s="79"/>
      <c r="W18" s="79"/>
    </row>
    <row r="19" spans="1:23" x14ac:dyDescent="0.2">
      <c r="B19" s="77" t="s">
        <v>97</v>
      </c>
      <c r="D19" s="79"/>
      <c r="N19" s="79"/>
      <c r="O19" s="79"/>
      <c r="P19" s="79"/>
      <c r="Q19" s="79"/>
      <c r="R19" s="79"/>
      <c r="S19" s="79"/>
      <c r="T19" s="79"/>
      <c r="U19" s="79"/>
      <c r="V19" s="79"/>
      <c r="W19" s="79"/>
    </row>
    <row r="20" spans="1:23" x14ac:dyDescent="0.2">
      <c r="A20" s="2">
        <f>A17+1</f>
        <v>8</v>
      </c>
      <c r="B20" s="31" t="s">
        <v>89</v>
      </c>
      <c r="D20" s="79">
        <f ca="1">'Total Allocation - EGD'!D20-'Total Allocation - Gas EGD'!D20</f>
        <v>56190.640595073164</v>
      </c>
      <c r="J20" s="79">
        <f t="shared" ref="J20:J23" ca="1" si="3">D20-F20</f>
        <v>56190.640595073164</v>
      </c>
      <c r="L20" s="2" t="s">
        <v>156</v>
      </c>
      <c r="N20" s="79">
        <f ca="1">'Total Allocation - EGD'!N20-'Total Allocation - Gas EGD'!N20</f>
        <v>28743.871251617333</v>
      </c>
      <c r="O20" s="79">
        <f ca="1">'Total Allocation - EGD'!O20-'Total Allocation - Gas EGD'!O20</f>
        <v>24945.970893628091</v>
      </c>
      <c r="P20" s="79">
        <f ca="1">'Total Allocation - EGD'!P20-'Total Allocation - Gas EGD'!P20</f>
        <v>66.972722962183099</v>
      </c>
      <c r="Q20" s="79">
        <f ca="1">'Total Allocation - EGD'!Q20-'Total Allocation - Gas EGD'!Q20</f>
        <v>1825.0796199763699</v>
      </c>
      <c r="R20" s="79">
        <f ca="1">'Total Allocation - EGD'!R20-'Total Allocation - Gas EGD'!R20</f>
        <v>67.311006698149313</v>
      </c>
      <c r="S20" s="79">
        <f ca="1">'Total Allocation - EGD'!S20-'Total Allocation - Gas EGD'!S20</f>
        <v>0</v>
      </c>
      <c r="T20" s="79">
        <f ca="1">'Total Allocation - EGD'!T20-'Total Allocation - Gas EGD'!T20</f>
        <v>0</v>
      </c>
      <c r="U20" s="79">
        <f ca="1">'Total Allocation - EGD'!U20-'Total Allocation - Gas EGD'!U20</f>
        <v>0</v>
      </c>
      <c r="V20" s="79">
        <f ca="1">'Total Allocation - EGD'!V20-'Total Allocation - Gas EGD'!V20</f>
        <v>0</v>
      </c>
      <c r="W20" s="79">
        <f ca="1">'Total Allocation - EGD'!W20-'Total Allocation - Gas EGD'!W20</f>
        <v>541.43510019104235</v>
      </c>
    </row>
    <row r="21" spans="1:23" x14ac:dyDescent="0.2">
      <c r="A21" s="2">
        <f>A20+1</f>
        <v>9</v>
      </c>
      <c r="B21" s="31" t="s">
        <v>90</v>
      </c>
      <c r="D21" s="79">
        <f ca="1">'Total Allocation - EGD'!D21-'Total Allocation - Gas EGD'!D21</f>
        <v>38384.448249025358</v>
      </c>
      <c r="F21" s="50">
        <f>'Total Allocation - EGD'!F21-'Total Allocation - Gas EGD'!F21</f>
        <v>17540.334264621124</v>
      </c>
      <c r="H21" s="2" t="s">
        <v>333</v>
      </c>
      <c r="J21" s="79">
        <f t="shared" ca="1" si="3"/>
        <v>20844.113984404234</v>
      </c>
      <c r="L21" s="2" t="s">
        <v>157</v>
      </c>
      <c r="N21" s="79">
        <f ca="1">'Total Allocation - EGD'!N21-'Total Allocation - Gas EGD'!N21</f>
        <v>19927.228657746655</v>
      </c>
      <c r="O21" s="79">
        <f ca="1">'Total Allocation - EGD'!O21-'Total Allocation - Gas EGD'!O21</f>
        <v>16100.751429320604</v>
      </c>
      <c r="P21" s="79">
        <f ca="1">'Total Allocation - EGD'!P21-'Total Allocation - Gas EGD'!P21</f>
        <v>63.643265112326489</v>
      </c>
      <c r="Q21" s="79">
        <f ca="1">'Total Allocation - EGD'!Q21-'Total Allocation - Gas EGD'!Q21</f>
        <v>1358.2591046022983</v>
      </c>
      <c r="R21" s="79">
        <f ca="1">'Total Allocation - EGD'!R21-'Total Allocation - Gas EGD'!R21</f>
        <v>174.93492716269688</v>
      </c>
      <c r="S21" s="79">
        <f ca="1">'Total Allocation - EGD'!S21-'Total Allocation - Gas EGD'!S21</f>
        <v>0</v>
      </c>
      <c r="T21" s="79">
        <f ca="1">'Total Allocation - EGD'!T21-'Total Allocation - Gas EGD'!T21</f>
        <v>0</v>
      </c>
      <c r="U21" s="79">
        <f ca="1">'Total Allocation - EGD'!U21-'Total Allocation - Gas EGD'!U21</f>
        <v>33.20628074622612</v>
      </c>
      <c r="V21" s="79">
        <f ca="1">'Total Allocation - EGD'!V21-'Total Allocation - Gas EGD'!V21</f>
        <v>149.86056181486268</v>
      </c>
      <c r="W21" s="79">
        <f ca="1">'Total Allocation - EGD'!W21-'Total Allocation - Gas EGD'!W21</f>
        <v>576.56402251969121</v>
      </c>
    </row>
    <row r="22" spans="1:23" x14ac:dyDescent="0.2">
      <c r="A22" s="2">
        <f t="shared" ref="A22:A24" si="4">A21+1</f>
        <v>10</v>
      </c>
      <c r="B22" s="31" t="s">
        <v>345</v>
      </c>
      <c r="D22" s="79">
        <f ca="1">'Total Allocation - EGD'!D22-'Total Allocation - Gas EGD'!D22</f>
        <v>3229.3411295980759</v>
      </c>
      <c r="J22" s="79">
        <f t="shared" ca="1" si="3"/>
        <v>3229.3411295980759</v>
      </c>
      <c r="L22" s="2" t="s">
        <v>346</v>
      </c>
      <c r="N22" s="79">
        <f ca="1">'Total Allocation - EGD'!N22-'Total Allocation - Gas EGD'!N22</f>
        <v>1668.1930433829555</v>
      </c>
      <c r="O22" s="79">
        <f ca="1">'Total Allocation - EGD'!O22-'Total Allocation - Gas EGD'!O22</f>
        <v>1448.5288216812651</v>
      </c>
      <c r="P22" s="79">
        <f ca="1">'Total Allocation - EGD'!P22-'Total Allocation - Gas EGD'!P22</f>
        <v>2.3097837155122902</v>
      </c>
      <c r="Q22" s="79">
        <f ca="1">'Total Allocation - EGD'!Q22-'Total Allocation - Gas EGD'!Q22</f>
        <v>59.182293765738081</v>
      </c>
      <c r="R22" s="79">
        <f ca="1">'Total Allocation - EGD'!R22-'Total Allocation - Gas EGD'!R22</f>
        <v>11.583951649146901</v>
      </c>
      <c r="S22" s="79">
        <f ca="1">'Total Allocation - EGD'!S22-'Total Allocation - Gas EGD'!S22</f>
        <v>10.293511512314481</v>
      </c>
      <c r="T22" s="79">
        <f ca="1">'Total Allocation - EGD'!T22-'Total Allocation - Gas EGD'!T22</f>
        <v>0.69601790728765567</v>
      </c>
      <c r="U22" s="79">
        <f ca="1">'Total Allocation - EGD'!U22-'Total Allocation - Gas EGD'!U22</f>
        <v>1.0425558905605121</v>
      </c>
      <c r="V22" s="79">
        <f ca="1">'Total Allocation - EGD'!V22-'Total Allocation - Gas EGD'!V22</f>
        <v>7.8535991751245131</v>
      </c>
      <c r="W22" s="79">
        <f ca="1">'Total Allocation - EGD'!W22-'Total Allocation - Gas EGD'!W22</f>
        <v>19.657550918170617</v>
      </c>
    </row>
    <row r="23" spans="1:23" x14ac:dyDescent="0.2">
      <c r="A23" s="2">
        <f t="shared" si="4"/>
        <v>11</v>
      </c>
      <c r="B23" s="31" t="s">
        <v>91</v>
      </c>
      <c r="D23" s="79">
        <f ca="1">'Total Allocation - EGD'!D23-'Total Allocation - Gas EGD'!D23</f>
        <v>0</v>
      </c>
      <c r="J23" s="79">
        <f t="shared" ca="1" si="3"/>
        <v>0</v>
      </c>
      <c r="L23" s="2" t="s">
        <v>334</v>
      </c>
      <c r="N23" s="79">
        <f ca="1">'Total Allocation - EGD'!N23-'Total Allocation - Gas EGD'!N23</f>
        <v>0</v>
      </c>
      <c r="O23" s="79">
        <f ca="1">'Total Allocation - EGD'!O23-'Total Allocation - Gas EGD'!O23</f>
        <v>0</v>
      </c>
      <c r="P23" s="79">
        <f ca="1">'Total Allocation - EGD'!P23-'Total Allocation - Gas EGD'!P23</f>
        <v>0</v>
      </c>
      <c r="Q23" s="79">
        <f ca="1">'Total Allocation - EGD'!Q23-'Total Allocation - Gas EGD'!Q23</f>
        <v>0</v>
      </c>
      <c r="R23" s="79">
        <f ca="1">'Total Allocation - EGD'!R23-'Total Allocation - Gas EGD'!R23</f>
        <v>0</v>
      </c>
      <c r="S23" s="79">
        <f ca="1">'Total Allocation - EGD'!S23-'Total Allocation - Gas EGD'!S23</f>
        <v>0</v>
      </c>
      <c r="T23" s="79">
        <f ca="1">'Total Allocation - EGD'!T23-'Total Allocation - Gas EGD'!T23</f>
        <v>0</v>
      </c>
      <c r="U23" s="79">
        <f ca="1">'Total Allocation - EGD'!U23-'Total Allocation - Gas EGD'!U23</f>
        <v>0</v>
      </c>
      <c r="V23" s="79">
        <f ca="1">'Total Allocation - EGD'!V23-'Total Allocation - Gas EGD'!V23</f>
        <v>0</v>
      </c>
      <c r="W23" s="79">
        <f ca="1">'Total Allocation - EGD'!W23-'Total Allocation - Gas EGD'!W23</f>
        <v>0</v>
      </c>
    </row>
    <row r="24" spans="1:23" x14ac:dyDescent="0.2">
      <c r="A24" s="2">
        <f t="shared" si="4"/>
        <v>12</v>
      </c>
      <c r="B24" s="31" t="s">
        <v>96</v>
      </c>
      <c r="D24" s="41">
        <f ca="1">SUM(D20:D23)</f>
        <v>97804.429973696606</v>
      </c>
      <c r="F24" s="41">
        <f>SUM(F20:F23)</f>
        <v>17540.334264621124</v>
      </c>
      <c r="H24" s="122"/>
      <c r="J24" s="41">
        <f ca="1">SUM(J20:J23)</f>
        <v>80264.095709075467</v>
      </c>
      <c r="N24" s="41">
        <f t="shared" ref="N24:W24" ca="1" si="5">SUM(N20:N23)</f>
        <v>50339.292952746939</v>
      </c>
      <c r="O24" s="41">
        <f t="shared" ca="1" si="5"/>
        <v>42495.251144629961</v>
      </c>
      <c r="P24" s="41">
        <f t="shared" ca="1" si="5"/>
        <v>132.92577179002186</v>
      </c>
      <c r="Q24" s="41">
        <f t="shared" ca="1" si="5"/>
        <v>3242.521018344406</v>
      </c>
      <c r="R24" s="41">
        <f t="shared" ca="1" si="5"/>
        <v>253.82988550999312</v>
      </c>
      <c r="S24" s="41">
        <f t="shared" ca="1" si="5"/>
        <v>10.293511512314481</v>
      </c>
      <c r="T24" s="41">
        <f t="shared" ca="1" si="5"/>
        <v>0.69601790728765567</v>
      </c>
      <c r="U24" s="41">
        <f t="shared" ca="1" si="5"/>
        <v>34.248836636786635</v>
      </c>
      <c r="V24" s="41">
        <f t="shared" ca="1" si="5"/>
        <v>157.71416098998719</v>
      </c>
      <c r="W24" s="41">
        <f t="shared" ca="1" si="5"/>
        <v>1137.6566736289042</v>
      </c>
    </row>
    <row r="25" spans="1:23" x14ac:dyDescent="0.2">
      <c r="N25" s="79"/>
      <c r="O25" s="79"/>
      <c r="P25" s="79"/>
      <c r="Q25" s="79"/>
      <c r="R25" s="79"/>
      <c r="S25" s="79"/>
      <c r="T25" s="79"/>
      <c r="U25" s="79"/>
      <c r="V25" s="79"/>
      <c r="W25" s="79"/>
    </row>
    <row r="26" spans="1:23" x14ac:dyDescent="0.2">
      <c r="B26" s="77" t="s">
        <v>98</v>
      </c>
      <c r="N26" s="79"/>
      <c r="O26" s="79"/>
      <c r="P26" s="79"/>
      <c r="Q26" s="79"/>
      <c r="R26" s="79"/>
      <c r="S26" s="79"/>
      <c r="T26" s="79"/>
      <c r="U26" s="79"/>
      <c r="V26" s="79"/>
      <c r="W26" s="79"/>
    </row>
    <row r="27" spans="1:23" x14ac:dyDescent="0.2">
      <c r="A27" s="2">
        <f>A24+1</f>
        <v>13</v>
      </c>
      <c r="B27" s="31" t="s">
        <v>92</v>
      </c>
      <c r="D27" s="79">
        <f ca="1">'Total Allocation - EGD'!D27-'Total Allocation - Gas EGD'!D27</f>
        <v>4807.6632450940742</v>
      </c>
      <c r="J27" s="79">
        <f t="shared" ref="J27:J32" ca="1" si="6">D27-F27</f>
        <v>4807.6632450940742</v>
      </c>
      <c r="L27" s="2" t="s">
        <v>533</v>
      </c>
      <c r="N27" s="79">
        <f ca="1">'Total Allocation - EGD'!N27-'Total Allocation - Gas EGD'!N27</f>
        <v>2354.130788817215</v>
      </c>
      <c r="O27" s="79">
        <f ca="1">'Total Allocation - EGD'!O27-'Total Allocation - Gas EGD'!O27</f>
        <v>2097.9088177996673</v>
      </c>
      <c r="P27" s="79">
        <f ca="1">'Total Allocation - EGD'!P27-'Total Allocation - Gas EGD'!P27</f>
        <v>7.4050361929467465</v>
      </c>
      <c r="Q27" s="79">
        <f ca="1">'Total Allocation - EGD'!Q27-'Total Allocation - Gas EGD'!Q27</f>
        <v>240.89666978584151</v>
      </c>
      <c r="R27" s="79">
        <f ca="1">'Total Allocation - EGD'!R27-'Total Allocation - Gas EGD'!R27</f>
        <v>50.626728641203599</v>
      </c>
      <c r="S27" s="79">
        <f ca="1">'Total Allocation - EGD'!S27-'Total Allocation - Gas EGD'!S27</f>
        <v>0</v>
      </c>
      <c r="T27" s="79">
        <f ca="1">'Total Allocation - EGD'!T27-'Total Allocation - Gas EGD'!T27</f>
        <v>0.83940317576805545</v>
      </c>
      <c r="U27" s="79">
        <f ca="1">'Total Allocation - EGD'!U27-'Total Allocation - Gas EGD'!U27</f>
        <v>0</v>
      </c>
      <c r="V27" s="79">
        <f ca="1">'Total Allocation - EGD'!V27-'Total Allocation - Gas EGD'!V27</f>
        <v>0</v>
      </c>
      <c r="W27" s="79">
        <f ca="1">'Total Allocation - EGD'!W27-'Total Allocation - Gas EGD'!W27</f>
        <v>55.855800681431298</v>
      </c>
    </row>
    <row r="28" spans="1:23" x14ac:dyDescent="0.2">
      <c r="A28" s="2">
        <f>A27+1</f>
        <v>14</v>
      </c>
      <c r="B28" s="31" t="s">
        <v>93</v>
      </c>
      <c r="D28" s="79">
        <f ca="1">'Total Allocation - EGD'!D28-'Total Allocation - Gas EGD'!D28</f>
        <v>135.75366221986272</v>
      </c>
      <c r="J28" s="79">
        <f t="shared" ca="1" si="6"/>
        <v>135.75366221986272</v>
      </c>
      <c r="L28" s="2" t="s">
        <v>218</v>
      </c>
      <c r="N28" s="79">
        <f ca="1">'Total Allocation - EGD'!N28-'Total Allocation - Gas EGD'!N28</f>
        <v>66.473432025960832</v>
      </c>
      <c r="O28" s="79">
        <f ca="1">'Total Allocation - EGD'!O28-'Total Allocation - Gas EGD'!O28</f>
        <v>59.238509542087272</v>
      </c>
      <c r="P28" s="79">
        <f ca="1">'Total Allocation - EGD'!P28-'Total Allocation - Gas EGD'!P28</f>
        <v>0.2090955066557455</v>
      </c>
      <c r="Q28" s="79">
        <f ca="1">'Total Allocation - EGD'!Q28-'Total Allocation - Gas EGD'!Q28</f>
        <v>6.8021829884545157</v>
      </c>
      <c r="R28" s="79">
        <f ca="1">'Total Allocation - EGD'!R28-'Total Allocation - Gas EGD'!R28</f>
        <v>1.4295435160247212</v>
      </c>
      <c r="S28" s="79">
        <f ca="1">'Total Allocation - EGD'!S28-'Total Allocation - Gas EGD'!S28</f>
        <v>0</v>
      </c>
      <c r="T28" s="79">
        <f ca="1">'Total Allocation - EGD'!T28-'Total Allocation - Gas EGD'!T28</f>
        <v>2.3702170759521843E-2</v>
      </c>
      <c r="U28" s="79">
        <f ca="1">'Total Allocation - EGD'!U28-'Total Allocation - Gas EGD'!U28</f>
        <v>0</v>
      </c>
      <c r="V28" s="79">
        <f ca="1">'Total Allocation - EGD'!V28-'Total Allocation - Gas EGD'!V28</f>
        <v>0</v>
      </c>
      <c r="W28" s="79">
        <f ca="1">'Total Allocation - EGD'!W28-'Total Allocation - Gas EGD'!W28</f>
        <v>1.5771964699201035</v>
      </c>
    </row>
    <row r="29" spans="1:23" x14ac:dyDescent="0.2">
      <c r="A29" s="2">
        <f t="shared" ref="A29:A34" si="7">A28+1</f>
        <v>15</v>
      </c>
      <c r="B29" s="31" t="s">
        <v>94</v>
      </c>
      <c r="D29" s="79">
        <f ca="1">'Total Allocation - EGD'!D29-'Total Allocation - Gas EGD'!D29</f>
        <v>18507.938128719048</v>
      </c>
      <c r="J29" s="79">
        <f t="shared" ca="1" si="6"/>
        <v>18507.938128719048</v>
      </c>
      <c r="L29" s="2" t="s">
        <v>230</v>
      </c>
      <c r="N29" s="79">
        <f ca="1">'Total Allocation - EGD'!N29-'Total Allocation - Gas EGD'!N29</f>
        <v>9062.637036985112</v>
      </c>
      <c r="O29" s="79">
        <f ca="1">'Total Allocation - EGD'!O29-'Total Allocation - Gas EGD'!O29</f>
        <v>8076.265873894542</v>
      </c>
      <c r="P29" s="79">
        <f ca="1">'Total Allocation - EGD'!P29-'Total Allocation - Gas EGD'!P29</f>
        <v>28.506978278862768</v>
      </c>
      <c r="Q29" s="79">
        <f ca="1">'Total Allocation - EGD'!Q29-'Total Allocation - Gas EGD'!Q29</f>
        <v>927.37374323387667</v>
      </c>
      <c r="R29" s="79">
        <f ca="1">'Total Allocation - EGD'!R29-'Total Allocation - Gas EGD'!R29</f>
        <v>194.89642131382482</v>
      </c>
      <c r="S29" s="79">
        <f ca="1">'Total Allocation - EGD'!S29-'Total Allocation - Gas EGD'!S29</f>
        <v>0</v>
      </c>
      <c r="T29" s="79">
        <f ca="1">'Total Allocation - EGD'!T29-'Total Allocation - Gas EGD'!T29</f>
        <v>3.2314289188242551</v>
      </c>
      <c r="U29" s="79">
        <f ca="1">'Total Allocation - EGD'!U29-'Total Allocation - Gas EGD'!U29</f>
        <v>0</v>
      </c>
      <c r="V29" s="79">
        <f ca="1">'Total Allocation - EGD'!V29-'Total Allocation - Gas EGD'!V29</f>
        <v>0</v>
      </c>
      <c r="W29" s="79">
        <f ca="1">'Total Allocation - EGD'!W29-'Total Allocation - Gas EGD'!W29</f>
        <v>215.02664609400392</v>
      </c>
    </row>
    <row r="30" spans="1:23" x14ac:dyDescent="0.2">
      <c r="A30" s="2">
        <f t="shared" si="7"/>
        <v>16</v>
      </c>
      <c r="B30" s="31" t="s">
        <v>330</v>
      </c>
      <c r="D30" s="79">
        <f ca="1">'Total Allocation - EGD'!D30-'Total Allocation - Gas EGD'!D30</f>
        <v>104883.41266641355</v>
      </c>
      <c r="J30" s="79">
        <f t="shared" ca="1" si="6"/>
        <v>104883.41266641355</v>
      </c>
      <c r="L30" s="2" t="s">
        <v>222</v>
      </c>
      <c r="N30" s="79">
        <f ca="1">'Total Allocation - EGD'!N30-'Total Allocation - Gas EGD'!N30</f>
        <v>51357.438823566008</v>
      </c>
      <c r="O30" s="79">
        <f ca="1">'Total Allocation - EGD'!O30-'Total Allocation - Gas EGD'!O30</f>
        <v>45767.730611815103</v>
      </c>
      <c r="P30" s="79">
        <f ca="1">'Total Allocation - EGD'!P30-'Total Allocation - Gas EGD'!P30</f>
        <v>161.54739365888437</v>
      </c>
      <c r="Q30" s="79">
        <f ca="1">'Total Allocation - EGD'!Q30-'Total Allocation - Gas EGD'!Q30</f>
        <v>5255.3732528782366</v>
      </c>
      <c r="R30" s="79">
        <f ca="1">'Total Allocation - EGD'!R30-'Total Allocation - Gas EGD'!R30</f>
        <v>1104.4667235052973</v>
      </c>
      <c r="S30" s="79">
        <f ca="1">'Total Allocation - EGD'!S30-'Total Allocation - Gas EGD'!S30</f>
        <v>0</v>
      </c>
      <c r="T30" s="79">
        <f ca="1">'Total Allocation - EGD'!T30-'Total Allocation - Gas EGD'!T30</f>
        <v>18.312320391287376</v>
      </c>
      <c r="U30" s="79">
        <f ca="1">'Total Allocation - EGD'!U30-'Total Allocation - Gas EGD'!U30</f>
        <v>0</v>
      </c>
      <c r="V30" s="79">
        <f ca="1">'Total Allocation - EGD'!V30-'Total Allocation - Gas EGD'!V30</f>
        <v>0</v>
      </c>
      <c r="W30" s="79">
        <f ca="1">'Total Allocation - EGD'!W30-'Total Allocation - Gas EGD'!W30</f>
        <v>1218.5435405987698</v>
      </c>
    </row>
    <row r="31" spans="1:23" x14ac:dyDescent="0.2">
      <c r="A31" s="2">
        <f t="shared" si="7"/>
        <v>17</v>
      </c>
      <c r="B31" s="31" t="s">
        <v>331</v>
      </c>
      <c r="D31" s="79">
        <f ca="1">'Total Allocation - EGD'!D31-'Total Allocation - Gas EGD'!D31</f>
        <v>12227.889051322658</v>
      </c>
      <c r="J31" s="79">
        <f t="shared" ca="1" si="6"/>
        <v>12227.889051322658</v>
      </c>
      <c r="L31" s="2" t="s">
        <v>332</v>
      </c>
      <c r="N31" s="79">
        <f ca="1">'Total Allocation - EGD'!N31-'Total Allocation - Gas EGD'!N31</f>
        <v>5987.5346151446847</v>
      </c>
      <c r="O31" s="79">
        <f ca="1">'Total Allocation - EGD'!O31-'Total Allocation - Gas EGD'!O31</f>
        <v>5335.8554782353203</v>
      </c>
      <c r="P31" s="79">
        <f ca="1">'Total Allocation - EGD'!P31-'Total Allocation - Gas EGD'!P31</f>
        <v>18.834089738040657</v>
      </c>
      <c r="Q31" s="79">
        <f ca="1">'Total Allocation - EGD'!Q31-'Total Allocation - Gas EGD'!Q31</f>
        <v>612.70051598980956</v>
      </c>
      <c r="R31" s="79">
        <f ca="1">'Total Allocation - EGD'!R31-'Total Allocation - Gas EGD'!R31</f>
        <v>128.76484672418923</v>
      </c>
      <c r="S31" s="79">
        <f ca="1">'Total Allocation - EGD'!S31-'Total Allocation - Gas EGD'!S31</f>
        <v>0</v>
      </c>
      <c r="T31" s="79">
        <f ca="1">'Total Allocation - EGD'!T31-'Total Allocation - Gas EGD'!T31</f>
        <v>2.1349517175716475</v>
      </c>
      <c r="U31" s="79">
        <f ca="1">'Total Allocation - EGD'!U31-'Total Allocation - Gas EGD'!U31</f>
        <v>0</v>
      </c>
      <c r="V31" s="79">
        <f ca="1">'Total Allocation - EGD'!V31-'Total Allocation - Gas EGD'!V31</f>
        <v>0</v>
      </c>
      <c r="W31" s="79">
        <f ca="1">'Total Allocation - EGD'!W31-'Total Allocation - Gas EGD'!W31</f>
        <v>142.06455377303988</v>
      </c>
    </row>
    <row r="32" spans="1:23" x14ac:dyDescent="0.2">
      <c r="A32" s="2">
        <f t="shared" si="7"/>
        <v>18</v>
      </c>
      <c r="B32" s="31" t="s">
        <v>146</v>
      </c>
      <c r="D32" s="79">
        <f ca="1">'Total Allocation - EGD'!D32-'Total Allocation - Gas EGD'!D32</f>
        <v>0</v>
      </c>
      <c r="J32" s="79">
        <f t="shared" ca="1" si="6"/>
        <v>0</v>
      </c>
      <c r="L32" s="2" t="s">
        <v>229</v>
      </c>
      <c r="N32" s="79">
        <f ca="1">'Total Allocation - EGD'!N32-'Total Allocation - Gas EGD'!N32</f>
        <v>0</v>
      </c>
      <c r="O32" s="79">
        <f ca="1">'Total Allocation - EGD'!O32-'Total Allocation - Gas EGD'!O32</f>
        <v>0</v>
      </c>
      <c r="P32" s="79">
        <f ca="1">'Total Allocation - EGD'!P32-'Total Allocation - Gas EGD'!P32</f>
        <v>0</v>
      </c>
      <c r="Q32" s="79">
        <f ca="1">'Total Allocation - EGD'!Q32-'Total Allocation - Gas EGD'!Q32</f>
        <v>0</v>
      </c>
      <c r="R32" s="79">
        <f ca="1">'Total Allocation - EGD'!R32-'Total Allocation - Gas EGD'!R32</f>
        <v>0</v>
      </c>
      <c r="S32" s="79">
        <f ca="1">'Total Allocation - EGD'!S32-'Total Allocation - Gas EGD'!S32</f>
        <v>0</v>
      </c>
      <c r="T32" s="79">
        <f ca="1">'Total Allocation - EGD'!T32-'Total Allocation - Gas EGD'!T32</f>
        <v>0</v>
      </c>
      <c r="U32" s="79">
        <f ca="1">'Total Allocation - EGD'!U32-'Total Allocation - Gas EGD'!U32</f>
        <v>0</v>
      </c>
      <c r="V32" s="79">
        <f ca="1">'Total Allocation - EGD'!V32-'Total Allocation - Gas EGD'!V32</f>
        <v>0</v>
      </c>
      <c r="W32" s="79">
        <f ca="1">'Total Allocation - EGD'!W32-'Total Allocation - Gas EGD'!W32</f>
        <v>0</v>
      </c>
    </row>
    <row r="33" spans="1:23" x14ac:dyDescent="0.2">
      <c r="A33" s="2">
        <f t="shared" si="7"/>
        <v>19</v>
      </c>
      <c r="B33" s="31" t="s">
        <v>95</v>
      </c>
      <c r="D33" s="79">
        <f ca="1">'Total Allocation - EGD'!D33-'Total Allocation - Gas EGD'!D33</f>
        <v>0</v>
      </c>
      <c r="F33" s="50">
        <f>'Total Allocation - EGD'!F33-'Total Allocation - Gas EGD'!F33</f>
        <v>0</v>
      </c>
      <c r="H33" s="2" t="s">
        <v>251</v>
      </c>
      <c r="J33" s="79"/>
      <c r="L33" s="2" t="s">
        <v>335</v>
      </c>
      <c r="N33" s="79">
        <f ca="1">'Total Allocation - EGD'!N33-'Total Allocation - Gas EGD'!N33</f>
        <v>0</v>
      </c>
      <c r="O33" s="79">
        <f ca="1">'Total Allocation - EGD'!O33-'Total Allocation - Gas EGD'!O33</f>
        <v>0</v>
      </c>
      <c r="P33" s="79">
        <f ca="1">'Total Allocation - EGD'!P33-'Total Allocation - Gas EGD'!P33</f>
        <v>0</v>
      </c>
      <c r="Q33" s="79">
        <f ca="1">'Total Allocation - EGD'!Q33-'Total Allocation - Gas EGD'!Q33</f>
        <v>0</v>
      </c>
      <c r="R33" s="79">
        <f ca="1">'Total Allocation - EGD'!R33-'Total Allocation - Gas EGD'!R33</f>
        <v>0</v>
      </c>
      <c r="S33" s="79">
        <f ca="1">'Total Allocation - EGD'!S33-'Total Allocation - Gas EGD'!S33</f>
        <v>0</v>
      </c>
      <c r="T33" s="79">
        <f ca="1">'Total Allocation - EGD'!T33-'Total Allocation - Gas EGD'!T33</f>
        <v>0</v>
      </c>
      <c r="U33" s="79">
        <f ca="1">'Total Allocation - EGD'!U33-'Total Allocation - Gas EGD'!U33</f>
        <v>0</v>
      </c>
      <c r="V33" s="79">
        <f ca="1">'Total Allocation - EGD'!V33-'Total Allocation - Gas EGD'!V33</f>
        <v>0</v>
      </c>
      <c r="W33" s="79">
        <f ca="1">'Total Allocation - EGD'!W33-'Total Allocation - Gas EGD'!W33</f>
        <v>0</v>
      </c>
    </row>
    <row r="34" spans="1:23" x14ac:dyDescent="0.2">
      <c r="A34" s="2">
        <f t="shared" si="7"/>
        <v>20</v>
      </c>
      <c r="B34" s="31" t="s">
        <v>99</v>
      </c>
      <c r="D34" s="41">
        <f ca="1">SUM(D27:D33)</f>
        <v>140562.6567537692</v>
      </c>
      <c r="F34" s="41">
        <f>SUM(F27:F33)</f>
        <v>0</v>
      </c>
      <c r="J34" s="41">
        <f ca="1">SUM(J27:J33)</f>
        <v>140562.6567537692</v>
      </c>
      <c r="N34" s="41">
        <f t="shared" ref="N34:W34" ca="1" si="8">SUM(N27:N33)</f>
        <v>68828.214696538984</v>
      </c>
      <c r="O34" s="41">
        <f t="shared" ca="1" si="8"/>
        <v>61336.999291286716</v>
      </c>
      <c r="P34" s="41">
        <f t="shared" ca="1" si="8"/>
        <v>216.50259337539029</v>
      </c>
      <c r="Q34" s="41">
        <f t="shared" ca="1" si="8"/>
        <v>7043.1463648762192</v>
      </c>
      <c r="R34" s="41">
        <f t="shared" ca="1" si="8"/>
        <v>1480.1842637005398</v>
      </c>
      <c r="S34" s="41">
        <f t="shared" ca="1" si="8"/>
        <v>0</v>
      </c>
      <c r="T34" s="41">
        <f t="shared" ca="1" si="8"/>
        <v>24.541806374210857</v>
      </c>
      <c r="U34" s="41">
        <f t="shared" ca="1" si="8"/>
        <v>0</v>
      </c>
      <c r="V34" s="41">
        <f t="shared" ca="1" si="8"/>
        <v>0</v>
      </c>
      <c r="W34" s="41">
        <f t="shared" ca="1" si="8"/>
        <v>1633.067737617165</v>
      </c>
    </row>
    <row r="35" spans="1:23" x14ac:dyDescent="0.2">
      <c r="N35" s="79"/>
      <c r="O35" s="79"/>
      <c r="P35" s="79"/>
      <c r="Q35" s="79"/>
      <c r="R35" s="79"/>
      <c r="S35" s="79"/>
      <c r="T35" s="79"/>
      <c r="U35" s="79"/>
      <c r="V35" s="79"/>
      <c r="W35" s="79"/>
    </row>
    <row r="36" spans="1:23" x14ac:dyDescent="0.2">
      <c r="B36" s="77" t="s">
        <v>100</v>
      </c>
      <c r="H36" s="31"/>
      <c r="J36" s="2"/>
      <c r="L36" s="31"/>
      <c r="N36" s="2"/>
      <c r="P36" s="79"/>
      <c r="Q36" s="79"/>
      <c r="R36" s="79"/>
      <c r="S36" s="79"/>
      <c r="T36" s="79"/>
      <c r="U36" s="79"/>
      <c r="V36" s="79"/>
      <c r="W36" s="79"/>
    </row>
    <row r="37" spans="1:23" x14ac:dyDescent="0.2">
      <c r="A37" s="2">
        <f>A34+1</f>
        <v>21</v>
      </c>
      <c r="B37" s="31" t="s">
        <v>287</v>
      </c>
      <c r="D37" s="79">
        <f ca="1">'Total Allocation - EGD'!D37-'Total Allocation - Gas EGD'!D37</f>
        <v>158418.21122091907</v>
      </c>
      <c r="E37" s="79"/>
      <c r="F37" s="79"/>
      <c r="G37" s="79"/>
      <c r="H37" s="79"/>
      <c r="I37" s="79"/>
      <c r="J37" s="79">
        <f t="shared" ref="J37:J39" ca="1" si="9">D37-F37</f>
        <v>158418.21122091907</v>
      </c>
      <c r="K37" s="79"/>
      <c r="L37" s="2" t="s">
        <v>290</v>
      </c>
      <c r="N37" s="79">
        <f ca="1">'Total Allocation - EGD'!N37-'Total Allocation - Gas EGD'!N37</f>
        <v>71433.437731622573</v>
      </c>
      <c r="O37" s="79">
        <f ca="1">'Total Allocation - EGD'!O37-'Total Allocation - Gas EGD'!O37</f>
        <v>63658.671648489406</v>
      </c>
      <c r="P37" s="79">
        <f ca="1">'Total Allocation - EGD'!P37-'Total Allocation - Gas EGD'!P37</f>
        <v>224.69745279319915</v>
      </c>
      <c r="Q37" s="79">
        <f ca="1">'Total Allocation - EGD'!Q37-'Total Allocation - Gas EGD'!Q37</f>
        <v>7309.7371406233551</v>
      </c>
      <c r="R37" s="79">
        <f ca="1">'Total Allocation - EGD'!R37-'Total Allocation - Gas EGD'!R37</f>
        <v>1536.2108533333346</v>
      </c>
      <c r="S37" s="79">
        <f ca="1">'Total Allocation - EGD'!S37-'Total Allocation - Gas EGD'!S37</f>
        <v>12535.104519958575</v>
      </c>
      <c r="T37" s="79">
        <f ca="1">'Total Allocation - EGD'!T37-'Total Allocation - Gas EGD'!T37</f>
        <v>25.470740526731753</v>
      </c>
      <c r="U37" s="79">
        <f ca="1">'Total Allocation - EGD'!U37-'Total Allocation - Gas EGD'!U37</f>
        <v>0</v>
      </c>
      <c r="V37" s="79">
        <f ca="1">'Total Allocation - EGD'!V37-'Total Allocation - Gas EGD'!V37</f>
        <v>0</v>
      </c>
      <c r="W37" s="79">
        <f ca="1">'Total Allocation - EGD'!W37-'Total Allocation - Gas EGD'!W37</f>
        <v>1694.8811335718624</v>
      </c>
    </row>
    <row r="38" spans="1:23" x14ac:dyDescent="0.2">
      <c r="A38" s="2">
        <f>A37+1</f>
        <v>22</v>
      </c>
      <c r="B38" s="31" t="s">
        <v>288</v>
      </c>
      <c r="D38" s="79">
        <f ca="1">'Total Allocation - EGD'!D38-'Total Allocation - Gas EGD'!D38</f>
        <v>31379.22221557553</v>
      </c>
      <c r="E38" s="79"/>
      <c r="F38" s="79"/>
      <c r="G38" s="79"/>
      <c r="H38" s="79"/>
      <c r="I38" s="79"/>
      <c r="J38" s="79">
        <f t="shared" ca="1" si="9"/>
        <v>31379.22221557553</v>
      </c>
      <c r="K38" s="79"/>
      <c r="L38" s="2" t="s">
        <v>291</v>
      </c>
      <c r="N38" s="79">
        <f ca="1">'Total Allocation - EGD'!N38-'Total Allocation - Gas EGD'!N38</f>
        <v>16020.311429447114</v>
      </c>
      <c r="O38" s="79">
        <f ca="1">'Total Allocation - EGD'!O38-'Total Allocation - Gas EGD'!O38</f>
        <v>14276.671785351455</v>
      </c>
      <c r="P38" s="79">
        <f ca="1">'Total Allocation - EGD'!P38-'Total Allocation - Gas EGD'!P38</f>
        <v>46.471476850746626</v>
      </c>
      <c r="Q38" s="79">
        <f ca="1">'Total Allocation - EGD'!Q38-'Total Allocation - Gas EGD'!Q38</f>
        <v>995.77870003419491</v>
      </c>
      <c r="R38" s="79">
        <f ca="1">'Total Allocation - EGD'!R38-'Total Allocation - Gas EGD'!R38</f>
        <v>36.000614621613337</v>
      </c>
      <c r="S38" s="79">
        <f ca="1">'Total Allocation - EGD'!S38-'Total Allocation - Gas EGD'!S38</f>
        <v>0</v>
      </c>
      <c r="T38" s="79">
        <f ca="1">'Total Allocation - EGD'!T38-'Total Allocation - Gas EGD'!T38</f>
        <v>3.9882092704004455</v>
      </c>
      <c r="U38" s="79">
        <f ca="1">'Total Allocation - EGD'!U38-'Total Allocation - Gas EGD'!U38</f>
        <v>0</v>
      </c>
      <c r="V38" s="79">
        <f ca="1">'Total Allocation - EGD'!V38-'Total Allocation - Gas EGD'!V38</f>
        <v>0</v>
      </c>
      <c r="W38" s="79">
        <f ca="1">'Total Allocation - EGD'!W38-'Total Allocation - Gas EGD'!W38</f>
        <v>0</v>
      </c>
    </row>
    <row r="39" spans="1:23" x14ac:dyDescent="0.2">
      <c r="A39" s="2">
        <f t="shared" ref="A39:A52" si="10">A38+1</f>
        <v>23</v>
      </c>
      <c r="B39" s="31" t="s">
        <v>289</v>
      </c>
      <c r="D39" s="79">
        <f ca="1">'Total Allocation - EGD'!D39-'Total Allocation - Gas EGD'!D39</f>
        <v>166607.87655886216</v>
      </c>
      <c r="E39" s="79"/>
      <c r="F39" s="79"/>
      <c r="G39" s="79"/>
      <c r="H39" s="79"/>
      <c r="I39" s="79"/>
      <c r="J39" s="79">
        <f t="shared" ca="1" si="9"/>
        <v>166607.87655886216</v>
      </c>
      <c r="K39" s="79"/>
      <c r="L39" s="2" t="s">
        <v>292</v>
      </c>
      <c r="N39" s="79">
        <f ca="1">'Total Allocation - EGD'!N39-'Total Allocation - Gas EGD'!N39</f>
        <v>85478.931702014015</v>
      </c>
      <c r="O39" s="79">
        <f ca="1">'Total Allocation - EGD'!O39-'Total Allocation - Gas EGD'!O39</f>
        <v>76175.463744667271</v>
      </c>
      <c r="P39" s="79">
        <f ca="1">'Total Allocation - EGD'!P39-'Total Allocation - Gas EGD'!P39</f>
        <v>179.32027911473452</v>
      </c>
      <c r="Q39" s="79">
        <f ca="1">'Total Allocation - EGD'!Q39-'Total Allocation - Gas EGD'!Q39</f>
        <v>4395.4555485353321</v>
      </c>
      <c r="R39" s="79">
        <f ca="1">'Total Allocation - EGD'!R39-'Total Allocation - Gas EGD'!R39</f>
        <v>173.11447344747049</v>
      </c>
      <c r="S39" s="79">
        <f ca="1">'Total Allocation - EGD'!S39-'Total Allocation - Gas EGD'!S39</f>
        <v>0</v>
      </c>
      <c r="T39" s="79">
        <f ca="1">'Total Allocation - EGD'!T39-'Total Allocation - Gas EGD'!T39</f>
        <v>13.081332187637244</v>
      </c>
      <c r="U39" s="79">
        <f ca="1">'Total Allocation - EGD'!U39-'Total Allocation - Gas EGD'!U39</f>
        <v>32.248569176270756</v>
      </c>
      <c r="V39" s="79">
        <f ca="1">'Total Allocation - EGD'!V39-'Total Allocation - Gas EGD'!V39</f>
        <v>160.26090971941349</v>
      </c>
      <c r="W39" s="79">
        <f ca="1">'Total Allocation - EGD'!W39-'Total Allocation - Gas EGD'!W39</f>
        <v>0</v>
      </c>
    </row>
    <row r="40" spans="1:23" x14ac:dyDescent="0.2">
      <c r="B40" s="31" t="s">
        <v>163</v>
      </c>
      <c r="D40" s="79">
        <f>'Total Allocation - EGD'!D40-'Total Allocation - Gas EGD'!D40</f>
        <v>0</v>
      </c>
      <c r="E40" s="79"/>
      <c r="F40" s="79"/>
      <c r="G40" s="79"/>
      <c r="H40" s="79"/>
      <c r="I40" s="79"/>
      <c r="J40" s="123"/>
      <c r="K40" s="79"/>
      <c r="N40" s="2"/>
    </row>
    <row r="41" spans="1:23" x14ac:dyDescent="0.2">
      <c r="A41" s="2">
        <f>A39+1</f>
        <v>24</v>
      </c>
      <c r="B41" s="82" t="s">
        <v>165</v>
      </c>
      <c r="D41" s="79">
        <f ca="1">'Total Allocation - EGD'!D41-'Total Allocation - Gas EGD'!D41</f>
        <v>87804.698633689157</v>
      </c>
      <c r="E41" s="79"/>
      <c r="F41" s="79"/>
      <c r="G41" s="79"/>
      <c r="H41" s="79"/>
      <c r="I41" s="79"/>
      <c r="J41" s="79">
        <f t="shared" ref="J41:J46" ca="1" si="11">D41-F41</f>
        <v>87804.698633689157</v>
      </c>
      <c r="K41" s="79"/>
      <c r="L41" s="2" t="s">
        <v>161</v>
      </c>
      <c r="N41" s="79">
        <f ca="1">'Total Allocation - EGD'!N41-'Total Allocation - Gas EGD'!N41</f>
        <v>59444.826151060151</v>
      </c>
      <c r="O41" s="79">
        <f ca="1">'Total Allocation - EGD'!O41-'Total Allocation - Gas EGD'!O41</f>
        <v>24282.806623930665</v>
      </c>
      <c r="P41" s="79">
        <f ca="1">'Total Allocation - EGD'!P41-'Total Allocation - Gas EGD'!P41</f>
        <v>193.43436483069971</v>
      </c>
      <c r="Q41" s="79">
        <f ca="1">'Total Allocation - EGD'!Q41-'Total Allocation - Gas EGD'!Q41</f>
        <v>1743.198105267553</v>
      </c>
      <c r="R41" s="79">
        <f ca="1">'Total Allocation - EGD'!R41-'Total Allocation - Gas EGD'!R41</f>
        <v>748.45881260444639</v>
      </c>
      <c r="S41" s="79">
        <f ca="1">'Total Allocation - EGD'!S41-'Total Allocation - Gas EGD'!S41</f>
        <v>145.72960539149045</v>
      </c>
      <c r="T41" s="79">
        <f ca="1">'Total Allocation - EGD'!T41-'Total Allocation - Gas EGD'!T41</f>
        <v>692.12430664186002</v>
      </c>
      <c r="U41" s="79">
        <f ca="1">'Total Allocation - EGD'!U41-'Total Allocation - Gas EGD'!U41</f>
        <v>244.46761706919182</v>
      </c>
      <c r="V41" s="79">
        <f ca="1">'Total Allocation - EGD'!V41-'Total Allocation - Gas EGD'!V41</f>
        <v>274.39543258236745</v>
      </c>
      <c r="W41" s="79">
        <f ca="1">'Total Allocation - EGD'!W41-'Total Allocation - Gas EGD'!W41</f>
        <v>35.257614310746177</v>
      </c>
    </row>
    <row r="42" spans="1:23" x14ac:dyDescent="0.2">
      <c r="A42" s="2">
        <f t="shared" si="10"/>
        <v>25</v>
      </c>
      <c r="B42" s="82" t="s">
        <v>166</v>
      </c>
      <c r="D42" s="79">
        <f ca="1">'Total Allocation - EGD'!D42-'Total Allocation - Gas EGD'!D42</f>
        <v>37661.088789397269</v>
      </c>
      <c r="E42" s="79"/>
      <c r="F42" s="79"/>
      <c r="G42" s="79"/>
      <c r="H42" s="79"/>
      <c r="I42" s="79"/>
      <c r="J42" s="79">
        <f t="shared" ca="1" si="11"/>
        <v>37661.088789397269</v>
      </c>
      <c r="K42" s="79"/>
      <c r="L42" s="2" t="s">
        <v>162</v>
      </c>
      <c r="N42" s="79">
        <f ca="1">'Total Allocation - EGD'!N42-'Total Allocation - Gas EGD'!N42</f>
        <v>20109.114802040272</v>
      </c>
      <c r="O42" s="79">
        <f ca="1">'Total Allocation - EGD'!O42-'Total Allocation - Gas EGD'!O42</f>
        <v>14477.393674979254</v>
      </c>
      <c r="P42" s="79">
        <f ca="1">'Total Allocation - EGD'!P42-'Total Allocation - Gas EGD'!P42</f>
        <v>159.68065767909803</v>
      </c>
      <c r="Q42" s="79">
        <f ca="1">'Total Allocation - EGD'!Q42-'Total Allocation - Gas EGD'!Q42</f>
        <v>1319.2880325510109</v>
      </c>
      <c r="R42" s="79">
        <f ca="1">'Total Allocation - EGD'!R42-'Total Allocation - Gas EGD'!R42</f>
        <v>602.44387607300416</v>
      </c>
      <c r="S42" s="79">
        <f ca="1">'Total Allocation - EGD'!S42-'Total Allocation - Gas EGD'!S42</f>
        <v>58.491586161354995</v>
      </c>
      <c r="T42" s="79">
        <f ca="1">'Total Allocation - EGD'!T42-'Total Allocation - Gas EGD'!T42</f>
        <v>581.32514268022942</v>
      </c>
      <c r="U42" s="79">
        <f ca="1">'Total Allocation - EGD'!U42-'Total Allocation - Gas EGD'!U42</f>
        <v>151.42455459393872</v>
      </c>
      <c r="V42" s="79">
        <f ca="1">'Total Allocation - EGD'!V42-'Total Allocation - Gas EGD'!V42</f>
        <v>187.77509113322193</v>
      </c>
      <c r="W42" s="79">
        <f ca="1">'Total Allocation - EGD'!W42-'Total Allocation - Gas EGD'!W42</f>
        <v>14.15137150588383</v>
      </c>
    </row>
    <row r="43" spans="1:23" x14ac:dyDescent="0.2">
      <c r="A43" s="2">
        <f t="shared" si="10"/>
        <v>26</v>
      </c>
      <c r="B43" s="31" t="s">
        <v>101</v>
      </c>
      <c r="D43" s="79">
        <f ca="1">'Total Allocation - EGD'!D43-'Total Allocation - Gas EGD'!D43</f>
        <v>232504.63458513084</v>
      </c>
      <c r="E43" s="79"/>
      <c r="F43" s="79"/>
      <c r="G43" s="79"/>
      <c r="H43" s="79"/>
      <c r="I43" s="79"/>
      <c r="J43" s="79">
        <f t="shared" ca="1" si="11"/>
        <v>232504.63458513084</v>
      </c>
      <c r="K43" s="79"/>
      <c r="L43" s="2" t="s">
        <v>220</v>
      </c>
      <c r="N43" s="79">
        <f ca="1">'Total Allocation - EGD'!N43-'Total Allocation - Gas EGD'!N43</f>
        <v>215241.4037500892</v>
      </c>
      <c r="O43" s="79">
        <f ca="1">'Total Allocation - EGD'!O43-'Total Allocation - Gas EGD'!O43</f>
        <v>17212.084477148142</v>
      </c>
      <c r="P43" s="79">
        <f ca="1">'Total Allocation - EGD'!P43-'Total Allocation - Gas EGD'!P43</f>
        <v>1.3930914601344646</v>
      </c>
      <c r="Q43" s="79">
        <f ca="1">'Total Allocation - EGD'!Q43-'Total Allocation - Gas EGD'!Q43</f>
        <v>41.394717672566948</v>
      </c>
      <c r="R43" s="79">
        <f ca="1">'Total Allocation - EGD'!R43-'Total Allocation - Gas EGD'!R43</f>
        <v>2.1891437230684443</v>
      </c>
      <c r="S43" s="79">
        <f ca="1">'Total Allocation - EGD'!S43-'Total Allocation - Gas EGD'!S43</f>
        <v>0.39802613146698995</v>
      </c>
      <c r="T43" s="79">
        <f ca="1">'Total Allocation - EGD'!T43-'Total Allocation - Gas EGD'!T43</f>
        <v>4.0797678475366475</v>
      </c>
      <c r="U43" s="79">
        <f ca="1">'Total Allocation - EGD'!U43-'Total Allocation - Gas EGD'!U43</f>
        <v>0.49753266433373738</v>
      </c>
      <c r="V43" s="79">
        <f ca="1">'Total Allocation - EGD'!V43-'Total Allocation - Gas EGD'!V43</f>
        <v>1.0945718615342221</v>
      </c>
      <c r="W43" s="79">
        <f ca="1">'Total Allocation - EGD'!W43-'Total Allocation - Gas EGD'!W43</f>
        <v>9.9506532866747488E-2</v>
      </c>
    </row>
    <row r="44" spans="1:23" x14ac:dyDescent="0.2">
      <c r="A44" s="2">
        <f t="shared" si="10"/>
        <v>27</v>
      </c>
      <c r="B44" s="31" t="s">
        <v>102</v>
      </c>
      <c r="D44" s="79">
        <f ca="1">'Total Allocation - EGD'!D44-'Total Allocation - Gas EGD'!D44</f>
        <v>374447.96083025628</v>
      </c>
      <c r="E44" s="79"/>
      <c r="F44" s="79"/>
      <c r="G44" s="79"/>
      <c r="H44" s="79"/>
      <c r="I44" s="79"/>
      <c r="J44" s="79">
        <f t="shared" ca="1" si="11"/>
        <v>374447.96083025628</v>
      </c>
      <c r="K44" s="79"/>
      <c r="L44" s="2" t="s">
        <v>220</v>
      </c>
      <c r="N44" s="79">
        <f ca="1">'Total Allocation - EGD'!N44-'Total Allocation - Gas EGD'!N44</f>
        <v>346645.58349245531</v>
      </c>
      <c r="O44" s="79">
        <f ca="1">'Total Allocation - EGD'!O44-'Total Allocation - Gas EGD'!O44</f>
        <v>27720.00629409562</v>
      </c>
      <c r="P44" s="79">
        <f ca="1">'Total Allocation - EGD'!P44-'Total Allocation - Gas EGD'!P44</f>
        <v>2.2435692838045238</v>
      </c>
      <c r="Q44" s="79">
        <f ca="1">'Total Allocation - EGD'!Q44-'Total Allocation - Gas EGD'!Q44</f>
        <v>66.666058718762997</v>
      </c>
      <c r="R44" s="79">
        <f ca="1">'Total Allocation - EGD'!R44-'Total Allocation - Gas EGD'!R44</f>
        <v>3.5256088745499663</v>
      </c>
      <c r="S44" s="79">
        <f ca="1">'Total Allocation - EGD'!S44-'Total Allocation - Gas EGD'!S44</f>
        <v>0.64101979537272125</v>
      </c>
      <c r="T44" s="79">
        <f ca="1">'Total Allocation - EGD'!T44-'Total Allocation - Gas EGD'!T44</f>
        <v>6.5704529025703931</v>
      </c>
      <c r="U44" s="79">
        <f ca="1">'Total Allocation - EGD'!U44-'Total Allocation - Gas EGD'!U44</f>
        <v>0.80127474421590139</v>
      </c>
      <c r="V44" s="79">
        <f ca="1">'Total Allocation - EGD'!V44-'Total Allocation - Gas EGD'!V44</f>
        <v>1.7628044372749831</v>
      </c>
      <c r="W44" s="79">
        <f ca="1">'Total Allocation - EGD'!W44-'Total Allocation - Gas EGD'!W44</f>
        <v>0.16025494884318031</v>
      </c>
    </row>
    <row r="45" spans="1:23" x14ac:dyDescent="0.2">
      <c r="A45" s="2">
        <f t="shared" si="10"/>
        <v>28</v>
      </c>
      <c r="B45" s="31" t="s">
        <v>103</v>
      </c>
      <c r="D45" s="79">
        <f ca="1">'Total Allocation - EGD'!D45-'Total Allocation - Gas EGD'!D45</f>
        <v>153466.09332043628</v>
      </c>
      <c r="E45" s="79"/>
      <c r="F45" s="79"/>
      <c r="G45" s="79"/>
      <c r="H45" s="79"/>
      <c r="I45" s="79"/>
      <c r="J45" s="79">
        <f t="shared" ca="1" si="11"/>
        <v>153466.09332043628</v>
      </c>
      <c r="K45" s="79"/>
      <c r="L45" s="2" t="s">
        <v>190</v>
      </c>
      <c r="N45" s="79">
        <f ca="1">'Total Allocation - EGD'!N45-'Total Allocation - Gas EGD'!N45</f>
        <v>111888.79947327031</v>
      </c>
      <c r="O45" s="79">
        <f ca="1">'Total Allocation - EGD'!O45-'Total Allocation - Gas EGD'!O45</f>
        <v>40067.193559097199</v>
      </c>
      <c r="P45" s="79">
        <f ca="1">'Total Allocation - EGD'!P45-'Total Allocation - Gas EGD'!P45</f>
        <v>72.130339207831355</v>
      </c>
      <c r="Q45" s="79">
        <f ca="1">'Total Allocation - EGD'!Q45-'Total Allocation - Gas EGD'!Q45</f>
        <v>879.34546287423814</v>
      </c>
      <c r="R45" s="79">
        <f ca="1">'Total Allocation - EGD'!R45-'Total Allocation - Gas EGD'!R45</f>
        <v>149.10907835682039</v>
      </c>
      <c r="S45" s="79">
        <f ca="1">'Total Allocation - EGD'!S45-'Total Allocation - Gas EGD'!S45</f>
        <v>38.498849885900682</v>
      </c>
      <c r="T45" s="79">
        <f ca="1">'Total Allocation - EGD'!T45-'Total Allocation - Gas EGD'!T45</f>
        <v>250.20083510607731</v>
      </c>
      <c r="U45" s="79">
        <f ca="1">'Total Allocation - EGD'!U45-'Total Allocation - Gas EGD'!U45</f>
        <v>22.154042049762371</v>
      </c>
      <c r="V45" s="79">
        <f ca="1">'Total Allocation - EGD'!V45-'Total Allocation - Gas EGD'!V45</f>
        <v>98.661680588121598</v>
      </c>
      <c r="W45" s="79">
        <f ca="1">'Total Allocation - EGD'!W45-'Total Allocation - Gas EGD'!W45</f>
        <v>0</v>
      </c>
    </row>
    <row r="46" spans="1:23" x14ac:dyDescent="0.2">
      <c r="A46" s="2">
        <f t="shared" si="10"/>
        <v>29</v>
      </c>
      <c r="B46" s="31" t="s">
        <v>186</v>
      </c>
      <c r="D46" s="79">
        <f ca="1">'Total Allocation - EGD'!D46-'Total Allocation - Gas EGD'!D46</f>
        <v>27084.213746108406</v>
      </c>
      <c r="E46" s="79"/>
      <c r="F46" s="79"/>
      <c r="G46" s="79"/>
      <c r="H46" s="79"/>
      <c r="I46" s="79"/>
      <c r="J46" s="79">
        <f t="shared" ca="1" si="11"/>
        <v>27084.213746108406</v>
      </c>
      <c r="K46" s="79"/>
      <c r="L46" s="2" t="s">
        <v>191</v>
      </c>
      <c r="N46" s="79">
        <f ca="1">IF($J46&lt;&gt;0,VLOOKUP($L46,'Allocation Factors - EGD'!$B$12:$S$104,5,FALSE)*$J46,0)+IF($F46&lt;&gt;0,VLOOKUP($H46,'Allocation Factors - EGD'!$B$12:$S$104,5,FALSE)*$F46,0)</f>
        <v>0</v>
      </c>
      <c r="O46" s="79">
        <f ca="1">IF($J46&lt;&gt;0,VLOOKUP($L46,'Allocation Factors - EGD'!$B$12:$S$104,6,FALSE)*$J46,0)+IF($F46&lt;&gt;0,VLOOKUP($H46,'Allocation Factors - EGD'!$B$12:$S$104,6,FALSE)*$F46,0)</f>
        <v>22759.099355388214</v>
      </c>
      <c r="P46" s="79">
        <f ca="1">IF($J46&lt;&gt;0,VLOOKUP($L46,'Allocation Factors - EGD'!$B$12:$S$104,7,FALSE)*$J46,0)+IF($F46&lt;&gt;0,VLOOKUP($H46,'Allocation Factors - EGD'!$B$12:$S$104,7,FALSE)*$F46,0)</f>
        <v>60.790229518654698</v>
      </c>
      <c r="Q46" s="79">
        <f ca="1">IF($J46&lt;&gt;0,VLOOKUP($L46,'Allocation Factors - EGD'!$B$12:$S$104,8,FALSE)*$J46,0)+IF($F46&lt;&gt;0,VLOOKUP($H46,'Allocation Factors - EGD'!$B$12:$S$104,8,FALSE)*$F46,0)</f>
        <v>2454.0328407840725</v>
      </c>
      <c r="R46" s="79">
        <f ca="1">IF($J46&lt;&gt;0,VLOOKUP($L46,'Allocation Factors - EGD'!$B$12:$S$104,9,FALSE)*$J46,0)+IF($F46&lt;&gt;0,VLOOKUP($H46,'Allocation Factors - EGD'!$B$12:$S$104,9,FALSE)*$F46,0)</f>
        <v>309.02145922912189</v>
      </c>
      <c r="S46" s="79">
        <f ca="1">IF($J46&lt;&gt;0,VLOOKUP($L46,'Allocation Factors - EGD'!$B$12:$S$104,10,FALSE)*$J46,0)+IF($F46&lt;&gt;0,VLOOKUP($H46,'Allocation Factors - EGD'!$B$12:$S$104,10,FALSE)*$F46,0)</f>
        <v>813.49386645212007</v>
      </c>
      <c r="T46" s="79">
        <f ca="1">IF($J46&lt;&gt;0,VLOOKUP($L46,'Allocation Factors - EGD'!$B$12:$S$104,11,FALSE)*$J46,0)+IF($F46&lt;&gt;0,VLOOKUP($H46,'Allocation Factors - EGD'!$B$12:$S$104,11,FALSE)*$F46,0)</f>
        <v>355.73198721302833</v>
      </c>
      <c r="U46" s="79">
        <f ca="1">IF($J46&lt;&gt;0,VLOOKUP($L46,'Allocation Factors - EGD'!$B$12:$S$104,12,FALSE)*$J46,0)+IF($F46&lt;&gt;0,VLOOKUP($H46,'Allocation Factors - EGD'!$B$12:$S$104,12,FALSE)*$F46,0)</f>
        <v>238.35677899707551</v>
      </c>
      <c r="V46" s="79">
        <f ca="1">IF($J46&lt;&gt;0,VLOOKUP($L46,'Allocation Factors - EGD'!$B$13:$S$104,13,FALSE)*$J46,0)+IF($F46&lt;&gt;0,VLOOKUP($H46,'Allocation Factors - EGD'!$B$13:$S$104,13,FALSE)*$F46,0)</f>
        <v>93.687228526118105</v>
      </c>
      <c r="W46" s="79">
        <f ca="1">IF($J46&lt;&gt;0,VLOOKUP($L46,'Allocation Factors - EGD'!$B$12:$S$104,14,FALSE)*$J46,0)+IF($F46&lt;&gt;0,VLOOKUP($H46,'Allocation Factors - EGD'!$B$12:$S$104,14,FALSE)*$F46,0)</f>
        <v>0</v>
      </c>
    </row>
    <row r="47" spans="1:23" x14ac:dyDescent="0.2">
      <c r="B47" s="31" t="s">
        <v>164</v>
      </c>
      <c r="D47" s="79">
        <f>'Total Allocation - EGD'!D47-'Total Allocation - Gas EGD'!D47</f>
        <v>0</v>
      </c>
      <c r="E47" s="79"/>
      <c r="F47" s="79"/>
      <c r="G47" s="79"/>
      <c r="H47" s="79"/>
      <c r="I47" s="79"/>
      <c r="J47" s="123"/>
      <c r="K47" s="79"/>
      <c r="N47" s="2"/>
      <c r="P47" s="79"/>
      <c r="Q47" s="79"/>
      <c r="R47" s="79"/>
      <c r="S47" s="79"/>
      <c r="T47" s="79"/>
      <c r="U47" s="79"/>
      <c r="V47" s="79"/>
      <c r="W47" s="79"/>
    </row>
    <row r="48" spans="1:23" x14ac:dyDescent="0.2">
      <c r="A48" s="2">
        <f>A46+1</f>
        <v>30</v>
      </c>
      <c r="B48" s="82" t="s">
        <v>176</v>
      </c>
      <c r="D48" s="79">
        <f ca="1">'Total Allocation - EGD'!D48-'Total Allocation - Gas EGD'!D48</f>
        <v>7480.9912365986784</v>
      </c>
      <c r="F48" s="79"/>
      <c r="H48" s="31"/>
      <c r="J48" s="79">
        <f t="shared" ref="J48:J51" ca="1" si="12">D48-F48</f>
        <v>7480.9912365986784</v>
      </c>
      <c r="L48" s="2" t="s">
        <v>223</v>
      </c>
      <c r="N48" s="79">
        <f ca="1">'Total Allocation - EGD'!N48-'Total Allocation - Gas EGD'!N48</f>
        <v>6314.5577868676728</v>
      </c>
      <c r="O48" s="79">
        <f ca="1">'Total Allocation - EGD'!O48-'Total Allocation - Gas EGD'!O48</f>
        <v>504.95257961425062</v>
      </c>
      <c r="P48" s="79">
        <f ca="1">'Total Allocation - EGD'!P48-'Total Allocation - Gas EGD'!P48</f>
        <v>18.016988680222898</v>
      </c>
      <c r="Q48" s="79">
        <f ca="1">'Total Allocation - EGD'!Q48-'Total Allocation - Gas EGD'!Q48</f>
        <v>535.36194935519472</v>
      </c>
      <c r="R48" s="79">
        <f ca="1">'Total Allocation - EGD'!R48-'Total Allocation - Gas EGD'!R48</f>
        <v>28.312410783207415</v>
      </c>
      <c r="S48" s="79">
        <f ca="1">'Total Allocation - EGD'!S48-'Total Allocation - Gas EGD'!S48</f>
        <v>5.1477110514922577</v>
      </c>
      <c r="T48" s="79">
        <f ca="1">'Total Allocation - EGD'!T48-'Total Allocation - Gas EGD'!T48</f>
        <v>52.764038277795635</v>
      </c>
      <c r="U48" s="79">
        <f ca="1">'Total Allocation - EGD'!U48-'Total Allocation - Gas EGD'!U48</f>
        <v>6.4346388143653215</v>
      </c>
      <c r="V48" s="79">
        <f ca="1">'Total Allocation - EGD'!V48-'Total Allocation - Gas EGD'!V48</f>
        <v>14.156205391603708</v>
      </c>
      <c r="W48" s="79">
        <f ca="1">'Total Allocation - EGD'!W48-'Total Allocation - Gas EGD'!W48</f>
        <v>1.2869277628730644</v>
      </c>
    </row>
    <row r="49" spans="1:23" x14ac:dyDescent="0.2">
      <c r="A49" s="2">
        <f t="shared" si="10"/>
        <v>31</v>
      </c>
      <c r="B49" s="82" t="s">
        <v>72</v>
      </c>
      <c r="D49" s="79">
        <f ca="1">'Total Allocation - EGD'!D49-'Total Allocation - Gas EGD'!D49</f>
        <v>77321.998278656611</v>
      </c>
      <c r="F49" s="50">
        <f>'Total Allocation - EGD'!F49-'Total Allocation - Gas EGD'!F49</f>
        <v>6681.6256767138766</v>
      </c>
      <c r="H49" s="2" t="s">
        <v>341</v>
      </c>
      <c r="J49" s="79">
        <f t="shared" ca="1" si="12"/>
        <v>70640.372601942741</v>
      </c>
      <c r="L49" s="2" t="s">
        <v>220</v>
      </c>
      <c r="N49" s="79">
        <f ca="1">'Total Allocation - EGD'!N49-'Total Allocation - Gas EGD'!N49</f>
        <v>70333.768153765282</v>
      </c>
      <c r="O49" s="79">
        <f ca="1">'Total Allocation - EGD'!O49-'Total Allocation - Gas EGD'!O49</f>
        <v>5624.8757368470933</v>
      </c>
      <c r="P49" s="79">
        <f ca="1">'Total Allocation - EGD'!P49-'Total Allocation - Gas EGD'!P49</f>
        <v>37.13416621132194</v>
      </c>
      <c r="Q49" s="79">
        <f ca="1">'Total Allocation - EGD'!Q49-'Total Allocation - Gas EGD'!Q49</f>
        <v>1103.4152245649948</v>
      </c>
      <c r="R49" s="79">
        <f ca="1">'Total Allocation - EGD'!R49-'Total Allocation - Gas EGD'!R49</f>
        <v>58.353689760648777</v>
      </c>
      <c r="S49" s="79">
        <f ca="1">'Total Allocation - EGD'!S49-'Total Allocation - Gas EGD'!S49</f>
        <v>10.609761774663413</v>
      </c>
      <c r="T49" s="79">
        <f ca="1">'Total Allocation - EGD'!T49-'Total Allocation - Gas EGD'!T49</f>
        <v>108.75005819029997</v>
      </c>
      <c r="U49" s="79">
        <f ca="1">'Total Allocation - EGD'!U49-'Total Allocation - Gas EGD'!U49</f>
        <v>13.262202218329268</v>
      </c>
      <c r="V49" s="79">
        <f ca="1">'Total Allocation - EGD'!V49-'Total Allocation - Gas EGD'!V49</f>
        <v>29.176844880324388</v>
      </c>
      <c r="W49" s="79">
        <f ca="1">'Total Allocation - EGD'!W49-'Total Allocation - Gas EGD'!W49</f>
        <v>2.6524404436658533</v>
      </c>
    </row>
    <row r="50" spans="1:23" x14ac:dyDescent="0.2">
      <c r="A50" s="2">
        <f t="shared" si="10"/>
        <v>32</v>
      </c>
      <c r="B50" s="82" t="s">
        <v>174</v>
      </c>
      <c r="D50" s="79">
        <f ca="1">'Total Allocation - EGD'!D50-'Total Allocation - Gas EGD'!D50</f>
        <v>9757.4205700963776</v>
      </c>
      <c r="F50" s="79"/>
      <c r="H50" s="31"/>
      <c r="J50" s="79">
        <f t="shared" ca="1" si="12"/>
        <v>9757.4205700963776</v>
      </c>
      <c r="L50" s="2" t="s">
        <v>272</v>
      </c>
      <c r="N50" s="79">
        <f ca="1">'Total Allocation - EGD'!N50-'Total Allocation - Gas EGD'!N50</f>
        <v>0</v>
      </c>
      <c r="O50" s="79">
        <f ca="1">'Total Allocation - EGD'!O50-'Total Allocation - Gas EGD'!O50</f>
        <v>0</v>
      </c>
      <c r="P50" s="79">
        <f ca="1">'Total Allocation - EGD'!P50-'Total Allocation - Gas EGD'!P50</f>
        <v>265.76631902986242</v>
      </c>
      <c r="Q50" s="79">
        <f ca="1">'Total Allocation - EGD'!Q50-'Total Allocation - Gas EGD'!Q50</f>
        <v>7897.0563368873409</v>
      </c>
      <c r="R50" s="79">
        <f ca="1">'Total Allocation - EGD'!R50-'Total Allocation - Gas EGD'!R50</f>
        <v>417.63278704692669</v>
      </c>
      <c r="S50" s="79">
        <f ca="1">'Total Allocation - EGD'!S50-'Total Allocation - Gas EGD'!S50</f>
        <v>75.933234008532125</v>
      </c>
      <c r="T50" s="79">
        <f ca="1">'Total Allocation - EGD'!T50-'Total Allocation - Gas EGD'!T50</f>
        <v>778.31564858745423</v>
      </c>
      <c r="U50" s="79">
        <f ca="1">'Total Allocation - EGD'!U50-'Total Allocation - Gas EGD'!U50</f>
        <v>94.916542510665153</v>
      </c>
      <c r="V50" s="79">
        <f ca="1">'Total Allocation - EGD'!V50-'Total Allocation - Gas EGD'!V50</f>
        <v>208.81639352346335</v>
      </c>
      <c r="W50" s="79">
        <f ca="1">'Total Allocation - EGD'!W50-'Total Allocation - Gas EGD'!W50</f>
        <v>18.983308502133031</v>
      </c>
    </row>
    <row r="51" spans="1:23" x14ac:dyDescent="0.2">
      <c r="A51" s="2">
        <f t="shared" si="10"/>
        <v>33</v>
      </c>
      <c r="B51" s="31" t="s">
        <v>249</v>
      </c>
      <c r="D51" s="79">
        <f ca="1">'Total Allocation - EGD'!D51-'Total Allocation - Gas EGD'!D51</f>
        <v>0</v>
      </c>
      <c r="F51" s="79"/>
      <c r="H51" s="79"/>
      <c r="J51" s="79">
        <f t="shared" ca="1" si="12"/>
        <v>0</v>
      </c>
      <c r="L51" s="2" t="s">
        <v>336</v>
      </c>
      <c r="N51" s="79">
        <f ca="1">'Total Allocation - EGD'!N51-'Total Allocation - Gas EGD'!N51</f>
        <v>0</v>
      </c>
      <c r="O51" s="79">
        <f ca="1">'Total Allocation - EGD'!O51-'Total Allocation - Gas EGD'!O51</f>
        <v>0</v>
      </c>
      <c r="P51" s="79">
        <f ca="1">'Total Allocation - EGD'!P51-'Total Allocation - Gas EGD'!P51</f>
        <v>0</v>
      </c>
      <c r="Q51" s="79">
        <f ca="1">'Total Allocation - EGD'!Q51-'Total Allocation - Gas EGD'!Q51</f>
        <v>0</v>
      </c>
      <c r="R51" s="79">
        <f ca="1">'Total Allocation - EGD'!R51-'Total Allocation - Gas EGD'!R51</f>
        <v>0</v>
      </c>
      <c r="S51" s="79">
        <f ca="1">'Total Allocation - EGD'!S51-'Total Allocation - Gas EGD'!S51</f>
        <v>0</v>
      </c>
      <c r="T51" s="79">
        <f ca="1">'Total Allocation - EGD'!T51-'Total Allocation - Gas EGD'!T51</f>
        <v>0</v>
      </c>
      <c r="U51" s="79">
        <f ca="1">'Total Allocation - EGD'!U51-'Total Allocation - Gas EGD'!U51</f>
        <v>0</v>
      </c>
      <c r="V51" s="79">
        <f ca="1">'Total Allocation - EGD'!V51-'Total Allocation - Gas EGD'!V51</f>
        <v>0</v>
      </c>
      <c r="W51" s="79">
        <f ca="1">'Total Allocation - EGD'!W51-'Total Allocation - Gas EGD'!W51</f>
        <v>0</v>
      </c>
    </row>
    <row r="52" spans="1:23" x14ac:dyDescent="0.2">
      <c r="A52" s="2">
        <f t="shared" si="10"/>
        <v>34</v>
      </c>
      <c r="B52" s="31" t="s">
        <v>382</v>
      </c>
      <c r="D52" s="41">
        <f ca="1">SUM(D37:D51)</f>
        <v>1363934.4099857267</v>
      </c>
      <c r="F52" s="41">
        <f>SUM(F37:F51)</f>
        <v>6681.6256767138766</v>
      </c>
      <c r="H52" s="79"/>
      <c r="J52" s="41">
        <f ca="1">SUM(J37:J51)</f>
        <v>1357252.7843090128</v>
      </c>
      <c r="L52" s="50"/>
      <c r="M52" s="50"/>
      <c r="N52" s="41">
        <f t="shared" ref="N52:W52" ca="1" si="13">SUM(N37:N51)</f>
        <v>1002910.7344726319</v>
      </c>
      <c r="O52" s="41">
        <f t="shared" ca="1" si="13"/>
        <v>306759.21947960858</v>
      </c>
      <c r="P52" s="41">
        <f t="shared" ca="1" si="13"/>
        <v>1261.0789346603101</v>
      </c>
      <c r="Q52" s="41">
        <f t="shared" ca="1" si="13"/>
        <v>28740.730117868618</v>
      </c>
      <c r="R52" s="41">
        <f t="shared" ca="1" si="13"/>
        <v>4064.3728078542122</v>
      </c>
      <c r="S52" s="41">
        <f t="shared" ca="1" si="13"/>
        <v>13684.048180610967</v>
      </c>
      <c r="T52" s="41">
        <f t="shared" ca="1" si="13"/>
        <v>2872.4025194316214</v>
      </c>
      <c r="U52" s="41">
        <f t="shared" ca="1" si="13"/>
        <v>804.56375283814862</v>
      </c>
      <c r="V52" s="41">
        <f t="shared" ca="1" si="13"/>
        <v>1069.7871626434433</v>
      </c>
      <c r="W52" s="41">
        <f t="shared" ca="1" si="13"/>
        <v>1767.4725575788746</v>
      </c>
    </row>
    <row r="53" spans="1:23" x14ac:dyDescent="0.2">
      <c r="D53" s="50"/>
      <c r="F53" s="50"/>
      <c r="H53" s="79"/>
      <c r="J53" s="2"/>
      <c r="L53" s="31"/>
      <c r="N53" s="2"/>
    </row>
    <row r="54" spans="1:23" ht="13.5" thickBot="1" x14ac:dyDescent="0.25">
      <c r="A54" s="2">
        <f>A52+1</f>
        <v>35</v>
      </c>
      <c r="B54" s="31" t="s">
        <v>149</v>
      </c>
      <c r="D54" s="83">
        <f ca="1">D52+D34+D24+D17</f>
        <v>1601663.01822058</v>
      </c>
      <c r="F54" s="83">
        <f>F17+F24+F34+F52</f>
        <v>19832.632316737949</v>
      </c>
      <c r="H54" s="79"/>
      <c r="J54" s="83">
        <f ca="1">J17+J24+J34+J52</f>
        <v>1581830.385903842</v>
      </c>
      <c r="L54" s="31"/>
      <c r="N54" s="83">
        <f ca="1">N17+N24+N34+N52</f>
        <v>1123022.2812945456</v>
      </c>
      <c r="O54" s="83">
        <f ca="1">O17+O24+O34+O52</f>
        <v>409714.12861801311</v>
      </c>
      <c r="P54" s="83">
        <f ca="1">P17+P24+P34+P52</f>
        <v>1610.7375417519877</v>
      </c>
      <c r="Q54" s="83">
        <f t="shared" ref="Q54:W54" ca="1" si="14">Q17+Q24+Q34+Q52</f>
        <v>38561.23585950768</v>
      </c>
      <c r="R54" s="83">
        <f t="shared" ca="1" si="14"/>
        <v>5652.0870380546512</v>
      </c>
      <c r="S54" s="83">
        <f t="shared" ca="1" si="14"/>
        <v>13694.341692123282</v>
      </c>
      <c r="T54" s="83">
        <f t="shared" ca="1" si="14"/>
        <v>2883.3361308179192</v>
      </c>
      <c r="U54" s="83">
        <f t="shared" ca="1" si="14"/>
        <v>833.67610549107576</v>
      </c>
      <c r="V54" s="83">
        <f t="shared" ca="1" si="14"/>
        <v>1114.2610144299836</v>
      </c>
      <c r="W54" s="83">
        <f t="shared" ca="1" si="14"/>
        <v>4576.9329258447951</v>
      </c>
    </row>
    <row r="55" spans="1:23" ht="13.5" thickTop="1" x14ac:dyDescent="0.2">
      <c r="H55" s="79"/>
      <c r="J55" s="31" t="s">
        <v>225</v>
      </c>
      <c r="L55" s="31"/>
      <c r="N55" s="50"/>
    </row>
    <row r="57" spans="1:23" x14ac:dyDescent="0.2">
      <c r="D57" s="96"/>
      <c r="E57" s="96"/>
      <c r="F57" s="96"/>
      <c r="G57" s="96"/>
      <c r="H57" s="156"/>
      <c r="I57" s="96"/>
      <c r="J57" s="96"/>
      <c r="K57" s="96"/>
      <c r="L57" s="15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</row>
    <row r="58" spans="1:23" x14ac:dyDescent="0.2">
      <c r="D58" s="50"/>
    </row>
  </sheetData>
  <mergeCells count="2">
    <mergeCell ref="B2:L2"/>
    <mergeCell ref="B3:L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58ACA-08A6-49FB-B273-E7C6D13DC36B}">
  <sheetPr>
    <pageSetUpPr fitToPage="1"/>
  </sheetPr>
  <dimension ref="A3:AB239"/>
  <sheetViews>
    <sheetView zoomScale="80" zoomScaleNormal="80" workbookViewId="0"/>
  </sheetViews>
  <sheetFormatPr defaultColWidth="9.140625" defaultRowHeight="12.75" x14ac:dyDescent="0.2"/>
  <cols>
    <col min="1" max="1" width="6.42578125" style="44" customWidth="1"/>
    <col min="2" max="2" width="30.7109375" style="1" customWidth="1"/>
    <col min="3" max="3" width="8.28515625" style="1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1.7109375" style="1" customWidth="1"/>
    <col min="12" max="12" width="15.7109375" style="1" customWidth="1"/>
    <col min="13" max="13" width="9.140625" style="1"/>
    <col min="14" max="14" width="9.140625" style="1" customWidth="1"/>
    <col min="15" max="15" width="9.140625" style="18" customWidth="1"/>
    <col min="16" max="16" width="9.140625" style="1" customWidth="1"/>
    <col min="17" max="17" width="9.140625" style="44" customWidth="1"/>
    <col min="18" max="28" width="9.140625" style="1" customWidth="1"/>
    <col min="29" max="16384" width="9.140625" style="1"/>
  </cols>
  <sheetData>
    <row r="3" spans="1:28" x14ac:dyDescent="0.2">
      <c r="B3" s="53"/>
    </row>
    <row r="6" spans="1:28" x14ac:dyDescent="0.2">
      <c r="B6" s="157" t="s">
        <v>511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x14ac:dyDescent="0.2">
      <c r="B7" s="157" t="s">
        <v>364</v>
      </c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9" spans="1:28" x14ac:dyDescent="0.2">
      <c r="A9" s="18" t="s">
        <v>2</v>
      </c>
      <c r="B9" s="18" t="s">
        <v>365</v>
      </c>
      <c r="C9" s="44"/>
      <c r="F9" s="18"/>
      <c r="Q9" s="18"/>
      <c r="R9" s="44"/>
      <c r="V9" s="18"/>
    </row>
    <row r="10" spans="1:28" ht="15" customHeight="1" x14ac:dyDescent="0.2">
      <c r="A10" s="4" t="s">
        <v>4</v>
      </c>
      <c r="B10" s="4" t="s">
        <v>6</v>
      </c>
      <c r="C10" s="46"/>
      <c r="D10" s="4" t="s">
        <v>11</v>
      </c>
      <c r="F10" s="4" t="s">
        <v>7</v>
      </c>
      <c r="H10" s="16" t="s">
        <v>8</v>
      </c>
      <c r="J10" s="4" t="s">
        <v>9</v>
      </c>
      <c r="L10" s="4" t="s">
        <v>10</v>
      </c>
      <c r="Q10" s="18"/>
      <c r="R10" s="44"/>
      <c r="T10" s="18"/>
      <c r="V10" s="18"/>
      <c r="X10" s="113"/>
      <c r="Z10" s="18"/>
      <c r="AB10" s="18"/>
    </row>
    <row r="11" spans="1:28" x14ac:dyDescent="0.2">
      <c r="A11" s="18"/>
      <c r="C11" s="44"/>
      <c r="D11" s="18" t="s">
        <v>12</v>
      </c>
      <c r="E11" s="18"/>
      <c r="F11" s="57" t="s">
        <v>13</v>
      </c>
      <c r="G11" s="18"/>
      <c r="H11" s="57" t="s">
        <v>14</v>
      </c>
      <c r="I11" s="18"/>
      <c r="J11" s="57" t="s">
        <v>366</v>
      </c>
      <c r="K11" s="18"/>
      <c r="L11" s="57" t="s">
        <v>15</v>
      </c>
      <c r="Q11" s="1"/>
      <c r="R11" s="44"/>
      <c r="T11" s="18"/>
      <c r="U11" s="18"/>
      <c r="V11" s="57"/>
      <c r="W11" s="18"/>
      <c r="X11" s="57"/>
      <c r="Y11" s="18"/>
      <c r="Z11" s="57"/>
      <c r="AA11" s="18"/>
      <c r="AB11" s="57"/>
    </row>
    <row r="12" spans="1:28" x14ac:dyDescent="0.2">
      <c r="C12" s="44"/>
      <c r="Q12" s="1"/>
      <c r="R12" s="44"/>
    </row>
    <row r="13" spans="1:28" ht="15" customHeight="1" x14ac:dyDescent="0.25">
      <c r="A13" s="18">
        <v>1</v>
      </c>
      <c r="B13" s="2"/>
      <c r="C13" s="58" t="s">
        <v>367</v>
      </c>
      <c r="D13" s="20">
        <f>SUM(F13:L13)</f>
        <v>5865.9645385754357</v>
      </c>
      <c r="E13" s="42"/>
      <c r="F13" s="20">
        <v>4758.6044086021757</v>
      </c>
      <c r="G13" s="38"/>
      <c r="H13" s="20">
        <v>0</v>
      </c>
      <c r="I13" s="48"/>
      <c r="J13" s="20">
        <v>0</v>
      </c>
      <c r="K13" s="48"/>
      <c r="L13" s="20">
        <v>1107.36012997326</v>
      </c>
      <c r="Q13" s="2"/>
      <c r="R13" s="58"/>
      <c r="S13" s="30"/>
      <c r="T13" s="22"/>
      <c r="U13" s="42"/>
      <c r="V13" s="22"/>
      <c r="W13" s="38"/>
      <c r="X13" s="22"/>
      <c r="Y13" s="72"/>
      <c r="Z13" s="22"/>
      <c r="AA13" s="72"/>
      <c r="AB13" s="22"/>
    </row>
    <row r="14" spans="1:28" x14ac:dyDescent="0.2">
      <c r="A14" s="18">
        <f>A13+1</f>
        <v>2</v>
      </c>
      <c r="B14" s="2" t="s">
        <v>155</v>
      </c>
      <c r="C14" s="58"/>
      <c r="D14" s="17">
        <f>SUM(F14:L14)</f>
        <v>1</v>
      </c>
      <c r="F14" s="17">
        <f>IFERROR(F13/$D13,0)</f>
        <v>0.81122283936578565</v>
      </c>
      <c r="H14" s="24">
        <f>IFERROR(H13/$D13,0)</f>
        <v>0</v>
      </c>
      <c r="J14" s="24">
        <f>IFERROR(J13/$D13,0)</f>
        <v>0</v>
      </c>
      <c r="L14" s="24">
        <f>IFERROR(L13/$D13,0)</f>
        <v>0.18877716063421432</v>
      </c>
      <c r="Q14" s="2"/>
      <c r="R14" s="58"/>
      <c r="S14" s="17"/>
      <c r="T14" s="17"/>
      <c r="V14" s="17"/>
      <c r="X14" s="63"/>
      <c r="Z14" s="63"/>
      <c r="AB14" s="63"/>
    </row>
    <row r="15" spans="1:28" x14ac:dyDescent="0.2">
      <c r="A15" s="18"/>
      <c r="B15" s="31"/>
      <c r="C15" s="58"/>
      <c r="Q15" s="31"/>
      <c r="R15" s="58"/>
    </row>
    <row r="16" spans="1:28" ht="15" customHeight="1" x14ac:dyDescent="0.25">
      <c r="A16" s="18">
        <f>A14+1</f>
        <v>3</v>
      </c>
      <c r="B16" s="2"/>
      <c r="C16" s="58" t="s">
        <v>367</v>
      </c>
      <c r="D16" s="20">
        <f>SUM(F16:L16)</f>
        <v>1708.3898809221498</v>
      </c>
      <c r="E16" s="42"/>
      <c r="F16" s="79">
        <v>1295.4715209674002</v>
      </c>
      <c r="G16" s="42"/>
      <c r="H16" s="79">
        <v>0</v>
      </c>
      <c r="I16" s="59"/>
      <c r="J16" s="79">
        <v>0</v>
      </c>
      <c r="K16" s="59"/>
      <c r="L16" s="79">
        <v>412.91835995474958</v>
      </c>
      <c r="Q16" s="2"/>
      <c r="R16" s="58"/>
      <c r="S16" s="30"/>
      <c r="T16" s="22"/>
      <c r="U16" s="42"/>
      <c r="V16" s="22"/>
      <c r="W16" s="38"/>
      <c r="X16" s="22"/>
      <c r="Y16" s="72"/>
      <c r="Z16" s="22"/>
      <c r="AA16" s="72"/>
      <c r="AB16" s="22"/>
    </row>
    <row r="17" spans="1:28" x14ac:dyDescent="0.2">
      <c r="A17" s="18">
        <f>A16+1</f>
        <v>4</v>
      </c>
      <c r="B17" s="2" t="s">
        <v>153</v>
      </c>
      <c r="C17" s="58"/>
      <c r="D17" s="17">
        <f>SUM(F17:L17)</f>
        <v>1</v>
      </c>
      <c r="F17" s="24">
        <f>IFERROR(F16/$D16,0)</f>
        <v>0.75829969226236249</v>
      </c>
      <c r="H17" s="24">
        <f>IFERROR(H16/$D16,0)</f>
        <v>0</v>
      </c>
      <c r="J17" s="24">
        <f>IFERROR(J16/$D16,0)</f>
        <v>0</v>
      </c>
      <c r="L17" s="24">
        <f>IFERROR(L16/$D16,0)</f>
        <v>0.24170030773763754</v>
      </c>
      <c r="Q17" s="2"/>
      <c r="R17" s="58"/>
      <c r="S17" s="17"/>
      <c r="T17" s="17"/>
      <c r="V17" s="63"/>
      <c r="X17" s="63"/>
      <c r="Z17" s="63"/>
      <c r="AB17" s="63"/>
    </row>
    <row r="18" spans="1:28" ht="15" x14ac:dyDescent="0.25">
      <c r="A18" s="18"/>
      <c r="B18" s="59"/>
      <c r="C18" s="60"/>
      <c r="D18"/>
      <c r="E18"/>
      <c r="F18"/>
      <c r="G18"/>
      <c r="H18"/>
      <c r="I18"/>
      <c r="J18"/>
      <c r="K18"/>
      <c r="L18"/>
      <c r="Q18" s="59"/>
      <c r="R18" s="60"/>
      <c r="S18"/>
      <c r="T18"/>
      <c r="U18"/>
      <c r="V18"/>
      <c r="W18"/>
      <c r="X18"/>
      <c r="Y18"/>
      <c r="Z18"/>
      <c r="AA18"/>
      <c r="AB18"/>
    </row>
    <row r="19" spans="1:28" ht="15" customHeight="1" x14ac:dyDescent="0.25">
      <c r="A19" s="18">
        <f>A17+1</f>
        <v>5</v>
      </c>
      <c r="B19" s="2"/>
      <c r="C19" s="58" t="s">
        <v>367</v>
      </c>
      <c r="D19" s="20">
        <f>SUM(F19:L19)</f>
        <v>2531.2823068200137</v>
      </c>
      <c r="E19" s="42"/>
      <c r="F19" s="20">
        <v>2104.1517941099964</v>
      </c>
      <c r="G19" s="38"/>
      <c r="H19" s="20">
        <v>0</v>
      </c>
      <c r="I19" s="48"/>
      <c r="J19" s="20">
        <v>0</v>
      </c>
      <c r="K19" s="48"/>
      <c r="L19" s="20">
        <v>427.13051271001717</v>
      </c>
      <c r="Q19" s="2"/>
      <c r="R19" s="58"/>
      <c r="S19" s="30"/>
      <c r="T19" s="22"/>
      <c r="U19" s="42"/>
      <c r="V19" s="22"/>
      <c r="W19" s="38"/>
      <c r="X19" s="22"/>
      <c r="Y19" s="72"/>
      <c r="Z19" s="22"/>
      <c r="AA19" s="72"/>
      <c r="AB19" s="22"/>
    </row>
    <row r="20" spans="1:28" x14ac:dyDescent="0.2">
      <c r="A20" s="18">
        <f>A19+1</f>
        <v>6</v>
      </c>
      <c r="B20" s="2" t="s">
        <v>154</v>
      </c>
      <c r="C20" s="58"/>
      <c r="D20" s="17">
        <f>SUM(F20:L20)</f>
        <v>1</v>
      </c>
      <c r="F20" s="17">
        <f>IFERROR(F19/$D19,0)</f>
        <v>0.83125923506864374</v>
      </c>
      <c r="H20" s="24">
        <f>IFERROR(H19/$D19,0)</f>
        <v>0</v>
      </c>
      <c r="J20" s="24">
        <f>IFERROR(J19/$D19,0)</f>
        <v>0</v>
      </c>
      <c r="L20" s="24">
        <f>IFERROR(L19/$D19,0)</f>
        <v>0.16874076493135629</v>
      </c>
      <c r="Q20" s="2"/>
      <c r="R20" s="58"/>
      <c r="S20" s="17"/>
      <c r="T20" s="17"/>
      <c r="V20" s="17"/>
      <c r="X20" s="63"/>
      <c r="Z20" s="63"/>
      <c r="AB20" s="63"/>
    </row>
    <row r="21" spans="1:28" ht="15" x14ac:dyDescent="0.25">
      <c r="A21" s="18"/>
      <c r="B21" s="59"/>
      <c r="C21" s="60"/>
      <c r="D21"/>
      <c r="E21"/>
      <c r="F21"/>
      <c r="G21"/>
      <c r="H21"/>
      <c r="I21"/>
      <c r="J21"/>
      <c r="K21"/>
      <c r="L21"/>
      <c r="Q21" s="59"/>
      <c r="R21" s="60"/>
      <c r="S21"/>
      <c r="T21"/>
      <c r="U21"/>
      <c r="V21"/>
      <c r="W21"/>
      <c r="X21"/>
      <c r="Y21"/>
      <c r="Z21"/>
      <c r="AA21"/>
      <c r="AB21"/>
    </row>
    <row r="22" spans="1:28" ht="15" customHeight="1" x14ac:dyDescent="0.25">
      <c r="A22" s="18">
        <f>A20+1</f>
        <v>7</v>
      </c>
      <c r="B22" s="2"/>
      <c r="C22" s="58" t="s">
        <v>367</v>
      </c>
      <c r="D22" s="20">
        <f>SUM(F22:L22)</f>
        <v>2940.7050695282501</v>
      </c>
      <c r="E22" s="42"/>
      <c r="F22" s="20">
        <v>2546.4739944630078</v>
      </c>
      <c r="G22" s="38"/>
      <c r="H22" s="20">
        <v>0</v>
      </c>
      <c r="I22" s="48"/>
      <c r="J22" s="20">
        <v>0</v>
      </c>
      <c r="K22" s="48"/>
      <c r="L22" s="20">
        <v>394.23107506524224</v>
      </c>
      <c r="Q22" s="2"/>
      <c r="R22" s="58"/>
      <c r="T22" s="22"/>
      <c r="U22" s="42"/>
      <c r="V22" s="22"/>
      <c r="W22" s="38"/>
      <c r="X22" s="22"/>
      <c r="Y22" s="72"/>
      <c r="Z22" s="22"/>
      <c r="AA22" s="72"/>
      <c r="AB22" s="22"/>
    </row>
    <row r="23" spans="1:28" x14ac:dyDescent="0.2">
      <c r="A23" s="18">
        <f>A22+1</f>
        <v>8</v>
      </c>
      <c r="B23" s="2" t="s">
        <v>349</v>
      </c>
      <c r="C23" s="58"/>
      <c r="D23" s="17">
        <f>SUM(F23:L23)</f>
        <v>1</v>
      </c>
      <c r="F23" s="17">
        <f>IFERROR(F22/$D22,0)</f>
        <v>0.86593994782057992</v>
      </c>
      <c r="H23" s="24">
        <f>IFERROR(H22/$D22,0)</f>
        <v>0</v>
      </c>
      <c r="J23" s="24">
        <f>IFERROR(J22/$D22,0)</f>
        <v>0</v>
      </c>
      <c r="L23" s="24">
        <f>IFERROR(L22/$D22,0)</f>
        <v>0.13406005217942005</v>
      </c>
      <c r="Q23" s="2"/>
      <c r="R23" s="58"/>
      <c r="T23" s="17"/>
      <c r="V23" s="17"/>
      <c r="X23" s="63"/>
      <c r="Z23" s="63"/>
      <c r="AB23" s="63"/>
    </row>
    <row r="24" spans="1:28" x14ac:dyDescent="0.2">
      <c r="A24" s="18"/>
      <c r="B24" s="2"/>
      <c r="C24" s="58"/>
      <c r="Q24" s="2"/>
      <c r="R24" s="58"/>
    </row>
    <row r="25" spans="1:28" ht="15" customHeight="1" x14ac:dyDescent="0.25">
      <c r="A25" s="18">
        <f>A23+1</f>
        <v>9</v>
      </c>
      <c r="B25" s="2"/>
      <c r="C25" s="58" t="s">
        <v>367</v>
      </c>
      <c r="D25" s="20">
        <f>SUM(F25:L25)</f>
        <v>10151.221525209376</v>
      </c>
      <c r="E25" s="42"/>
      <c r="F25" s="20">
        <v>10151.221525209376</v>
      </c>
      <c r="G25" s="38"/>
      <c r="H25" s="20">
        <v>0</v>
      </c>
      <c r="I25" s="48"/>
      <c r="J25" s="20">
        <v>0</v>
      </c>
      <c r="K25" s="48"/>
      <c r="L25" s="20">
        <v>0</v>
      </c>
      <c r="Q25" s="2"/>
      <c r="R25" s="58"/>
      <c r="S25" s="30"/>
      <c r="T25" s="22"/>
      <c r="U25" s="42"/>
      <c r="V25" s="22"/>
      <c r="W25" s="38"/>
      <c r="X25" s="22"/>
      <c r="Y25" s="72"/>
      <c r="Z25" s="22"/>
      <c r="AA25" s="72"/>
      <c r="AB25" s="22"/>
    </row>
    <row r="26" spans="1:28" x14ac:dyDescent="0.2">
      <c r="A26" s="18">
        <f>A25+1</f>
        <v>10</v>
      </c>
      <c r="B26" s="2" t="s">
        <v>354</v>
      </c>
      <c r="C26" s="58"/>
      <c r="D26" s="17">
        <f>SUM(F26:L26)</f>
        <v>1</v>
      </c>
      <c r="F26" s="17">
        <f>IFERROR(F25/$D25,0)</f>
        <v>1</v>
      </c>
      <c r="H26" s="24">
        <f>IFERROR(H25/$D25,0)</f>
        <v>0</v>
      </c>
      <c r="J26" s="24">
        <f>IFERROR(J25/$D25,0)</f>
        <v>0</v>
      </c>
      <c r="L26" s="24">
        <f>IFERROR(L25/$D25,0)</f>
        <v>0</v>
      </c>
      <c r="Q26" s="2"/>
      <c r="R26" s="58"/>
      <c r="S26" s="17"/>
      <c r="T26" s="17"/>
      <c r="V26" s="17"/>
      <c r="X26" s="63"/>
      <c r="Z26" s="63"/>
      <c r="AB26" s="63"/>
    </row>
    <row r="27" spans="1:28" x14ac:dyDescent="0.2">
      <c r="A27" s="18"/>
      <c r="B27" s="31"/>
      <c r="C27" s="58"/>
      <c r="Q27" s="31"/>
      <c r="R27" s="58"/>
    </row>
    <row r="28" spans="1:28" x14ac:dyDescent="0.2">
      <c r="A28" s="18">
        <f>A26+1</f>
        <v>11</v>
      </c>
      <c r="B28" s="2"/>
      <c r="C28" s="58" t="s">
        <v>367</v>
      </c>
      <c r="D28" s="20">
        <f>SUM(F28:L28)</f>
        <v>24266.295497726831</v>
      </c>
      <c r="F28" s="20">
        <v>0</v>
      </c>
      <c r="G28" s="20"/>
      <c r="H28" s="20">
        <v>5732.3451400983267</v>
      </c>
      <c r="I28" s="20"/>
      <c r="J28" s="20">
        <v>18533.950357628506</v>
      </c>
      <c r="L28" s="20">
        <v>0</v>
      </c>
      <c r="O28" s="1"/>
      <c r="Q28" s="2"/>
      <c r="R28" s="58"/>
      <c r="T28" s="22"/>
      <c r="V28" s="22"/>
      <c r="W28" s="22"/>
      <c r="X28" s="22"/>
      <c r="Y28" s="22"/>
      <c r="Z28" s="22"/>
      <c r="AB28" s="22"/>
    </row>
    <row r="29" spans="1:28" x14ac:dyDescent="0.2">
      <c r="A29" s="18">
        <f>A28+1</f>
        <v>12</v>
      </c>
      <c r="B29" s="2" t="s">
        <v>108</v>
      </c>
      <c r="C29" s="58"/>
      <c r="D29" s="17">
        <f>SUM(F29:L29)</f>
        <v>1</v>
      </c>
      <c r="F29" s="24">
        <f>IFERROR(F28/$D28,0)</f>
        <v>0</v>
      </c>
      <c r="H29" s="24">
        <f>IFERROR(H28/$D28,0)</f>
        <v>0.23622662720130932</v>
      </c>
      <c r="J29" s="24">
        <f>IFERROR(J28/$D28,0)</f>
        <v>0.76377337279869073</v>
      </c>
      <c r="L29" s="24">
        <f>IFERROR(L28/$D28,0)</f>
        <v>0</v>
      </c>
      <c r="O29" s="1"/>
      <c r="Q29" s="2"/>
      <c r="R29" s="58"/>
      <c r="T29" s="17"/>
      <c r="V29" s="63"/>
      <c r="X29" s="63"/>
      <c r="Z29" s="63"/>
      <c r="AB29" s="63"/>
    </row>
    <row r="30" spans="1:28" x14ac:dyDescent="0.2">
      <c r="A30" s="18"/>
      <c r="B30" s="31"/>
      <c r="C30" s="58"/>
      <c r="O30" s="1"/>
      <c r="Q30" s="31"/>
      <c r="R30" s="58"/>
    </row>
    <row r="31" spans="1:28" x14ac:dyDescent="0.2">
      <c r="A31" s="18">
        <f>A29+1</f>
        <v>13</v>
      </c>
      <c r="B31" s="2"/>
      <c r="C31" s="58" t="s">
        <v>367</v>
      </c>
      <c r="D31" s="20">
        <f>SUM(F31:L31)</f>
        <v>1791346.1557923509</v>
      </c>
      <c r="F31" s="20">
        <v>0</v>
      </c>
      <c r="G31" s="20"/>
      <c r="H31" s="20">
        <v>376124.00347801467</v>
      </c>
      <c r="I31" s="20"/>
      <c r="J31" s="20">
        <v>1377669.9119118378</v>
      </c>
      <c r="L31" s="20">
        <v>37552.240402498588</v>
      </c>
      <c r="O31" s="1"/>
      <c r="Q31" s="2"/>
      <c r="R31" s="58"/>
      <c r="T31" s="22"/>
      <c r="V31" s="22"/>
      <c r="W31" s="22"/>
      <c r="X31" s="22"/>
      <c r="Y31" s="22"/>
      <c r="Z31" s="22"/>
      <c r="AB31" s="22"/>
    </row>
    <row r="32" spans="1:28" x14ac:dyDescent="0.2">
      <c r="A32" s="18">
        <f>A31+1</f>
        <v>14</v>
      </c>
      <c r="B32" s="2" t="s">
        <v>26</v>
      </c>
      <c r="C32" s="58"/>
      <c r="D32" s="17">
        <f>SUM(F32:L32)</f>
        <v>1.0000000000000002</v>
      </c>
      <c r="F32" s="24">
        <f>IFERROR(F31/$D31,0)</f>
        <v>0</v>
      </c>
      <c r="H32" s="24">
        <f>IFERROR(H31/$D31,0)</f>
        <v>0.20996723735488573</v>
      </c>
      <c r="J32" s="24">
        <f>IFERROR(J31/$D31,0)</f>
        <v>0.76906962256128819</v>
      </c>
      <c r="L32" s="24">
        <f>IFERROR(L31/$D31,0)</f>
        <v>2.0963140083826191E-2</v>
      </c>
      <c r="O32" s="1"/>
      <c r="Q32" s="2"/>
      <c r="R32" s="58"/>
      <c r="T32" s="17"/>
      <c r="V32" s="63"/>
      <c r="X32" s="63"/>
      <c r="Z32" s="63"/>
      <c r="AB32" s="63"/>
    </row>
    <row r="33" spans="1:28" x14ac:dyDescent="0.2">
      <c r="A33" s="18"/>
      <c r="B33" s="31"/>
      <c r="C33" s="58"/>
      <c r="O33" s="1"/>
      <c r="Q33" s="31"/>
      <c r="R33" s="58"/>
    </row>
    <row r="34" spans="1:28" x14ac:dyDescent="0.2">
      <c r="A34" s="18">
        <f>A32+1</f>
        <v>15</v>
      </c>
      <c r="B34" s="2"/>
      <c r="C34" s="58" t="s">
        <v>367</v>
      </c>
      <c r="D34" s="20">
        <f>SUM(F34:L34)</f>
        <v>-690225.13613837515</v>
      </c>
      <c r="F34" s="20">
        <v>0</v>
      </c>
      <c r="G34" s="20"/>
      <c r="H34" s="20">
        <v>-153844.17287634028</v>
      </c>
      <c r="I34" s="20"/>
      <c r="J34" s="20">
        <v>-529309.68232222274</v>
      </c>
      <c r="L34" s="20">
        <v>-7071.2809398120917</v>
      </c>
      <c r="O34" s="1"/>
      <c r="Q34" s="2"/>
      <c r="R34" s="58"/>
      <c r="T34" s="22"/>
      <c r="V34" s="22"/>
      <c r="W34" s="22"/>
      <c r="X34" s="22"/>
      <c r="Y34" s="22"/>
      <c r="Z34" s="22"/>
      <c r="AB34" s="22"/>
    </row>
    <row r="35" spans="1:28" x14ac:dyDescent="0.2">
      <c r="A35" s="18">
        <f>A34+1</f>
        <v>16</v>
      </c>
      <c r="B35" s="2" t="s">
        <v>303</v>
      </c>
      <c r="C35" s="58"/>
      <c r="D35" s="17">
        <f>SUM(F35:L35)</f>
        <v>1</v>
      </c>
      <c r="F35" s="24">
        <f>IFERROR(F34/$D34,0)</f>
        <v>0</v>
      </c>
      <c r="H35" s="24">
        <f>IFERROR(H34/$D34,0)</f>
        <v>0.22288984393854047</v>
      </c>
      <c r="J35" s="24">
        <f>IFERROR(J34/$D34,0)</f>
        <v>0.76686526556185519</v>
      </c>
      <c r="L35" s="24">
        <f>IFERROR(L34/$D34,0)</f>
        <v>1.0244890499604253E-2</v>
      </c>
      <c r="O35" s="1"/>
      <c r="Q35" s="2"/>
      <c r="R35" s="58"/>
      <c r="T35" s="17"/>
      <c r="V35" s="63"/>
      <c r="X35" s="63"/>
      <c r="Z35" s="63"/>
      <c r="AB35" s="63"/>
    </row>
    <row r="36" spans="1:28" x14ac:dyDescent="0.2">
      <c r="A36" s="18"/>
      <c r="B36" s="31"/>
      <c r="C36" s="58"/>
      <c r="O36" s="1"/>
      <c r="Q36" s="31"/>
      <c r="R36" s="58"/>
    </row>
    <row r="37" spans="1:28" x14ac:dyDescent="0.2">
      <c r="A37" s="18">
        <f>A35+1</f>
        <v>17</v>
      </c>
      <c r="B37" s="2"/>
      <c r="C37" s="58" t="s">
        <v>367</v>
      </c>
      <c r="D37" s="61">
        <f>SUM(F37:L37)</f>
        <v>1</v>
      </c>
      <c r="F37" s="61">
        <v>0</v>
      </c>
      <c r="G37" s="61"/>
      <c r="H37" s="61">
        <v>0.39326014506907819</v>
      </c>
      <c r="I37" s="61"/>
      <c r="J37" s="61">
        <v>0.60673985493092175</v>
      </c>
      <c r="K37" s="14"/>
      <c r="L37" s="61">
        <v>0</v>
      </c>
      <c r="O37" s="1"/>
      <c r="Q37" s="2"/>
      <c r="R37" s="58"/>
      <c r="T37" s="23"/>
      <c r="V37" s="23"/>
      <c r="W37" s="23"/>
      <c r="X37" s="23"/>
      <c r="Y37" s="23"/>
      <c r="Z37" s="23"/>
      <c r="AA37" s="14"/>
      <c r="AB37" s="23"/>
    </row>
    <row r="38" spans="1:28" x14ac:dyDescent="0.2">
      <c r="A38" s="18">
        <f>A37+1</f>
        <v>18</v>
      </c>
      <c r="B38" s="2" t="s">
        <v>260</v>
      </c>
      <c r="C38" s="58"/>
      <c r="D38" s="17">
        <f>SUM(F38:L38)</f>
        <v>1</v>
      </c>
      <c r="F38" s="24">
        <f>IFERROR(F37/$D37,0)</f>
        <v>0</v>
      </c>
      <c r="H38" s="24">
        <f>IFERROR(H37/$D37,0)</f>
        <v>0.39326014506907819</v>
      </c>
      <c r="J38" s="24">
        <f>IFERROR(J37/$D37,0)</f>
        <v>0.60673985493092175</v>
      </c>
      <c r="L38" s="24">
        <f>IFERROR(L37/$D37,0)</f>
        <v>0</v>
      </c>
      <c r="O38" s="1"/>
      <c r="Q38" s="2"/>
      <c r="R38" s="58"/>
      <c r="T38" s="17"/>
      <c r="V38" s="63"/>
      <c r="X38" s="63"/>
      <c r="Z38" s="63"/>
      <c r="AB38" s="63"/>
    </row>
    <row r="39" spans="1:28" x14ac:dyDescent="0.2">
      <c r="A39" s="18"/>
      <c r="B39" s="31"/>
      <c r="C39" s="58"/>
      <c r="O39" s="1"/>
      <c r="Q39" s="31"/>
      <c r="R39" s="58"/>
    </row>
    <row r="40" spans="1:28" x14ac:dyDescent="0.2">
      <c r="A40" s="18">
        <f>A38+1</f>
        <v>19</v>
      </c>
      <c r="B40" s="2"/>
      <c r="C40" s="58" t="s">
        <v>367</v>
      </c>
      <c r="D40" s="20">
        <f>SUM(F40:L40)</f>
        <v>672899.26923475764</v>
      </c>
      <c r="F40" s="20">
        <v>0</v>
      </c>
      <c r="G40" s="20"/>
      <c r="H40" s="20">
        <v>24853.346732706683</v>
      </c>
      <c r="I40" s="20"/>
      <c r="J40" s="20">
        <v>82421.141572556502</v>
      </c>
      <c r="L40" s="20">
        <v>565624.78092949442</v>
      </c>
      <c r="O40" s="1"/>
      <c r="Q40" s="2"/>
      <c r="R40" s="58"/>
      <c r="T40" s="22"/>
      <c r="V40" s="22"/>
      <c r="W40" s="22"/>
      <c r="X40" s="22"/>
      <c r="Y40" s="22"/>
      <c r="Z40" s="22"/>
      <c r="AB40" s="22"/>
    </row>
    <row r="41" spans="1:28" x14ac:dyDescent="0.2">
      <c r="A41" s="18">
        <f>A40+1</f>
        <v>20</v>
      </c>
      <c r="B41" s="2" t="s">
        <v>198</v>
      </c>
      <c r="C41" s="58"/>
      <c r="D41" s="17">
        <f>SUM(F41:L41)</f>
        <v>1</v>
      </c>
      <c r="F41" s="24">
        <f>IFERROR(F40/$D40,0)</f>
        <v>0</v>
      </c>
      <c r="H41" s="24">
        <f>IFERROR(H40/$D40,0)</f>
        <v>3.6934720944147695E-2</v>
      </c>
      <c r="J41" s="24">
        <f>IFERROR(J40/$D40,0)</f>
        <v>0.12248659694085927</v>
      </c>
      <c r="L41" s="24">
        <f>IFERROR(L40/$D40,0)</f>
        <v>0.84057868211499298</v>
      </c>
      <c r="O41" s="1"/>
      <c r="Q41" s="2"/>
      <c r="R41" s="58"/>
      <c r="T41" s="17"/>
      <c r="V41" s="63"/>
      <c r="X41" s="63"/>
      <c r="Z41" s="63"/>
      <c r="AB41" s="63"/>
    </row>
    <row r="42" spans="1:28" x14ac:dyDescent="0.2">
      <c r="A42" s="18"/>
      <c r="B42" s="31"/>
      <c r="C42" s="58"/>
      <c r="D42" s="17"/>
      <c r="F42" s="24"/>
      <c r="H42" s="24"/>
      <c r="J42" s="24"/>
      <c r="L42" s="24"/>
      <c r="O42" s="1"/>
      <c r="Q42" s="31"/>
      <c r="R42" s="58"/>
      <c r="T42" s="17"/>
      <c r="V42" s="63"/>
      <c r="X42" s="63"/>
      <c r="Z42" s="63"/>
      <c r="AB42" s="63"/>
    </row>
    <row r="43" spans="1:28" x14ac:dyDescent="0.2">
      <c r="A43" s="18">
        <f>A41+1</f>
        <v>21</v>
      </c>
      <c r="B43" s="2"/>
      <c r="C43" s="58" t="s">
        <v>368</v>
      </c>
      <c r="D43" s="20">
        <f>SUM(F43:L43)</f>
        <v>1</v>
      </c>
      <c r="E43" s="20"/>
      <c r="F43" s="20">
        <v>0</v>
      </c>
      <c r="G43" s="20"/>
      <c r="H43" s="20">
        <v>0</v>
      </c>
      <c r="I43" s="20"/>
      <c r="J43" s="20">
        <v>0</v>
      </c>
      <c r="L43" s="20">
        <v>1</v>
      </c>
      <c r="Q43" s="2"/>
      <c r="R43" s="58"/>
      <c r="T43" s="22"/>
      <c r="U43" s="22"/>
      <c r="V43" s="22"/>
      <c r="W43" s="22"/>
      <c r="X43" s="22"/>
      <c r="Y43" s="22"/>
      <c r="Z43" s="22"/>
      <c r="AB43" s="22"/>
    </row>
    <row r="44" spans="1:28" x14ac:dyDescent="0.2">
      <c r="A44" s="18">
        <f>A43+1</f>
        <v>22</v>
      </c>
      <c r="B44" s="2" t="s">
        <v>32</v>
      </c>
      <c r="C44" s="58"/>
      <c r="D44" s="17">
        <f>SUM(F44:L44)</f>
        <v>1</v>
      </c>
      <c r="F44" s="24">
        <f>IFERROR(F43/$D43,0)</f>
        <v>0</v>
      </c>
      <c r="H44" s="24">
        <f>IFERROR(H43/$D43,0)</f>
        <v>0</v>
      </c>
      <c r="J44" s="24">
        <f>IFERROR(J43/$D43,0)</f>
        <v>0</v>
      </c>
      <c r="L44" s="24">
        <f>IFERROR(L43/$D43,0)</f>
        <v>1</v>
      </c>
      <c r="Q44" s="2"/>
      <c r="R44" s="58"/>
      <c r="T44" s="17"/>
      <c r="V44" s="63"/>
      <c r="X44" s="63"/>
      <c r="Z44" s="63"/>
      <c r="AB44" s="63"/>
    </row>
    <row r="45" spans="1:28" x14ac:dyDescent="0.2">
      <c r="A45" s="18"/>
      <c r="B45" s="31"/>
      <c r="C45" s="58"/>
      <c r="Q45" s="31"/>
      <c r="R45" s="58"/>
    </row>
    <row r="46" spans="1:28" x14ac:dyDescent="0.2">
      <c r="A46" s="18">
        <f>A44+1</f>
        <v>23</v>
      </c>
      <c r="B46" s="2"/>
      <c r="C46" s="58" t="s">
        <v>368</v>
      </c>
      <c r="D46" s="20">
        <f>SUM(F46:L46)</f>
        <v>1</v>
      </c>
      <c r="F46" s="20">
        <v>1</v>
      </c>
      <c r="G46" s="20"/>
      <c r="H46" s="20">
        <v>0</v>
      </c>
      <c r="I46" s="20"/>
      <c r="J46" s="20">
        <v>0</v>
      </c>
      <c r="L46" s="20">
        <v>0</v>
      </c>
      <c r="Q46" s="2"/>
      <c r="R46" s="58"/>
      <c r="T46" s="22"/>
      <c r="V46" s="22"/>
      <c r="W46" s="22"/>
      <c r="X46" s="22"/>
      <c r="Y46" s="22"/>
      <c r="Z46" s="22"/>
      <c r="AB46" s="22"/>
    </row>
    <row r="47" spans="1:28" x14ac:dyDescent="0.2">
      <c r="A47" s="18">
        <f>A46+1</f>
        <v>24</v>
      </c>
      <c r="B47" s="2" t="s">
        <v>353</v>
      </c>
      <c r="C47" s="58"/>
      <c r="D47" s="17">
        <f>SUM(F47:L47)</f>
        <v>1</v>
      </c>
      <c r="F47" s="24">
        <f>IFERROR(F46/$D46,0)</f>
        <v>1</v>
      </c>
      <c r="H47" s="24">
        <f>IFERROR(H46/$D46,0)</f>
        <v>0</v>
      </c>
      <c r="J47" s="24">
        <f>IFERROR(J46/$D46,0)</f>
        <v>0</v>
      </c>
      <c r="L47" s="24">
        <f>IFERROR(L46/$D46,0)</f>
        <v>0</v>
      </c>
      <c r="Q47" s="2"/>
      <c r="R47" s="58"/>
      <c r="T47" s="17"/>
      <c r="V47" s="63"/>
      <c r="X47" s="63"/>
      <c r="Z47" s="63"/>
      <c r="AB47" s="63"/>
    </row>
    <row r="48" spans="1:28" x14ac:dyDescent="0.2">
      <c r="A48" s="18"/>
      <c r="B48" s="31"/>
      <c r="C48" s="58"/>
      <c r="Q48" s="31"/>
      <c r="R48" s="58"/>
    </row>
    <row r="49" spans="1:28" x14ac:dyDescent="0.2">
      <c r="A49" s="18">
        <f>A47+1</f>
        <v>25</v>
      </c>
      <c r="B49" s="2"/>
      <c r="C49" s="58" t="s">
        <v>367</v>
      </c>
      <c r="D49" s="20">
        <f>SUM(F49:L49)</f>
        <v>194713.51793516785</v>
      </c>
      <c r="E49" s="20"/>
      <c r="F49" s="20">
        <v>0</v>
      </c>
      <c r="G49" s="20"/>
      <c r="H49" s="20">
        <v>7271.6222767735126</v>
      </c>
      <c r="I49" s="20"/>
      <c r="J49" s="20">
        <v>17848.649151574664</v>
      </c>
      <c r="K49" s="20"/>
      <c r="L49" s="20">
        <v>169593.24650681968</v>
      </c>
      <c r="Q49" s="2"/>
      <c r="R49" s="58"/>
      <c r="T49" s="22"/>
      <c r="U49" s="22"/>
      <c r="V49" s="22"/>
      <c r="W49" s="22"/>
      <c r="X49" s="22"/>
      <c r="Y49" s="22"/>
      <c r="Z49" s="22"/>
      <c r="AA49" s="22"/>
      <c r="AB49" s="22"/>
    </row>
    <row r="50" spans="1:28" x14ac:dyDescent="0.2">
      <c r="A50" s="18">
        <f>A49+1</f>
        <v>26</v>
      </c>
      <c r="B50" s="2" t="s">
        <v>118</v>
      </c>
      <c r="C50" s="58"/>
      <c r="D50" s="17">
        <f>SUM(F50:L50)</f>
        <v>1</v>
      </c>
      <c r="F50" s="24">
        <f>IFERROR(F49/$D49,0)</f>
        <v>0</v>
      </c>
      <c r="H50" s="24">
        <f>IFERROR(H49/$D49,0)</f>
        <v>3.7345235985077753E-2</v>
      </c>
      <c r="J50" s="24">
        <f>IFERROR(J49/$D49,0)</f>
        <v>9.1666204487752007E-2</v>
      </c>
      <c r="L50" s="24">
        <f>IFERROR(L49/$D49,0)</f>
        <v>0.87098855952717025</v>
      </c>
      <c r="Q50" s="2"/>
      <c r="R50" s="58"/>
      <c r="T50" s="17"/>
      <c r="V50" s="63"/>
      <c r="X50" s="63"/>
      <c r="Z50" s="63"/>
      <c r="AB50" s="63"/>
    </row>
    <row r="51" spans="1:28" x14ac:dyDescent="0.2">
      <c r="A51" s="18"/>
      <c r="B51" s="31"/>
      <c r="C51" s="58"/>
      <c r="Q51" s="31"/>
      <c r="R51" s="58"/>
    </row>
    <row r="52" spans="1:28" x14ac:dyDescent="0.2">
      <c r="A52" s="18">
        <f>A50+1</f>
        <v>27</v>
      </c>
      <c r="B52" s="2"/>
      <c r="C52" s="58" t="s">
        <v>368</v>
      </c>
      <c r="D52" s="61">
        <f>SUM(F52:L52)</f>
        <v>100</v>
      </c>
      <c r="E52" s="61"/>
      <c r="F52" s="61">
        <v>0</v>
      </c>
      <c r="G52" s="61"/>
      <c r="H52" s="61">
        <v>5.2395678364505018</v>
      </c>
      <c r="I52" s="61"/>
      <c r="J52" s="61">
        <v>12.341710778030492</v>
      </c>
      <c r="K52" s="61"/>
      <c r="L52" s="61">
        <v>82.418721385519007</v>
      </c>
      <c r="Q52" s="2"/>
      <c r="R52" s="58"/>
      <c r="T52" s="23"/>
      <c r="U52" s="23"/>
      <c r="V52" s="23"/>
      <c r="W52" s="23"/>
      <c r="X52" s="23"/>
      <c r="Y52" s="23"/>
      <c r="Z52" s="23"/>
      <c r="AA52" s="23"/>
      <c r="AB52" s="23"/>
    </row>
    <row r="53" spans="1:28" x14ac:dyDescent="0.2">
      <c r="A53" s="18">
        <f>A52+1</f>
        <v>28</v>
      </c>
      <c r="B53" s="2" t="s">
        <v>119</v>
      </c>
      <c r="C53" s="58"/>
      <c r="D53" s="17">
        <f>SUM(F53:L53)</f>
        <v>1</v>
      </c>
      <c r="F53" s="24">
        <f>IFERROR(F52/$D52,0)</f>
        <v>0</v>
      </c>
      <c r="H53" s="24">
        <f>IFERROR(H52/$D52,0)</f>
        <v>5.2395678364505018E-2</v>
      </c>
      <c r="J53" s="24">
        <f>IFERROR(J52/$D52,0)</f>
        <v>0.12341710778030493</v>
      </c>
      <c r="L53" s="24">
        <f>IFERROR(L52/$D52,0)</f>
        <v>0.82418721385519012</v>
      </c>
      <c r="Q53" s="2"/>
      <c r="R53" s="58"/>
      <c r="T53" s="17"/>
      <c r="V53" s="63"/>
      <c r="X53" s="63"/>
      <c r="Z53" s="63"/>
      <c r="AB53" s="63"/>
    </row>
    <row r="54" spans="1:28" x14ac:dyDescent="0.2">
      <c r="A54" s="18"/>
      <c r="B54" s="31"/>
      <c r="C54" s="58"/>
      <c r="Q54" s="31"/>
      <c r="R54" s="58"/>
    </row>
    <row r="55" spans="1:28" hidden="1" x14ac:dyDescent="0.2">
      <c r="A55" s="18"/>
      <c r="B55" s="2"/>
      <c r="C55" s="58"/>
      <c r="D55" s="20"/>
      <c r="F55" s="20"/>
      <c r="G55" s="20"/>
      <c r="H55" s="20"/>
      <c r="I55" s="20"/>
      <c r="J55" s="20"/>
      <c r="L55" s="20"/>
      <c r="Q55" s="2"/>
      <c r="R55" s="58"/>
      <c r="T55" s="22"/>
      <c r="V55" s="22"/>
      <c r="W55" s="22"/>
      <c r="X55" s="22"/>
      <c r="Y55" s="22"/>
      <c r="Z55" s="22"/>
      <c r="AB55" s="22"/>
    </row>
    <row r="56" spans="1:28" hidden="1" x14ac:dyDescent="0.2">
      <c r="A56" s="18"/>
      <c r="B56" s="2"/>
      <c r="C56" s="58"/>
      <c r="D56" s="17"/>
      <c r="F56" s="24"/>
      <c r="H56" s="24"/>
      <c r="J56" s="24"/>
      <c r="L56" s="24"/>
      <c r="Q56" s="2"/>
      <c r="R56" s="58"/>
      <c r="T56" s="17"/>
      <c r="V56" s="63"/>
      <c r="X56" s="63"/>
      <c r="Z56" s="63"/>
      <c r="AB56" s="63"/>
    </row>
    <row r="57" spans="1:28" hidden="1" x14ac:dyDescent="0.2">
      <c r="A57" s="18"/>
      <c r="B57" s="31"/>
      <c r="C57" s="58"/>
      <c r="D57" s="17"/>
      <c r="F57" s="24"/>
      <c r="H57" s="24"/>
      <c r="J57" s="24"/>
      <c r="L57" s="24"/>
      <c r="Q57" s="31"/>
      <c r="R57" s="58"/>
      <c r="T57" s="17"/>
      <c r="V57" s="63"/>
      <c r="X57" s="63"/>
      <c r="Z57" s="63"/>
      <c r="AB57" s="63"/>
    </row>
    <row r="58" spans="1:28" x14ac:dyDescent="0.2">
      <c r="A58" s="18">
        <f>A53+1</f>
        <v>29</v>
      </c>
      <c r="B58" s="2"/>
      <c r="C58" s="58" t="s">
        <v>367</v>
      </c>
      <c r="D58" s="20">
        <f>SUM(F58:L58)</f>
        <v>11889.66570427777</v>
      </c>
      <c r="F58" s="20">
        <v>0</v>
      </c>
      <c r="G58" s="20"/>
      <c r="H58" s="20">
        <v>0</v>
      </c>
      <c r="I58" s="20"/>
      <c r="J58" s="20">
        <v>1282.137342137049</v>
      </c>
      <c r="K58" s="20"/>
      <c r="L58" s="20">
        <v>10607.528362140722</v>
      </c>
      <c r="Q58" s="2"/>
      <c r="R58" s="58"/>
      <c r="T58" s="22"/>
      <c r="V58" s="22"/>
      <c r="W58" s="22"/>
      <c r="X58" s="22"/>
      <c r="Y58" s="22"/>
      <c r="Z58" s="22"/>
      <c r="AA58" s="22"/>
      <c r="AB58" s="22"/>
    </row>
    <row r="59" spans="1:28" x14ac:dyDescent="0.2">
      <c r="A59" s="18">
        <f>A58+1</f>
        <v>30</v>
      </c>
      <c r="B59" s="2" t="s">
        <v>355</v>
      </c>
      <c r="C59" s="58"/>
      <c r="D59" s="17">
        <f>SUM(F59:L59)</f>
        <v>1</v>
      </c>
      <c r="F59" s="17">
        <f>IFERROR(F58/$D58,0)</f>
        <v>0</v>
      </c>
      <c r="H59" s="24">
        <f>IFERROR(H58/$D58,0)</f>
        <v>0</v>
      </c>
      <c r="J59" s="24">
        <f>IFERROR(J58/$D58,0)</f>
        <v>0.10783628186247073</v>
      </c>
      <c r="L59" s="24">
        <f>IFERROR(L58/$D58,0)</f>
        <v>0.89216371813752937</v>
      </c>
      <c r="Q59" s="2"/>
      <c r="R59" s="58"/>
      <c r="T59" s="17"/>
      <c r="V59" s="17"/>
      <c r="X59" s="63"/>
      <c r="Z59" s="63"/>
      <c r="AB59" s="63"/>
    </row>
    <row r="60" spans="1:28" x14ac:dyDescent="0.2">
      <c r="A60" s="18"/>
      <c r="C60" s="44"/>
      <c r="Q60" s="1"/>
      <c r="R60" s="44"/>
    </row>
    <row r="61" spans="1:28" x14ac:dyDescent="0.2">
      <c r="A61" s="18">
        <f>A59+1</f>
        <v>31</v>
      </c>
      <c r="B61" s="2"/>
      <c r="C61" s="58" t="s">
        <v>368</v>
      </c>
      <c r="D61" s="20">
        <f>SUM(F61:L61)</f>
        <v>302587.37595488032</v>
      </c>
      <c r="F61" s="20">
        <v>0</v>
      </c>
      <c r="G61" s="20"/>
      <c r="H61" s="20">
        <v>18114.010056501611</v>
      </c>
      <c r="I61" s="20"/>
      <c r="J61" s="20">
        <v>21572.951217688635</v>
      </c>
      <c r="L61" s="20">
        <v>262900.4146806901</v>
      </c>
      <c r="Q61" s="2"/>
      <c r="R61" s="58"/>
      <c r="T61" s="22"/>
      <c r="V61" s="22"/>
      <c r="W61" s="22"/>
      <c r="X61" s="22"/>
      <c r="Y61" s="22"/>
      <c r="Z61" s="22"/>
      <c r="AB61" s="22"/>
    </row>
    <row r="62" spans="1:28" x14ac:dyDescent="0.2">
      <c r="A62" s="18">
        <f>A61+1</f>
        <v>32</v>
      </c>
      <c r="B62" s="2" t="s">
        <v>88</v>
      </c>
      <c r="C62" s="58"/>
      <c r="D62" s="17">
        <f>SUM(F62:L62)</f>
        <v>1</v>
      </c>
      <c r="F62" s="24">
        <f>IFERROR(F61/$D61,0)</f>
        <v>0</v>
      </c>
      <c r="H62" s="24">
        <f>IFERROR(H61/$D61,0)</f>
        <v>5.9863733572291009E-2</v>
      </c>
      <c r="J62" s="24">
        <f>IFERROR(J61/$D61,0)</f>
        <v>7.1294947945566109E-2</v>
      </c>
      <c r="L62" s="24">
        <f>IFERROR(L61/$D61,0)</f>
        <v>0.86884131848214297</v>
      </c>
      <c r="Q62" s="2"/>
      <c r="R62" s="58"/>
      <c r="T62" s="17"/>
      <c r="V62" s="63"/>
      <c r="X62" s="63"/>
      <c r="Z62" s="63"/>
      <c r="AB62" s="63"/>
    </row>
    <row r="63" spans="1:28" x14ac:dyDescent="0.2">
      <c r="A63" s="18"/>
      <c r="B63" s="31"/>
      <c r="C63" s="58"/>
      <c r="Q63" s="31"/>
      <c r="R63" s="58"/>
    </row>
    <row r="64" spans="1:28" x14ac:dyDescent="0.2">
      <c r="A64" s="18">
        <f>A62+1</f>
        <v>33</v>
      </c>
      <c r="B64" s="2"/>
      <c r="C64" s="58" t="s">
        <v>367</v>
      </c>
      <c r="D64" s="20">
        <f>SUM(F64:L64)</f>
        <v>203561.2984920314</v>
      </c>
      <c r="F64" s="20">
        <v>0</v>
      </c>
      <c r="G64" s="20"/>
      <c r="H64" s="20">
        <v>13017.78562077151</v>
      </c>
      <c r="I64" s="20"/>
      <c r="J64" s="20">
        <v>79166.942309318154</v>
      </c>
      <c r="L64" s="20">
        <v>111376.57056194174</v>
      </c>
      <c r="O64" s="1"/>
      <c r="Q64" s="2"/>
      <c r="R64" s="58"/>
      <c r="T64" s="22"/>
      <c r="V64" s="22"/>
      <c r="W64" s="22"/>
      <c r="X64" s="22"/>
      <c r="Y64" s="22"/>
      <c r="Z64" s="22"/>
      <c r="AB64" s="22"/>
    </row>
    <row r="65" spans="1:28" x14ac:dyDescent="0.2">
      <c r="A65" s="18">
        <f>A64+1</f>
        <v>34</v>
      </c>
      <c r="B65" s="2" t="s">
        <v>18</v>
      </c>
      <c r="C65" s="58"/>
      <c r="D65" s="17">
        <f>SUM(F65:L65)</f>
        <v>1</v>
      </c>
      <c r="F65" s="24">
        <f>IFERROR(F64/$D64,0)</f>
        <v>0</v>
      </c>
      <c r="H65" s="24">
        <f>IFERROR(H64/$D64,0)</f>
        <v>6.3950199361108434E-2</v>
      </c>
      <c r="J65" s="24">
        <f>IFERROR(J64/$D64,0)</f>
        <v>0.38890959576197248</v>
      </c>
      <c r="L65" s="24">
        <f>IFERROR(L64/$D64,0)</f>
        <v>0.54714020487691906</v>
      </c>
      <c r="O65" s="1"/>
      <c r="Q65" s="2"/>
      <c r="R65" s="58"/>
      <c r="T65" s="17"/>
      <c r="V65" s="63"/>
      <c r="X65" s="63"/>
      <c r="Z65" s="63"/>
      <c r="AB65" s="63"/>
    </row>
    <row r="66" spans="1:28" x14ac:dyDescent="0.2">
      <c r="A66" s="18"/>
      <c r="B66" s="31"/>
      <c r="C66" s="58"/>
      <c r="O66" s="1"/>
      <c r="Q66" s="31"/>
      <c r="R66" s="58"/>
    </row>
    <row r="67" spans="1:28" customFormat="1" ht="15" x14ac:dyDescent="0.25">
      <c r="A67" s="18">
        <f>A65+1</f>
        <v>35</v>
      </c>
      <c r="B67" s="2"/>
      <c r="C67" s="58" t="s">
        <v>367</v>
      </c>
      <c r="D67" s="20">
        <f>SUM(F67:L67)</f>
        <v>232661.74701999093</v>
      </c>
      <c r="E67" s="1"/>
      <c r="F67" s="20">
        <v>0</v>
      </c>
      <c r="G67" s="20"/>
      <c r="H67" s="20">
        <v>74787.01496</v>
      </c>
      <c r="I67" s="20"/>
      <c r="J67" s="20">
        <v>66946.67524576078</v>
      </c>
      <c r="K67" s="1"/>
      <c r="L67" s="20">
        <v>90928.056814230149</v>
      </c>
      <c r="M67" s="1"/>
      <c r="N67" s="1"/>
      <c r="O67" s="18"/>
      <c r="P67" s="1"/>
      <c r="Q67" s="2"/>
      <c r="R67" s="58"/>
      <c r="S67" s="1"/>
      <c r="T67" s="22"/>
      <c r="U67" s="1"/>
      <c r="V67" s="22"/>
      <c r="W67" s="22"/>
      <c r="X67" s="22"/>
      <c r="Y67" s="22"/>
      <c r="Z67" s="22"/>
      <c r="AA67" s="1"/>
      <c r="AB67" s="22"/>
    </row>
    <row r="68" spans="1:28" customFormat="1" ht="15" x14ac:dyDescent="0.25">
      <c r="A68" s="18">
        <f>A67+1</f>
        <v>36</v>
      </c>
      <c r="B68" s="2" t="s">
        <v>160</v>
      </c>
      <c r="C68" s="58"/>
      <c r="D68" s="17">
        <f>SUM(F68:L68)</f>
        <v>1</v>
      </c>
      <c r="E68" s="1"/>
      <c r="F68" s="24">
        <f>IFERROR(F67/$D67,0)</f>
        <v>0</v>
      </c>
      <c r="G68" s="1"/>
      <c r="H68" s="24">
        <f>IFERROR(H67/$D67,0)</f>
        <v>0.32144095846393733</v>
      </c>
      <c r="I68" s="1"/>
      <c r="J68" s="24">
        <f>IFERROR(J67/$D67,0)</f>
        <v>0.28774251076180796</v>
      </c>
      <c r="K68" s="1"/>
      <c r="L68" s="24">
        <f>IFERROR(L67/$D67,0)</f>
        <v>0.39081653077425471</v>
      </c>
      <c r="M68" s="1"/>
      <c r="N68" s="1"/>
      <c r="O68" s="18"/>
      <c r="P68" s="1"/>
      <c r="Q68" s="2"/>
      <c r="R68" s="58"/>
      <c r="S68" s="1"/>
      <c r="T68" s="17"/>
      <c r="U68" s="1"/>
      <c r="V68" s="63"/>
      <c r="W68" s="1"/>
      <c r="X68" s="63"/>
      <c r="Y68" s="1"/>
      <c r="Z68" s="63"/>
      <c r="AA68" s="1"/>
      <c r="AB68" s="63"/>
    </row>
    <row r="69" spans="1:28" customFormat="1" ht="15" x14ac:dyDescent="0.25">
      <c r="A69" s="18"/>
      <c r="B69" s="31"/>
      <c r="C69" s="58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8"/>
      <c r="P69" s="1"/>
      <c r="Q69" s="31"/>
      <c r="R69" s="58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customFormat="1" ht="15" x14ac:dyDescent="0.25">
      <c r="A70" s="18">
        <f>A68+1</f>
        <v>37</v>
      </c>
      <c r="B70" s="2"/>
      <c r="C70" s="58" t="s">
        <v>367</v>
      </c>
      <c r="D70" s="20">
        <f>SUM(F70:L70)</f>
        <v>-87329.187361001794</v>
      </c>
      <c r="E70" s="1"/>
      <c r="F70" s="20">
        <v>0</v>
      </c>
      <c r="G70" s="20"/>
      <c r="H70" s="20">
        <v>-48713.415889674274</v>
      </c>
      <c r="I70" s="20"/>
      <c r="J70" s="20">
        <v>-17684.967853226444</v>
      </c>
      <c r="K70" s="1"/>
      <c r="L70" s="20">
        <v>-20930.803618101087</v>
      </c>
      <c r="M70" s="1"/>
      <c r="N70" s="1"/>
      <c r="O70" s="18"/>
      <c r="P70" s="1"/>
      <c r="Q70" s="2"/>
      <c r="R70" s="58"/>
      <c r="S70" s="1"/>
      <c r="T70" s="22"/>
      <c r="U70" s="1"/>
      <c r="V70" s="22"/>
      <c r="W70" s="22"/>
      <c r="X70" s="22"/>
      <c r="Y70" s="22"/>
      <c r="Z70" s="22"/>
      <c r="AA70" s="1"/>
      <c r="AB70" s="22"/>
    </row>
    <row r="71" spans="1:28" customFormat="1" ht="15" x14ac:dyDescent="0.25">
      <c r="A71" s="18">
        <f>A70+1</f>
        <v>38</v>
      </c>
      <c r="B71" s="2" t="s">
        <v>299</v>
      </c>
      <c r="C71" s="58"/>
      <c r="D71" s="17">
        <f>SUM(F71:L71)</f>
        <v>1.0000000000000002</v>
      </c>
      <c r="E71" s="1"/>
      <c r="F71" s="24">
        <f>IFERROR(F70/$D70,0)</f>
        <v>0</v>
      </c>
      <c r="G71" s="1"/>
      <c r="H71" s="24">
        <f>IFERROR(H70/$D70,0)</f>
        <v>0.55781368591353697</v>
      </c>
      <c r="I71" s="1"/>
      <c r="J71" s="24">
        <f>IFERROR(J70/$D70,0)</f>
        <v>0.20250924562162984</v>
      </c>
      <c r="K71" s="1"/>
      <c r="L71" s="24">
        <f>IFERROR(L70/$D70,0)</f>
        <v>0.23967706846483336</v>
      </c>
      <c r="M71" s="1"/>
      <c r="N71" s="1"/>
      <c r="O71" s="18"/>
      <c r="P71" s="1"/>
      <c r="Q71" s="2"/>
      <c r="R71" s="58"/>
      <c r="S71" s="1"/>
      <c r="T71" s="17"/>
      <c r="U71" s="1"/>
      <c r="V71" s="63"/>
      <c r="W71" s="1"/>
      <c r="X71" s="63"/>
      <c r="Y71" s="1"/>
      <c r="Z71" s="63"/>
      <c r="AA71" s="1"/>
      <c r="AB71" s="63"/>
    </row>
    <row r="72" spans="1:28" customFormat="1" ht="15" x14ac:dyDescent="0.25">
      <c r="A72" s="18"/>
      <c r="B72" s="31"/>
      <c r="C72" s="58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8"/>
      <c r="P72" s="1"/>
      <c r="Q72" s="31"/>
      <c r="R72" s="58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customFormat="1" ht="15" x14ac:dyDescent="0.25">
      <c r="A73" s="18">
        <f>A71+1</f>
        <v>39</v>
      </c>
      <c r="B73" s="2"/>
      <c r="C73" s="58" t="s">
        <v>367</v>
      </c>
      <c r="D73" s="20">
        <f>SUM(F73:L73)</f>
        <v>48836.701068879993</v>
      </c>
      <c r="E73" s="1"/>
      <c r="F73" s="20">
        <v>0</v>
      </c>
      <c r="G73" s="20"/>
      <c r="H73" s="20">
        <v>3243.4526964799998</v>
      </c>
      <c r="I73" s="20"/>
      <c r="J73" s="20">
        <v>29360.673046399999</v>
      </c>
      <c r="K73" s="1"/>
      <c r="L73" s="20">
        <v>16232.575325999998</v>
      </c>
      <c r="M73" s="1"/>
      <c r="N73" s="1"/>
      <c r="O73" s="18"/>
      <c r="P73" s="1"/>
      <c r="Q73" s="2"/>
      <c r="R73" s="58"/>
      <c r="S73" s="1"/>
      <c r="T73" s="22"/>
      <c r="U73" s="1"/>
      <c r="V73" s="22"/>
      <c r="W73" s="22"/>
      <c r="X73" s="22"/>
      <c r="Y73" s="22"/>
      <c r="Z73" s="22"/>
      <c r="AA73" s="1"/>
      <c r="AB73" s="22"/>
    </row>
    <row r="74" spans="1:28" customFormat="1" ht="15" x14ac:dyDescent="0.25">
      <c r="A74" s="18">
        <f>A73+1</f>
        <v>40</v>
      </c>
      <c r="B74" s="2" t="s">
        <v>83</v>
      </c>
      <c r="C74" s="58"/>
      <c r="D74" s="17">
        <f>SUM(F74:L74)</f>
        <v>1</v>
      </c>
      <c r="E74" s="1"/>
      <c r="F74" s="24">
        <f>IFERROR(F73/$D73,0)</f>
        <v>0</v>
      </c>
      <c r="G74" s="1"/>
      <c r="H74" s="24">
        <f>IFERROR(H73/$D73,0)</f>
        <v>6.6414246365768786E-2</v>
      </c>
      <c r="I74" s="1"/>
      <c r="J74" s="24">
        <f>IFERROR(J73/$D73,0)</f>
        <v>0.60120099031646879</v>
      </c>
      <c r="K74" s="1"/>
      <c r="L74" s="24">
        <f>IFERROR(L73/$D73,0)</f>
        <v>0.33238476331776257</v>
      </c>
      <c r="M74" s="1"/>
      <c r="N74" s="1"/>
      <c r="O74" s="18"/>
      <c r="P74" s="1"/>
      <c r="Q74" s="2"/>
      <c r="R74" s="58"/>
      <c r="S74" s="1"/>
      <c r="T74" s="17"/>
      <c r="U74" s="1"/>
      <c r="V74" s="63"/>
      <c r="W74" s="1"/>
      <c r="X74" s="63"/>
      <c r="Y74" s="1"/>
      <c r="Z74" s="63"/>
      <c r="AA74" s="1"/>
      <c r="AB74" s="63"/>
    </row>
    <row r="75" spans="1:28" ht="15" x14ac:dyDescent="0.25">
      <c r="A75" s="18"/>
      <c r="B75" s="31"/>
      <c r="C75" s="60"/>
      <c r="Q75" s="31"/>
      <c r="R75" s="60"/>
    </row>
    <row r="76" spans="1:28" x14ac:dyDescent="0.2">
      <c r="A76" s="18">
        <f>A74+1</f>
        <v>41</v>
      </c>
      <c r="B76" s="2"/>
      <c r="C76" s="58" t="s">
        <v>367</v>
      </c>
      <c r="D76" s="20">
        <f>SUM(F76:L76)</f>
        <v>10785857.555032887</v>
      </c>
      <c r="F76" s="20">
        <v>0</v>
      </c>
      <c r="G76" s="20"/>
      <c r="H76" s="20">
        <v>0</v>
      </c>
      <c r="I76" s="20"/>
      <c r="J76" s="20">
        <v>1996976.7673333893</v>
      </c>
      <c r="L76" s="20">
        <v>8788880.7876994964</v>
      </c>
      <c r="O76" s="1"/>
      <c r="Q76" s="2"/>
      <c r="R76" s="58"/>
      <c r="T76" s="22"/>
      <c r="V76" s="22"/>
      <c r="W76" s="22"/>
      <c r="X76" s="22"/>
      <c r="Y76" s="22"/>
      <c r="Z76" s="22"/>
      <c r="AB76" s="22"/>
    </row>
    <row r="77" spans="1:28" x14ac:dyDescent="0.2">
      <c r="A77" s="18">
        <f>A76+1</f>
        <v>42</v>
      </c>
      <c r="B77" s="2" t="s">
        <v>24</v>
      </c>
      <c r="C77" s="58"/>
      <c r="D77" s="17">
        <f>SUM(F77:L77)</f>
        <v>0.99999999999999989</v>
      </c>
      <c r="F77" s="24">
        <f>IFERROR(F76/$D76,0)</f>
        <v>0</v>
      </c>
      <c r="H77" s="24">
        <f>IFERROR(H76/$D76,0)</f>
        <v>0</v>
      </c>
      <c r="J77" s="24">
        <f>IFERROR(J76/$D76,0)</f>
        <v>0.18514770449583418</v>
      </c>
      <c r="L77" s="24">
        <f>IFERROR(L76/$D76,0)</f>
        <v>0.81485229550416571</v>
      </c>
      <c r="O77" s="1"/>
      <c r="Q77" s="2"/>
      <c r="R77" s="58"/>
      <c r="T77" s="17"/>
      <c r="V77" s="63"/>
      <c r="X77" s="63"/>
      <c r="Z77" s="63"/>
      <c r="AB77" s="63"/>
    </row>
    <row r="78" spans="1:28" x14ac:dyDescent="0.2">
      <c r="A78" s="18"/>
      <c r="B78" s="31"/>
      <c r="C78" s="58"/>
      <c r="O78" s="1"/>
      <c r="Q78" s="31"/>
      <c r="R78" s="58"/>
    </row>
    <row r="79" spans="1:28" x14ac:dyDescent="0.2">
      <c r="A79" s="18">
        <f>A77+1</f>
        <v>43</v>
      </c>
      <c r="B79" s="2"/>
      <c r="C79" s="58" t="s">
        <v>367</v>
      </c>
      <c r="D79" s="20">
        <f>SUM(F79:L79)</f>
        <v>-3864910.4766098866</v>
      </c>
      <c r="F79" s="20">
        <v>0</v>
      </c>
      <c r="G79" s="20"/>
      <c r="H79" s="20">
        <v>0</v>
      </c>
      <c r="I79" s="20"/>
      <c r="J79" s="20">
        <v>-700300.98840433965</v>
      </c>
      <c r="L79" s="20">
        <v>-3164609.488205547</v>
      </c>
      <c r="Q79" s="2"/>
      <c r="R79" s="58"/>
      <c r="T79" s="22"/>
      <c r="V79" s="22"/>
      <c r="W79" s="22"/>
      <c r="X79" s="22"/>
      <c r="Y79" s="22"/>
      <c r="Z79" s="22"/>
      <c r="AB79" s="22"/>
    </row>
    <row r="80" spans="1:28" x14ac:dyDescent="0.2">
      <c r="A80" s="18">
        <f>A79+1</f>
        <v>44</v>
      </c>
      <c r="B80" s="2" t="s">
        <v>302</v>
      </c>
      <c r="C80" s="58"/>
      <c r="D80" s="17">
        <f>SUM(F80:L80)</f>
        <v>1</v>
      </c>
      <c r="F80" s="24">
        <f>IFERROR(F79/$D79,0)</f>
        <v>0</v>
      </c>
      <c r="H80" s="24">
        <f>IFERROR(H79/$D79,0)</f>
        <v>0</v>
      </c>
      <c r="J80" s="24">
        <f>IFERROR(J79/$D79,0)</f>
        <v>0.1811946208437433</v>
      </c>
      <c r="L80" s="24">
        <f>IFERROR(L79/$D79,0)</f>
        <v>0.81880537915625673</v>
      </c>
      <c r="Q80" s="2"/>
      <c r="R80" s="58"/>
      <c r="T80" s="17"/>
      <c r="V80" s="63"/>
      <c r="X80" s="63"/>
      <c r="Z80" s="63"/>
      <c r="AB80" s="63"/>
    </row>
    <row r="81" spans="1:28" x14ac:dyDescent="0.2">
      <c r="A81" s="18"/>
      <c r="B81" s="31"/>
      <c r="C81" s="58"/>
      <c r="Q81" s="31"/>
      <c r="R81" s="58"/>
    </row>
    <row r="82" spans="1:28" x14ac:dyDescent="0.2">
      <c r="A82" s="18">
        <f>A80+1</f>
        <v>45</v>
      </c>
      <c r="B82" s="2"/>
      <c r="C82" s="58" t="s">
        <v>367</v>
      </c>
      <c r="D82" s="20">
        <f>SUM(F82:L82)</f>
        <v>1330757.548565086</v>
      </c>
      <c r="F82" s="20">
        <v>0</v>
      </c>
      <c r="G82" s="20"/>
      <c r="H82" s="20">
        <v>40301.815387977447</v>
      </c>
      <c r="I82" s="20"/>
      <c r="J82" s="20">
        <v>251233.18487320881</v>
      </c>
      <c r="L82" s="20">
        <v>1039222.5483038996</v>
      </c>
      <c r="Q82" s="2"/>
      <c r="R82" s="58"/>
      <c r="T82" s="22"/>
      <c r="V82" s="22"/>
      <c r="W82" s="22"/>
      <c r="X82" s="22"/>
      <c r="Y82" s="22"/>
      <c r="Z82" s="22"/>
      <c r="AB82" s="22"/>
    </row>
    <row r="83" spans="1:28" x14ac:dyDescent="0.2">
      <c r="A83" s="18">
        <f>A82+1</f>
        <v>46</v>
      </c>
      <c r="B83" s="2" t="s">
        <v>22</v>
      </c>
      <c r="C83" s="58"/>
      <c r="D83" s="17">
        <f>SUM(F83:L83)</f>
        <v>0.99999999999999989</v>
      </c>
      <c r="F83" s="24">
        <f>IFERROR(F82/$D82,0)</f>
        <v>0</v>
      </c>
      <c r="H83" s="24">
        <f>IFERROR(H82/$D82,0)</f>
        <v>3.0284867015358003E-2</v>
      </c>
      <c r="J83" s="24">
        <f>IFERROR(J82/$D82,0)</f>
        <v>0.18878959968636336</v>
      </c>
      <c r="L83" s="24">
        <f>IFERROR(L82/$D82,0)</f>
        <v>0.78092553329827852</v>
      </c>
      <c r="Q83" s="2"/>
      <c r="R83" s="58"/>
      <c r="T83" s="17"/>
      <c r="V83" s="63"/>
      <c r="X83" s="63"/>
      <c r="Z83" s="63"/>
      <c r="AB83" s="63"/>
    </row>
    <row r="84" spans="1:28" x14ac:dyDescent="0.2">
      <c r="A84" s="18"/>
      <c r="B84" s="31"/>
      <c r="C84" s="58"/>
      <c r="Q84" s="31"/>
      <c r="R84" s="58"/>
    </row>
    <row r="85" spans="1:28" x14ac:dyDescent="0.2">
      <c r="A85" s="18">
        <f>A83+1</f>
        <v>47</v>
      </c>
      <c r="B85" s="2"/>
      <c r="C85" s="58" t="s">
        <v>367</v>
      </c>
      <c r="D85" s="20">
        <f>SUM(F85:L85)</f>
        <v>-493428.31677845947</v>
      </c>
      <c r="F85" s="20">
        <v>0</v>
      </c>
      <c r="G85" s="20"/>
      <c r="H85" s="20">
        <v>-30169.664755768776</v>
      </c>
      <c r="I85" s="20"/>
      <c r="J85" s="20">
        <v>-91934.117047230378</v>
      </c>
      <c r="L85" s="20">
        <v>-371324.53497546032</v>
      </c>
      <c r="O85" s="1"/>
      <c r="Q85" s="2"/>
      <c r="R85" s="58"/>
      <c r="T85" s="22"/>
      <c r="V85" s="22"/>
      <c r="W85" s="22"/>
      <c r="X85" s="22"/>
      <c r="Y85" s="22"/>
      <c r="Z85" s="22"/>
      <c r="AB85" s="22"/>
    </row>
    <row r="86" spans="1:28" x14ac:dyDescent="0.2">
      <c r="A86" s="18">
        <f>A85+1</f>
        <v>48</v>
      </c>
      <c r="B86" s="2" t="s">
        <v>301</v>
      </c>
      <c r="C86" s="58"/>
      <c r="D86" s="17">
        <f>SUM(F86:L86)</f>
        <v>1</v>
      </c>
      <c r="F86" s="24">
        <f>IFERROR(F85/$D85,0)</f>
        <v>0</v>
      </c>
      <c r="H86" s="24">
        <f>IFERROR(H85/$D85,0)</f>
        <v>6.1142953758193855E-2</v>
      </c>
      <c r="J86" s="24">
        <f>IFERROR(J85/$D85,0)</f>
        <v>0.18631706758837507</v>
      </c>
      <c r="L86" s="24">
        <f>IFERROR(L85/$D85,0)</f>
        <v>0.75253997865343114</v>
      </c>
      <c r="O86" s="1"/>
      <c r="Q86" s="2"/>
      <c r="R86" s="58"/>
      <c r="T86" s="17"/>
      <c r="V86" s="63"/>
      <c r="X86" s="63"/>
      <c r="Z86" s="63"/>
      <c r="AB86" s="63"/>
    </row>
    <row r="87" spans="1:28" x14ac:dyDescent="0.2">
      <c r="A87" s="18"/>
      <c r="B87" s="31"/>
      <c r="C87" s="58"/>
      <c r="O87" s="1"/>
      <c r="Q87" s="31"/>
      <c r="R87" s="58"/>
    </row>
    <row r="88" spans="1:28" ht="15" customHeight="1" x14ac:dyDescent="0.2">
      <c r="A88" s="18">
        <f>A86+1</f>
        <v>49</v>
      </c>
      <c r="B88" s="2"/>
      <c r="C88" s="58" t="s">
        <v>368</v>
      </c>
      <c r="D88" s="20">
        <f>SUM(F88:L88)</f>
        <v>15081377.38392988</v>
      </c>
      <c r="F88" s="20">
        <v>0</v>
      </c>
      <c r="G88" s="20"/>
      <c r="H88" s="20">
        <v>612488.18109155924</v>
      </c>
      <c r="I88" s="20"/>
      <c r="J88" s="20">
        <v>2617400.5591033897</v>
      </c>
      <c r="L88" s="20">
        <v>11851488.643734932</v>
      </c>
      <c r="Q88" s="2"/>
      <c r="R88" s="58"/>
      <c r="T88" s="22"/>
      <c r="V88" s="22"/>
      <c r="W88" s="22"/>
      <c r="X88" s="22"/>
      <c r="Y88" s="22"/>
      <c r="Z88" s="22"/>
      <c r="AB88" s="22"/>
    </row>
    <row r="89" spans="1:28" x14ac:dyDescent="0.2">
      <c r="A89" s="18">
        <f>A88+1</f>
        <v>50</v>
      </c>
      <c r="B89" s="2" t="s">
        <v>35</v>
      </c>
      <c r="C89" s="58"/>
      <c r="D89" s="17">
        <f>SUM(F89:L89)</f>
        <v>1</v>
      </c>
      <c r="F89" s="24">
        <f>IFERROR(F88/$D88,0)</f>
        <v>0</v>
      </c>
      <c r="H89" s="24">
        <f>IFERROR(H88/$D88,0)</f>
        <v>4.0612217670794606E-2</v>
      </c>
      <c r="J89" s="24">
        <f>IFERROR(J88/$D88,0)</f>
        <v>0.17355182437728719</v>
      </c>
      <c r="L89" s="24">
        <f>IFERROR(L88/$D88,0)</f>
        <v>0.78583595795191818</v>
      </c>
      <c r="Q89" s="2"/>
      <c r="R89" s="58"/>
      <c r="T89" s="17"/>
      <c r="V89" s="63"/>
      <c r="X89" s="63"/>
      <c r="Z89" s="63"/>
      <c r="AB89" s="63"/>
    </row>
    <row r="90" spans="1:28" x14ac:dyDescent="0.2">
      <c r="A90" s="18"/>
      <c r="B90" s="31"/>
      <c r="C90" s="58"/>
      <c r="N90" s="49"/>
      <c r="Q90" s="31"/>
      <c r="R90" s="58"/>
    </row>
    <row r="91" spans="1:28" ht="15" customHeight="1" x14ac:dyDescent="0.2">
      <c r="A91" s="18">
        <f>A89+1</f>
        <v>51</v>
      </c>
      <c r="B91" s="2"/>
      <c r="C91" s="58" t="s">
        <v>368</v>
      </c>
      <c r="D91" s="20">
        <f>SUM(F91:L91)</f>
        <v>659905.15618078888</v>
      </c>
      <c r="F91" s="20">
        <v>0</v>
      </c>
      <c r="G91" s="20"/>
      <c r="H91" s="20">
        <v>42684.892213755389</v>
      </c>
      <c r="I91" s="20"/>
      <c r="J91" s="20">
        <v>47557.406264227742</v>
      </c>
      <c r="L91" s="20">
        <v>569662.85770280578</v>
      </c>
      <c r="N91" s="15"/>
      <c r="P91" s="13"/>
      <c r="Q91" s="2"/>
      <c r="R91" s="58"/>
      <c r="T91" s="22"/>
      <c r="V91" s="22"/>
      <c r="W91" s="22"/>
      <c r="X91" s="22"/>
      <c r="Y91" s="22"/>
      <c r="Z91" s="22"/>
      <c r="AB91" s="22"/>
    </row>
    <row r="92" spans="1:28" x14ac:dyDescent="0.2">
      <c r="A92" s="18">
        <f>A91+1</f>
        <v>52</v>
      </c>
      <c r="B92" s="2" t="s">
        <v>37</v>
      </c>
      <c r="C92" s="58"/>
      <c r="D92" s="17">
        <f>SUM(F92:L92)</f>
        <v>1</v>
      </c>
      <c r="F92" s="24">
        <f>IFERROR(F91/$D91,0)</f>
        <v>0</v>
      </c>
      <c r="H92" s="24">
        <f>IFERROR(H91/$D91,0)</f>
        <v>6.4683374290928186E-2</v>
      </c>
      <c r="J92" s="24">
        <f>IFERROR(J91/$D91,0)</f>
        <v>7.2067032389119295E-2</v>
      </c>
      <c r="L92" s="24">
        <f>IFERROR(L91/$D91,0)</f>
        <v>0.86324959331995255</v>
      </c>
      <c r="Q92" s="2"/>
      <c r="R92" s="58"/>
      <c r="T92" s="17"/>
      <c r="V92" s="63"/>
      <c r="X92" s="63"/>
      <c r="Z92" s="63"/>
      <c r="AB92" s="63"/>
    </row>
    <row r="93" spans="1:28" x14ac:dyDescent="0.2">
      <c r="A93" s="18"/>
      <c r="B93" s="31"/>
      <c r="C93" s="58"/>
      <c r="Q93" s="31"/>
      <c r="R93" s="58"/>
    </row>
    <row r="94" spans="1:28" ht="15" customHeight="1" x14ac:dyDescent="0.2">
      <c r="A94" s="18">
        <f>A92+1</f>
        <v>53</v>
      </c>
      <c r="B94" s="2"/>
      <c r="C94" s="58" t="s">
        <v>367</v>
      </c>
      <c r="D94" s="20">
        <f>SUM(F94:L94)</f>
        <v>18719.620992596843</v>
      </c>
      <c r="F94" s="20">
        <v>0</v>
      </c>
      <c r="G94" s="20"/>
      <c r="H94" s="20">
        <v>1352.477336310033</v>
      </c>
      <c r="I94" s="20"/>
      <c r="J94" s="20">
        <v>5269.502984558193</v>
      </c>
      <c r="L94" s="20">
        <v>12097.640671728617</v>
      </c>
      <c r="Q94" s="2"/>
      <c r="R94" s="58"/>
      <c r="T94" s="22"/>
      <c r="V94" s="22"/>
      <c r="W94" s="22"/>
      <c r="X94" s="22"/>
      <c r="Y94" s="22"/>
      <c r="Z94" s="22"/>
      <c r="AB94" s="22"/>
    </row>
    <row r="95" spans="1:28" x14ac:dyDescent="0.2">
      <c r="A95" s="18">
        <f>A94+1</f>
        <v>54</v>
      </c>
      <c r="B95" s="2" t="s">
        <v>266</v>
      </c>
      <c r="C95" s="58"/>
      <c r="D95" s="17">
        <f>SUM(F95:L95)</f>
        <v>1</v>
      </c>
      <c r="F95" s="17">
        <f>IFERROR(F94/$D94,0)</f>
        <v>0</v>
      </c>
      <c r="H95" s="24">
        <f>IFERROR(H94/$D94,0)</f>
        <v>7.2249183722517943E-2</v>
      </c>
      <c r="J95" s="24">
        <f>IFERROR(J94/$D94,0)</f>
        <v>0.28149624325418521</v>
      </c>
      <c r="L95" s="24">
        <f>IFERROR(L94/$D94,0)</f>
        <v>0.64625457302329681</v>
      </c>
      <c r="Q95" s="2"/>
      <c r="R95" s="58"/>
      <c r="T95" s="17"/>
      <c r="V95" s="17"/>
      <c r="X95" s="63"/>
      <c r="Z95" s="63"/>
      <c r="AB95" s="63"/>
    </row>
    <row r="96" spans="1:28" x14ac:dyDescent="0.2">
      <c r="A96" s="18"/>
      <c r="B96" s="31"/>
      <c r="C96" s="58"/>
      <c r="Q96" s="31"/>
      <c r="R96" s="58"/>
    </row>
    <row r="97" spans="1:28" ht="15" customHeight="1" x14ac:dyDescent="0.2">
      <c r="A97" s="18">
        <f>A95+1</f>
        <v>55</v>
      </c>
      <c r="B97" s="2"/>
      <c r="C97" s="58" t="s">
        <v>367</v>
      </c>
      <c r="D97" s="20">
        <f>SUM(F97:L97)</f>
        <v>118389.16895486812</v>
      </c>
      <c r="F97" s="20">
        <v>0</v>
      </c>
      <c r="G97" s="20"/>
      <c r="H97" s="20">
        <v>4084.6733599950676</v>
      </c>
      <c r="I97" s="20"/>
      <c r="J97" s="20">
        <v>24483.257915889248</v>
      </c>
      <c r="L97" s="20">
        <v>89821.237678983802</v>
      </c>
      <c r="Q97" s="2"/>
      <c r="R97" s="58"/>
      <c r="T97" s="22"/>
      <c r="V97" s="22"/>
      <c r="W97" s="22"/>
      <c r="X97" s="22"/>
      <c r="Y97" s="22"/>
      <c r="Z97" s="22"/>
      <c r="AB97" s="22"/>
    </row>
    <row r="98" spans="1:28" x14ac:dyDescent="0.2">
      <c r="A98" s="18">
        <f>A97+1</f>
        <v>56</v>
      </c>
      <c r="B98" s="2" t="s">
        <v>124</v>
      </c>
      <c r="C98" s="58"/>
      <c r="D98" s="17">
        <f>SUM(F98:L98)</f>
        <v>1</v>
      </c>
      <c r="F98" s="24">
        <f>IFERROR(F97/$D97,0)</f>
        <v>0</v>
      </c>
      <c r="H98" s="24">
        <f>IFERROR(H97/$D97,0)</f>
        <v>3.4502086601792194E-2</v>
      </c>
      <c r="J98" s="24">
        <f>IFERROR(J97/$D97,0)</f>
        <v>0.20680319096777058</v>
      </c>
      <c r="L98" s="24">
        <f>IFERROR(L97/$D97,0)</f>
        <v>0.75869472243043723</v>
      </c>
      <c r="Q98" s="2"/>
      <c r="R98" s="58"/>
      <c r="T98" s="17"/>
      <c r="V98" s="63"/>
      <c r="X98" s="63"/>
      <c r="Z98" s="63"/>
      <c r="AB98" s="63"/>
    </row>
    <row r="99" spans="1:28" ht="15" x14ac:dyDescent="0.25">
      <c r="A99" s="18"/>
      <c r="B99" s="31"/>
      <c r="C99" s="60"/>
      <c r="Q99" s="31"/>
      <c r="R99" s="60"/>
    </row>
    <row r="100" spans="1:28" x14ac:dyDescent="0.2">
      <c r="A100" s="18">
        <f>A98+1</f>
        <v>57</v>
      </c>
      <c r="B100" s="2"/>
      <c r="C100" s="58" t="s">
        <v>368</v>
      </c>
      <c r="D100" s="20">
        <f>SUM(F100:L100)</f>
        <v>15519249.032609718</v>
      </c>
      <c r="F100" s="20">
        <v>0</v>
      </c>
      <c r="G100" s="20"/>
      <c r="H100" s="20">
        <v>1128725.1756033166</v>
      </c>
      <c r="I100" s="20"/>
      <c r="J100" s="20">
        <v>2606329.5708189611</v>
      </c>
      <c r="L100" s="20">
        <v>11784194.28618744</v>
      </c>
      <c r="Q100" s="2"/>
      <c r="R100" s="58"/>
      <c r="T100" s="22"/>
      <c r="V100" s="22"/>
      <c r="W100" s="22"/>
      <c r="X100" s="22"/>
      <c r="Y100" s="22"/>
      <c r="Z100" s="22"/>
      <c r="AB100" s="22"/>
    </row>
    <row r="101" spans="1:28" x14ac:dyDescent="0.2">
      <c r="A101" s="18">
        <f>A100+1</f>
        <v>58</v>
      </c>
      <c r="B101" s="2" t="s">
        <v>43</v>
      </c>
      <c r="C101" s="58"/>
      <c r="D101" s="17">
        <f>SUM(F101:L101)</f>
        <v>1</v>
      </c>
      <c r="F101" s="24">
        <f>IFERROR(F100/$D100,0)</f>
        <v>0</v>
      </c>
      <c r="H101" s="24">
        <f>IFERROR(H100/$D100,0)</f>
        <v>7.2730656826988885E-2</v>
      </c>
      <c r="J101" s="24">
        <f>IFERROR(J100/$D100,0)</f>
        <v>0.16794173257626246</v>
      </c>
      <c r="L101" s="24">
        <f>IFERROR(L100/$D100,0)</f>
        <v>0.75932761059674869</v>
      </c>
      <c r="Q101" s="2"/>
      <c r="R101" s="58"/>
      <c r="T101" s="17"/>
      <c r="V101" s="63"/>
      <c r="X101" s="63"/>
      <c r="Z101" s="63"/>
      <c r="AB101" s="63"/>
    </row>
    <row r="102" spans="1:28" x14ac:dyDescent="0.2">
      <c r="A102" s="18"/>
      <c r="B102" s="31"/>
      <c r="C102" s="58"/>
      <c r="Q102" s="31"/>
      <c r="R102" s="58"/>
    </row>
    <row r="103" spans="1:28" ht="15" customHeight="1" x14ac:dyDescent="0.2">
      <c r="A103" s="18">
        <f>A101+1</f>
        <v>59</v>
      </c>
      <c r="B103" s="2"/>
      <c r="C103" s="58" t="s">
        <v>368</v>
      </c>
      <c r="D103" s="20">
        <f>SUM(F103:L103)</f>
        <v>13187.390277739607</v>
      </c>
      <c r="F103" s="20">
        <v>0</v>
      </c>
      <c r="G103" s="20"/>
      <c r="H103" s="20">
        <v>10889.315564516064</v>
      </c>
      <c r="I103" s="20"/>
      <c r="J103" s="20">
        <v>2298.0747132235433</v>
      </c>
      <c r="L103" s="20">
        <v>0</v>
      </c>
      <c r="Q103" s="2"/>
      <c r="R103" s="58"/>
      <c r="T103" s="22"/>
      <c r="V103" s="22"/>
      <c r="W103" s="22"/>
      <c r="X103" s="22"/>
      <c r="Y103" s="22"/>
      <c r="Z103" s="22"/>
      <c r="AB103" s="22"/>
    </row>
    <row r="104" spans="1:28" x14ac:dyDescent="0.2">
      <c r="A104" s="18">
        <f>A103+1</f>
        <v>60</v>
      </c>
      <c r="B104" s="18" t="s">
        <v>261</v>
      </c>
      <c r="C104" s="45"/>
      <c r="D104" s="17">
        <f>SUM(F104:L104)</f>
        <v>1</v>
      </c>
      <c r="F104" s="24">
        <f>IFERROR(F103/$D103,0)</f>
        <v>0</v>
      </c>
      <c r="H104" s="24">
        <f>IFERROR(H103/$D103,0)</f>
        <v>0.82573696047331624</v>
      </c>
      <c r="J104" s="24">
        <f>IFERROR(J103/$D103,0)</f>
        <v>0.17426303952668384</v>
      </c>
      <c r="L104" s="24">
        <f>IFERROR(L103/$D103,0)</f>
        <v>0</v>
      </c>
      <c r="Q104" s="62"/>
      <c r="R104" s="45"/>
      <c r="T104" s="17"/>
      <c r="V104" s="63"/>
      <c r="X104" s="63"/>
      <c r="Z104" s="63"/>
      <c r="AB104" s="63"/>
    </row>
    <row r="105" spans="1:28" x14ac:dyDescent="0.2">
      <c r="A105" s="18"/>
      <c r="B105" s="62"/>
      <c r="C105" s="45"/>
      <c r="D105" s="17"/>
      <c r="F105" s="24"/>
      <c r="H105" s="24"/>
      <c r="J105" s="24"/>
      <c r="L105" s="24"/>
      <c r="Q105" s="62"/>
      <c r="R105" s="45"/>
      <c r="T105" s="17"/>
      <c r="V105" s="63"/>
      <c r="X105" s="63"/>
      <c r="Z105" s="63"/>
      <c r="AB105" s="63"/>
    </row>
    <row r="106" spans="1:28" x14ac:dyDescent="0.2">
      <c r="A106" s="18">
        <f>A104+1</f>
        <v>61</v>
      </c>
      <c r="B106" s="2"/>
      <c r="C106" s="58" t="s">
        <v>368</v>
      </c>
      <c r="D106" s="20">
        <f>SUM(F106:L106)</f>
        <v>1</v>
      </c>
      <c r="F106" s="20">
        <v>0</v>
      </c>
      <c r="G106" s="20"/>
      <c r="H106" s="20">
        <v>1</v>
      </c>
      <c r="I106" s="20"/>
      <c r="J106" s="20">
        <v>0</v>
      </c>
      <c r="L106" s="20">
        <v>0</v>
      </c>
      <c r="Q106" s="2"/>
      <c r="R106" s="58"/>
      <c r="T106" s="22"/>
      <c r="V106" s="22"/>
      <c r="W106" s="22"/>
      <c r="X106" s="22"/>
      <c r="Y106" s="22"/>
      <c r="Z106" s="22"/>
      <c r="AB106" s="22"/>
    </row>
    <row r="107" spans="1:28" x14ac:dyDescent="0.2">
      <c r="A107" s="18">
        <f>A106+1</f>
        <v>62</v>
      </c>
      <c r="B107" s="2" t="s">
        <v>28</v>
      </c>
      <c r="C107" s="58"/>
      <c r="D107" s="17">
        <f>SUM(F107:L107)</f>
        <v>1</v>
      </c>
      <c r="F107" s="24">
        <f>IFERROR(F106/$D106,0)</f>
        <v>0</v>
      </c>
      <c r="H107" s="24">
        <f>IFERROR(H106/$D106,0)</f>
        <v>1</v>
      </c>
      <c r="J107" s="24">
        <f>IFERROR(J106/$D106,0)</f>
        <v>0</v>
      </c>
      <c r="L107" s="24">
        <f>IFERROR(L106/$D106,0)</f>
        <v>0</v>
      </c>
      <c r="Q107" s="2"/>
      <c r="R107" s="58"/>
      <c r="T107" s="17"/>
      <c r="V107" s="63"/>
      <c r="X107" s="63"/>
      <c r="Z107" s="63"/>
      <c r="AB107" s="63"/>
    </row>
    <row r="108" spans="1:28" x14ac:dyDescent="0.2">
      <c r="A108" s="18"/>
      <c r="B108" s="31"/>
      <c r="C108" s="58"/>
      <c r="Q108" s="31"/>
      <c r="R108" s="58"/>
    </row>
    <row r="109" spans="1:28" x14ac:dyDescent="0.2">
      <c r="A109" s="18">
        <f>A107+1</f>
        <v>63</v>
      </c>
      <c r="B109" s="2"/>
      <c r="C109" s="58" t="s">
        <v>367</v>
      </c>
      <c r="D109" s="20">
        <f>SUM(F109:L109)</f>
        <v>626100.87781287322</v>
      </c>
      <c r="F109" s="20">
        <v>0</v>
      </c>
      <c r="G109" s="20"/>
      <c r="H109" s="20">
        <v>79798.549934962299</v>
      </c>
      <c r="I109" s="20"/>
      <c r="J109" s="20">
        <v>211517.76996137522</v>
      </c>
      <c r="L109" s="20">
        <v>334784.5579165357</v>
      </c>
      <c r="Q109" s="2"/>
      <c r="R109" s="58"/>
      <c r="T109" s="22"/>
      <c r="V109" s="22"/>
      <c r="W109" s="22"/>
      <c r="X109" s="22"/>
      <c r="Y109" s="22"/>
      <c r="Z109" s="22"/>
      <c r="AB109" s="22"/>
    </row>
    <row r="110" spans="1:28" x14ac:dyDescent="0.2">
      <c r="A110" s="18">
        <f>A109+1</f>
        <v>64</v>
      </c>
      <c r="B110" s="2" t="s">
        <v>20</v>
      </c>
      <c r="C110" s="58"/>
      <c r="D110" s="17">
        <f>SUM(F110:L110)</f>
        <v>1</v>
      </c>
      <c r="F110" s="24">
        <f>IFERROR(F109/$D109,0)</f>
        <v>0</v>
      </c>
      <c r="H110" s="24">
        <f>IFERROR(H109/$D109,0)</f>
        <v>0.12745318328528554</v>
      </c>
      <c r="J110" s="24">
        <f>IFERROR(J109/$D109,0)</f>
        <v>0.33783337071856478</v>
      </c>
      <c r="L110" s="24">
        <f>IFERROR(L109/$D109,0)</f>
        <v>0.53471344599614967</v>
      </c>
      <c r="Q110" s="2"/>
      <c r="R110" s="58"/>
      <c r="T110" s="17"/>
      <c r="V110" s="63"/>
      <c r="X110" s="63"/>
      <c r="Z110" s="63"/>
      <c r="AB110" s="63"/>
    </row>
    <row r="111" spans="1:28" ht="15" x14ac:dyDescent="0.25">
      <c r="A111" s="18"/>
      <c r="B111" s="31"/>
      <c r="C111" s="60"/>
      <c r="Q111" s="31"/>
      <c r="R111" s="60"/>
    </row>
    <row r="112" spans="1:28" x14ac:dyDescent="0.2">
      <c r="A112" s="18">
        <f>A110+1</f>
        <v>65</v>
      </c>
      <c r="B112" s="2"/>
      <c r="C112" s="58" t="s">
        <v>367</v>
      </c>
      <c r="D112" s="20">
        <f>SUM(F112:L112)</f>
        <v>-215727.48722479556</v>
      </c>
      <c r="F112" s="20">
        <v>0</v>
      </c>
      <c r="G112" s="20"/>
      <c r="H112" s="20">
        <v>-30467.610982604227</v>
      </c>
      <c r="I112" s="20"/>
      <c r="J112" s="20">
        <v>-77738.765516644649</v>
      </c>
      <c r="L112" s="20">
        <v>-107521.11072554668</v>
      </c>
      <c r="Q112" s="2"/>
      <c r="R112" s="58"/>
      <c r="T112" s="22"/>
      <c r="V112" s="22"/>
      <c r="W112" s="22"/>
      <c r="X112" s="22"/>
      <c r="Y112" s="22"/>
      <c r="Z112" s="22"/>
      <c r="AB112" s="22"/>
    </row>
    <row r="113" spans="1:28" x14ac:dyDescent="0.2">
      <c r="A113" s="18">
        <f>A112+1</f>
        <v>66</v>
      </c>
      <c r="B113" s="2" t="s">
        <v>300</v>
      </c>
      <c r="C113" s="58"/>
      <c r="D113" s="17">
        <f>SUM(F113:L113)</f>
        <v>1</v>
      </c>
      <c r="F113" s="24">
        <f>IFERROR(F112/$D112,0)</f>
        <v>0</v>
      </c>
      <c r="H113" s="24">
        <f>IFERROR(H112/$D112,0)</f>
        <v>0.14123193745290286</v>
      </c>
      <c r="J113" s="24">
        <f>IFERROR(J112/$D112,0)</f>
        <v>0.36035632972277726</v>
      </c>
      <c r="L113" s="24">
        <f>IFERROR(L112/$D112,0)</f>
        <v>0.49841173282431983</v>
      </c>
      <c r="Q113" s="2"/>
      <c r="R113" s="58"/>
      <c r="T113" s="17"/>
      <c r="V113" s="63"/>
      <c r="X113" s="63"/>
      <c r="Z113" s="63"/>
      <c r="AB113" s="63"/>
    </row>
    <row r="114" spans="1:28" ht="15" x14ac:dyDescent="0.25">
      <c r="A114" s="18"/>
      <c r="B114" s="31"/>
      <c r="C114" s="60"/>
      <c r="Q114" s="31"/>
      <c r="R114" s="60"/>
    </row>
    <row r="115" spans="1:28" x14ac:dyDescent="0.2">
      <c r="A115" s="18">
        <f>A113+1</f>
        <v>67</v>
      </c>
      <c r="B115" s="2"/>
      <c r="C115" s="58" t="s">
        <v>368</v>
      </c>
      <c r="D115" s="20">
        <f>SUM(F115:L115)</f>
        <v>1</v>
      </c>
      <c r="F115" s="20">
        <v>0</v>
      </c>
      <c r="G115" s="20"/>
      <c r="H115" s="20">
        <v>0</v>
      </c>
      <c r="I115" s="20"/>
      <c r="J115" s="20">
        <v>1</v>
      </c>
      <c r="L115" s="20">
        <v>0</v>
      </c>
      <c r="Q115" s="2"/>
      <c r="R115" s="58"/>
      <c r="T115" s="22"/>
      <c r="V115" s="22"/>
      <c r="W115" s="22"/>
      <c r="X115" s="22"/>
      <c r="Y115" s="22"/>
      <c r="Z115" s="22"/>
      <c r="AB115" s="22"/>
    </row>
    <row r="116" spans="1:28" x14ac:dyDescent="0.2">
      <c r="A116" s="18">
        <f>A115+1</f>
        <v>68</v>
      </c>
      <c r="B116" s="2" t="s">
        <v>73</v>
      </c>
      <c r="C116" s="58"/>
      <c r="D116" s="17">
        <f>SUM(F116:L116)</f>
        <v>1</v>
      </c>
      <c r="F116" s="24">
        <f>IFERROR(F115/$D115,0)</f>
        <v>0</v>
      </c>
      <c r="H116" s="24">
        <f>IFERROR(H115/$D115,0)</f>
        <v>0</v>
      </c>
      <c r="J116" s="24">
        <f>IFERROR(J115/$D115,0)</f>
        <v>1</v>
      </c>
      <c r="L116" s="24">
        <f>IFERROR(L115/$D115,0)</f>
        <v>0</v>
      </c>
      <c r="Q116" s="2"/>
      <c r="R116" s="58"/>
      <c r="T116" s="17"/>
      <c r="V116" s="63"/>
      <c r="X116" s="63"/>
      <c r="Z116" s="63"/>
      <c r="AB116" s="63"/>
    </row>
    <row r="117" spans="1:28" x14ac:dyDescent="0.2">
      <c r="A117" s="18"/>
      <c r="B117" s="2"/>
      <c r="C117" s="58"/>
      <c r="D117" s="17"/>
      <c r="F117" s="24"/>
      <c r="H117" s="24"/>
      <c r="J117" s="24"/>
      <c r="L117" s="24"/>
      <c r="Q117" s="2"/>
      <c r="R117" s="58"/>
      <c r="T117" s="17"/>
      <c r="V117" s="63"/>
      <c r="X117" s="63"/>
      <c r="Z117" s="63"/>
      <c r="AB117" s="63"/>
    </row>
    <row r="118" spans="1:28" x14ac:dyDescent="0.2">
      <c r="A118" s="18">
        <f>A116+1</f>
        <v>69</v>
      </c>
      <c r="B118" s="2"/>
      <c r="C118" s="58" t="s">
        <v>367</v>
      </c>
      <c r="D118" s="20">
        <f>SUM(F118:L118)</f>
        <v>34752.332684064371</v>
      </c>
      <c r="F118" s="20">
        <v>0</v>
      </c>
      <c r="G118" s="20"/>
      <c r="H118" s="20">
        <v>7509.5099837752905</v>
      </c>
      <c r="I118" s="20"/>
      <c r="J118" s="20">
        <v>10628.237275639083</v>
      </c>
      <c r="L118" s="20">
        <v>16614.585424649998</v>
      </c>
      <c r="Q118" s="2"/>
      <c r="R118" s="58"/>
      <c r="T118" s="22"/>
      <c r="V118" s="22"/>
      <c r="W118" s="22"/>
      <c r="X118" s="22"/>
      <c r="Y118" s="22"/>
      <c r="Z118" s="22"/>
      <c r="AB118" s="22"/>
    </row>
    <row r="119" spans="1:28" x14ac:dyDescent="0.2">
      <c r="A119" s="18">
        <f>A118+1</f>
        <v>70</v>
      </c>
      <c r="B119" s="2" t="s">
        <v>107</v>
      </c>
      <c r="C119" s="58"/>
      <c r="D119" s="17">
        <f>SUM(F119:L119)</f>
        <v>1</v>
      </c>
      <c r="F119" s="24">
        <f>IFERROR(F118/$D118,0)</f>
        <v>0</v>
      </c>
      <c r="H119" s="24">
        <f>IFERROR(H118/$D118,0)</f>
        <v>0.21608650135933938</v>
      </c>
      <c r="J119" s="24">
        <f>IFERROR(J118/$D118,0)</f>
        <v>0.30582802519361946</v>
      </c>
      <c r="L119" s="24">
        <f>IFERROR(L118/$D118,0)</f>
        <v>0.47808547344704116</v>
      </c>
      <c r="Q119" s="2"/>
      <c r="R119" s="58"/>
      <c r="T119" s="17"/>
      <c r="V119" s="63"/>
      <c r="X119" s="63"/>
      <c r="Z119" s="63"/>
      <c r="AB119" s="63"/>
    </row>
    <row r="120" spans="1:28" x14ac:dyDescent="0.2">
      <c r="Q120" s="31"/>
      <c r="R120" s="58"/>
    </row>
    <row r="121" spans="1:28" x14ac:dyDescent="0.2">
      <c r="D121" s="17"/>
      <c r="F121" s="24"/>
      <c r="H121" s="24"/>
      <c r="J121" s="24"/>
      <c r="L121" s="24"/>
      <c r="Q121" s="2"/>
      <c r="R121" s="58"/>
      <c r="T121" s="17"/>
      <c r="V121" s="63"/>
      <c r="X121" s="63"/>
      <c r="Z121" s="63"/>
      <c r="AB121" s="63"/>
    </row>
    <row r="122" spans="1:28" x14ac:dyDescent="0.2">
      <c r="F122" s="20"/>
      <c r="V122" s="22"/>
    </row>
    <row r="123" spans="1:28" x14ac:dyDescent="0.2">
      <c r="Q123" s="1"/>
    </row>
    <row r="124" spans="1:28" x14ac:dyDescent="0.2">
      <c r="Q124" s="1"/>
    </row>
    <row r="130" spans="1:14" x14ac:dyDescent="0.2">
      <c r="A130" s="56"/>
      <c r="B130" s="18"/>
    </row>
    <row r="131" spans="1:14" x14ac:dyDescent="0.2">
      <c r="A131" s="56"/>
      <c r="B131" s="62"/>
    </row>
    <row r="132" spans="1:14" x14ac:dyDescent="0.2">
      <c r="A132" s="45"/>
      <c r="N132" s="31"/>
    </row>
    <row r="133" spans="1:14" x14ac:dyDescent="0.2">
      <c r="A133" s="56"/>
      <c r="B133" s="18"/>
    </row>
    <row r="134" spans="1:14" x14ac:dyDescent="0.2">
      <c r="A134" s="56"/>
      <c r="B134" s="62"/>
    </row>
    <row r="135" spans="1:14" x14ac:dyDescent="0.2">
      <c r="A135" s="45"/>
    </row>
    <row r="136" spans="1:14" x14ac:dyDescent="0.2">
      <c r="A136" s="56"/>
      <c r="B136" s="18"/>
    </row>
    <row r="137" spans="1:14" ht="15" x14ac:dyDescent="0.25">
      <c r="A137" s="56"/>
      <c r="B137" s="62"/>
      <c r="M137"/>
    </row>
    <row r="138" spans="1:14" ht="15" x14ac:dyDescent="0.25">
      <c r="A138" s="114"/>
      <c r="M138"/>
    </row>
    <row r="139" spans="1:14" ht="15" x14ac:dyDescent="0.25">
      <c r="A139" s="56"/>
      <c r="B139" s="18"/>
      <c r="M139"/>
    </row>
    <row r="140" spans="1:14" ht="15" x14ac:dyDescent="0.25">
      <c r="A140" s="56"/>
      <c r="B140" s="62"/>
      <c r="M140"/>
    </row>
    <row r="141" spans="1:14" ht="15" x14ac:dyDescent="0.25">
      <c r="A141" s="45"/>
      <c r="M141"/>
    </row>
    <row r="142" spans="1:14" ht="15" x14ac:dyDescent="0.25">
      <c r="A142" s="56"/>
      <c r="B142" s="18"/>
      <c r="M142"/>
    </row>
    <row r="143" spans="1:14" ht="15" x14ac:dyDescent="0.25">
      <c r="A143" s="56"/>
      <c r="B143" s="62"/>
      <c r="M143"/>
    </row>
    <row r="144" spans="1:14" ht="15" x14ac:dyDescent="0.25">
      <c r="A144" s="45"/>
      <c r="M144"/>
    </row>
    <row r="145" spans="1:2" x14ac:dyDescent="0.2">
      <c r="A145" s="56"/>
      <c r="B145" s="18"/>
    </row>
    <row r="146" spans="1:2" x14ac:dyDescent="0.2">
      <c r="A146" s="56"/>
      <c r="B146" s="62"/>
    </row>
    <row r="147" spans="1:2" x14ac:dyDescent="0.2">
      <c r="A147" s="45"/>
    </row>
    <row r="148" spans="1:2" x14ac:dyDescent="0.2">
      <c r="A148" s="56"/>
      <c r="B148" s="18"/>
    </row>
    <row r="149" spans="1:2" x14ac:dyDescent="0.2">
      <c r="A149" s="56"/>
      <c r="B149" s="62"/>
    </row>
    <row r="150" spans="1:2" x14ac:dyDescent="0.2">
      <c r="A150" s="45"/>
    </row>
    <row r="151" spans="1:2" x14ac:dyDescent="0.2">
      <c r="A151" s="56"/>
      <c r="B151" s="18"/>
    </row>
    <row r="152" spans="1:2" x14ac:dyDescent="0.2">
      <c r="A152" s="56"/>
      <c r="B152" s="62"/>
    </row>
    <row r="153" spans="1:2" ht="15" x14ac:dyDescent="0.25">
      <c r="A153" s="114"/>
    </row>
    <row r="154" spans="1:2" x14ac:dyDescent="0.2">
      <c r="A154" s="56"/>
      <c r="B154" s="18"/>
    </row>
    <row r="155" spans="1:2" x14ac:dyDescent="0.2">
      <c r="A155" s="56"/>
      <c r="B155" s="62"/>
    </row>
    <row r="156" spans="1:2" x14ac:dyDescent="0.2">
      <c r="A156" s="45"/>
    </row>
    <row r="157" spans="1:2" x14ac:dyDescent="0.2">
      <c r="A157" s="56"/>
      <c r="B157" s="18"/>
    </row>
    <row r="158" spans="1:2" x14ac:dyDescent="0.2">
      <c r="A158" s="56"/>
      <c r="B158" s="62"/>
    </row>
    <row r="159" spans="1:2" x14ac:dyDescent="0.2">
      <c r="A159" s="45"/>
    </row>
    <row r="160" spans="1:2" x14ac:dyDescent="0.2">
      <c r="A160" s="56"/>
      <c r="B160" s="18"/>
    </row>
    <row r="161" spans="1:2" x14ac:dyDescent="0.2">
      <c r="A161" s="56"/>
      <c r="B161" s="62"/>
    </row>
    <row r="162" spans="1:2" x14ac:dyDescent="0.2">
      <c r="A162" s="45"/>
    </row>
    <row r="163" spans="1:2" x14ac:dyDescent="0.2">
      <c r="A163" s="56"/>
      <c r="B163" s="18"/>
    </row>
    <row r="164" spans="1:2" x14ac:dyDescent="0.2">
      <c r="A164" s="56"/>
      <c r="B164" s="62"/>
    </row>
    <row r="165" spans="1:2" ht="15" x14ac:dyDescent="0.25">
      <c r="A165" s="114"/>
    </row>
    <row r="166" spans="1:2" x14ac:dyDescent="0.2">
      <c r="A166" s="56"/>
      <c r="B166" s="18"/>
    </row>
    <row r="167" spans="1:2" x14ac:dyDescent="0.2">
      <c r="A167" s="56"/>
      <c r="B167" s="62"/>
    </row>
    <row r="168" spans="1:2" x14ac:dyDescent="0.2">
      <c r="A168" s="45"/>
    </row>
    <row r="169" spans="1:2" x14ac:dyDescent="0.2">
      <c r="A169" s="56"/>
      <c r="B169" s="18"/>
    </row>
    <row r="170" spans="1:2" x14ac:dyDescent="0.2">
      <c r="A170" s="56"/>
      <c r="B170" s="62"/>
    </row>
    <row r="171" spans="1:2" x14ac:dyDescent="0.2">
      <c r="A171" s="45"/>
    </row>
    <row r="172" spans="1:2" x14ac:dyDescent="0.2">
      <c r="A172" s="56"/>
      <c r="B172" s="18"/>
    </row>
    <row r="173" spans="1:2" x14ac:dyDescent="0.2">
      <c r="A173" s="56"/>
      <c r="B173" s="62"/>
    </row>
    <row r="174" spans="1:2" x14ac:dyDescent="0.2">
      <c r="A174" s="45"/>
    </row>
    <row r="175" spans="1:2" x14ac:dyDescent="0.2">
      <c r="A175" s="56"/>
      <c r="B175" s="18"/>
    </row>
    <row r="176" spans="1:2" x14ac:dyDescent="0.2">
      <c r="A176" s="56"/>
      <c r="B176" s="62"/>
    </row>
    <row r="177" spans="1:12" x14ac:dyDescent="0.2">
      <c r="A177" s="45"/>
    </row>
    <row r="178" spans="1:12" x14ac:dyDescent="0.2">
      <c r="A178" s="56"/>
      <c r="B178" s="18"/>
    </row>
    <row r="179" spans="1:12" x14ac:dyDescent="0.2">
      <c r="A179" s="56"/>
      <c r="B179" s="62"/>
    </row>
    <row r="180" spans="1:12" ht="15" x14ac:dyDescent="0.25">
      <c r="A180" s="114"/>
    </row>
    <row r="181" spans="1:12" x14ac:dyDescent="0.2">
      <c r="A181" s="56"/>
      <c r="B181" s="18"/>
    </row>
    <row r="182" spans="1:12" x14ac:dyDescent="0.2">
      <c r="A182" s="56"/>
      <c r="B182" s="62"/>
    </row>
    <row r="183" spans="1:12" x14ac:dyDescent="0.2">
      <c r="A183" s="45"/>
      <c r="D183" s="17"/>
      <c r="F183" s="63"/>
      <c r="H183" s="63"/>
      <c r="J183" s="63"/>
      <c r="L183" s="63"/>
    </row>
    <row r="184" spans="1:12" x14ac:dyDescent="0.2">
      <c r="A184" s="56"/>
      <c r="B184" s="18"/>
    </row>
    <row r="185" spans="1:12" x14ac:dyDescent="0.2">
      <c r="A185" s="56"/>
      <c r="B185" s="62"/>
    </row>
    <row r="186" spans="1:12" x14ac:dyDescent="0.2">
      <c r="A186" s="45"/>
      <c r="D186" s="17"/>
      <c r="F186" s="63"/>
      <c r="H186" s="63"/>
      <c r="J186" s="63"/>
      <c r="L186" s="63"/>
    </row>
    <row r="187" spans="1:12" x14ac:dyDescent="0.2">
      <c r="A187" s="56"/>
      <c r="B187" s="18"/>
      <c r="C187" s="30"/>
    </row>
    <row r="188" spans="1:12" x14ac:dyDescent="0.2">
      <c r="A188" s="56"/>
      <c r="B188" s="62"/>
      <c r="C188" s="17"/>
    </row>
    <row r="189" spans="1:12" ht="15" x14ac:dyDescent="0.25">
      <c r="A189" s="114"/>
      <c r="B189"/>
      <c r="C189"/>
      <c r="D189"/>
      <c r="E189"/>
      <c r="F189"/>
      <c r="G189"/>
      <c r="H189"/>
      <c r="I189"/>
      <c r="J189"/>
      <c r="K189"/>
      <c r="L189"/>
    </row>
    <row r="190" spans="1:12" x14ac:dyDescent="0.2">
      <c r="A190" s="56"/>
      <c r="B190" s="18"/>
      <c r="C190" s="30"/>
    </row>
    <row r="191" spans="1:12" x14ac:dyDescent="0.2">
      <c r="A191" s="56"/>
      <c r="B191" s="62"/>
      <c r="C191" s="17"/>
    </row>
    <row r="192" spans="1:12" ht="15" x14ac:dyDescent="0.25">
      <c r="A192" s="114"/>
      <c r="B192"/>
      <c r="C192"/>
      <c r="D192"/>
      <c r="E192"/>
      <c r="F192"/>
      <c r="G192"/>
      <c r="H192"/>
      <c r="I192"/>
      <c r="J192"/>
      <c r="K192"/>
      <c r="L192"/>
    </row>
    <row r="193" spans="1:3" x14ac:dyDescent="0.2">
      <c r="A193" s="56"/>
      <c r="B193" s="18"/>
      <c r="C193" s="30"/>
    </row>
    <row r="194" spans="1:3" x14ac:dyDescent="0.2">
      <c r="A194" s="56"/>
      <c r="B194" s="62"/>
      <c r="C194" s="17"/>
    </row>
    <row r="195" spans="1:3" x14ac:dyDescent="0.2">
      <c r="A195" s="45"/>
    </row>
    <row r="196" spans="1:3" x14ac:dyDescent="0.2">
      <c r="A196" s="56"/>
      <c r="B196" s="18"/>
    </row>
    <row r="197" spans="1:3" x14ac:dyDescent="0.2">
      <c r="A197" s="56"/>
      <c r="B197" s="62"/>
    </row>
    <row r="198" spans="1:3" x14ac:dyDescent="0.2">
      <c r="A198" s="45"/>
    </row>
    <row r="199" spans="1:3" x14ac:dyDescent="0.2">
      <c r="A199" s="56"/>
      <c r="B199" s="18"/>
      <c r="C199" s="30"/>
    </row>
    <row r="200" spans="1:3" x14ac:dyDescent="0.2">
      <c r="A200" s="56"/>
      <c r="B200" s="62"/>
      <c r="C200" s="17"/>
    </row>
    <row r="202" spans="1:3" x14ac:dyDescent="0.2">
      <c r="A202" s="56"/>
      <c r="B202" s="18"/>
    </row>
    <row r="203" spans="1:3" x14ac:dyDescent="0.2">
      <c r="A203" s="56"/>
      <c r="B203" s="62"/>
    </row>
    <row r="205" spans="1:3" x14ac:dyDescent="0.2">
      <c r="A205" s="56"/>
      <c r="B205" s="18"/>
    </row>
    <row r="206" spans="1:3" x14ac:dyDescent="0.2">
      <c r="A206" s="56"/>
      <c r="B206" s="62"/>
    </row>
    <row r="208" spans="1:3" x14ac:dyDescent="0.2">
      <c r="A208" s="3"/>
      <c r="B208" s="18"/>
    </row>
    <row r="209" spans="1:12" x14ac:dyDescent="0.2">
      <c r="A209" s="3"/>
      <c r="B209" s="62"/>
    </row>
    <row r="210" spans="1:12" x14ac:dyDescent="0.2">
      <c r="A210" s="115"/>
    </row>
    <row r="211" spans="1:12" x14ac:dyDescent="0.2">
      <c r="A211" s="3"/>
      <c r="B211" s="18"/>
    </row>
    <row r="212" spans="1:12" x14ac:dyDescent="0.2">
      <c r="A212" s="3"/>
      <c r="B212" s="62"/>
    </row>
    <row r="213" spans="1:12" x14ac:dyDescent="0.2">
      <c r="A213" s="115"/>
    </row>
    <row r="214" spans="1:12" x14ac:dyDescent="0.2">
      <c r="A214" s="3"/>
      <c r="B214" s="18"/>
    </row>
    <row r="215" spans="1:12" x14ac:dyDescent="0.2">
      <c r="A215" s="3"/>
      <c r="B215" s="62"/>
    </row>
    <row r="216" spans="1:12" x14ac:dyDescent="0.2">
      <c r="A216" s="115"/>
      <c r="B216" s="18"/>
      <c r="D216" s="17"/>
      <c r="F216" s="63"/>
      <c r="H216" s="63"/>
      <c r="J216" s="63"/>
      <c r="L216" s="63"/>
    </row>
    <row r="217" spans="1:12" x14ac:dyDescent="0.2">
      <c r="A217" s="3"/>
      <c r="B217" s="18"/>
    </row>
    <row r="218" spans="1:12" x14ac:dyDescent="0.2">
      <c r="A218" s="3"/>
      <c r="B218" s="62"/>
    </row>
    <row r="220" spans="1:12" x14ac:dyDescent="0.2">
      <c r="A220" s="2"/>
      <c r="B220" s="18"/>
    </row>
    <row r="221" spans="1:12" x14ac:dyDescent="0.2">
      <c r="A221" s="2"/>
      <c r="B221" s="62"/>
    </row>
    <row r="222" spans="1:12" x14ac:dyDescent="0.2">
      <c r="A222" s="45"/>
    </row>
    <row r="223" spans="1:12" x14ac:dyDescent="0.2">
      <c r="A223" s="2"/>
      <c r="B223" s="18"/>
    </row>
    <row r="224" spans="1:12" x14ac:dyDescent="0.2">
      <c r="A224" s="2"/>
      <c r="B224" s="62"/>
    </row>
    <row r="225" spans="1:6" x14ac:dyDescent="0.2">
      <c r="A225" s="45"/>
    </row>
    <row r="226" spans="1:6" x14ac:dyDescent="0.2">
      <c r="A226" s="2"/>
      <c r="B226" s="18"/>
    </row>
    <row r="227" spans="1:6" x14ac:dyDescent="0.2">
      <c r="A227" s="2"/>
      <c r="B227" s="62"/>
    </row>
    <row r="228" spans="1:6" x14ac:dyDescent="0.2">
      <c r="A228" s="45"/>
    </row>
    <row r="229" spans="1:6" x14ac:dyDescent="0.2">
      <c r="A229" s="2"/>
      <c r="B229" s="18"/>
    </row>
    <row r="230" spans="1:6" x14ac:dyDescent="0.2">
      <c r="A230" s="2"/>
      <c r="B230" s="62"/>
    </row>
    <row r="231" spans="1:6" x14ac:dyDescent="0.2">
      <c r="A231" s="45"/>
    </row>
    <row r="232" spans="1:6" x14ac:dyDescent="0.2">
      <c r="A232" s="2"/>
      <c r="B232" s="18"/>
    </row>
    <row r="233" spans="1:6" x14ac:dyDescent="0.2">
      <c r="A233" s="2"/>
      <c r="B233" s="62"/>
    </row>
    <row r="234" spans="1:6" x14ac:dyDescent="0.2">
      <c r="A234" s="45"/>
    </row>
    <row r="235" spans="1:6" x14ac:dyDescent="0.2">
      <c r="A235" s="2"/>
      <c r="B235" s="18"/>
    </row>
    <row r="236" spans="1:6" x14ac:dyDescent="0.2">
      <c r="A236" s="2"/>
      <c r="B236" s="62"/>
    </row>
    <row r="237" spans="1:6" x14ac:dyDescent="0.2">
      <c r="F237" s="22"/>
    </row>
    <row r="238" spans="1:6" x14ac:dyDescent="0.2">
      <c r="A238" s="1"/>
    </row>
    <row r="239" spans="1:6" x14ac:dyDescent="0.2">
      <c r="A239" s="1"/>
    </row>
  </sheetData>
  <mergeCells count="2">
    <mergeCell ref="B6:M6"/>
    <mergeCell ref="B7:M7"/>
  </mergeCells>
  <pageMargins left="0.7" right="0.7" top="0.75" bottom="0.75" header="0.3" footer="0.3"/>
  <pageSetup scale="65" fitToHeight="3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BB91F-9B9B-4444-942A-941111A80E7D}">
  <sheetPr>
    <tabColor theme="0" tint="-0.249977111117893"/>
  </sheetPr>
  <dimension ref="A2:W57"/>
  <sheetViews>
    <sheetView zoomScale="70" zoomScaleNormal="70" workbookViewId="0">
      <selection activeCell="H54" sqref="H54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23.5703125" style="2" bestFit="1" customWidth="1"/>
    <col min="9" max="9" width="1.7109375" style="31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31" customWidth="1"/>
    <col min="14" max="15" width="12.85546875" style="31" customWidth="1"/>
    <col min="16" max="23" width="10.7109375" style="31" customWidth="1"/>
    <col min="24" max="16384" width="9.140625" style="31"/>
  </cols>
  <sheetData>
    <row r="2" spans="1:23" x14ac:dyDescent="0.2">
      <c r="B2" s="161" t="s">
        <v>363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</row>
    <row r="3" spans="1:23" x14ac:dyDescent="0.2">
      <c r="B3" s="161" t="s">
        <v>519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</row>
    <row r="5" spans="1:23" x14ac:dyDescent="0.2">
      <c r="D5" s="2" t="s">
        <v>150</v>
      </c>
    </row>
    <row r="6" spans="1:23" x14ac:dyDescent="0.2">
      <c r="A6" s="2" t="s">
        <v>2</v>
      </c>
      <c r="D6" s="2" t="s">
        <v>5</v>
      </c>
      <c r="F6" s="2" t="s">
        <v>167</v>
      </c>
      <c r="H6" s="2" t="s">
        <v>168</v>
      </c>
      <c r="I6" s="2"/>
      <c r="J6" s="2" t="s">
        <v>169</v>
      </c>
      <c r="L6" s="2" t="s">
        <v>104</v>
      </c>
      <c r="N6" s="2" t="s">
        <v>80</v>
      </c>
      <c r="O6" s="2" t="s">
        <v>80</v>
      </c>
      <c r="P6" s="2" t="s">
        <v>80</v>
      </c>
      <c r="Q6" s="2" t="s">
        <v>80</v>
      </c>
      <c r="R6" s="2" t="s">
        <v>80</v>
      </c>
      <c r="S6" s="2" t="s">
        <v>80</v>
      </c>
      <c r="T6" s="2" t="s">
        <v>80</v>
      </c>
      <c r="U6" s="2" t="s">
        <v>80</v>
      </c>
      <c r="V6" s="2" t="s">
        <v>80</v>
      </c>
      <c r="W6" s="2" t="s">
        <v>80</v>
      </c>
    </row>
    <row r="7" spans="1:23" x14ac:dyDescent="0.2">
      <c r="A7" s="33" t="s">
        <v>4</v>
      </c>
      <c r="B7" s="80" t="s">
        <v>374</v>
      </c>
      <c r="D7" s="33" t="s">
        <v>152</v>
      </c>
      <c r="F7" s="33" t="s">
        <v>131</v>
      </c>
      <c r="H7" s="33" t="s">
        <v>6</v>
      </c>
      <c r="I7" s="2"/>
      <c r="J7" s="33" t="s">
        <v>170</v>
      </c>
      <c r="L7" s="33" t="s">
        <v>6</v>
      </c>
      <c r="N7" s="33">
        <v>1</v>
      </c>
      <c r="O7" s="33">
        <v>6</v>
      </c>
      <c r="P7" s="33">
        <v>100</v>
      </c>
      <c r="Q7" s="33">
        <v>110</v>
      </c>
      <c r="R7" s="33">
        <v>115</v>
      </c>
      <c r="S7" s="33">
        <v>125</v>
      </c>
      <c r="T7" s="33">
        <v>135</v>
      </c>
      <c r="U7" s="33">
        <v>145</v>
      </c>
      <c r="V7" s="33">
        <v>170</v>
      </c>
      <c r="W7" s="33">
        <v>200</v>
      </c>
    </row>
    <row r="8" spans="1:23" x14ac:dyDescent="0.2">
      <c r="D8" s="120" t="s">
        <v>12</v>
      </c>
      <c r="F8" s="120" t="s">
        <v>13</v>
      </c>
      <c r="H8" s="120" t="s">
        <v>14</v>
      </c>
      <c r="J8" s="120" t="s">
        <v>366</v>
      </c>
      <c r="K8" s="74"/>
      <c r="L8" s="120" t="s">
        <v>15</v>
      </c>
      <c r="M8" s="40"/>
      <c r="N8" s="120" t="s">
        <v>16</v>
      </c>
      <c r="O8" s="120" t="s">
        <v>59</v>
      </c>
      <c r="P8" s="2" t="s">
        <v>61</v>
      </c>
      <c r="Q8" s="120" t="s">
        <v>62</v>
      </c>
      <c r="R8" s="120" t="s">
        <v>82</v>
      </c>
      <c r="S8" s="120" t="s">
        <v>143</v>
      </c>
      <c r="T8" s="120" t="s">
        <v>144</v>
      </c>
      <c r="U8" s="120" t="s">
        <v>145</v>
      </c>
      <c r="V8" s="120" t="s">
        <v>184</v>
      </c>
      <c r="W8" s="120" t="s">
        <v>193</v>
      </c>
    </row>
    <row r="10" spans="1:23" x14ac:dyDescent="0.2">
      <c r="B10" s="77" t="s">
        <v>384</v>
      </c>
    </row>
    <row r="11" spans="1:23" x14ac:dyDescent="0.2">
      <c r="A11" s="2">
        <v>1</v>
      </c>
      <c r="B11" s="31" t="s">
        <v>132</v>
      </c>
      <c r="D11" s="79">
        <f ca="1">'Total Allocation RZ - Gas'!N11</f>
        <v>1102518.0690424258</v>
      </c>
      <c r="J11" s="79">
        <f ca="1">D11-F11</f>
        <v>1102518.0690424258</v>
      </c>
      <c r="L11" s="2" t="s">
        <v>221</v>
      </c>
      <c r="N11" s="79">
        <f ca="1">IF($J11&lt;&gt;0,VLOOKUP($L11,'Allocation Factors - EGD'!$B$12:$S$104,5,FALSE)*$J11,0)+IF($F11&lt;&gt;0,VLOOKUP($H11,'Allocation Factors - EGD'!$B$12:$S$104,5,FALSE)*$F11,0)</f>
        <v>664796.33064683108</v>
      </c>
      <c r="O11" s="79">
        <f ca="1">IF($J11&lt;&gt;0,VLOOKUP($L11,'Allocation Factors - EGD'!$B$12:$S$104,6,FALSE)*$J11,0)+IF($F11&lt;&gt;0,VLOOKUP($H11,'Allocation Factors - EGD'!$B$12:$S$104,6,FALSE)*$F11,0)</f>
        <v>401389.07798596349</v>
      </c>
      <c r="P11" s="79">
        <f ca="1">IF($J11&lt;&gt;0,VLOOKUP($L11,'Allocation Factors - EGD'!$B$12:$S$104,7,FALSE)*$J11,0)+IF($F11&lt;&gt;0,VLOOKUP($H11,'Allocation Factors - EGD'!$B$12:$S$104,7,FALSE)*$F11,0)</f>
        <v>1991.3709063058056</v>
      </c>
      <c r="Q11" s="79">
        <f ca="1">IF($J11&lt;&gt;0,VLOOKUP($L11,'Allocation Factors - EGD'!$B$12:$S$104,8,FALSE)*$J11,0)+IF($F11&lt;&gt;0,VLOOKUP($H11,'Allocation Factors - EGD'!$B$12:$S$104,8,FALSE)*$F11,0)</f>
        <v>13791.212881294163</v>
      </c>
      <c r="R11" s="79">
        <f ca="1">IF($J11&lt;&gt;0,VLOOKUP($L11,'Allocation Factors - EGD'!$B$12:$S$104,9,FALSE)*$J11,0)+IF($F11&lt;&gt;0,VLOOKUP($H11,'Allocation Factors - EGD'!$B$12:$S$104,9,FALSE)*$F11,0)</f>
        <v>222.81674344852806</v>
      </c>
      <c r="S11" s="79">
        <f ca="1">IF($J11&lt;&gt;0,VLOOKUP($L11,'Allocation Factors - EGD'!$B$12:$S$104,10,FALSE)*$J11,0)+IF($F11&lt;&gt;0,VLOOKUP($H11,'Allocation Factors - EGD'!$B$12:$S$104,10,FALSE)*$F11,0)</f>
        <v>0</v>
      </c>
      <c r="T11" s="79">
        <f ca="1">IF($J11&lt;&gt;0,VLOOKUP($L11,'Allocation Factors - EGD'!$B$12:$S$104,11,FALSE)*$J11,0)+IF($F11&lt;&gt;0,VLOOKUP($H11,'Allocation Factors - EGD'!$B$12:$S$104,11,FALSE)*$F11,0)</f>
        <v>592.62271457760971</v>
      </c>
      <c r="U11" s="79">
        <f ca="1">IF($J11&lt;&gt;0,VLOOKUP($L11,'Allocation Factors - EGD'!$B$12:$S$104,12,FALSE)*$J11,0)+IF($F11&lt;&gt;0,VLOOKUP($H11,'Allocation Factors - EGD'!$B$12:$S$104,12,FALSE)*$F11,0)</f>
        <v>77.409221273682832</v>
      </c>
      <c r="V11" s="79">
        <f ca="1">IF($J11&lt;&gt;0,VLOOKUP($L11,'Allocation Factors - EGD'!$B$12:$S$104,13,FALSE)*$J11,0)+IF($F11&lt;&gt;0,VLOOKUP($H11,'Allocation Factors - EGD'!$B$12:$S$104,13,FALSE)*$F11,0)</f>
        <v>723.34573217424372</v>
      </c>
      <c r="W11" s="79">
        <f ca="1">IF($J11&lt;&gt;0,VLOOKUP($L11,'Allocation Factors - EGD'!$B$12:$S$104,14,FALSE)*$J11,0)+IF($F11&lt;&gt;0,VLOOKUP($H11,'Allocation Factors - EGD'!$B$12:$S$104,14,FALSE)*$F11,0)</f>
        <v>18933.882210557331</v>
      </c>
    </row>
    <row r="12" spans="1:23" x14ac:dyDescent="0.2">
      <c r="A12" s="2">
        <f>A11+1</f>
        <v>2</v>
      </c>
      <c r="B12" s="31" t="s">
        <v>385</v>
      </c>
      <c r="D12" s="79">
        <f ca="1">'Total Allocation RZ - Gas'!N12</f>
        <v>119958.96529675428</v>
      </c>
      <c r="J12" s="79">
        <f t="shared" ref="J12:J16" ca="1" si="0">D12-F12</f>
        <v>119958.96529675428</v>
      </c>
      <c r="L12" s="2" t="s">
        <v>263</v>
      </c>
      <c r="N12" s="79">
        <f ca="1">IF($J12&lt;&gt;0,VLOOKUP($L12,'Allocation Factors - EGD'!$B$12:$S$104,5,FALSE)*$J12,0)+IF($F12&lt;&gt;0,VLOOKUP($H12,'Allocation Factors - EGD'!$B$12:$S$104,5,FALSE)*$F12,0)</f>
        <v>61364.045995045431</v>
      </c>
      <c r="O12" s="79">
        <f ca="1">IF($J12&lt;&gt;0,VLOOKUP($L12,'Allocation Factors - EGD'!$B$12:$S$104,6,FALSE)*$J12,0)+IF($F12&lt;&gt;0,VLOOKUP($H12,'Allocation Factors - EGD'!$B$12:$S$104,6,FALSE)*$F12,0)</f>
        <v>53256.07298709028</v>
      </c>
      <c r="P12" s="79">
        <f ca="1">IF($J12&lt;&gt;0,VLOOKUP($L12,'Allocation Factors - EGD'!$B$12:$S$104,7,FALSE)*$J12,0)+IF($F12&lt;&gt;0,VLOOKUP($H12,'Allocation Factors - EGD'!$B$12:$S$104,7,FALSE)*$F12,0)</f>
        <v>142.97716602921386</v>
      </c>
      <c r="Q12" s="79">
        <f ca="1">IF($J12&lt;&gt;0,VLOOKUP($L12,'Allocation Factors - EGD'!$B$12:$S$104,8,FALSE)*$J12,0)+IF($F12&lt;&gt;0,VLOOKUP($H12,'Allocation Factors - EGD'!$B$12:$S$104,8,FALSE)*$F12,0)</f>
        <v>3896.2834464598573</v>
      </c>
      <c r="R12" s="79">
        <f ca="1">IF($J12&lt;&gt;0,VLOOKUP($L12,'Allocation Factors - EGD'!$B$12:$S$104,9,FALSE)*$J12,0)+IF($F12&lt;&gt;0,VLOOKUP($H12,'Allocation Factors - EGD'!$B$12:$S$104,9,FALSE)*$F12,0)</f>
        <v>143.6993533279076</v>
      </c>
      <c r="S12" s="79">
        <f ca="1">IF($J12&lt;&gt;0,VLOOKUP($L12,'Allocation Factors - EGD'!$B$12:$S$104,10,FALSE)*$J12,0)+IF($F12&lt;&gt;0,VLOOKUP($H12,'Allocation Factors - EGD'!$B$12:$S$104,10,FALSE)*$F12,0)</f>
        <v>0</v>
      </c>
      <c r="T12" s="79">
        <f ca="1">IF($J12&lt;&gt;0,VLOOKUP($L12,'Allocation Factors - EGD'!$B$12:$S$104,11,FALSE)*$J12,0)+IF($F12&lt;&gt;0,VLOOKUP($H12,'Allocation Factors - EGD'!$B$12:$S$104,11,FALSE)*$F12,0)</f>
        <v>0</v>
      </c>
      <c r="U12" s="79">
        <f ca="1">IF($J12&lt;&gt;0,VLOOKUP($L12,'Allocation Factors - EGD'!$B$12:$S$104,12,FALSE)*$J12,0)+IF($F12&lt;&gt;0,VLOOKUP($H12,'Allocation Factors - EGD'!$B$12:$S$104,12,FALSE)*$F12,0)</f>
        <v>0</v>
      </c>
      <c r="V12" s="79">
        <f ca="1">IF($J12&lt;&gt;0,VLOOKUP($L12,'Allocation Factors - EGD'!$B$12:$S$104,13,FALSE)*$J12,0)+IF($F12&lt;&gt;0,VLOOKUP($H12,'Allocation Factors - EGD'!$B$12:$S$104,13,FALSE)*$F12,0)</f>
        <v>0</v>
      </c>
      <c r="W12" s="79">
        <f ca="1">IF($J12&lt;&gt;0,VLOOKUP($L12,'Allocation Factors - EGD'!$B$12:$S$104,14,FALSE)*$J12,0)+IF($F12&lt;&gt;0,VLOOKUP($H12,'Allocation Factors - EGD'!$B$12:$S$104,14,FALSE)*$F12,0)</f>
        <v>1155.8863488015973</v>
      </c>
    </row>
    <row r="13" spans="1:23" x14ac:dyDescent="0.2">
      <c r="A13" s="2">
        <f t="shared" ref="A13:A17" si="1">A12+1</f>
        <v>3</v>
      </c>
      <c r="B13" s="31" t="s">
        <v>386</v>
      </c>
      <c r="D13" s="79">
        <f ca="1">'Total Allocation RZ - Gas'!N13</f>
        <v>23604.021689045923</v>
      </c>
      <c r="J13" s="79">
        <f t="shared" ca="1" si="0"/>
        <v>23604.021689045923</v>
      </c>
      <c r="L13" s="2" t="s">
        <v>156</v>
      </c>
      <c r="N13" s="79">
        <f ca="1">IF($J13&lt;&gt;0,VLOOKUP($L13,'Allocation Factors - EGD'!$B$12:$S$104,5,FALSE)*$J13,0)+IF($F13&lt;&gt;0,VLOOKUP($H13,'Allocation Factors - EGD'!$B$12:$S$104,5,FALSE)*$F13,0)</f>
        <v>12074.44786649768</v>
      </c>
      <c r="O13" s="79">
        <f ca="1">IF($J13&lt;&gt;0,VLOOKUP($L13,'Allocation Factors - EGD'!$B$12:$S$104,6,FALSE)*$J13,0)+IF($F13&lt;&gt;0,VLOOKUP($H13,'Allocation Factors - EGD'!$B$12:$S$104,6,FALSE)*$F13,0)</f>
        <v>10479.062559025788</v>
      </c>
      <c r="P13" s="79">
        <f ca="1">IF($J13&lt;&gt;0,VLOOKUP($L13,'Allocation Factors - EGD'!$B$12:$S$104,7,FALSE)*$J13,0)+IF($F13&lt;&gt;0,VLOOKUP($H13,'Allocation Factors - EGD'!$B$12:$S$104,7,FALSE)*$F13,0)</f>
        <v>28.13325473125931</v>
      </c>
      <c r="Q13" s="79">
        <f ca="1">IF($J13&lt;&gt;0,VLOOKUP($L13,'Allocation Factors - EGD'!$B$12:$S$104,8,FALSE)*$J13,0)+IF($F13&lt;&gt;0,VLOOKUP($H13,'Allocation Factors - EGD'!$B$12:$S$104,8,FALSE)*$F13,0)</f>
        <v>766.66182264409247</v>
      </c>
      <c r="R13" s="79">
        <f ca="1">IF($J13&lt;&gt;0,VLOOKUP($L13,'Allocation Factors - EGD'!$B$12:$S$104,9,FALSE)*$J13,0)+IF($F13&lt;&gt;0,VLOOKUP($H13,'Allocation Factors - EGD'!$B$12:$S$104,9,FALSE)*$F13,0)</f>
        <v>28.275357696383686</v>
      </c>
      <c r="S13" s="79">
        <f ca="1">IF($J13&lt;&gt;0,VLOOKUP($L13,'Allocation Factors - EGD'!$B$12:$S$104,10,FALSE)*$J13,0)+IF($F13&lt;&gt;0,VLOOKUP($H13,'Allocation Factors - EGD'!$B$12:$S$104,10,FALSE)*$F13,0)</f>
        <v>0</v>
      </c>
      <c r="T13" s="79">
        <f ca="1">IF($J13&lt;&gt;0,VLOOKUP($L13,'Allocation Factors - EGD'!$B$12:$S$104,11,FALSE)*$J13,0)+IF($F13&lt;&gt;0,VLOOKUP($H13,'Allocation Factors - EGD'!$B$12:$S$104,11,FALSE)*$F13,0)</f>
        <v>0</v>
      </c>
      <c r="U13" s="79">
        <f ca="1">IF($J13&lt;&gt;0,VLOOKUP($L13,'Allocation Factors - EGD'!$B$12:$S$104,12,FALSE)*$J13,0)+IF($F13&lt;&gt;0,VLOOKUP($H13,'Allocation Factors - EGD'!$B$12:$S$104,12,FALSE)*$F13,0)</f>
        <v>0</v>
      </c>
      <c r="V13" s="79">
        <f ca="1">IF($J13&lt;&gt;0,VLOOKUP($L13,'Allocation Factors - EGD'!$B$12:$S$104,13,FALSE)*$J13,0)+IF($F13&lt;&gt;0,VLOOKUP($H13,'Allocation Factors - EGD'!$B$12:$S$104,13,FALSE)*$F13,0)</f>
        <v>0</v>
      </c>
      <c r="W13" s="79">
        <f ca="1">IF($J13&lt;&gt;0,VLOOKUP($L13,'Allocation Factors - EGD'!$B$12:$S$104,14,FALSE)*$J13,0)+IF($F13&lt;&gt;0,VLOOKUP($H13,'Allocation Factors - EGD'!$B$12:$S$104,14,FALSE)*$F13,0)</f>
        <v>227.44082845072032</v>
      </c>
    </row>
    <row r="14" spans="1:23" x14ac:dyDescent="0.2">
      <c r="A14" s="2">
        <f t="shared" si="1"/>
        <v>4</v>
      </c>
      <c r="B14" s="31" t="s">
        <v>115</v>
      </c>
      <c r="D14" s="79">
        <f ca="1">'Total Allocation RZ - Gas'!N14</f>
        <v>128207.84407962111</v>
      </c>
      <c r="F14" s="50"/>
      <c r="J14" s="79">
        <f t="shared" ca="1" si="0"/>
        <v>128207.84407962111</v>
      </c>
      <c r="L14" s="2" t="s">
        <v>262</v>
      </c>
      <c r="N14" s="79">
        <f ca="1">IF($J14&lt;&gt;0,VLOOKUP($L14,'Allocation Factors - EGD'!$B$12:$S$104,5,FALSE)*$J14,0)+IF($F14&lt;&gt;0,VLOOKUP($H14,'Allocation Factors - EGD'!$B$12:$S$104,5,FALSE)*$F14,0)</f>
        <v>52297.510036277148</v>
      </c>
      <c r="O14" s="79">
        <f ca="1">IF($J14&lt;&gt;0,VLOOKUP($L14,'Allocation Factors - EGD'!$B$12:$S$104,6,FALSE)*$J14,0)+IF($F14&lt;&gt;0,VLOOKUP($H14,'Allocation Factors - EGD'!$B$12:$S$104,6,FALSE)*$F14,0)</f>
        <v>54304.162893285764</v>
      </c>
      <c r="P14" s="79">
        <f ca="1">IF($J14&lt;&gt;0,VLOOKUP($L14,'Allocation Factors - EGD'!$B$12:$S$104,7,FALSE)*$J14,0)+IF($F14&lt;&gt;0,VLOOKUP($H14,'Allocation Factors - EGD'!$B$12:$S$104,7,FALSE)*$F14,0)</f>
        <v>284.09964688355666</v>
      </c>
      <c r="Q14" s="79">
        <f ca="1">IF($J14&lt;&gt;0,VLOOKUP($L14,'Allocation Factors - EGD'!$B$12:$S$104,8,FALSE)*$J14,0)+IF($F14&lt;&gt;0,VLOOKUP($H14,'Allocation Factors - EGD'!$B$12:$S$104,8,FALSE)*$F14,0)</f>
        <v>11354.567453891248</v>
      </c>
      <c r="R14" s="79">
        <f ca="1">IF($J14&lt;&gt;0,VLOOKUP($L14,'Allocation Factors - EGD'!$B$12:$S$104,9,FALSE)*$J14,0)+IF($F14&lt;&gt;0,VLOOKUP($H14,'Allocation Factors - EGD'!$B$12:$S$104,9,FALSE)*$F14,0)</f>
        <v>3955.2801978424391</v>
      </c>
      <c r="S14" s="79">
        <f ca="1">IF($J14&lt;&gt;0,VLOOKUP($L14,'Allocation Factors - EGD'!$B$12:$S$104,10,FALSE)*$J14,0)+IF($F14&lt;&gt;0,VLOOKUP($H14,'Allocation Factors - EGD'!$B$12:$S$104,10,FALSE)*$F14,0)</f>
        <v>0</v>
      </c>
      <c r="T14" s="79">
        <f ca="1">IF($J14&lt;&gt;0,VLOOKUP($L14,'Allocation Factors - EGD'!$B$12:$S$104,11,FALSE)*$J14,0)+IF($F14&lt;&gt;0,VLOOKUP($H14,'Allocation Factors - EGD'!$B$12:$S$104,11,FALSE)*$F14,0)</f>
        <v>545.29038285710647</v>
      </c>
      <c r="U14" s="79">
        <f ca="1">IF($J14&lt;&gt;0,VLOOKUP($L14,'Allocation Factors - EGD'!$B$12:$S$104,12,FALSE)*$J14,0)+IF($F14&lt;&gt;0,VLOOKUP($H14,'Allocation Factors - EGD'!$B$12:$S$104,12,FALSE)*$F14,0)</f>
        <v>162.75552146188241</v>
      </c>
      <c r="V14" s="79">
        <f ca="1">IF($J14&lt;&gt;0,VLOOKUP($L14,'Allocation Factors - EGD'!$B$12:$S$104,13,FALSE)*$J14,0)+IF($F14&lt;&gt;0,VLOOKUP($H14,'Allocation Factors - EGD'!$B$12:$S$104,13,FALSE)*$F14,0)</f>
        <v>3348.1269362134176</v>
      </c>
      <c r="W14" s="79">
        <f ca="1">IF($J14&lt;&gt;0,VLOOKUP($L14,'Allocation Factors - EGD'!$B$12:$S$104,14,FALSE)*$J14,0)+IF($F14&lt;&gt;0,VLOOKUP($H14,'Allocation Factors - EGD'!$B$12:$S$104,14,FALSE)*$F14,0)</f>
        <v>1956.0510109085217</v>
      </c>
    </row>
    <row r="15" spans="1:23" x14ac:dyDescent="0.2">
      <c r="A15" s="2">
        <f t="shared" si="1"/>
        <v>5</v>
      </c>
      <c r="B15" s="31" t="s">
        <v>133</v>
      </c>
      <c r="D15" s="79">
        <f ca="1">'Total Allocation RZ - Gas'!N15</f>
        <v>11955.5993527677</v>
      </c>
      <c r="J15" s="79">
        <f t="shared" ca="1" si="0"/>
        <v>11955.5993527677</v>
      </c>
      <c r="L15" s="2" t="s">
        <v>264</v>
      </c>
      <c r="N15" s="79">
        <f ca="1">IF($J15&lt;&gt;0,VLOOKUP($L15,'Allocation Factors - EGD'!$B$12:$S$104,5,FALSE)*$J15,0)+IF($F15&lt;&gt;0,VLOOKUP($H15,'Allocation Factors - EGD'!$B$12:$S$104,5,FALSE)*$F15,0)</f>
        <v>5048.2059121763796</v>
      </c>
      <c r="O15" s="79">
        <f ca="1">IF($J15&lt;&gt;0,VLOOKUP($L15,'Allocation Factors - EGD'!$B$12:$S$104,6,FALSE)*$J15,0)+IF($F15&lt;&gt;0,VLOOKUP($H15,'Allocation Factors - EGD'!$B$12:$S$104,6,FALSE)*$F15,0)</f>
        <v>4834.3065911979456</v>
      </c>
      <c r="P15" s="79">
        <f ca="1">IF($J15&lt;&gt;0,VLOOKUP($L15,'Allocation Factors - EGD'!$B$12:$S$104,7,FALSE)*$J15,0)+IF($F15&lt;&gt;0,VLOOKUP($H15,'Allocation Factors - EGD'!$B$12:$S$104,7,FALSE)*$F15,0)</f>
        <v>27.629566360633593</v>
      </c>
      <c r="Q15" s="79">
        <f ca="1">IF($J15&lt;&gt;0,VLOOKUP($L15,'Allocation Factors - EGD'!$B$12:$S$104,8,FALSE)*$J15,0)+IF($F15&lt;&gt;0,VLOOKUP($H15,'Allocation Factors - EGD'!$B$12:$S$104,8,FALSE)*$F15,0)</f>
        <v>1076.0867906701237</v>
      </c>
      <c r="R15" s="79">
        <f ca="1">IF($J15&lt;&gt;0,VLOOKUP($L15,'Allocation Factors - EGD'!$B$12:$S$104,9,FALSE)*$J15,0)+IF($F15&lt;&gt;0,VLOOKUP($H15,'Allocation Factors - EGD'!$B$12:$S$104,9,FALSE)*$F15,0)</f>
        <v>384.66319089083254</v>
      </c>
      <c r="S15" s="79">
        <f ca="1">IF($J15&lt;&gt;0,VLOOKUP($L15,'Allocation Factors - EGD'!$B$12:$S$104,10,FALSE)*$J15,0)+IF($F15&lt;&gt;0,VLOOKUP($H15,'Allocation Factors - EGD'!$B$12:$S$104,10,FALSE)*$F15,0)</f>
        <v>0</v>
      </c>
      <c r="T15" s="79">
        <f ca="1">IF($J15&lt;&gt;0,VLOOKUP($L15,'Allocation Factors - EGD'!$B$12:$S$104,11,FALSE)*$J15,0)+IF($F15&lt;&gt;0,VLOOKUP($H15,'Allocation Factors - EGD'!$B$12:$S$104,11,FALSE)*$F15,0)</f>
        <v>53.031170521450349</v>
      </c>
      <c r="U15" s="79">
        <f ca="1">IF($J15&lt;&gt;0,VLOOKUP($L15,'Allocation Factors - EGD'!$B$12:$S$104,12,FALSE)*$J15,0)+IF($F15&lt;&gt;0,VLOOKUP($H15,'Allocation Factors - EGD'!$B$12:$S$104,12,FALSE)*$F15,0)</f>
        <v>15.828476135465685</v>
      </c>
      <c r="V15" s="79">
        <f ca="1">IF($J15&lt;&gt;0,VLOOKUP($L15,'Allocation Factors - EGD'!$B$12:$S$104,13,FALSE)*$J15,0)+IF($F15&lt;&gt;0,VLOOKUP($H15,'Allocation Factors - EGD'!$B$12:$S$104,13,FALSE)*$F15,0)</f>
        <v>325.61566472431849</v>
      </c>
      <c r="W15" s="79">
        <f ca="1">IF($J15&lt;&gt;0,VLOOKUP($L15,'Allocation Factors - EGD'!$B$12:$S$104,14,FALSE)*$J15,0)+IF($F15&lt;&gt;0,VLOOKUP($H15,'Allocation Factors - EGD'!$B$12:$S$104,14,FALSE)*$F15,0)</f>
        <v>190.23199009054971</v>
      </c>
    </row>
    <row r="16" spans="1:23" x14ac:dyDescent="0.2">
      <c r="A16" s="2">
        <f t="shared" si="1"/>
        <v>6</v>
      </c>
      <c r="B16" s="31" t="s">
        <v>135</v>
      </c>
      <c r="D16" s="79">
        <f ca="1">'Total Allocation RZ - Gas'!N16</f>
        <v>0</v>
      </c>
      <c r="J16" s="79">
        <f t="shared" ca="1" si="0"/>
        <v>0</v>
      </c>
      <c r="L16" s="2" t="s">
        <v>221</v>
      </c>
      <c r="N16" s="79">
        <f ca="1">IF($J16&lt;&gt;0,VLOOKUP($L16,'Allocation Factors - EGD'!$B$12:$S$104,5,FALSE)*$J16,0)+IF($F16&lt;&gt;0,VLOOKUP($H16,'Allocation Factors - EGD'!$B$12:$S$104,5,FALSE)*$F16,0)</f>
        <v>0</v>
      </c>
      <c r="O16" s="79">
        <f ca="1">IF($J16&lt;&gt;0,VLOOKUP($L16,'Allocation Factors - EGD'!$B$12:$S$104,6,FALSE)*$J16,0)+IF($F16&lt;&gt;0,VLOOKUP($H16,'Allocation Factors - EGD'!$B$12:$S$104,6,FALSE)*$F16,0)</f>
        <v>0</v>
      </c>
      <c r="P16" s="79">
        <f ca="1">IF($J16&lt;&gt;0,VLOOKUP($L16,'Allocation Factors - EGD'!$B$12:$S$104,7,FALSE)*$J16,0)+IF($F16&lt;&gt;0,VLOOKUP($H16,'Allocation Factors - EGD'!$B$12:$S$104,7,FALSE)*$F16,0)</f>
        <v>0</v>
      </c>
      <c r="Q16" s="79">
        <f ca="1">IF($J16&lt;&gt;0,VLOOKUP($L16,'Allocation Factors - EGD'!$B$12:$S$104,8,FALSE)*$J16,0)+IF($F16&lt;&gt;0,VLOOKUP($H16,'Allocation Factors - EGD'!$B$12:$S$104,8,FALSE)*$F16,0)</f>
        <v>0</v>
      </c>
      <c r="R16" s="79">
        <f ca="1">IF($J16&lt;&gt;0,VLOOKUP($L16,'Allocation Factors - EGD'!$B$12:$S$104,9,FALSE)*$J16,0)+IF($F16&lt;&gt;0,VLOOKUP($H16,'Allocation Factors - EGD'!$B$12:$S$104,9,FALSE)*$F16,0)</f>
        <v>0</v>
      </c>
      <c r="S16" s="79">
        <f ca="1">IF($J16&lt;&gt;0,VLOOKUP($L16,'Allocation Factors - EGD'!$B$12:$S$104,10,FALSE)*$J16,0)+IF($F16&lt;&gt;0,VLOOKUP($H16,'Allocation Factors - EGD'!$B$12:$S$104,10,FALSE)*$F16,0)</f>
        <v>0</v>
      </c>
      <c r="T16" s="79">
        <f ca="1">IF($J16&lt;&gt;0,VLOOKUP($L16,'Allocation Factors - EGD'!$B$12:$S$104,11,FALSE)*$J16,0)+IF($F16&lt;&gt;0,VLOOKUP($H16,'Allocation Factors - EGD'!$B$12:$S$104,11,FALSE)*$F16,0)</f>
        <v>0</v>
      </c>
      <c r="U16" s="79">
        <f ca="1">IF($J16&lt;&gt;0,VLOOKUP($L16,'Allocation Factors - EGD'!$B$12:$S$104,12,FALSE)*$J16,0)+IF($F16&lt;&gt;0,VLOOKUP($H16,'Allocation Factors - EGD'!$B$12:$S$104,12,FALSE)*$F16,0)</f>
        <v>0</v>
      </c>
      <c r="V16" s="79">
        <f ca="1">IF($J16&lt;&gt;0,VLOOKUP($L16,'Allocation Factors - EGD'!$B$12:$S$104,13,FALSE)*$J16,0)+IF($F16&lt;&gt;0,VLOOKUP($H16,'Allocation Factors - EGD'!$B$12:$S$104,13,FALSE)*$F16,0)</f>
        <v>0</v>
      </c>
      <c r="W16" s="79">
        <f ca="1">IF($J16&lt;&gt;0,VLOOKUP($L16,'Allocation Factors - EGD'!$B$12:$S$104,14,FALSE)*$J16,0)+IF($F16&lt;&gt;0,VLOOKUP($H16,'Allocation Factors - EGD'!$B$12:$S$104,14,FALSE)*$F16,0)</f>
        <v>0</v>
      </c>
    </row>
    <row r="17" spans="1:23" x14ac:dyDescent="0.2">
      <c r="A17" s="2">
        <f t="shared" si="1"/>
        <v>7</v>
      </c>
      <c r="B17" s="31" t="s">
        <v>383</v>
      </c>
      <c r="D17" s="81">
        <f ca="1">SUM(D11:D16)</f>
        <v>1386244.499460615</v>
      </c>
      <c r="F17" s="81">
        <f>SUM(F11:F16)</f>
        <v>0</v>
      </c>
      <c r="J17" s="41">
        <f ca="1">SUM(J11:J16)</f>
        <v>1386244.499460615</v>
      </c>
      <c r="N17" s="41">
        <f t="shared" ref="N17:W17" ca="1" si="2">SUM(N11:N16)</f>
        <v>795580.54045682773</v>
      </c>
      <c r="O17" s="41">
        <f t="shared" ca="1" si="2"/>
        <v>524262.68301656324</v>
      </c>
      <c r="P17" s="41">
        <f t="shared" ca="1" si="2"/>
        <v>2474.2105403104692</v>
      </c>
      <c r="Q17" s="41">
        <f t="shared" ca="1" si="2"/>
        <v>30884.812394959481</v>
      </c>
      <c r="R17" s="41">
        <f t="shared" ca="1" si="2"/>
        <v>4734.7348432060917</v>
      </c>
      <c r="S17" s="41">
        <f t="shared" ca="1" si="2"/>
        <v>0</v>
      </c>
      <c r="T17" s="41">
        <f t="shared" ca="1" si="2"/>
        <v>1190.9442679561666</v>
      </c>
      <c r="U17" s="41">
        <f t="shared" ca="1" si="2"/>
        <v>255.99321887103093</v>
      </c>
      <c r="V17" s="41">
        <f t="shared" ca="1" si="2"/>
        <v>4397.0883331119803</v>
      </c>
      <c r="W17" s="41">
        <f t="shared" ca="1" si="2"/>
        <v>22463.492388808718</v>
      </c>
    </row>
    <row r="18" spans="1:23" x14ac:dyDescent="0.2">
      <c r="D18" s="79"/>
      <c r="N18" s="79"/>
      <c r="O18" s="79"/>
      <c r="P18" s="79"/>
      <c r="Q18" s="79"/>
      <c r="R18" s="79"/>
      <c r="S18" s="79"/>
      <c r="T18" s="79"/>
      <c r="U18" s="79"/>
      <c r="V18" s="79"/>
      <c r="W18" s="79"/>
    </row>
    <row r="19" spans="1:23" x14ac:dyDescent="0.2">
      <c r="B19" s="77" t="s">
        <v>97</v>
      </c>
      <c r="D19" s="79"/>
      <c r="N19" s="79"/>
      <c r="O19" s="79"/>
      <c r="P19" s="79"/>
      <c r="Q19" s="79"/>
      <c r="R19" s="79"/>
      <c r="S19" s="79"/>
      <c r="T19" s="79"/>
      <c r="U19" s="79"/>
      <c r="V19" s="79"/>
      <c r="W19" s="79"/>
    </row>
    <row r="20" spans="1:23" x14ac:dyDescent="0.2">
      <c r="A20" s="2">
        <f>A17+1</f>
        <v>8</v>
      </c>
      <c r="B20" s="31" t="s">
        <v>89</v>
      </c>
      <c r="D20" s="79">
        <f ca="1">'Total Allocation RZ - Gas'!N20</f>
        <v>6005.8644892710063</v>
      </c>
      <c r="J20" s="79">
        <f t="shared" ref="J20:J23" ca="1" si="3">D20-F20</f>
        <v>6005.8644892710063</v>
      </c>
      <c r="L20" s="2" t="s">
        <v>156</v>
      </c>
      <c r="N20" s="79">
        <f ca="1">IF($J20&lt;&gt;0,VLOOKUP($L20,'Allocation Factors - EGD'!$B$12:$S$104,5,FALSE)*$J20,0)+IF($F20&lt;&gt;0,VLOOKUP($H20,'Allocation Factors - EGD'!$B$12:$S$104,5,FALSE)*$F20,0)</f>
        <v>3072.2517808313219</v>
      </c>
      <c r="O20" s="79">
        <f ca="1">IF($J20&lt;&gt;0,VLOOKUP($L20,'Allocation Factors - EGD'!$B$12:$S$104,6,FALSE)*$J20,0)+IF($F20&lt;&gt;0,VLOOKUP($H20,'Allocation Factors - EGD'!$B$12:$S$104,6,FALSE)*$F20,0)</f>
        <v>2666.318076351768</v>
      </c>
      <c r="P20" s="79">
        <f ca="1">IF($J20&lt;&gt;0,VLOOKUP($L20,'Allocation Factors - EGD'!$B$12:$S$104,7,FALSE)*$J20,0)+IF($F20&lt;&gt;0,VLOOKUP($H20,'Allocation Factors - EGD'!$B$12:$S$104,7,FALSE)*$F20,0)</f>
        <v>7.1582935223491306</v>
      </c>
      <c r="Q20" s="79">
        <f ca="1">IF($J20&lt;&gt;0,VLOOKUP($L20,'Allocation Factors - EGD'!$B$12:$S$104,8,FALSE)*$J20,0)+IF($F20&lt;&gt;0,VLOOKUP($H20,'Allocation Factors - EGD'!$B$12:$S$104,8,FALSE)*$F20,0)</f>
        <v>195.0712923651806</v>
      </c>
      <c r="R20" s="79">
        <f ca="1">IF($J20&lt;&gt;0,VLOOKUP($L20,'Allocation Factors - EGD'!$B$12:$S$104,9,FALSE)*$J20,0)+IF($F20&lt;&gt;0,VLOOKUP($H20,'Allocation Factors - EGD'!$B$12:$S$104,9,FALSE)*$F20,0)</f>
        <v>7.1944505452202234</v>
      </c>
      <c r="S20" s="79">
        <f ca="1">IF($J20&lt;&gt;0,VLOOKUP($L20,'Allocation Factors - EGD'!$B$12:$S$104,10,FALSE)*$J20,0)+IF($F20&lt;&gt;0,VLOOKUP($H20,'Allocation Factors - EGD'!$B$12:$S$104,10,FALSE)*$F20,0)</f>
        <v>0</v>
      </c>
      <c r="T20" s="79">
        <f ca="1">IF($J20&lt;&gt;0,VLOOKUP($L20,'Allocation Factors - EGD'!$B$12:$S$104,11,FALSE)*$J20,0)+IF($F20&lt;&gt;0,VLOOKUP($H20,'Allocation Factors - EGD'!$B$12:$S$104,11,FALSE)*$F20,0)</f>
        <v>0</v>
      </c>
      <c r="U20" s="79">
        <f ca="1">IF($J20&lt;&gt;0,VLOOKUP($L20,'Allocation Factors - EGD'!$B$12:$S$104,12,FALSE)*$J20,0)+IF($F20&lt;&gt;0,VLOOKUP($H20,'Allocation Factors - EGD'!$B$12:$S$104,12,FALSE)*$F20,0)</f>
        <v>0</v>
      </c>
      <c r="V20" s="79">
        <f ca="1">IF($J20&lt;&gt;0,VLOOKUP($L20,'Allocation Factors - EGD'!$B$12:$S$104,13,FALSE)*$J20,0)+IF($F20&lt;&gt;0,VLOOKUP($H20,'Allocation Factors - EGD'!$B$12:$S$104,13,FALSE)*$F20,0)</f>
        <v>0</v>
      </c>
      <c r="W20" s="79">
        <f ca="1">IF($J20&lt;&gt;0,VLOOKUP($L20,'Allocation Factors - EGD'!$B$12:$S$104,14,FALSE)*$J20,0)+IF($F20&lt;&gt;0,VLOOKUP($H20,'Allocation Factors - EGD'!$B$12:$S$104,14,FALSE)*$F20,0)</f>
        <v>57.870595655166632</v>
      </c>
    </row>
    <row r="21" spans="1:23" x14ac:dyDescent="0.2">
      <c r="A21" s="2">
        <f>A20+1</f>
        <v>9</v>
      </c>
      <c r="B21" s="31" t="s">
        <v>90</v>
      </c>
      <c r="D21" s="79">
        <f ca="1">'Total Allocation RZ - Gas'!N21</f>
        <v>1724.4417527780331</v>
      </c>
      <c r="F21" s="79"/>
      <c r="J21" s="79">
        <f t="shared" ca="1" si="3"/>
        <v>1724.4417527780331</v>
      </c>
      <c r="L21" s="2" t="s">
        <v>157</v>
      </c>
      <c r="N21" s="79">
        <f ca="1">IF($J21&lt;&gt;0,VLOOKUP($L21,'Allocation Factors - EGD'!$B$12:$S$104,5,FALSE)*$J21,0)+IF($F21&lt;&gt;0,VLOOKUP($H21,'Allocation Factors - EGD'!$B$12:$S$104,5,FALSE)*$F21,0)</f>
        <v>895.24134596479018</v>
      </c>
      <c r="O21" s="79">
        <f ca="1">IF($J21&lt;&gt;0,VLOOKUP($L21,'Allocation Factors - EGD'!$B$12:$S$104,6,FALSE)*$J21,0)+IF($F21&lt;&gt;0,VLOOKUP($H21,'Allocation Factors - EGD'!$B$12:$S$104,6,FALSE)*$F21,0)</f>
        <v>723.33482132379061</v>
      </c>
      <c r="P21" s="79">
        <f ca="1">IF($J21&lt;&gt;0,VLOOKUP($L21,'Allocation Factors - EGD'!$B$12:$S$104,7,FALSE)*$J21,0)+IF($F21&lt;&gt;0,VLOOKUP($H21,'Allocation Factors - EGD'!$B$12:$S$104,7,FALSE)*$F21,0)</f>
        <v>2.8592075345411287</v>
      </c>
      <c r="Q21" s="79">
        <f ca="1">IF($J21&lt;&gt;0,VLOOKUP($L21,'Allocation Factors - EGD'!$B$12:$S$104,8,FALSE)*$J21,0)+IF($F21&lt;&gt;0,VLOOKUP($H21,'Allocation Factors - EGD'!$B$12:$S$104,8,FALSE)*$F21,0)</f>
        <v>61.02051267928757</v>
      </c>
      <c r="R21" s="79">
        <f ca="1">IF($J21&lt;&gt;0,VLOOKUP($L21,'Allocation Factors - EGD'!$B$12:$S$104,9,FALSE)*$J21,0)+IF($F21&lt;&gt;0,VLOOKUP($H21,'Allocation Factors - EGD'!$B$12:$S$104,9,FALSE)*$F21,0)</f>
        <v>7.8590446438473514</v>
      </c>
      <c r="S21" s="79">
        <f ca="1">IF($J21&lt;&gt;0,VLOOKUP($L21,'Allocation Factors - EGD'!$B$12:$S$104,10,FALSE)*$J21,0)+IF($F21&lt;&gt;0,VLOOKUP($H21,'Allocation Factors - EGD'!$B$12:$S$104,10,FALSE)*$F21,0)</f>
        <v>0</v>
      </c>
      <c r="T21" s="79">
        <f ca="1">IF($J21&lt;&gt;0,VLOOKUP($L21,'Allocation Factors - EGD'!$B$12:$S$104,11,FALSE)*$J21,0)+IF($F21&lt;&gt;0,VLOOKUP($H21,'Allocation Factors - EGD'!$B$12:$S$104,11,FALSE)*$F21,0)</f>
        <v>0</v>
      </c>
      <c r="U21" s="79">
        <f ca="1">IF($J21&lt;&gt;0,VLOOKUP($L21,'Allocation Factors - EGD'!$B$12:$S$104,12,FALSE)*$J21,0)+IF($F21&lt;&gt;0,VLOOKUP($H21,'Allocation Factors - EGD'!$B$12:$S$104,12,FALSE)*$F21,0)</f>
        <v>1.4918098236494932</v>
      </c>
      <c r="V21" s="79">
        <f ca="1">IF($J21&lt;&gt;0,VLOOKUP($L21,'Allocation Factors - EGD'!$B$12:$S$104,13,FALSE)*$J21,0)+IF($F21&lt;&gt;0,VLOOKUP($H21,'Allocation Factors - EGD'!$B$12:$S$104,13,FALSE)*$F21,0)</f>
        <v>6.7325654445191718</v>
      </c>
      <c r="W21" s="79">
        <f ca="1">IF($J21&lt;&gt;0,VLOOKUP($L21,'Allocation Factors - EGD'!$B$12:$S$104,14,FALSE)*$J21,0)+IF($F21&lt;&gt;0,VLOOKUP($H21,'Allocation Factors - EGD'!$B$12:$S$104,14,FALSE)*$F21,0)</f>
        <v>25.902445363607779</v>
      </c>
    </row>
    <row r="22" spans="1:23" x14ac:dyDescent="0.2">
      <c r="A22" s="2">
        <f t="shared" ref="A22:A24" si="4">A21+1</f>
        <v>10</v>
      </c>
      <c r="B22" s="31" t="s">
        <v>345</v>
      </c>
      <c r="D22" s="79">
        <f ca="1">'Total Allocation RZ - Gas'!N22</f>
        <v>0</v>
      </c>
      <c r="J22" s="79">
        <f t="shared" ca="1" si="3"/>
        <v>0</v>
      </c>
      <c r="L22" s="2" t="s">
        <v>346</v>
      </c>
      <c r="N22" s="79">
        <f ca="1">IF($J22&lt;&gt;0,VLOOKUP($L22,'Allocation Factors - EGD'!$B$12:$S$104,5,FALSE)*$J22,0)+IF($F22&lt;&gt;0,VLOOKUP($H22,'Allocation Factors - EGD'!$B$12:$S$104,5,FALSE)*$F22,0)</f>
        <v>0</v>
      </c>
      <c r="O22" s="79">
        <f ca="1">IF($J22&lt;&gt;0,VLOOKUP($L22,'Allocation Factors - EGD'!$B$12:$S$104,6,FALSE)*$J22,0)+IF($F22&lt;&gt;0,VLOOKUP($H22,'Allocation Factors - EGD'!$B$12:$S$104,6,FALSE)*$F22,0)</f>
        <v>0</v>
      </c>
      <c r="P22" s="79">
        <f ca="1">IF($J22&lt;&gt;0,VLOOKUP($L22,'Allocation Factors - EGD'!$B$12:$S$104,7,FALSE)*$J22,0)+IF($F22&lt;&gt;0,VLOOKUP($H22,'Allocation Factors - EGD'!$B$12:$S$104,7,FALSE)*$F22,0)</f>
        <v>0</v>
      </c>
      <c r="Q22" s="79">
        <f ca="1">IF($J22&lt;&gt;0,VLOOKUP($L22,'Allocation Factors - EGD'!$B$12:$S$104,8,FALSE)*$J22,0)+IF($F22&lt;&gt;0,VLOOKUP($H22,'Allocation Factors - EGD'!$B$12:$S$104,8,FALSE)*$F22,0)</f>
        <v>0</v>
      </c>
      <c r="R22" s="79">
        <f ca="1">IF($J22&lt;&gt;0,VLOOKUP($L22,'Allocation Factors - EGD'!$B$12:$S$104,9,FALSE)*$J22,0)+IF($F22&lt;&gt;0,VLOOKUP($H22,'Allocation Factors - EGD'!$B$12:$S$104,9,FALSE)*$F22,0)</f>
        <v>0</v>
      </c>
      <c r="S22" s="79">
        <f ca="1">IF($J22&lt;&gt;0,VLOOKUP($L22,'Allocation Factors - EGD'!$B$12:$S$104,10,FALSE)*$J22,0)+IF($F22&lt;&gt;0,VLOOKUP($H22,'Allocation Factors - EGD'!$B$12:$S$104,10,FALSE)*$F22,0)</f>
        <v>0</v>
      </c>
      <c r="T22" s="79">
        <f ca="1">IF($J22&lt;&gt;0,VLOOKUP($L22,'Allocation Factors - EGD'!$B$12:$S$104,11,FALSE)*$J22,0)+IF($F22&lt;&gt;0,VLOOKUP($H22,'Allocation Factors - EGD'!$B$12:$S$104,11,FALSE)*$F22,0)</f>
        <v>0</v>
      </c>
      <c r="U22" s="79">
        <f ca="1">IF($J22&lt;&gt;0,VLOOKUP($L22,'Allocation Factors - EGD'!$B$12:$S$104,12,FALSE)*$J22,0)+IF($F22&lt;&gt;0,VLOOKUP($H22,'Allocation Factors - EGD'!$B$12:$S$104,12,FALSE)*$F22,0)</f>
        <v>0</v>
      </c>
      <c r="V22" s="79">
        <f ca="1">IF($J22&lt;&gt;0,VLOOKUP($L22,'Allocation Factors - EGD'!$B$12:$S$104,13,FALSE)*$J22,0)+IF($F22&lt;&gt;0,VLOOKUP($H22,'Allocation Factors - EGD'!$B$12:$S$104,13,FALSE)*$F22,0)</f>
        <v>0</v>
      </c>
      <c r="W22" s="79">
        <f ca="1">IF($J22&lt;&gt;0,VLOOKUP($L22,'Allocation Factors - EGD'!$B$12:$S$104,14,FALSE)*$J22,0)+IF($F22&lt;&gt;0,VLOOKUP($H22,'Allocation Factors - EGD'!$B$12:$S$104,14,FALSE)*$F22,0)</f>
        <v>0</v>
      </c>
    </row>
    <row r="23" spans="1:23" x14ac:dyDescent="0.2">
      <c r="A23" s="2">
        <f t="shared" si="4"/>
        <v>11</v>
      </c>
      <c r="B23" s="31" t="s">
        <v>91</v>
      </c>
      <c r="D23" s="79">
        <f ca="1">'Total Allocation RZ - Gas'!N23</f>
        <v>7898.437235328639</v>
      </c>
      <c r="J23" s="79">
        <f t="shared" ca="1" si="3"/>
        <v>7898.437235328639</v>
      </c>
      <c r="L23" s="2" t="s">
        <v>334</v>
      </c>
      <c r="N23" s="79">
        <f ca="1">IF($J23&lt;&gt;0,VLOOKUP($L23,'Allocation Factors - EGD'!$B$12:$S$104,5,FALSE)*$J23,0)+IF($F23&lt;&gt;0,VLOOKUP($H23,'Allocation Factors - EGD'!$B$12:$S$104,5,FALSE)*$F23,0)</f>
        <v>3335.0847892966226</v>
      </c>
      <c r="O23" s="79">
        <f ca="1">IF($J23&lt;&gt;0,VLOOKUP($L23,'Allocation Factors - EGD'!$B$12:$S$104,6,FALSE)*$J23,0)+IF($F23&lt;&gt;0,VLOOKUP($H23,'Allocation Factors - EGD'!$B$12:$S$104,6,FALSE)*$F23,0)</f>
        <v>3193.772730270784</v>
      </c>
      <c r="P23" s="79">
        <f ca="1">IF($J23&lt;&gt;0,VLOOKUP($L23,'Allocation Factors - EGD'!$B$12:$S$104,7,FALSE)*$J23,0)+IF($F23&lt;&gt;0,VLOOKUP($H23,'Allocation Factors - EGD'!$B$12:$S$104,7,FALSE)*$F23,0)</f>
        <v>18.253404894192276</v>
      </c>
      <c r="Q23" s="79">
        <f ca="1">IF($J23&lt;&gt;0,VLOOKUP($L23,'Allocation Factors - EGD'!$B$12:$S$104,8,FALSE)*$J23,0)+IF($F23&lt;&gt;0,VLOOKUP($H23,'Allocation Factors - EGD'!$B$12:$S$104,8,FALSE)*$F23,0)</f>
        <v>710.91408511498867</v>
      </c>
      <c r="R23" s="79">
        <f ca="1">IF($J23&lt;&gt;0,VLOOKUP($L23,'Allocation Factors - EGD'!$B$12:$S$104,9,FALSE)*$J23,0)+IF($F23&lt;&gt;0,VLOOKUP($H23,'Allocation Factors - EGD'!$B$12:$S$104,9,FALSE)*$F23,0)</f>
        <v>254.12678865732758</v>
      </c>
      <c r="S23" s="79">
        <f ca="1">IF($J23&lt;&gt;0,VLOOKUP($L23,'Allocation Factors - EGD'!$B$12:$S$104,10,FALSE)*$J23,0)+IF($F23&lt;&gt;0,VLOOKUP($H23,'Allocation Factors - EGD'!$B$12:$S$104,10,FALSE)*$F23,0)</f>
        <v>0</v>
      </c>
      <c r="T23" s="79">
        <f ca="1">IF($J23&lt;&gt;0,VLOOKUP($L23,'Allocation Factors - EGD'!$B$12:$S$104,11,FALSE)*$J23,0)+IF($F23&lt;&gt;0,VLOOKUP($H23,'Allocation Factors - EGD'!$B$12:$S$104,11,FALSE)*$F23,0)</f>
        <v>35.034912054218331</v>
      </c>
      <c r="U23" s="79">
        <f ca="1">IF($J23&lt;&gt;0,VLOOKUP($L23,'Allocation Factors - EGD'!$B$12:$S$104,12,FALSE)*$J23,0)+IF($F23&lt;&gt;0,VLOOKUP($H23,'Allocation Factors - EGD'!$B$12:$S$104,12,FALSE)*$F23,0)</f>
        <v>10.457043733063118</v>
      </c>
      <c r="V23" s="79">
        <f ca="1">IF($J23&lt;&gt;0,VLOOKUP($L23,'Allocation Factors - EGD'!$B$12:$S$104,13,FALSE)*$J23,0)+IF($F23&lt;&gt;0,VLOOKUP($H23,'Allocation Factors - EGD'!$B$12:$S$104,13,FALSE)*$F23,0)</f>
        <v>215.11718607979813</v>
      </c>
      <c r="W23" s="79">
        <f ca="1">IF($J23&lt;&gt;0,VLOOKUP($L23,'Allocation Factors - EGD'!$B$12:$S$104,14,FALSE)*$J23,0)+IF($F23&lt;&gt;0,VLOOKUP($H23,'Allocation Factors - EGD'!$B$12:$S$104,14,FALSE)*$F23,0)</f>
        <v>125.67629522764435</v>
      </c>
    </row>
    <row r="24" spans="1:23" x14ac:dyDescent="0.2">
      <c r="A24" s="2">
        <f t="shared" si="4"/>
        <v>12</v>
      </c>
      <c r="B24" s="31" t="s">
        <v>96</v>
      </c>
      <c r="D24" s="41">
        <f ca="1">SUM(D20:D23)</f>
        <v>15628.743477377679</v>
      </c>
      <c r="F24" s="41">
        <f>SUM(F20:F23)</f>
        <v>0</v>
      </c>
      <c r="H24" s="122"/>
      <c r="J24" s="41">
        <f ca="1">SUM(J20:J23)</f>
        <v>15628.743477377679</v>
      </c>
      <c r="N24" s="41">
        <f t="shared" ref="N24:W24" ca="1" si="5">SUM(N20:N23)</f>
        <v>7302.5779160927341</v>
      </c>
      <c r="O24" s="41">
        <f t="shared" ca="1" si="5"/>
        <v>6583.4256279463425</v>
      </c>
      <c r="P24" s="41">
        <f t="shared" ca="1" si="5"/>
        <v>28.270905951082533</v>
      </c>
      <c r="Q24" s="41">
        <f t="shared" ca="1" si="5"/>
        <v>967.00589015945684</v>
      </c>
      <c r="R24" s="41">
        <f t="shared" ca="1" si="5"/>
        <v>269.18028384639513</v>
      </c>
      <c r="S24" s="41">
        <f t="shared" ca="1" si="5"/>
        <v>0</v>
      </c>
      <c r="T24" s="41">
        <f t="shared" ca="1" si="5"/>
        <v>35.034912054218331</v>
      </c>
      <c r="U24" s="41">
        <f t="shared" ca="1" si="5"/>
        <v>11.948853556712612</v>
      </c>
      <c r="V24" s="41">
        <f t="shared" ca="1" si="5"/>
        <v>221.8497515243173</v>
      </c>
      <c r="W24" s="41">
        <f t="shared" ca="1" si="5"/>
        <v>209.44933624641874</v>
      </c>
    </row>
    <row r="25" spans="1:23" x14ac:dyDescent="0.2">
      <c r="N25" s="79"/>
      <c r="O25" s="79"/>
      <c r="P25" s="79"/>
      <c r="Q25" s="79"/>
      <c r="R25" s="79"/>
      <c r="S25" s="79"/>
      <c r="T25" s="79"/>
      <c r="U25" s="79"/>
      <c r="V25" s="79"/>
      <c r="W25" s="79"/>
    </row>
    <row r="26" spans="1:23" x14ac:dyDescent="0.2">
      <c r="B26" s="77" t="s">
        <v>98</v>
      </c>
      <c r="N26" s="79"/>
      <c r="O26" s="79"/>
      <c r="P26" s="79"/>
      <c r="Q26" s="79"/>
      <c r="R26" s="79"/>
      <c r="S26" s="79"/>
      <c r="T26" s="79"/>
      <c r="U26" s="79"/>
      <c r="V26" s="79"/>
      <c r="W26" s="79"/>
    </row>
    <row r="27" spans="1:23" x14ac:dyDescent="0.2">
      <c r="A27" s="2">
        <f>A24+1</f>
        <v>13</v>
      </c>
      <c r="B27" s="31" t="s">
        <v>92</v>
      </c>
      <c r="D27" s="79">
        <f ca="1">'Total Allocation RZ - Gas'!N27</f>
        <v>0</v>
      </c>
      <c r="J27" s="79">
        <f t="shared" ref="J27:J33" ca="1" si="6">D27-F27</f>
        <v>0</v>
      </c>
      <c r="L27" s="2" t="s">
        <v>533</v>
      </c>
      <c r="N27" s="79">
        <f ca="1">IF($J27&lt;&gt;0,VLOOKUP($L27,'Allocation Factors - EGD'!$B$12:$S$104,5,FALSE)*$J27,0)+IF($F27&lt;&gt;0,VLOOKUP($H27,'Allocation Factors - EGD'!$B$12:$S$104,5,FALSE)*$F27,0)</f>
        <v>0</v>
      </c>
      <c r="O27" s="79">
        <f ca="1">IF($J27&lt;&gt;0,VLOOKUP($L27,'Allocation Factors - EGD'!$B$12:$S$104,6,FALSE)*$J27,0)+IF($F27&lt;&gt;0,VLOOKUP($H27,'Allocation Factors - EGD'!$B$12:$S$104,6,FALSE)*$F27,0)</f>
        <v>0</v>
      </c>
      <c r="P27" s="79">
        <f ca="1">IF($J27&lt;&gt;0,VLOOKUP($L27,'Allocation Factors - EGD'!$B$12:$S$104,7,FALSE)*$J27,0)+IF($F27&lt;&gt;0,VLOOKUP($H27,'Allocation Factors - EGD'!$B$12:$S$104,7,FALSE)*$F27,0)</f>
        <v>0</v>
      </c>
      <c r="Q27" s="79">
        <f ca="1">IF($J27&lt;&gt;0,VLOOKUP($L27,'Allocation Factors - EGD'!$B$12:$S$104,8,FALSE)*$J27,0)+IF($F27&lt;&gt;0,VLOOKUP($H27,'Allocation Factors - EGD'!$B$12:$S$104,8,FALSE)*$F27,0)</f>
        <v>0</v>
      </c>
      <c r="R27" s="79">
        <f ca="1">IF($J27&lt;&gt;0,VLOOKUP($L27,'Allocation Factors - EGD'!$B$12:$S$104,9,FALSE)*$J27,0)+IF($F27&lt;&gt;0,VLOOKUP($H27,'Allocation Factors - EGD'!$B$12:$S$104,9,FALSE)*$F27,0)</f>
        <v>0</v>
      </c>
      <c r="S27" s="79">
        <f ca="1">IF($J27&lt;&gt;0,VLOOKUP($L27,'Allocation Factors - EGD'!$B$12:$S$104,10,FALSE)*$J27,0)+IF($F27&lt;&gt;0,VLOOKUP($H27,'Allocation Factors - EGD'!$B$12:$S$104,10,FALSE)*$F27,0)</f>
        <v>0</v>
      </c>
      <c r="T27" s="79">
        <f ca="1">IF($J27&lt;&gt;0,VLOOKUP($L27,'Allocation Factors - EGD'!$B$12:$S$104,11,FALSE)*$J27,0)+IF($F27&lt;&gt;0,VLOOKUP($H27,'Allocation Factors - EGD'!$B$12:$S$104,11,FALSE)*$F27,0)</f>
        <v>0</v>
      </c>
      <c r="U27" s="79">
        <f ca="1">IF($J27&lt;&gt;0,VLOOKUP($L27,'Allocation Factors - EGD'!$B$12:$S$104,12,FALSE)*$J27,0)+IF($F27&lt;&gt;0,VLOOKUP($H27,'Allocation Factors - EGD'!$B$12:$S$104,12,FALSE)*$F27,0)</f>
        <v>0</v>
      </c>
      <c r="V27" s="79">
        <f ca="1">IF($J27&lt;&gt;0,VLOOKUP($L27,'Allocation Factors - EGD'!$B$12:$S$104,13,FALSE)*$J27,0)+IF($F27&lt;&gt;0,VLOOKUP($H27,'Allocation Factors - EGD'!$B$12:$S$104,13,FALSE)*$F27,0)</f>
        <v>0</v>
      </c>
      <c r="W27" s="79">
        <f ca="1">IF($J27&lt;&gt;0,VLOOKUP($L27,'Allocation Factors - EGD'!$B$12:$S$104,14,FALSE)*$J27,0)+IF($F27&lt;&gt;0,VLOOKUP($H27,'Allocation Factors - EGD'!$B$12:$S$104,14,FALSE)*$F27,0)</f>
        <v>0</v>
      </c>
    </row>
    <row r="28" spans="1:23" x14ac:dyDescent="0.2">
      <c r="A28" s="2">
        <f>A27+1</f>
        <v>14</v>
      </c>
      <c r="B28" s="31" t="s">
        <v>93</v>
      </c>
      <c r="D28" s="79">
        <f ca="1">'Total Allocation RZ - Gas'!N28</f>
        <v>0</v>
      </c>
      <c r="J28" s="79">
        <f t="shared" ca="1" si="6"/>
        <v>0</v>
      </c>
      <c r="L28" s="2" t="s">
        <v>218</v>
      </c>
      <c r="N28" s="79">
        <f ca="1">IF($J28&lt;&gt;0,VLOOKUP($L28,'Allocation Factors - EGD'!$B$12:$S$104,5,FALSE)*$J28,0)+IF($F28&lt;&gt;0,VLOOKUP($H28,'Allocation Factors - EGD'!$B$12:$S$104,5,FALSE)*$F28,0)</f>
        <v>0</v>
      </c>
      <c r="O28" s="79">
        <f ca="1">IF($J28&lt;&gt;0,VLOOKUP($L28,'Allocation Factors - EGD'!$B$12:$S$104,6,FALSE)*$J28,0)+IF($F28&lt;&gt;0,VLOOKUP($H28,'Allocation Factors - EGD'!$B$12:$S$104,6,FALSE)*$F28,0)</f>
        <v>0</v>
      </c>
      <c r="P28" s="79">
        <f ca="1">IF($J28&lt;&gt;0,VLOOKUP($L28,'Allocation Factors - EGD'!$B$12:$S$104,7,FALSE)*$J28,0)+IF($F28&lt;&gt;0,VLOOKUP($H28,'Allocation Factors - EGD'!$B$12:$S$104,7,FALSE)*$F28,0)</f>
        <v>0</v>
      </c>
      <c r="Q28" s="79">
        <f ca="1">IF($J28&lt;&gt;0,VLOOKUP($L28,'Allocation Factors - EGD'!$B$12:$S$104,8,FALSE)*$J28,0)+IF($F28&lt;&gt;0,VLOOKUP($H28,'Allocation Factors - EGD'!$B$12:$S$104,8,FALSE)*$F28,0)</f>
        <v>0</v>
      </c>
      <c r="R28" s="79">
        <f ca="1">IF($J28&lt;&gt;0,VLOOKUP($L28,'Allocation Factors - EGD'!$B$12:$S$104,9,FALSE)*$J28,0)+IF($F28&lt;&gt;0,VLOOKUP($H28,'Allocation Factors - EGD'!$B$12:$S$104,9,FALSE)*$F28,0)</f>
        <v>0</v>
      </c>
      <c r="S28" s="79">
        <f ca="1">IF($J28&lt;&gt;0,VLOOKUP($L28,'Allocation Factors - EGD'!$B$12:$S$104,10,FALSE)*$J28,0)+IF($F28&lt;&gt;0,VLOOKUP($H28,'Allocation Factors - EGD'!$B$12:$S$104,10,FALSE)*$F28,0)</f>
        <v>0</v>
      </c>
      <c r="T28" s="79">
        <f ca="1">IF($J28&lt;&gt;0,VLOOKUP($L28,'Allocation Factors - EGD'!$B$12:$S$104,11,FALSE)*$J28,0)+IF($F28&lt;&gt;0,VLOOKUP($H28,'Allocation Factors - EGD'!$B$12:$S$104,11,FALSE)*$F28,0)</f>
        <v>0</v>
      </c>
      <c r="U28" s="79">
        <f ca="1">IF($J28&lt;&gt;0,VLOOKUP($L28,'Allocation Factors - EGD'!$B$12:$S$104,12,FALSE)*$J28,0)+IF($F28&lt;&gt;0,VLOOKUP($H28,'Allocation Factors - EGD'!$B$12:$S$104,12,FALSE)*$F28,0)</f>
        <v>0</v>
      </c>
      <c r="V28" s="79">
        <f ca="1">IF($J28&lt;&gt;0,VLOOKUP($L28,'Allocation Factors - EGD'!$B$12:$S$104,13,FALSE)*$J28,0)+IF($F28&lt;&gt;0,VLOOKUP($H28,'Allocation Factors - EGD'!$B$12:$S$104,13,FALSE)*$F28,0)</f>
        <v>0</v>
      </c>
      <c r="W28" s="79">
        <f ca="1">IF($J28&lt;&gt;0,VLOOKUP($L28,'Allocation Factors - EGD'!$B$12:$S$104,14,FALSE)*$J28,0)+IF($F28&lt;&gt;0,VLOOKUP($H28,'Allocation Factors - EGD'!$B$12:$S$104,14,FALSE)*$F28,0)</f>
        <v>0</v>
      </c>
    </row>
    <row r="29" spans="1:23" x14ac:dyDescent="0.2">
      <c r="A29" s="2">
        <f t="shared" ref="A29:A34" si="7">A28+1</f>
        <v>15</v>
      </c>
      <c r="B29" s="31" t="s">
        <v>94</v>
      </c>
      <c r="D29" s="79">
        <f ca="1">'Total Allocation RZ - Gas'!N29</f>
        <v>0</v>
      </c>
      <c r="J29" s="79">
        <f t="shared" ca="1" si="6"/>
        <v>0</v>
      </c>
      <c r="L29" s="2" t="s">
        <v>230</v>
      </c>
      <c r="N29" s="79">
        <f ca="1">IF($J29&lt;&gt;0,VLOOKUP($L29,'Allocation Factors - EGD'!$B$12:$S$104,5,FALSE)*$J29,0)+IF($F29&lt;&gt;0,VLOOKUP($H29,'Allocation Factors - EGD'!$B$12:$S$104,5,FALSE)*$F29,0)</f>
        <v>0</v>
      </c>
      <c r="O29" s="79">
        <f ca="1">IF($J29&lt;&gt;0,VLOOKUP($L29,'Allocation Factors - EGD'!$B$12:$S$104,6,FALSE)*$J29,0)+IF($F29&lt;&gt;0,VLOOKUP($H29,'Allocation Factors - EGD'!$B$12:$S$104,6,FALSE)*$F29,0)</f>
        <v>0</v>
      </c>
      <c r="P29" s="79">
        <f ca="1">IF($J29&lt;&gt;0,VLOOKUP($L29,'Allocation Factors - EGD'!$B$12:$S$104,7,FALSE)*$J29,0)+IF($F29&lt;&gt;0,VLOOKUP($H29,'Allocation Factors - EGD'!$B$12:$S$104,7,FALSE)*$F29,0)</f>
        <v>0</v>
      </c>
      <c r="Q29" s="79">
        <f ca="1">IF($J29&lt;&gt;0,VLOOKUP($L29,'Allocation Factors - EGD'!$B$12:$S$104,8,FALSE)*$J29,0)+IF($F29&lt;&gt;0,VLOOKUP($H29,'Allocation Factors - EGD'!$B$12:$S$104,8,FALSE)*$F29,0)</f>
        <v>0</v>
      </c>
      <c r="R29" s="79">
        <f ca="1">IF($J29&lt;&gt;0,VLOOKUP($L29,'Allocation Factors - EGD'!$B$12:$S$104,9,FALSE)*$J29,0)+IF($F29&lt;&gt;0,VLOOKUP($H29,'Allocation Factors - EGD'!$B$12:$S$104,9,FALSE)*$F29,0)</f>
        <v>0</v>
      </c>
      <c r="S29" s="79">
        <f ca="1">IF($J29&lt;&gt;0,VLOOKUP($L29,'Allocation Factors - EGD'!$B$12:$S$104,10,FALSE)*$J29,0)+IF($F29&lt;&gt;0,VLOOKUP($H29,'Allocation Factors - EGD'!$B$12:$S$104,10,FALSE)*$F29,0)</f>
        <v>0</v>
      </c>
      <c r="T29" s="79">
        <f ca="1">IF($J29&lt;&gt;0,VLOOKUP($L29,'Allocation Factors - EGD'!$B$12:$S$104,11,FALSE)*$J29,0)+IF($F29&lt;&gt;0,VLOOKUP($H29,'Allocation Factors - EGD'!$B$12:$S$104,11,FALSE)*$F29,0)</f>
        <v>0</v>
      </c>
      <c r="U29" s="79">
        <f ca="1">IF($J29&lt;&gt;0,VLOOKUP($L29,'Allocation Factors - EGD'!$B$12:$S$104,12,FALSE)*$J29,0)+IF($F29&lt;&gt;0,VLOOKUP($H29,'Allocation Factors - EGD'!$B$12:$S$104,12,FALSE)*$F29,0)</f>
        <v>0</v>
      </c>
      <c r="V29" s="79">
        <f ca="1">IF($J29&lt;&gt;0,VLOOKUP($L29,'Allocation Factors - EGD'!$B$12:$S$104,13,FALSE)*$J29,0)+IF($F29&lt;&gt;0,VLOOKUP($H29,'Allocation Factors - EGD'!$B$12:$S$104,13,FALSE)*$F29,0)</f>
        <v>0</v>
      </c>
      <c r="W29" s="79">
        <f ca="1">IF($J29&lt;&gt;0,VLOOKUP($L29,'Allocation Factors - EGD'!$B$12:$S$104,14,FALSE)*$J29,0)+IF($F29&lt;&gt;0,VLOOKUP($H29,'Allocation Factors - EGD'!$B$12:$S$104,14,FALSE)*$F29,0)</f>
        <v>0</v>
      </c>
    </row>
    <row r="30" spans="1:23" x14ac:dyDescent="0.2">
      <c r="A30" s="2">
        <f t="shared" si="7"/>
        <v>16</v>
      </c>
      <c r="B30" s="31" t="s">
        <v>330</v>
      </c>
      <c r="D30" s="79">
        <f ca="1">'Total Allocation RZ - Gas'!N30</f>
        <v>0</v>
      </c>
      <c r="J30" s="79">
        <f t="shared" ca="1" si="6"/>
        <v>0</v>
      </c>
      <c r="L30" s="2" t="s">
        <v>222</v>
      </c>
      <c r="N30" s="79">
        <f ca="1">IF($J30&lt;&gt;0,VLOOKUP($L30,'Allocation Factors - EGD'!$B$12:$S$104,5,FALSE)*$J30,0)+IF($F30&lt;&gt;0,VLOOKUP($H30,'Allocation Factors - EGD'!$B$12:$S$104,5,FALSE)*$F30,0)</f>
        <v>0</v>
      </c>
      <c r="O30" s="79">
        <f ca="1">IF($J30&lt;&gt;0,VLOOKUP($L30,'Allocation Factors - EGD'!$B$12:$S$104,6,FALSE)*$J30,0)+IF($F30&lt;&gt;0,VLOOKUP($H30,'Allocation Factors - EGD'!$B$12:$S$104,6,FALSE)*$F30,0)</f>
        <v>0</v>
      </c>
      <c r="P30" s="79">
        <f ca="1">IF($J30&lt;&gt;0,VLOOKUP($L30,'Allocation Factors - EGD'!$B$12:$S$104,7,FALSE)*$J30,0)+IF($F30&lt;&gt;0,VLOOKUP($H30,'Allocation Factors - EGD'!$B$12:$S$104,7,FALSE)*$F30,0)</f>
        <v>0</v>
      </c>
      <c r="Q30" s="79">
        <f ca="1">IF($J30&lt;&gt;0,VLOOKUP($L30,'Allocation Factors - EGD'!$B$12:$S$104,8,FALSE)*$J30,0)+IF($F30&lt;&gt;0,VLOOKUP($H30,'Allocation Factors - EGD'!$B$12:$S$104,8,FALSE)*$F30,0)</f>
        <v>0</v>
      </c>
      <c r="R30" s="79">
        <f ca="1">IF($J30&lt;&gt;0,VLOOKUP($L30,'Allocation Factors - EGD'!$B$12:$S$104,9,FALSE)*$J30,0)+IF($F30&lt;&gt;0,VLOOKUP($H30,'Allocation Factors - EGD'!$B$12:$S$104,9,FALSE)*$F30,0)</f>
        <v>0</v>
      </c>
      <c r="S30" s="79">
        <f ca="1">IF($J30&lt;&gt;0,VLOOKUP($L30,'Allocation Factors - EGD'!$B$12:$S$104,10,FALSE)*$J30,0)+IF($F30&lt;&gt;0,VLOOKUP($H30,'Allocation Factors - EGD'!$B$12:$S$104,10,FALSE)*$F30,0)</f>
        <v>0</v>
      </c>
      <c r="T30" s="79">
        <f ca="1">IF($J30&lt;&gt;0,VLOOKUP($L30,'Allocation Factors - EGD'!$B$12:$S$104,11,FALSE)*$J30,0)+IF($F30&lt;&gt;0,VLOOKUP($H30,'Allocation Factors - EGD'!$B$12:$S$104,11,FALSE)*$F30,0)</f>
        <v>0</v>
      </c>
      <c r="U30" s="79">
        <f ca="1">IF($J30&lt;&gt;0,VLOOKUP($L30,'Allocation Factors - EGD'!$B$12:$S$104,12,FALSE)*$J30,0)+IF($F30&lt;&gt;0,VLOOKUP($H30,'Allocation Factors - EGD'!$B$12:$S$104,12,FALSE)*$F30,0)</f>
        <v>0</v>
      </c>
      <c r="V30" s="79">
        <f ca="1">IF($J30&lt;&gt;0,VLOOKUP($L30,'Allocation Factors - EGD'!$B$12:$S$104,13,FALSE)*$J30,0)+IF($F30&lt;&gt;0,VLOOKUP($H30,'Allocation Factors - EGD'!$B$12:$S$104,13,FALSE)*$F30,0)</f>
        <v>0</v>
      </c>
      <c r="W30" s="79">
        <f ca="1">IF($J30&lt;&gt;0,VLOOKUP($L30,'Allocation Factors - EGD'!$B$12:$S$104,14,FALSE)*$J30,0)+IF($F30&lt;&gt;0,VLOOKUP($H30,'Allocation Factors - EGD'!$B$12:$S$104,14,FALSE)*$F30,0)</f>
        <v>0</v>
      </c>
    </row>
    <row r="31" spans="1:23" x14ac:dyDescent="0.2">
      <c r="A31" s="2">
        <f t="shared" si="7"/>
        <v>17</v>
      </c>
      <c r="B31" s="31" t="s">
        <v>331</v>
      </c>
      <c r="D31" s="79">
        <f ca="1">'Total Allocation RZ - Gas'!N31</f>
        <v>0</v>
      </c>
      <c r="J31" s="79">
        <f t="shared" ca="1" si="6"/>
        <v>0</v>
      </c>
      <c r="L31" s="2" t="s">
        <v>332</v>
      </c>
      <c r="N31" s="79">
        <f ca="1">IF($J31&lt;&gt;0,VLOOKUP($L31,'Allocation Factors - EGD'!$B$12:$S$104,5,FALSE)*$J31,0)+IF($F31&lt;&gt;0,VLOOKUP($H31,'Allocation Factors - EGD'!$B$12:$S$104,5,FALSE)*$F31,0)</f>
        <v>0</v>
      </c>
      <c r="O31" s="79">
        <f ca="1">IF($J31&lt;&gt;0,VLOOKUP($L31,'Allocation Factors - EGD'!$B$12:$S$104,6,FALSE)*$J31,0)+IF($F31&lt;&gt;0,VLOOKUP($H31,'Allocation Factors - EGD'!$B$12:$S$104,6,FALSE)*$F31,0)</f>
        <v>0</v>
      </c>
      <c r="P31" s="79">
        <f ca="1">IF($J31&lt;&gt;0,VLOOKUP($L31,'Allocation Factors - EGD'!$B$12:$S$104,7,FALSE)*$J31,0)+IF($F31&lt;&gt;0,VLOOKUP($H31,'Allocation Factors - EGD'!$B$12:$S$104,7,FALSE)*$F31,0)</f>
        <v>0</v>
      </c>
      <c r="Q31" s="79">
        <f ca="1">IF($J31&lt;&gt;0,VLOOKUP($L31,'Allocation Factors - EGD'!$B$12:$S$104,8,FALSE)*$J31,0)+IF($F31&lt;&gt;0,VLOOKUP($H31,'Allocation Factors - EGD'!$B$12:$S$104,8,FALSE)*$F31,0)</f>
        <v>0</v>
      </c>
      <c r="R31" s="79">
        <f ca="1">IF($J31&lt;&gt;0,VLOOKUP($L31,'Allocation Factors - EGD'!$B$12:$S$104,9,FALSE)*$J31,0)+IF($F31&lt;&gt;0,VLOOKUP($H31,'Allocation Factors - EGD'!$B$12:$S$104,9,FALSE)*$F31,0)</f>
        <v>0</v>
      </c>
      <c r="S31" s="79">
        <f ca="1">IF($J31&lt;&gt;0,VLOOKUP($L31,'Allocation Factors - EGD'!$B$12:$S$104,10,FALSE)*$J31,0)+IF($F31&lt;&gt;0,VLOOKUP($H31,'Allocation Factors - EGD'!$B$12:$S$104,10,FALSE)*$F31,0)</f>
        <v>0</v>
      </c>
      <c r="T31" s="79">
        <f ca="1">IF($J31&lt;&gt;0,VLOOKUP($L31,'Allocation Factors - EGD'!$B$12:$S$104,11,FALSE)*$J31,0)+IF($F31&lt;&gt;0,VLOOKUP($H31,'Allocation Factors - EGD'!$B$12:$S$104,11,FALSE)*$F31,0)</f>
        <v>0</v>
      </c>
      <c r="U31" s="79">
        <f ca="1">IF($J31&lt;&gt;0,VLOOKUP($L31,'Allocation Factors - EGD'!$B$12:$S$104,12,FALSE)*$J31,0)+IF($F31&lt;&gt;0,VLOOKUP($H31,'Allocation Factors - EGD'!$B$12:$S$104,12,FALSE)*$F31,0)</f>
        <v>0</v>
      </c>
      <c r="V31" s="79">
        <f ca="1">IF($J31&lt;&gt;0,VLOOKUP($L31,'Allocation Factors - EGD'!$B$12:$S$104,13,FALSE)*$J31,0)+IF($F31&lt;&gt;0,VLOOKUP($H31,'Allocation Factors - EGD'!$B$12:$S$104,13,FALSE)*$F31,0)</f>
        <v>0</v>
      </c>
      <c r="W31" s="79">
        <f ca="1">IF($J31&lt;&gt;0,VLOOKUP($L31,'Allocation Factors - EGD'!$B$12:$S$104,14,FALSE)*$J31,0)+IF($F31&lt;&gt;0,VLOOKUP($H31,'Allocation Factors - EGD'!$B$12:$S$104,14,FALSE)*$F31,0)</f>
        <v>0</v>
      </c>
    </row>
    <row r="32" spans="1:23" x14ac:dyDescent="0.2">
      <c r="A32" s="2">
        <f t="shared" si="7"/>
        <v>18</v>
      </c>
      <c r="B32" s="31" t="s">
        <v>146</v>
      </c>
      <c r="D32" s="79">
        <f ca="1">'Total Allocation RZ - Gas'!N32</f>
        <v>0</v>
      </c>
      <c r="J32" s="79">
        <f t="shared" ca="1" si="6"/>
        <v>0</v>
      </c>
      <c r="L32" s="2" t="s">
        <v>229</v>
      </c>
      <c r="N32" s="79">
        <f ca="1">IF($J32&lt;&gt;0,VLOOKUP($L32,'Allocation Factors - EGD'!$B$12:$S$104,5,FALSE)*$J32,0)+IF($F32&lt;&gt;0,VLOOKUP($H32,'Allocation Factors - EGD'!$B$12:$S$104,5,FALSE)*$F32,0)</f>
        <v>0</v>
      </c>
      <c r="O32" s="79">
        <f ca="1">IF($J32&lt;&gt;0,VLOOKUP($L32,'Allocation Factors - EGD'!$B$12:$S$104,6,FALSE)*$J32,0)+IF($F32&lt;&gt;0,VLOOKUP($H32,'Allocation Factors - EGD'!$B$12:$S$104,6,FALSE)*$F32,0)</f>
        <v>0</v>
      </c>
      <c r="P32" s="79">
        <f ca="1">IF($J32&lt;&gt;0,VLOOKUP($L32,'Allocation Factors - EGD'!$B$12:$S$104,7,FALSE)*$J32,0)+IF($F32&lt;&gt;0,VLOOKUP($H32,'Allocation Factors - EGD'!$B$12:$S$104,7,FALSE)*$F32,0)</f>
        <v>0</v>
      </c>
      <c r="Q32" s="79">
        <f ca="1">IF($J32&lt;&gt;0,VLOOKUP($L32,'Allocation Factors - EGD'!$B$12:$S$104,8,FALSE)*$J32,0)+IF($F32&lt;&gt;0,VLOOKUP($H32,'Allocation Factors - EGD'!$B$12:$S$104,8,FALSE)*$F32,0)</f>
        <v>0</v>
      </c>
      <c r="R32" s="79">
        <f ca="1">IF($J32&lt;&gt;0,VLOOKUP($L32,'Allocation Factors - EGD'!$B$12:$S$104,9,FALSE)*$J32,0)+IF($F32&lt;&gt;0,VLOOKUP($H32,'Allocation Factors - EGD'!$B$12:$S$104,9,FALSE)*$F32,0)</f>
        <v>0</v>
      </c>
      <c r="S32" s="79">
        <f ca="1">IF($J32&lt;&gt;0,VLOOKUP($L32,'Allocation Factors - EGD'!$B$12:$S$104,10,FALSE)*$J32,0)+IF($F32&lt;&gt;0,VLOOKUP($H32,'Allocation Factors - EGD'!$B$12:$S$104,10,FALSE)*$F32,0)</f>
        <v>0</v>
      </c>
      <c r="T32" s="79">
        <f ca="1">IF($J32&lt;&gt;0,VLOOKUP($L32,'Allocation Factors - EGD'!$B$12:$S$104,11,FALSE)*$J32,0)+IF($F32&lt;&gt;0,VLOOKUP($H32,'Allocation Factors - EGD'!$B$12:$S$104,11,FALSE)*$F32,0)</f>
        <v>0</v>
      </c>
      <c r="U32" s="79">
        <f ca="1">IF($J32&lt;&gt;0,VLOOKUP($L32,'Allocation Factors - EGD'!$B$12:$S$104,12,FALSE)*$J32,0)+IF($F32&lt;&gt;0,VLOOKUP($H32,'Allocation Factors - EGD'!$B$12:$S$104,12,FALSE)*$F32,0)</f>
        <v>0</v>
      </c>
      <c r="V32" s="79">
        <f ca="1">IF($J32&lt;&gt;0,VLOOKUP($L32,'Allocation Factors - EGD'!$B$12:$S$104,13,FALSE)*$J32,0)+IF($F32&lt;&gt;0,VLOOKUP($H32,'Allocation Factors - EGD'!$B$12:$S$104,13,FALSE)*$F32,0)</f>
        <v>0</v>
      </c>
      <c r="W32" s="79">
        <f ca="1">IF($J32&lt;&gt;0,VLOOKUP($L32,'Allocation Factors - EGD'!$B$12:$S$104,14,FALSE)*$J32,0)+IF($F32&lt;&gt;0,VLOOKUP($H32,'Allocation Factors - EGD'!$B$12:$S$104,14,FALSE)*$F32,0)</f>
        <v>0</v>
      </c>
    </row>
    <row r="33" spans="1:23" x14ac:dyDescent="0.2">
      <c r="A33" s="2">
        <f t="shared" si="7"/>
        <v>19</v>
      </c>
      <c r="B33" s="31" t="s">
        <v>95</v>
      </c>
      <c r="D33" s="79">
        <f ca="1">'Total Allocation RZ - Gas'!N33</f>
        <v>3577.0325743260541</v>
      </c>
      <c r="F33" s="79">
        <v>3368.0941461927323</v>
      </c>
      <c r="H33" s="2" t="s">
        <v>251</v>
      </c>
      <c r="J33" s="79">
        <f t="shared" ca="1" si="6"/>
        <v>208.93842813332185</v>
      </c>
      <c r="L33" s="2" t="s">
        <v>335</v>
      </c>
      <c r="N33" s="79">
        <f ca="1">IF($J33&lt;&gt;0,VLOOKUP($L33,'Allocation Factors - EGD'!$B$12:$S$104,5,FALSE)*$J33,0)+IF($F33&lt;&gt;0,VLOOKUP($H33,'Allocation Factors - EGD'!$B$12:$S$104,5,FALSE)*$F33,0)</f>
        <v>1510.3882671996682</v>
      </c>
      <c r="O33" s="79">
        <f ca="1">IF($J33&lt;&gt;0,VLOOKUP($L33,'Allocation Factors - EGD'!$B$12:$S$104,6,FALSE)*$J33,0)+IF($F33&lt;&gt;0,VLOOKUP($H33,'Allocation Factors - EGD'!$B$12:$S$104,6,FALSE)*$F33,0)</f>
        <v>1446.3910708910648</v>
      </c>
      <c r="P33" s="79">
        <f ca="1">IF($J33&lt;&gt;0,VLOOKUP($L33,'Allocation Factors - EGD'!$B$12:$S$104,7,FALSE)*$J33,0)+IF($F33&lt;&gt;0,VLOOKUP($H33,'Allocation Factors - EGD'!$B$12:$S$104,7,FALSE)*$F33,0)</f>
        <v>8.2665750139586525</v>
      </c>
      <c r="Q33" s="79">
        <f ca="1">IF($J33&lt;&gt;0,VLOOKUP($L33,'Allocation Factors - EGD'!$B$12:$S$104,8,FALSE)*$J33,0)+IF($F33&lt;&gt;0,VLOOKUP($H33,'Allocation Factors - EGD'!$B$12:$S$104,8,FALSE)*$F33,0)</f>
        <v>321.95771951306909</v>
      </c>
      <c r="R33" s="79">
        <f ca="1">IF($J33&lt;&gt;0,VLOOKUP($L33,'Allocation Factors - EGD'!$B$12:$S$104,9,FALSE)*$J33,0)+IF($F33&lt;&gt;0,VLOOKUP($H33,'Allocation Factors - EGD'!$B$12:$S$104,9,FALSE)*$F33,0)</f>
        <v>115.08856422511165</v>
      </c>
      <c r="S33" s="79">
        <f ca="1">IF($J33&lt;&gt;0,VLOOKUP($L33,'Allocation Factors - EGD'!$B$12:$S$104,10,FALSE)*$J33,0)+IF($F33&lt;&gt;0,VLOOKUP($H33,'Allocation Factors - EGD'!$B$12:$S$104,10,FALSE)*$F33,0)</f>
        <v>0</v>
      </c>
      <c r="T33" s="79">
        <f ca="1">IF($J33&lt;&gt;0,VLOOKUP($L33,'Allocation Factors - EGD'!$B$12:$S$104,11,FALSE)*$J33,0)+IF($F33&lt;&gt;0,VLOOKUP($H33,'Allocation Factors - EGD'!$B$12:$S$104,11,FALSE)*$F33,0)</f>
        <v>15.866559158822399</v>
      </c>
      <c r="U33" s="79">
        <f ca="1">IF($J33&lt;&gt;0,VLOOKUP($L33,'Allocation Factors - EGD'!$B$12:$S$104,12,FALSE)*$J33,0)+IF($F33&lt;&gt;0,VLOOKUP($H33,'Allocation Factors - EGD'!$B$12:$S$104,12,FALSE)*$F33,0)</f>
        <v>4.735770501158199</v>
      </c>
      <c r="V33" s="79">
        <f ca="1">IF($J33&lt;&gt;0,VLOOKUP($L33,'Allocation Factors - EGD'!$B$12:$S$104,13,FALSE)*$J33,0)+IF($F33&lt;&gt;0,VLOOKUP($H33,'Allocation Factors - EGD'!$B$12:$S$104,13,FALSE)*$F33,0)</f>
        <v>97.421953100166718</v>
      </c>
      <c r="W33" s="79">
        <f ca="1">IF($J33&lt;&gt;0,VLOOKUP($L33,'Allocation Factors - EGD'!$B$12:$S$104,14,FALSE)*$J33,0)+IF($F33&lt;&gt;0,VLOOKUP($H33,'Allocation Factors - EGD'!$B$12:$S$104,14,FALSE)*$F33,0)</f>
        <v>56.916094723033765</v>
      </c>
    </row>
    <row r="34" spans="1:23" x14ac:dyDescent="0.2">
      <c r="A34" s="2">
        <f t="shared" si="7"/>
        <v>20</v>
      </c>
      <c r="B34" s="31" t="s">
        <v>99</v>
      </c>
      <c r="D34" s="41">
        <f ca="1">SUM(D27:D33)</f>
        <v>3577.0325743260541</v>
      </c>
      <c r="F34" s="41">
        <f>SUM(F27:F33)</f>
        <v>3368.0941461927323</v>
      </c>
      <c r="J34" s="41">
        <f ca="1">SUM(J27:J33)</f>
        <v>208.93842813332185</v>
      </c>
      <c r="N34" s="41">
        <f t="shared" ref="N34:W34" ca="1" si="8">SUM(N27:N33)</f>
        <v>1510.3882671996682</v>
      </c>
      <c r="O34" s="41">
        <f t="shared" ca="1" si="8"/>
        <v>1446.3910708910648</v>
      </c>
      <c r="P34" s="41">
        <f t="shared" ca="1" si="8"/>
        <v>8.2665750139586525</v>
      </c>
      <c r="Q34" s="41">
        <f t="shared" ca="1" si="8"/>
        <v>321.95771951306909</v>
      </c>
      <c r="R34" s="41">
        <f t="shared" ca="1" si="8"/>
        <v>115.08856422511165</v>
      </c>
      <c r="S34" s="41">
        <f t="shared" ca="1" si="8"/>
        <v>0</v>
      </c>
      <c r="T34" s="41">
        <f t="shared" ca="1" si="8"/>
        <v>15.866559158822399</v>
      </c>
      <c r="U34" s="41">
        <f t="shared" ca="1" si="8"/>
        <v>4.735770501158199</v>
      </c>
      <c r="V34" s="41">
        <f t="shared" ca="1" si="8"/>
        <v>97.421953100166718</v>
      </c>
      <c r="W34" s="41">
        <f t="shared" ca="1" si="8"/>
        <v>56.916094723033765</v>
      </c>
    </row>
    <row r="35" spans="1:23" x14ac:dyDescent="0.2">
      <c r="N35" s="79"/>
      <c r="O35" s="79"/>
      <c r="P35" s="79"/>
      <c r="Q35" s="79"/>
      <c r="R35" s="79"/>
      <c r="S35" s="79"/>
      <c r="T35" s="79"/>
      <c r="U35" s="79"/>
      <c r="V35" s="79"/>
      <c r="W35" s="79"/>
    </row>
    <row r="36" spans="1:23" x14ac:dyDescent="0.2">
      <c r="B36" s="77" t="s">
        <v>100</v>
      </c>
      <c r="H36" s="31"/>
      <c r="J36" s="2"/>
      <c r="L36" s="31"/>
      <c r="N36" s="2"/>
      <c r="P36" s="79"/>
      <c r="Q36" s="79"/>
      <c r="R36" s="79"/>
      <c r="S36" s="79"/>
      <c r="T36" s="79"/>
      <c r="U36" s="79"/>
      <c r="V36" s="79"/>
      <c r="W36" s="79"/>
    </row>
    <row r="37" spans="1:23" x14ac:dyDescent="0.2">
      <c r="A37" s="2">
        <f>A34+1</f>
        <v>21</v>
      </c>
      <c r="B37" s="31" t="s">
        <v>287</v>
      </c>
      <c r="D37" s="79">
        <f ca="1">'Total Allocation RZ - Gas'!N37</f>
        <v>5643.6628273268916</v>
      </c>
      <c r="E37" s="79"/>
      <c r="F37" s="79"/>
      <c r="G37" s="79"/>
      <c r="H37" s="79"/>
      <c r="I37" s="79"/>
      <c r="J37" s="79">
        <f t="shared" ref="J37:J39" ca="1" si="9">D37-F37</f>
        <v>5643.6628273268916</v>
      </c>
      <c r="K37" s="79"/>
      <c r="L37" s="2" t="s">
        <v>290</v>
      </c>
      <c r="N37" s="79">
        <f ca="1">IF($J37&lt;&gt;0,VLOOKUP($L37,'Allocation Factors - EGD'!$B$12:$S$104,5,FALSE)*$J37,0)+IF($F37&lt;&gt;0,VLOOKUP($H37,'Allocation Factors - EGD'!$B$12:$S$104,5,FALSE)*$F37,0)</f>
        <v>2544.822555734635</v>
      </c>
      <c r="O37" s="79">
        <f ca="1">IF($J37&lt;&gt;0,VLOOKUP($L37,'Allocation Factors - EGD'!$B$12:$S$104,6,FALSE)*$J37,0)+IF($F37&lt;&gt;0,VLOOKUP($H37,'Allocation Factors - EGD'!$B$12:$S$104,6,FALSE)*$F37,0)</f>
        <v>2267.8458243577666</v>
      </c>
      <c r="P37" s="79">
        <f ca="1">IF($J37&lt;&gt;0,VLOOKUP($L37,'Allocation Factors - EGD'!$B$12:$S$104,7,FALSE)*$J37,0)+IF($F37&lt;&gt;0,VLOOKUP($H37,'Allocation Factors - EGD'!$B$12:$S$104,7,FALSE)*$F37,0)</f>
        <v>8.0048666876789145</v>
      </c>
      <c r="Q37" s="79">
        <f ca="1">IF($J37&lt;&gt;0,VLOOKUP($L37,'Allocation Factors - EGD'!$B$12:$S$104,8,FALSE)*$J37,0)+IF($F37&lt;&gt;0,VLOOKUP($H37,'Allocation Factors - EGD'!$B$12:$S$104,8,FALSE)*$F37,0)</f>
        <v>260.41003404928773</v>
      </c>
      <c r="R37" s="79">
        <f ca="1">IF($J37&lt;&gt;0,VLOOKUP($L37,'Allocation Factors - EGD'!$B$12:$S$104,9,FALSE)*$J37,0)+IF($F37&lt;&gt;0,VLOOKUP($H37,'Allocation Factors - EGD'!$B$12:$S$104,9,FALSE)*$F37,0)</f>
        <v>54.727647920497496</v>
      </c>
      <c r="S37" s="79">
        <f ca="1">IF($J37&lt;&gt;0,VLOOKUP($L37,'Allocation Factors - EGD'!$B$12:$S$104,10,FALSE)*$J37,0)+IF($F37&lt;&gt;0,VLOOKUP($H37,'Allocation Factors - EGD'!$B$12:$S$104,10,FALSE)*$F37,0)</f>
        <v>446.56421045742633</v>
      </c>
      <c r="T37" s="79">
        <f ca="1">IF($J37&lt;&gt;0,VLOOKUP($L37,'Allocation Factors - EGD'!$B$12:$S$104,11,FALSE)*$J37,0)+IF($F37&lt;&gt;0,VLOOKUP($H37,'Allocation Factors - EGD'!$B$12:$S$104,11,FALSE)*$F37,0)</f>
        <v>0.90739739066200653</v>
      </c>
      <c r="U37" s="79">
        <f ca="1">IF($J37&lt;&gt;0,VLOOKUP($L37,'Allocation Factors - EGD'!$B$12:$S$104,12,FALSE)*$J37,0)+IF($F37&lt;&gt;0,VLOOKUP($H37,'Allocation Factors - EGD'!$B$12:$S$104,12,FALSE)*$F37,0)</f>
        <v>0</v>
      </c>
      <c r="V37" s="79">
        <f ca="1">IF($J37&lt;&gt;0,VLOOKUP($L37,'Allocation Factors - EGD'!$B$13:$S$104,13,FALSE)*$J37,0)+IF($F37&lt;&gt;0,VLOOKUP($H37,'Allocation Factors - EGD'!$B$13:$S$104,13,FALSE)*$F37,0)</f>
        <v>0</v>
      </c>
      <c r="W37" s="79">
        <f ca="1">IF($J37&lt;&gt;0,VLOOKUP($L37,'Allocation Factors - EGD'!$B$12:$S$104,14,FALSE)*$J37,0)+IF($F37&lt;&gt;0,VLOOKUP($H37,'Allocation Factors - EGD'!$B$12:$S$104,14,FALSE)*$F37,0)</f>
        <v>60.380290728936629</v>
      </c>
    </row>
    <row r="38" spans="1:23" x14ac:dyDescent="0.2">
      <c r="A38" s="2">
        <f>A37+1</f>
        <v>22</v>
      </c>
      <c r="B38" s="31" t="s">
        <v>288</v>
      </c>
      <c r="D38" s="79">
        <f ca="1">'Total Allocation RZ - Gas'!N38</f>
        <v>0</v>
      </c>
      <c r="E38" s="79"/>
      <c r="F38" s="79"/>
      <c r="G38" s="79"/>
      <c r="H38" s="79"/>
      <c r="I38" s="79"/>
      <c r="J38" s="79">
        <f t="shared" ca="1" si="9"/>
        <v>0</v>
      </c>
      <c r="K38" s="79"/>
      <c r="L38" s="2" t="s">
        <v>291</v>
      </c>
      <c r="N38" s="79">
        <f ca="1">IF($J38&lt;&gt;0,VLOOKUP($L38,'Allocation Factors - EGD'!$B$12:$S$104,5,FALSE)*$J38,0)+IF($F38&lt;&gt;0,VLOOKUP($H38,'Allocation Factors - EGD'!$B$12:$S$104,5,FALSE)*$F38,0)</f>
        <v>0</v>
      </c>
      <c r="O38" s="79">
        <f ca="1">IF($J38&lt;&gt;0,VLOOKUP($L38,'Allocation Factors - EGD'!$B$12:$S$104,6,FALSE)*$J38,0)+IF($F38&lt;&gt;0,VLOOKUP($H38,'Allocation Factors - EGD'!$B$12:$S$104,6,FALSE)*$F38,0)</f>
        <v>0</v>
      </c>
      <c r="P38" s="79">
        <f ca="1">IF($J38&lt;&gt;0,VLOOKUP($L38,'Allocation Factors - EGD'!$B$12:$S$104,7,FALSE)*$J38,0)+IF($F38&lt;&gt;0,VLOOKUP($H38,'Allocation Factors - EGD'!$B$12:$S$104,7,FALSE)*$F38,0)</f>
        <v>0</v>
      </c>
      <c r="Q38" s="79">
        <f ca="1">IF($J38&lt;&gt;0,VLOOKUP($L38,'Allocation Factors - EGD'!$B$12:$S$104,8,FALSE)*$J38,0)+IF($F38&lt;&gt;0,VLOOKUP($H38,'Allocation Factors - EGD'!$B$12:$S$104,8,FALSE)*$F38,0)</f>
        <v>0</v>
      </c>
      <c r="R38" s="79">
        <f ca="1">IF($J38&lt;&gt;0,VLOOKUP($L38,'Allocation Factors - EGD'!$B$12:$S$104,9,FALSE)*$J38,0)+IF($F38&lt;&gt;0,VLOOKUP($H38,'Allocation Factors - EGD'!$B$12:$S$104,9,FALSE)*$F38,0)</f>
        <v>0</v>
      </c>
      <c r="S38" s="79">
        <f ca="1">IF($J38&lt;&gt;0,VLOOKUP($L38,'Allocation Factors - EGD'!$B$12:$S$104,10,FALSE)*$J38,0)+IF($F38&lt;&gt;0,VLOOKUP($H38,'Allocation Factors - EGD'!$B$12:$S$104,10,FALSE)*$F38,0)</f>
        <v>0</v>
      </c>
      <c r="T38" s="79">
        <f ca="1">IF($J38&lt;&gt;0,VLOOKUP($L38,'Allocation Factors - EGD'!$B$12:$S$104,11,FALSE)*$J38,0)+IF($F38&lt;&gt;0,VLOOKUP($H38,'Allocation Factors - EGD'!$B$12:$S$104,11,FALSE)*$F38,0)</f>
        <v>0</v>
      </c>
      <c r="U38" s="79">
        <f ca="1">IF($J38&lt;&gt;0,VLOOKUP($L38,'Allocation Factors - EGD'!$B$12:$S$104,12,FALSE)*$J38,0)+IF($F38&lt;&gt;0,VLOOKUP($H38,'Allocation Factors - EGD'!$B$12:$S$104,12,FALSE)*$F38,0)</f>
        <v>0</v>
      </c>
      <c r="V38" s="79">
        <f ca="1">IF($J38&lt;&gt;0,VLOOKUP($L38,'Allocation Factors - EGD'!$B$13:$S$104,13,FALSE)*$J38,0)+IF($F38&lt;&gt;0,VLOOKUP($H38,'Allocation Factors - EGD'!$B$13:$S$104,13,FALSE)*$F38,0)</f>
        <v>0</v>
      </c>
      <c r="W38" s="79">
        <f ca="1">IF($J38&lt;&gt;0,VLOOKUP($L38,'Allocation Factors - EGD'!$B$12:$S$104,14,FALSE)*$J38,0)+IF($F38&lt;&gt;0,VLOOKUP($H38,'Allocation Factors - EGD'!$B$12:$S$104,14,FALSE)*$F38,0)</f>
        <v>0</v>
      </c>
    </row>
    <row r="39" spans="1:23" x14ac:dyDescent="0.2">
      <c r="A39" s="2">
        <f t="shared" ref="A39:A52" si="10">A38+1</f>
        <v>23</v>
      </c>
      <c r="B39" s="31" t="s">
        <v>289</v>
      </c>
      <c r="D39" s="79">
        <f ca="1">'Total Allocation RZ - Gas'!N39</f>
        <v>0</v>
      </c>
      <c r="E39" s="79"/>
      <c r="F39" s="79"/>
      <c r="G39" s="79"/>
      <c r="H39" s="79"/>
      <c r="I39" s="79"/>
      <c r="J39" s="79">
        <f t="shared" ca="1" si="9"/>
        <v>0</v>
      </c>
      <c r="K39" s="79"/>
      <c r="L39" s="2" t="s">
        <v>292</v>
      </c>
      <c r="N39" s="79">
        <f ca="1">IF($J39&lt;&gt;0,VLOOKUP($L39,'Allocation Factors - EGD'!$B$12:$S$104,5,FALSE)*$J39,0)+IF($F39&lt;&gt;0,VLOOKUP($H39,'Allocation Factors - EGD'!$B$12:$S$104,5,FALSE)*$F39,0)</f>
        <v>0</v>
      </c>
      <c r="O39" s="79">
        <f ca="1">IF($J39&lt;&gt;0,VLOOKUP($L39,'Allocation Factors - EGD'!$B$12:$S$104,6,FALSE)*$J39,0)+IF($F39&lt;&gt;0,VLOOKUP($H39,'Allocation Factors - EGD'!$B$12:$S$104,6,FALSE)*$F39,0)</f>
        <v>0</v>
      </c>
      <c r="P39" s="79">
        <f ca="1">IF($J39&lt;&gt;0,VLOOKUP($L39,'Allocation Factors - EGD'!$B$12:$S$104,7,FALSE)*$J39,0)+IF($F39&lt;&gt;0,VLOOKUP($H39,'Allocation Factors - EGD'!$B$12:$S$104,7,FALSE)*$F39,0)</f>
        <v>0</v>
      </c>
      <c r="Q39" s="79">
        <f ca="1">IF($J39&lt;&gt;0,VLOOKUP($L39,'Allocation Factors - EGD'!$B$12:$S$104,8,FALSE)*$J39,0)+IF($F39&lt;&gt;0,VLOOKUP($H39,'Allocation Factors - EGD'!$B$12:$S$104,8,FALSE)*$F39,0)</f>
        <v>0</v>
      </c>
      <c r="R39" s="79">
        <f ca="1">IF($J39&lt;&gt;0,VLOOKUP($L39,'Allocation Factors - EGD'!$B$12:$S$104,9,FALSE)*$J39,0)+IF($F39&lt;&gt;0,VLOOKUP($H39,'Allocation Factors - EGD'!$B$12:$S$104,9,FALSE)*$F39,0)</f>
        <v>0</v>
      </c>
      <c r="S39" s="79">
        <f ca="1">IF($J39&lt;&gt;0,VLOOKUP($L39,'Allocation Factors - EGD'!$B$12:$S$104,10,FALSE)*$J39,0)+IF($F39&lt;&gt;0,VLOOKUP($H39,'Allocation Factors - EGD'!$B$12:$S$104,10,FALSE)*$F39,0)</f>
        <v>0</v>
      </c>
      <c r="T39" s="79">
        <f ca="1">IF($J39&lt;&gt;0,VLOOKUP($L39,'Allocation Factors - EGD'!$B$12:$S$104,11,FALSE)*$J39,0)+IF($F39&lt;&gt;0,VLOOKUP($H39,'Allocation Factors - EGD'!$B$12:$S$104,11,FALSE)*$F39,0)</f>
        <v>0</v>
      </c>
      <c r="U39" s="79">
        <f ca="1">IF($J39&lt;&gt;0,VLOOKUP($L39,'Allocation Factors - EGD'!$B$12:$S$104,12,FALSE)*$J39,0)+IF($F39&lt;&gt;0,VLOOKUP($H39,'Allocation Factors - EGD'!$B$12:$S$104,12,FALSE)*$F39,0)</f>
        <v>0</v>
      </c>
      <c r="V39" s="79">
        <f ca="1">IF($J39&lt;&gt;0,VLOOKUP($L39,'Allocation Factors - EGD'!$B$13:$S$104,13,FALSE)*$J39,0)+IF($F39&lt;&gt;0,VLOOKUP($H39,'Allocation Factors - EGD'!$B$13:$S$104,13,FALSE)*$F39,0)</f>
        <v>0</v>
      </c>
      <c r="W39" s="79">
        <f ca="1">IF($J39&lt;&gt;0,VLOOKUP($L39,'Allocation Factors - EGD'!$B$12:$S$104,14,FALSE)*$J39,0)+IF($F39&lt;&gt;0,VLOOKUP($H39,'Allocation Factors - EGD'!$B$12:$S$104,14,FALSE)*$F39,0)</f>
        <v>0</v>
      </c>
    </row>
    <row r="40" spans="1:23" x14ac:dyDescent="0.2">
      <c r="B40" s="31" t="s">
        <v>163</v>
      </c>
      <c r="D40" s="79">
        <f>'Total Allocation RZ - Gas'!N40</f>
        <v>0</v>
      </c>
      <c r="E40" s="79"/>
      <c r="F40" s="79"/>
      <c r="G40" s="79"/>
      <c r="H40" s="79"/>
      <c r="I40" s="79"/>
      <c r="J40" s="123"/>
      <c r="K40" s="79"/>
      <c r="N40" s="2"/>
    </row>
    <row r="41" spans="1:23" x14ac:dyDescent="0.2">
      <c r="A41" s="2">
        <f>A39+1</f>
        <v>24</v>
      </c>
      <c r="B41" s="82" t="s">
        <v>165</v>
      </c>
      <c r="D41" s="79">
        <f ca="1">'Total Allocation RZ - Gas'!N41</f>
        <v>0</v>
      </c>
      <c r="E41" s="79"/>
      <c r="F41" s="79"/>
      <c r="G41" s="79"/>
      <c r="H41" s="79"/>
      <c r="I41" s="79"/>
      <c r="J41" s="79">
        <f t="shared" ref="J41:J46" ca="1" si="11">D41-F41</f>
        <v>0</v>
      </c>
      <c r="K41" s="79"/>
      <c r="L41" s="2" t="s">
        <v>161</v>
      </c>
      <c r="N41" s="79">
        <f ca="1">IF($J41&lt;&gt;0,VLOOKUP($L41,'Allocation Factors - EGD'!$B$12:$S$104,5,FALSE)*$J41,0)+IF($F41&lt;&gt;0,VLOOKUP($H41,'Allocation Factors - EGD'!$B$12:$S$104,5,FALSE)*$F41,0)</f>
        <v>0</v>
      </c>
      <c r="O41" s="79">
        <f ca="1">IF($J41&lt;&gt;0,VLOOKUP($L41,'Allocation Factors - EGD'!$B$12:$S$104,6,FALSE)*$J41,0)+IF($F41&lt;&gt;0,VLOOKUP($H41,'Allocation Factors - EGD'!$B$12:$S$104,6,FALSE)*$F41,0)</f>
        <v>0</v>
      </c>
      <c r="P41" s="79">
        <f ca="1">IF($J41&lt;&gt;0,VLOOKUP($L41,'Allocation Factors - EGD'!$B$12:$S$104,7,FALSE)*$J41,0)+IF($F41&lt;&gt;0,VLOOKUP($H41,'Allocation Factors - EGD'!$B$12:$S$104,7,FALSE)*$F41,0)</f>
        <v>0</v>
      </c>
      <c r="Q41" s="79">
        <f ca="1">IF($J41&lt;&gt;0,VLOOKUP($L41,'Allocation Factors - EGD'!$B$12:$S$104,8,FALSE)*$J41,0)+IF($F41&lt;&gt;0,VLOOKUP($H41,'Allocation Factors - EGD'!$B$12:$S$104,8,FALSE)*$F41,0)</f>
        <v>0</v>
      </c>
      <c r="R41" s="79">
        <f ca="1">IF($J41&lt;&gt;0,VLOOKUP($L41,'Allocation Factors - EGD'!$B$12:$S$104,9,FALSE)*$J41,0)+IF($F41&lt;&gt;0,VLOOKUP($H41,'Allocation Factors - EGD'!$B$12:$S$104,9,FALSE)*$F41,0)</f>
        <v>0</v>
      </c>
      <c r="S41" s="79">
        <f ca="1">IF($J41&lt;&gt;0,VLOOKUP($L41,'Allocation Factors - EGD'!$B$12:$S$104,10,FALSE)*$J41,0)+IF($F41&lt;&gt;0,VLOOKUP($H41,'Allocation Factors - EGD'!$B$12:$S$104,10,FALSE)*$F41,0)</f>
        <v>0</v>
      </c>
      <c r="T41" s="79">
        <f ca="1">IF($J41&lt;&gt;0,VLOOKUP($L41,'Allocation Factors - EGD'!$B$12:$S$104,11,FALSE)*$J41,0)+IF($F41&lt;&gt;0,VLOOKUP($H41,'Allocation Factors - EGD'!$B$12:$S$104,11,FALSE)*$F41,0)</f>
        <v>0</v>
      </c>
      <c r="U41" s="79">
        <f ca="1">IF($J41&lt;&gt;0,VLOOKUP($L41,'Allocation Factors - EGD'!$B$12:$S$104,12,FALSE)*$J41,0)+IF($F41&lt;&gt;0,VLOOKUP($H41,'Allocation Factors - EGD'!$B$12:$S$104,12,FALSE)*$F41,0)</f>
        <v>0</v>
      </c>
      <c r="V41" s="79">
        <f ca="1">IF($J41&lt;&gt;0,VLOOKUP($L41,'Allocation Factors - EGD'!$B$13:$S$104,13,FALSE)*$J41,0)+IF($F41&lt;&gt;0,VLOOKUP($H41,'Allocation Factors - EGD'!$B$13:$S$104,13,FALSE)*$F41,0)</f>
        <v>0</v>
      </c>
      <c r="W41" s="79">
        <f ca="1">IF($J41&lt;&gt;0,VLOOKUP($L41,'Allocation Factors - EGD'!$B$12:$S$104,14,FALSE)*$J41,0)+IF($F41&lt;&gt;0,VLOOKUP($H41,'Allocation Factors - EGD'!$B$12:$S$104,14,FALSE)*$F41,0)</f>
        <v>0</v>
      </c>
    </row>
    <row r="42" spans="1:23" x14ac:dyDescent="0.2">
      <c r="A42" s="2">
        <f t="shared" si="10"/>
        <v>25</v>
      </c>
      <c r="B42" s="82" t="s">
        <v>166</v>
      </c>
      <c r="D42" s="79">
        <f ca="1">'Total Allocation RZ - Gas'!N42</f>
        <v>0</v>
      </c>
      <c r="E42" s="79"/>
      <c r="F42" s="79"/>
      <c r="G42" s="79"/>
      <c r="H42" s="79"/>
      <c r="I42" s="79"/>
      <c r="J42" s="79">
        <f t="shared" ca="1" si="11"/>
        <v>0</v>
      </c>
      <c r="K42" s="79"/>
      <c r="L42" s="2" t="s">
        <v>162</v>
      </c>
      <c r="N42" s="79">
        <f ca="1">IF($J42&lt;&gt;0,VLOOKUP($L42,'Allocation Factors - EGD'!$B$12:$S$104,5,FALSE)*$J42,0)+IF($F42&lt;&gt;0,VLOOKUP($H42,'Allocation Factors - EGD'!$B$12:$S$104,5,FALSE)*$F42,0)</f>
        <v>0</v>
      </c>
      <c r="O42" s="79">
        <f ca="1">IF($J42&lt;&gt;0,VLOOKUP($L42,'Allocation Factors - EGD'!$B$12:$S$104,6,FALSE)*$J42,0)+IF($F42&lt;&gt;0,VLOOKUP($H42,'Allocation Factors - EGD'!$B$12:$S$104,6,FALSE)*$F42,0)</f>
        <v>0</v>
      </c>
      <c r="P42" s="79">
        <f ca="1">IF($J42&lt;&gt;0,VLOOKUP($L42,'Allocation Factors - EGD'!$B$12:$S$104,7,FALSE)*$J42,0)+IF($F42&lt;&gt;0,VLOOKUP($H42,'Allocation Factors - EGD'!$B$12:$S$104,7,FALSE)*$F42,0)</f>
        <v>0</v>
      </c>
      <c r="Q42" s="79">
        <f ca="1">IF($J42&lt;&gt;0,VLOOKUP($L42,'Allocation Factors - EGD'!$B$12:$S$104,8,FALSE)*$J42,0)+IF($F42&lt;&gt;0,VLOOKUP($H42,'Allocation Factors - EGD'!$B$12:$S$104,8,FALSE)*$F42,0)</f>
        <v>0</v>
      </c>
      <c r="R42" s="79">
        <f ca="1">IF($J42&lt;&gt;0,VLOOKUP($L42,'Allocation Factors - EGD'!$B$12:$S$104,9,FALSE)*$J42,0)+IF($F42&lt;&gt;0,VLOOKUP($H42,'Allocation Factors - EGD'!$B$12:$S$104,9,FALSE)*$F42,0)</f>
        <v>0</v>
      </c>
      <c r="S42" s="79">
        <f ca="1">IF($J42&lt;&gt;0,VLOOKUP($L42,'Allocation Factors - EGD'!$B$12:$S$104,10,FALSE)*$J42,0)+IF($F42&lt;&gt;0,VLOOKUP($H42,'Allocation Factors - EGD'!$B$12:$S$104,10,FALSE)*$F42,0)</f>
        <v>0</v>
      </c>
      <c r="T42" s="79">
        <f ca="1">IF($J42&lt;&gt;0,VLOOKUP($L42,'Allocation Factors - EGD'!$B$12:$S$104,11,FALSE)*$J42,0)+IF($F42&lt;&gt;0,VLOOKUP($H42,'Allocation Factors - EGD'!$B$12:$S$104,11,FALSE)*$F42,0)</f>
        <v>0</v>
      </c>
      <c r="U42" s="79">
        <f ca="1">IF($J42&lt;&gt;0,VLOOKUP($L42,'Allocation Factors - EGD'!$B$12:$S$104,12,FALSE)*$J42,0)+IF($F42&lt;&gt;0,VLOOKUP($H42,'Allocation Factors - EGD'!$B$12:$S$104,12,FALSE)*$F42,0)</f>
        <v>0</v>
      </c>
      <c r="V42" s="79">
        <f ca="1">IF($J42&lt;&gt;0,VLOOKUP($L42,'Allocation Factors - EGD'!$B$13:$S$104,13,FALSE)*$J42,0)+IF($F42&lt;&gt;0,VLOOKUP($H42,'Allocation Factors - EGD'!$B$13:$S$104,13,FALSE)*$F42,0)</f>
        <v>0</v>
      </c>
      <c r="W42" s="79">
        <f ca="1">IF($J42&lt;&gt;0,VLOOKUP($L42,'Allocation Factors - EGD'!$B$12:$S$104,14,FALSE)*$J42,0)+IF($F42&lt;&gt;0,VLOOKUP($H42,'Allocation Factors - EGD'!$B$12:$S$104,14,FALSE)*$F42,0)</f>
        <v>0</v>
      </c>
    </row>
    <row r="43" spans="1:23" x14ac:dyDescent="0.2">
      <c r="A43" s="2">
        <f t="shared" si="10"/>
        <v>26</v>
      </c>
      <c r="B43" s="31" t="s">
        <v>101</v>
      </c>
      <c r="D43" s="79">
        <f ca="1">'Total Allocation RZ - Gas'!N43</f>
        <v>0</v>
      </c>
      <c r="E43" s="79"/>
      <c r="F43" s="79"/>
      <c r="G43" s="79"/>
      <c r="H43" s="79"/>
      <c r="I43" s="79"/>
      <c r="J43" s="79">
        <f t="shared" ca="1" si="11"/>
        <v>0</v>
      </c>
      <c r="K43" s="79"/>
      <c r="L43" s="2" t="s">
        <v>220</v>
      </c>
      <c r="N43" s="79">
        <f ca="1">IF($J43&lt;&gt;0,VLOOKUP($L43,'Allocation Factors - EGD'!$B$12:$S$104,5,FALSE)*$J43,0)+IF($F43&lt;&gt;0,VLOOKUP($H43,'Allocation Factors - EGD'!$B$12:$S$104,5,FALSE)*$F43,0)</f>
        <v>0</v>
      </c>
      <c r="O43" s="79">
        <f ca="1">IF($J43&lt;&gt;0,VLOOKUP($L43,'Allocation Factors - EGD'!$B$12:$S$104,6,FALSE)*$J43,0)+IF($F43&lt;&gt;0,VLOOKUP($H43,'Allocation Factors - EGD'!$B$12:$S$104,6,FALSE)*$F43,0)</f>
        <v>0</v>
      </c>
      <c r="P43" s="79">
        <f ca="1">IF($J43&lt;&gt;0,VLOOKUP($L43,'Allocation Factors - EGD'!$B$12:$S$104,7,FALSE)*$J43,0)+IF($F43&lt;&gt;0,VLOOKUP($H43,'Allocation Factors - EGD'!$B$12:$S$104,7,FALSE)*$F43,0)</f>
        <v>0</v>
      </c>
      <c r="Q43" s="79">
        <f ca="1">IF($J43&lt;&gt;0,VLOOKUP($L43,'Allocation Factors - EGD'!$B$12:$S$104,8,FALSE)*$J43,0)+IF($F43&lt;&gt;0,VLOOKUP($H43,'Allocation Factors - EGD'!$B$12:$S$104,8,FALSE)*$F43,0)</f>
        <v>0</v>
      </c>
      <c r="R43" s="79">
        <f ca="1">IF($J43&lt;&gt;0,VLOOKUP($L43,'Allocation Factors - EGD'!$B$12:$S$104,9,FALSE)*$J43,0)+IF($F43&lt;&gt;0,VLOOKUP($H43,'Allocation Factors - EGD'!$B$12:$S$104,9,FALSE)*$F43,0)</f>
        <v>0</v>
      </c>
      <c r="S43" s="79">
        <f ca="1">IF($J43&lt;&gt;0,VLOOKUP($L43,'Allocation Factors - EGD'!$B$12:$S$104,10,FALSE)*$J43,0)+IF($F43&lt;&gt;0,VLOOKUP($H43,'Allocation Factors - EGD'!$B$12:$S$104,10,FALSE)*$F43,0)</f>
        <v>0</v>
      </c>
      <c r="T43" s="79">
        <f ca="1">IF($J43&lt;&gt;0,VLOOKUP($L43,'Allocation Factors - EGD'!$B$12:$S$104,11,FALSE)*$J43,0)+IF($F43&lt;&gt;0,VLOOKUP($H43,'Allocation Factors - EGD'!$B$12:$S$104,11,FALSE)*$F43,0)</f>
        <v>0</v>
      </c>
      <c r="U43" s="79">
        <f ca="1">IF($J43&lt;&gt;0,VLOOKUP($L43,'Allocation Factors - EGD'!$B$12:$S$104,12,FALSE)*$J43,0)+IF($F43&lt;&gt;0,VLOOKUP($H43,'Allocation Factors - EGD'!$B$12:$S$104,12,FALSE)*$F43,0)</f>
        <v>0</v>
      </c>
      <c r="V43" s="79">
        <f ca="1">IF($J43&lt;&gt;0,VLOOKUP($L43,'Allocation Factors - EGD'!$B$13:$S$104,13,FALSE)*$J43,0)+IF($F43&lt;&gt;0,VLOOKUP($H43,'Allocation Factors - EGD'!$B$13:$S$104,13,FALSE)*$F43,0)</f>
        <v>0</v>
      </c>
      <c r="W43" s="79">
        <f ca="1">IF($J43&lt;&gt;0,VLOOKUP($L43,'Allocation Factors - EGD'!$B$12:$S$104,14,FALSE)*$J43,0)+IF($F43&lt;&gt;0,VLOOKUP($H43,'Allocation Factors - EGD'!$B$12:$S$104,14,FALSE)*$F43,0)</f>
        <v>0</v>
      </c>
    </row>
    <row r="44" spans="1:23" x14ac:dyDescent="0.2">
      <c r="A44" s="2">
        <f t="shared" si="10"/>
        <v>27</v>
      </c>
      <c r="B44" s="31" t="s">
        <v>102</v>
      </c>
      <c r="D44" s="79">
        <f ca="1">'Total Allocation RZ - Gas'!N44</f>
        <v>0</v>
      </c>
      <c r="E44" s="79"/>
      <c r="F44" s="79"/>
      <c r="G44" s="79"/>
      <c r="H44" s="79"/>
      <c r="I44" s="79"/>
      <c r="J44" s="79">
        <f t="shared" ca="1" si="11"/>
        <v>0</v>
      </c>
      <c r="K44" s="79"/>
      <c r="L44" s="2" t="s">
        <v>220</v>
      </c>
      <c r="N44" s="79">
        <f ca="1">IF($J44&lt;&gt;0,VLOOKUP($L44,'Allocation Factors - EGD'!$B$12:$S$104,5,FALSE)*$J44,0)+IF($F44&lt;&gt;0,VLOOKUP($H44,'Allocation Factors - EGD'!$B$12:$S$104,5,FALSE)*$F44,0)</f>
        <v>0</v>
      </c>
      <c r="O44" s="79">
        <f ca="1">IF($J44&lt;&gt;0,VLOOKUP($L44,'Allocation Factors - EGD'!$B$12:$S$104,6,FALSE)*$J44,0)+IF($F44&lt;&gt;0,VLOOKUP($H44,'Allocation Factors - EGD'!$B$12:$S$104,6,FALSE)*$F44,0)</f>
        <v>0</v>
      </c>
      <c r="P44" s="79">
        <f ca="1">IF($J44&lt;&gt;0,VLOOKUP($L44,'Allocation Factors - EGD'!$B$12:$S$104,7,FALSE)*$J44,0)+IF($F44&lt;&gt;0,VLOOKUP($H44,'Allocation Factors - EGD'!$B$12:$S$104,7,FALSE)*$F44,0)</f>
        <v>0</v>
      </c>
      <c r="Q44" s="79">
        <f ca="1">IF($J44&lt;&gt;0,VLOOKUP($L44,'Allocation Factors - EGD'!$B$12:$S$104,8,FALSE)*$J44,0)+IF($F44&lt;&gt;0,VLOOKUP($H44,'Allocation Factors - EGD'!$B$12:$S$104,8,FALSE)*$F44,0)</f>
        <v>0</v>
      </c>
      <c r="R44" s="79">
        <f ca="1">IF($J44&lt;&gt;0,VLOOKUP($L44,'Allocation Factors - EGD'!$B$12:$S$104,9,FALSE)*$J44,0)+IF($F44&lt;&gt;0,VLOOKUP($H44,'Allocation Factors - EGD'!$B$12:$S$104,9,FALSE)*$F44,0)</f>
        <v>0</v>
      </c>
      <c r="S44" s="79">
        <f ca="1">IF($J44&lt;&gt;0,VLOOKUP($L44,'Allocation Factors - EGD'!$B$12:$S$104,10,FALSE)*$J44,0)+IF($F44&lt;&gt;0,VLOOKUP($H44,'Allocation Factors - EGD'!$B$12:$S$104,10,FALSE)*$F44,0)</f>
        <v>0</v>
      </c>
      <c r="T44" s="79">
        <f ca="1">IF($J44&lt;&gt;0,VLOOKUP($L44,'Allocation Factors - EGD'!$B$12:$S$104,11,FALSE)*$J44,0)+IF($F44&lt;&gt;0,VLOOKUP($H44,'Allocation Factors - EGD'!$B$12:$S$104,11,FALSE)*$F44,0)</f>
        <v>0</v>
      </c>
      <c r="U44" s="79">
        <f ca="1">IF($J44&lt;&gt;0,VLOOKUP($L44,'Allocation Factors - EGD'!$B$12:$S$104,12,FALSE)*$J44,0)+IF($F44&lt;&gt;0,VLOOKUP($H44,'Allocation Factors - EGD'!$B$12:$S$104,12,FALSE)*$F44,0)</f>
        <v>0</v>
      </c>
      <c r="V44" s="79">
        <f ca="1">IF($J44&lt;&gt;0,VLOOKUP($L44,'Allocation Factors - EGD'!$B$13:$S$104,13,FALSE)*$J44,0)+IF($F44&lt;&gt;0,VLOOKUP($H44,'Allocation Factors - EGD'!$B$13:$S$104,13,FALSE)*$F44,0)</f>
        <v>0</v>
      </c>
      <c r="W44" s="79">
        <f ca="1">IF($J44&lt;&gt;0,VLOOKUP($L44,'Allocation Factors - EGD'!$B$12:$S$104,14,FALSE)*$J44,0)+IF($F44&lt;&gt;0,VLOOKUP($H44,'Allocation Factors - EGD'!$B$12:$S$104,14,FALSE)*$F44,0)</f>
        <v>0</v>
      </c>
    </row>
    <row r="45" spans="1:23" x14ac:dyDescent="0.2">
      <c r="A45" s="2">
        <f t="shared" si="10"/>
        <v>28</v>
      </c>
      <c r="B45" s="31" t="s">
        <v>103</v>
      </c>
      <c r="D45" s="79">
        <f ca="1">'Total Allocation RZ - Gas'!N45</f>
        <v>0</v>
      </c>
      <c r="E45" s="79"/>
      <c r="F45" s="79"/>
      <c r="G45" s="79"/>
      <c r="H45" s="79"/>
      <c r="I45" s="79"/>
      <c r="J45" s="79">
        <f t="shared" ca="1" si="11"/>
        <v>0</v>
      </c>
      <c r="K45" s="79"/>
      <c r="L45" s="2" t="s">
        <v>190</v>
      </c>
      <c r="N45" s="79">
        <f ca="1">IF($J45&lt;&gt;0,VLOOKUP($L45,'Allocation Factors - EGD'!$B$12:$S$104,5,FALSE)*$J45,0)+IF($F45&lt;&gt;0,VLOOKUP($H45,'Allocation Factors - EGD'!$B$12:$S$104,5,FALSE)*$F45,0)</f>
        <v>0</v>
      </c>
      <c r="O45" s="79">
        <f ca="1">IF($J45&lt;&gt;0,VLOOKUP($L45,'Allocation Factors - EGD'!$B$12:$S$104,6,FALSE)*$J45,0)+IF($F45&lt;&gt;0,VLOOKUP($H45,'Allocation Factors - EGD'!$B$12:$S$104,6,FALSE)*$F45,0)</f>
        <v>0</v>
      </c>
      <c r="P45" s="79">
        <f ca="1">IF($J45&lt;&gt;0,VLOOKUP($L45,'Allocation Factors - EGD'!$B$12:$S$104,7,FALSE)*$J45,0)+IF($F45&lt;&gt;0,VLOOKUP($H45,'Allocation Factors - EGD'!$B$12:$S$104,7,FALSE)*$F45,0)</f>
        <v>0</v>
      </c>
      <c r="Q45" s="79">
        <f ca="1">IF($J45&lt;&gt;0,VLOOKUP($L45,'Allocation Factors - EGD'!$B$12:$S$104,8,FALSE)*$J45,0)+IF($F45&lt;&gt;0,VLOOKUP($H45,'Allocation Factors - EGD'!$B$12:$S$104,8,FALSE)*$F45,0)</f>
        <v>0</v>
      </c>
      <c r="R45" s="79">
        <f ca="1">IF($J45&lt;&gt;0,VLOOKUP($L45,'Allocation Factors - EGD'!$B$12:$S$104,9,FALSE)*$J45,0)+IF($F45&lt;&gt;0,VLOOKUP($H45,'Allocation Factors - EGD'!$B$12:$S$104,9,FALSE)*$F45,0)</f>
        <v>0</v>
      </c>
      <c r="S45" s="79">
        <f ca="1">IF($J45&lt;&gt;0,VLOOKUP($L45,'Allocation Factors - EGD'!$B$12:$S$104,10,FALSE)*$J45,0)+IF($F45&lt;&gt;0,VLOOKUP($H45,'Allocation Factors - EGD'!$B$12:$S$104,10,FALSE)*$F45,0)</f>
        <v>0</v>
      </c>
      <c r="T45" s="79">
        <f ca="1">IF($J45&lt;&gt;0,VLOOKUP($L45,'Allocation Factors - EGD'!$B$12:$S$104,11,FALSE)*$J45,0)+IF($F45&lt;&gt;0,VLOOKUP($H45,'Allocation Factors - EGD'!$B$12:$S$104,11,FALSE)*$F45,0)</f>
        <v>0</v>
      </c>
      <c r="U45" s="79">
        <f ca="1">IF($J45&lt;&gt;0,VLOOKUP($L45,'Allocation Factors - EGD'!$B$12:$S$104,12,FALSE)*$J45,0)+IF($F45&lt;&gt;0,VLOOKUP($H45,'Allocation Factors - EGD'!$B$12:$S$104,12,FALSE)*$F45,0)</f>
        <v>0</v>
      </c>
      <c r="V45" s="79">
        <f ca="1">IF($J45&lt;&gt;0,VLOOKUP($L45,'Allocation Factors - EGD'!$B$13:$S$104,13,FALSE)*$J45,0)+IF($F45&lt;&gt;0,VLOOKUP($H45,'Allocation Factors - EGD'!$B$13:$S$104,13,FALSE)*$F45,0)</f>
        <v>0</v>
      </c>
      <c r="W45" s="79">
        <f ca="1">IF($J45&lt;&gt;0,VLOOKUP($L45,'Allocation Factors - EGD'!$B$12:$S$104,14,FALSE)*$J45,0)+IF($F45&lt;&gt;0,VLOOKUP($H45,'Allocation Factors - EGD'!$B$12:$S$104,14,FALSE)*$F45,0)</f>
        <v>0</v>
      </c>
    </row>
    <row r="46" spans="1:23" x14ac:dyDescent="0.2">
      <c r="A46" s="2">
        <f t="shared" si="10"/>
        <v>29</v>
      </c>
      <c r="B46" s="31" t="s">
        <v>186</v>
      </c>
      <c r="D46" s="79">
        <f ca="1">'Total Allocation RZ - Gas'!N46</f>
        <v>0</v>
      </c>
      <c r="E46" s="79"/>
      <c r="F46" s="79"/>
      <c r="G46" s="79"/>
      <c r="H46" s="79"/>
      <c r="I46" s="79"/>
      <c r="J46" s="79">
        <f t="shared" ca="1" si="11"/>
        <v>0</v>
      </c>
      <c r="K46" s="79"/>
      <c r="L46" s="2" t="s">
        <v>191</v>
      </c>
      <c r="N46" s="79">
        <f ca="1">IF($J46&lt;&gt;0,VLOOKUP($L46,'Allocation Factors - EGD'!$B$12:$S$104,5,FALSE)*$J46,0)+IF($F46&lt;&gt;0,VLOOKUP($H46,'Allocation Factors - EGD'!$B$12:$S$104,5,FALSE)*$F46,0)</f>
        <v>0</v>
      </c>
      <c r="O46" s="79">
        <f ca="1">IF($J46&lt;&gt;0,VLOOKUP($L46,'Allocation Factors - EGD'!$B$12:$S$104,6,FALSE)*$J46,0)+IF($F46&lt;&gt;0,VLOOKUP($H46,'Allocation Factors - EGD'!$B$12:$S$104,6,FALSE)*$F46,0)</f>
        <v>0</v>
      </c>
      <c r="P46" s="79">
        <f ca="1">IF($J46&lt;&gt;0,VLOOKUP($L46,'Allocation Factors - EGD'!$B$12:$S$104,7,FALSE)*$J46,0)+IF($F46&lt;&gt;0,VLOOKUP($H46,'Allocation Factors - EGD'!$B$12:$S$104,7,FALSE)*$F46,0)</f>
        <v>0</v>
      </c>
      <c r="Q46" s="79">
        <f ca="1">IF($J46&lt;&gt;0,VLOOKUP($L46,'Allocation Factors - EGD'!$B$12:$S$104,8,FALSE)*$J46,0)+IF($F46&lt;&gt;0,VLOOKUP($H46,'Allocation Factors - EGD'!$B$12:$S$104,8,FALSE)*$F46,0)</f>
        <v>0</v>
      </c>
      <c r="R46" s="79">
        <f ca="1">IF($J46&lt;&gt;0,VLOOKUP($L46,'Allocation Factors - EGD'!$B$12:$S$104,9,FALSE)*$J46,0)+IF($F46&lt;&gt;0,VLOOKUP($H46,'Allocation Factors - EGD'!$B$12:$S$104,9,FALSE)*$F46,0)</f>
        <v>0</v>
      </c>
      <c r="S46" s="79">
        <f ca="1">IF($J46&lt;&gt;0,VLOOKUP($L46,'Allocation Factors - EGD'!$B$12:$S$104,10,FALSE)*$J46,0)+IF($F46&lt;&gt;0,VLOOKUP($H46,'Allocation Factors - EGD'!$B$12:$S$104,10,FALSE)*$F46,0)</f>
        <v>0</v>
      </c>
      <c r="T46" s="79">
        <f ca="1">IF($J46&lt;&gt;0,VLOOKUP($L46,'Allocation Factors - EGD'!$B$12:$S$104,11,FALSE)*$J46,0)+IF($F46&lt;&gt;0,VLOOKUP($H46,'Allocation Factors - EGD'!$B$12:$S$104,11,FALSE)*$F46,0)</f>
        <v>0</v>
      </c>
      <c r="U46" s="79">
        <f ca="1">IF($J46&lt;&gt;0,VLOOKUP($L46,'Allocation Factors - EGD'!$B$12:$S$104,12,FALSE)*$J46,0)+IF($F46&lt;&gt;0,VLOOKUP($H46,'Allocation Factors - EGD'!$B$12:$S$104,12,FALSE)*$F46,0)</f>
        <v>0</v>
      </c>
      <c r="V46" s="79">
        <f ca="1">IF($J46&lt;&gt;0,VLOOKUP($L46,'Allocation Factors - EGD'!$B$13:$S$104,13,FALSE)*$J46,0)+IF($F46&lt;&gt;0,VLOOKUP($H46,'Allocation Factors - EGD'!$B$13:$S$104,13,FALSE)*$F46,0)</f>
        <v>0</v>
      </c>
      <c r="W46" s="79">
        <f ca="1">IF($J46&lt;&gt;0,VLOOKUP($L46,'Allocation Factors - EGD'!$B$12:$S$104,14,FALSE)*$J46,0)+IF($F46&lt;&gt;0,VLOOKUP($H46,'Allocation Factors - EGD'!$B$12:$S$104,14,FALSE)*$F46,0)</f>
        <v>0</v>
      </c>
    </row>
    <row r="47" spans="1:23" x14ac:dyDescent="0.2">
      <c r="B47" s="31" t="s">
        <v>164</v>
      </c>
      <c r="D47" s="79">
        <f>'Total Allocation RZ - Gas'!N47</f>
        <v>0</v>
      </c>
      <c r="E47" s="79"/>
      <c r="F47" s="79"/>
      <c r="G47" s="79"/>
      <c r="H47" s="79"/>
      <c r="I47" s="79"/>
      <c r="J47" s="123"/>
      <c r="K47" s="79"/>
      <c r="N47" s="2"/>
      <c r="P47" s="79"/>
      <c r="Q47" s="79"/>
      <c r="R47" s="79"/>
      <c r="S47" s="79"/>
      <c r="T47" s="79"/>
      <c r="U47" s="79"/>
      <c r="V47" s="79"/>
      <c r="W47" s="79"/>
    </row>
    <row r="48" spans="1:23" x14ac:dyDescent="0.2">
      <c r="A48" s="2">
        <f>A46+1</f>
        <v>30</v>
      </c>
      <c r="B48" s="82" t="s">
        <v>176</v>
      </c>
      <c r="D48" s="79">
        <f ca="1">'Total Allocation RZ - Gas'!N48</f>
        <v>0</v>
      </c>
      <c r="F48" s="79"/>
      <c r="H48" s="31"/>
      <c r="J48" s="79">
        <f t="shared" ref="J48:J51" ca="1" si="12">D48-F48</f>
        <v>0</v>
      </c>
      <c r="L48" s="2" t="s">
        <v>223</v>
      </c>
      <c r="N48" s="79">
        <f ca="1">IF($J48&lt;&gt;0,VLOOKUP($L48,'Allocation Factors - EGD'!$B$12:$S$104,5,FALSE)*$J48,0)+IF($F48&lt;&gt;0,VLOOKUP($H48,'Allocation Factors - EGD'!$B$12:$S$104,5,FALSE)*$F48,0)</f>
        <v>0</v>
      </c>
      <c r="O48" s="79">
        <f ca="1">IF($J48&lt;&gt;0,VLOOKUP($L48,'Allocation Factors - EGD'!$B$12:$S$104,6,FALSE)*$J48,0)+IF($F48&lt;&gt;0,VLOOKUP($H48,'Allocation Factors - EGD'!$B$12:$S$104,6,FALSE)*$F48,0)</f>
        <v>0</v>
      </c>
      <c r="P48" s="79">
        <f ca="1">IF($J48&lt;&gt;0,VLOOKUP($L48,'Allocation Factors - EGD'!$B$12:$S$104,7,FALSE)*$J48,0)+IF($F48&lt;&gt;0,VLOOKUP($H48,'Allocation Factors - EGD'!$B$12:$S$104,7,FALSE)*$F48,0)</f>
        <v>0</v>
      </c>
      <c r="Q48" s="79">
        <f ca="1">IF($J48&lt;&gt;0,VLOOKUP($L48,'Allocation Factors - EGD'!$B$12:$S$104,8,FALSE)*$J48,0)+IF($F48&lt;&gt;0,VLOOKUP($H48,'Allocation Factors - EGD'!$B$12:$S$104,8,FALSE)*$F48,0)</f>
        <v>0</v>
      </c>
      <c r="R48" s="79">
        <f ca="1">IF($J48&lt;&gt;0,VLOOKUP($L48,'Allocation Factors - EGD'!$B$12:$S$104,9,FALSE)*$J48,0)+IF($F48&lt;&gt;0,VLOOKUP($H48,'Allocation Factors - EGD'!$B$12:$S$104,9,FALSE)*$F48,0)</f>
        <v>0</v>
      </c>
      <c r="S48" s="79">
        <f ca="1">IF($J48&lt;&gt;0,VLOOKUP($L48,'Allocation Factors - EGD'!$B$12:$S$104,10,FALSE)*$J48,0)+IF($F48&lt;&gt;0,VLOOKUP($H48,'Allocation Factors - EGD'!$B$12:$S$104,10,FALSE)*$F48,0)</f>
        <v>0</v>
      </c>
      <c r="T48" s="79">
        <f ca="1">IF($J48&lt;&gt;0,VLOOKUP($L48,'Allocation Factors - EGD'!$B$12:$S$104,11,FALSE)*$J48,0)+IF($F48&lt;&gt;0,VLOOKUP($H48,'Allocation Factors - EGD'!$B$12:$S$104,11,FALSE)*$F48,0)</f>
        <v>0</v>
      </c>
      <c r="U48" s="79">
        <f ca="1">IF($J48&lt;&gt;0,VLOOKUP($L48,'Allocation Factors - EGD'!$B$12:$S$104,12,FALSE)*$J48,0)+IF($F48&lt;&gt;0,VLOOKUP($H48,'Allocation Factors - EGD'!$B$12:$S$104,12,FALSE)*$F48,0)</f>
        <v>0</v>
      </c>
      <c r="V48" s="79">
        <f ca="1">IF($J48&lt;&gt;0,VLOOKUP($L48,'Allocation Factors - EGD'!$B$13:$S$104,13,FALSE)*$J48,0)+IF($F48&lt;&gt;0,VLOOKUP($H48,'Allocation Factors - EGD'!$B$13:$S$104,13,FALSE)*$F48,0)</f>
        <v>0</v>
      </c>
      <c r="W48" s="79">
        <f ca="1">IF($J48&lt;&gt;0,VLOOKUP($L48,'Allocation Factors - EGD'!$B$12:$S$104,14,FALSE)*$J48,0)+IF($F48&lt;&gt;0,VLOOKUP($H48,'Allocation Factors - EGD'!$B$12:$S$104,14,FALSE)*$F48,0)</f>
        <v>0</v>
      </c>
    </row>
    <row r="49" spans="1:23" x14ac:dyDescent="0.2">
      <c r="A49" s="2">
        <f t="shared" si="10"/>
        <v>31</v>
      </c>
      <c r="B49" s="82" t="s">
        <v>72</v>
      </c>
      <c r="D49" s="79">
        <f ca="1">'Total Allocation RZ - Gas'!N49</f>
        <v>0</v>
      </c>
      <c r="F49" s="79"/>
      <c r="J49" s="79">
        <f t="shared" ca="1" si="12"/>
        <v>0</v>
      </c>
      <c r="L49" s="2" t="s">
        <v>220</v>
      </c>
      <c r="N49" s="79">
        <f ca="1">IF($J49&lt;&gt;0,VLOOKUP($L49,'Allocation Factors - EGD'!$B$12:$S$104,5,FALSE)*$J49,0)+IF($F49&lt;&gt;0,VLOOKUP($H49,'Allocation Factors - EGD'!$B$12:$S$104,5,FALSE)*$F49,0)</f>
        <v>0</v>
      </c>
      <c r="O49" s="79">
        <f ca="1">IF($J49&lt;&gt;0,VLOOKUP($L49,'Allocation Factors - EGD'!$B$12:$S$104,6,FALSE)*$J49,0)+IF($F49&lt;&gt;0,VLOOKUP($H49,'Allocation Factors - EGD'!$B$12:$S$104,6,FALSE)*$F49,0)</f>
        <v>0</v>
      </c>
      <c r="P49" s="79">
        <f ca="1">IF($J49&lt;&gt;0,VLOOKUP($L49,'Allocation Factors - EGD'!$B$12:$S$104,7,FALSE)*$J49,0)+IF($F49&lt;&gt;0,VLOOKUP($H49,'Allocation Factors - EGD'!$B$12:$S$104,7,FALSE)*$F49,0)</f>
        <v>0</v>
      </c>
      <c r="Q49" s="79">
        <f ca="1">IF($J49&lt;&gt;0,VLOOKUP($L49,'Allocation Factors - EGD'!$B$12:$S$104,8,FALSE)*$J49,0)+IF($F49&lt;&gt;0,VLOOKUP($H49,'Allocation Factors - EGD'!$B$12:$S$104,8,FALSE)*$F49,0)</f>
        <v>0</v>
      </c>
      <c r="R49" s="79">
        <f ca="1">IF($J49&lt;&gt;0,VLOOKUP($L49,'Allocation Factors - EGD'!$B$12:$S$104,9,FALSE)*$J49,0)+IF($F49&lt;&gt;0,VLOOKUP($H49,'Allocation Factors - EGD'!$B$12:$S$104,9,FALSE)*$F49,0)</f>
        <v>0</v>
      </c>
      <c r="S49" s="79">
        <f ca="1">IF($J49&lt;&gt;0,VLOOKUP($L49,'Allocation Factors - EGD'!$B$12:$S$104,10,FALSE)*$J49,0)+IF($F49&lt;&gt;0,VLOOKUP($H49,'Allocation Factors - EGD'!$B$12:$S$104,10,FALSE)*$F49,0)</f>
        <v>0</v>
      </c>
      <c r="T49" s="79">
        <f ca="1">IF($J49&lt;&gt;0,VLOOKUP($L49,'Allocation Factors - EGD'!$B$12:$S$104,11,FALSE)*$J49,0)+IF($F49&lt;&gt;0,VLOOKUP($H49,'Allocation Factors - EGD'!$B$12:$S$104,11,FALSE)*$F49,0)</f>
        <v>0</v>
      </c>
      <c r="U49" s="79">
        <f ca="1">IF($J49&lt;&gt;0,VLOOKUP($L49,'Allocation Factors - EGD'!$B$12:$S$104,12,FALSE)*$J49,0)+IF($F49&lt;&gt;0,VLOOKUP($H49,'Allocation Factors - EGD'!$B$12:$S$104,12,FALSE)*$F49,0)</f>
        <v>0</v>
      </c>
      <c r="V49" s="79">
        <f ca="1">IF($J49&lt;&gt;0,VLOOKUP($L49,'Allocation Factors - EGD'!$B$13:$S$104,13,FALSE)*$J49,0)+IF($F49&lt;&gt;0,VLOOKUP($H49,'Allocation Factors - EGD'!$B$13:$S$104,13,FALSE)*$F49,0)</f>
        <v>0</v>
      </c>
      <c r="W49" s="79">
        <f ca="1">IF($J49&lt;&gt;0,VLOOKUP($L49,'Allocation Factors - EGD'!$B$12:$S$104,14,FALSE)*$J49,0)+IF($F49&lt;&gt;0,VLOOKUP($H49,'Allocation Factors - EGD'!$B$12:$S$104,14,FALSE)*$F49,0)</f>
        <v>0</v>
      </c>
    </row>
    <row r="50" spans="1:23" x14ac:dyDescent="0.2">
      <c r="A50" s="2">
        <f t="shared" si="10"/>
        <v>32</v>
      </c>
      <c r="B50" s="82" t="s">
        <v>174</v>
      </c>
      <c r="D50" s="79">
        <f ca="1">'Total Allocation RZ - Gas'!N50</f>
        <v>0</v>
      </c>
      <c r="F50" s="79"/>
      <c r="H50" s="31"/>
      <c r="J50" s="79">
        <f t="shared" ca="1" si="12"/>
        <v>0</v>
      </c>
      <c r="L50" s="2" t="s">
        <v>272</v>
      </c>
      <c r="N50" s="79">
        <f ca="1">IF($J50&lt;&gt;0,VLOOKUP($L50,'Allocation Factors - EGD'!$B$12:$S$104,5,FALSE)*$J50,0)+IF($F50&lt;&gt;0,VLOOKUP($H50,'Allocation Factors - EGD'!$B$12:$S$104,5,FALSE)*$F50,0)</f>
        <v>0</v>
      </c>
      <c r="O50" s="79">
        <f ca="1">IF($J50&lt;&gt;0,VLOOKUP($L50,'Allocation Factors - EGD'!$B$12:$S$104,6,FALSE)*$J50,0)+IF($F50&lt;&gt;0,VLOOKUP($H50,'Allocation Factors - EGD'!$B$12:$S$104,6,FALSE)*$F50,0)</f>
        <v>0</v>
      </c>
      <c r="P50" s="79">
        <f ca="1">IF($J50&lt;&gt;0,VLOOKUP($L50,'Allocation Factors - EGD'!$B$12:$S$104,7,FALSE)*$J50,0)+IF($F50&lt;&gt;0,VLOOKUP($H50,'Allocation Factors - EGD'!$B$12:$S$104,7,FALSE)*$F50,0)</f>
        <v>0</v>
      </c>
      <c r="Q50" s="79">
        <f ca="1">IF($J50&lt;&gt;0,VLOOKUP($L50,'Allocation Factors - EGD'!$B$12:$S$104,8,FALSE)*$J50,0)+IF($F50&lt;&gt;0,VLOOKUP($H50,'Allocation Factors - EGD'!$B$12:$S$104,8,FALSE)*$F50,0)</f>
        <v>0</v>
      </c>
      <c r="R50" s="79">
        <f ca="1">IF($J50&lt;&gt;0,VLOOKUP($L50,'Allocation Factors - EGD'!$B$12:$S$104,9,FALSE)*$J50,0)+IF($F50&lt;&gt;0,VLOOKUP($H50,'Allocation Factors - EGD'!$B$12:$S$104,9,FALSE)*$F50,0)</f>
        <v>0</v>
      </c>
      <c r="S50" s="79">
        <f ca="1">IF($J50&lt;&gt;0,VLOOKUP($L50,'Allocation Factors - EGD'!$B$12:$S$104,10,FALSE)*$J50,0)+IF($F50&lt;&gt;0,VLOOKUP($H50,'Allocation Factors - EGD'!$B$12:$S$104,10,FALSE)*$F50,0)</f>
        <v>0</v>
      </c>
      <c r="T50" s="79">
        <f ca="1">IF($J50&lt;&gt;0,VLOOKUP($L50,'Allocation Factors - EGD'!$B$12:$S$104,11,FALSE)*$J50,0)+IF($F50&lt;&gt;0,VLOOKUP($H50,'Allocation Factors - EGD'!$B$12:$S$104,11,FALSE)*$F50,0)</f>
        <v>0</v>
      </c>
      <c r="U50" s="79">
        <f ca="1">IF($J50&lt;&gt;0,VLOOKUP($L50,'Allocation Factors - EGD'!$B$12:$S$104,12,FALSE)*$J50,0)+IF($F50&lt;&gt;0,VLOOKUP($H50,'Allocation Factors - EGD'!$B$12:$S$104,12,FALSE)*$F50,0)</f>
        <v>0</v>
      </c>
      <c r="V50" s="79">
        <f ca="1">IF($J50&lt;&gt;0,VLOOKUP($L50,'Allocation Factors - EGD'!$B$13:$S$104,13,FALSE)*$J50,0)+IF($F50&lt;&gt;0,VLOOKUP($H50,'Allocation Factors - EGD'!$B$13:$S$104,13,FALSE)*$F50,0)</f>
        <v>0</v>
      </c>
      <c r="W50" s="79">
        <f ca="1">IF($J50&lt;&gt;0,VLOOKUP($L50,'Allocation Factors - EGD'!$B$12:$S$104,14,FALSE)*$J50,0)+IF($F50&lt;&gt;0,VLOOKUP($H50,'Allocation Factors - EGD'!$B$12:$S$104,14,FALSE)*$F50,0)</f>
        <v>0</v>
      </c>
    </row>
    <row r="51" spans="1:23" x14ac:dyDescent="0.2">
      <c r="A51" s="2">
        <f t="shared" si="10"/>
        <v>33</v>
      </c>
      <c r="B51" s="31" t="s">
        <v>249</v>
      </c>
      <c r="D51" s="79">
        <f ca="1">'Total Allocation RZ - Gas'!N51</f>
        <v>7618.9551613508575</v>
      </c>
      <c r="F51" s="79"/>
      <c r="H51" s="31"/>
      <c r="J51" s="79">
        <f t="shared" ca="1" si="12"/>
        <v>7618.9551613508575</v>
      </c>
      <c r="L51" s="2" t="s">
        <v>336</v>
      </c>
      <c r="N51" s="79">
        <f ca="1">IF($J51&lt;&gt;0,VLOOKUP($L51,'Allocation Factors - EGD'!$B$12:$S$104,5,FALSE)*$J51,0)+IF($F51&lt;&gt;0,VLOOKUP($H51,'Allocation Factors - EGD'!$B$12:$S$104,5,FALSE)*$F51,0)</f>
        <v>3133.900826054451</v>
      </c>
      <c r="O51" s="79">
        <f ca="1">IF($J51&lt;&gt;0,VLOOKUP($L51,'Allocation Factors - EGD'!$B$12:$S$104,6,FALSE)*$J51,0)+IF($F51&lt;&gt;0,VLOOKUP($H51,'Allocation Factors - EGD'!$B$12:$S$104,6,FALSE)*$F51,0)</f>
        <v>3001.1132040024399</v>
      </c>
      <c r="P51" s="79">
        <f ca="1">IF($J51&lt;&gt;0,VLOOKUP($L51,'Allocation Factors - EGD'!$B$12:$S$104,7,FALSE)*$J51,0)+IF($F51&lt;&gt;0,VLOOKUP($H51,'Allocation Factors - EGD'!$B$12:$S$104,7,FALSE)*$F51,0)</f>
        <v>17.152295755659058</v>
      </c>
      <c r="Q51" s="79">
        <f ca="1">IF($J51&lt;&gt;0,VLOOKUP($L51,'Allocation Factors - EGD'!$B$12:$S$104,8,FALSE)*$J51,0)+IF($F51&lt;&gt;0,VLOOKUP($H51,'Allocation Factors - EGD'!$B$12:$S$104,8,FALSE)*$F51,0)</f>
        <v>668.02926442703233</v>
      </c>
      <c r="R51" s="79">
        <f ca="1">IF($J51&lt;&gt;0,VLOOKUP($L51,'Allocation Factors - EGD'!$B$12:$S$104,9,FALSE)*$J51,0)+IF($F51&lt;&gt;0,VLOOKUP($H51,'Allocation Factors - EGD'!$B$12:$S$104,9,FALSE)*$F51,0)</f>
        <v>238.7969731539354</v>
      </c>
      <c r="S51" s="79">
        <f ca="1">IF($J51&lt;&gt;0,VLOOKUP($L51,'Allocation Factors - EGD'!$B$12:$S$104,10,FALSE)*$J51,0)+IF($F51&lt;&gt;0,VLOOKUP($H51,'Allocation Factors - EGD'!$B$12:$S$104,10,FALSE)*$F51,0)</f>
        <v>196.97924764219687</v>
      </c>
      <c r="T51" s="79">
        <f ca="1">IF($J51&lt;&gt;0,VLOOKUP($L51,'Allocation Factors - EGD'!$B$12:$S$104,11,FALSE)*$J51,0)+IF($F51&lt;&gt;0,VLOOKUP($H51,'Allocation Factors - EGD'!$B$12:$S$104,11,FALSE)*$F51,0)</f>
        <v>32.921483789506929</v>
      </c>
      <c r="U51" s="79">
        <f ca="1">IF($J51&lt;&gt;0,VLOOKUP($L51,'Allocation Factors - EGD'!$B$12:$S$104,12,FALSE)*$J51,0)+IF($F51&lt;&gt;0,VLOOKUP($H51,'Allocation Factors - EGD'!$B$12:$S$104,12,FALSE)*$F51,0)</f>
        <v>9.8262383308238395</v>
      </c>
      <c r="V51" s="79">
        <f ca="1">IF($J51&lt;&gt;0,VLOOKUP($L51,'Allocation Factors - EGD'!$B$13:$S$104,13,FALSE)*$J51,0)+IF($F51&lt;&gt;0,VLOOKUP($H51,'Allocation Factors - EGD'!$B$13:$S$104,13,FALSE)*$F51,0)</f>
        <v>202.14056605624398</v>
      </c>
      <c r="W51" s="79">
        <f ca="1">IF($J51&lt;&gt;0,VLOOKUP($L51,'Allocation Factors - EGD'!$B$12:$S$104,14,FALSE)*$J51,0)+IF($F51&lt;&gt;0,VLOOKUP($H51,'Allocation Factors - EGD'!$B$12:$S$104,14,FALSE)*$F51,0)</f>
        <v>118.095062138568</v>
      </c>
    </row>
    <row r="52" spans="1:23" x14ac:dyDescent="0.2">
      <c r="A52" s="2">
        <f t="shared" si="10"/>
        <v>34</v>
      </c>
      <c r="B52" s="31" t="s">
        <v>382</v>
      </c>
      <c r="D52" s="41">
        <f ca="1">SUM(D37:D51)</f>
        <v>13262.61798867775</v>
      </c>
      <c r="F52" s="41">
        <f>SUM(F37:F51)</f>
        <v>0</v>
      </c>
      <c r="H52" s="31"/>
      <c r="J52" s="41">
        <f ca="1">SUM(J37:J51)</f>
        <v>13262.61798867775</v>
      </c>
      <c r="L52" s="50"/>
      <c r="M52" s="50"/>
      <c r="N52" s="41">
        <f t="shared" ref="N52:W52" ca="1" si="13">SUM(N37:N51)</f>
        <v>5678.7233817890865</v>
      </c>
      <c r="O52" s="41">
        <f t="shared" ca="1" si="13"/>
        <v>5268.9590283602065</v>
      </c>
      <c r="P52" s="41">
        <f t="shared" ca="1" si="13"/>
        <v>25.157162443337974</v>
      </c>
      <c r="Q52" s="41">
        <f t="shared" ca="1" si="13"/>
        <v>928.43929847632012</v>
      </c>
      <c r="R52" s="41">
        <f t="shared" ca="1" si="13"/>
        <v>293.5246210744329</v>
      </c>
      <c r="S52" s="41">
        <f t="shared" ca="1" si="13"/>
        <v>643.54345809962319</v>
      </c>
      <c r="T52" s="41">
        <f t="shared" ca="1" si="13"/>
        <v>33.828881180168935</v>
      </c>
      <c r="U52" s="41">
        <f t="shared" ca="1" si="13"/>
        <v>9.8262383308238395</v>
      </c>
      <c r="V52" s="41">
        <f t="shared" ca="1" si="13"/>
        <v>202.14056605624398</v>
      </c>
      <c r="W52" s="41">
        <f t="shared" ca="1" si="13"/>
        <v>178.47535286750463</v>
      </c>
    </row>
    <row r="53" spans="1:23" x14ac:dyDescent="0.2">
      <c r="D53" s="50"/>
      <c r="F53" s="50"/>
      <c r="H53" s="31"/>
      <c r="J53" s="2"/>
      <c r="L53" s="31"/>
      <c r="N53" s="2"/>
    </row>
    <row r="54" spans="1:23" ht="13.5" thickBot="1" x14ac:dyDescent="0.25">
      <c r="A54" s="2">
        <f>A52+1</f>
        <v>35</v>
      </c>
      <c r="B54" s="31" t="s">
        <v>149</v>
      </c>
      <c r="D54" s="83">
        <f ca="1">D52+D34+D24+D17</f>
        <v>1418712.8935009965</v>
      </c>
      <c r="F54" s="83">
        <f>F17+F24+F34+F52</f>
        <v>3368.0941461927323</v>
      </c>
      <c r="H54" s="31"/>
      <c r="J54" s="83">
        <f ca="1">J17+J24+J34+J52</f>
        <v>1415344.7993548035</v>
      </c>
      <c r="L54" s="31"/>
      <c r="N54" s="83">
        <f ca="1">N17+N24+N34+N52</f>
        <v>810072.23002190911</v>
      </c>
      <c r="O54" s="83">
        <f ca="1">O17+O24+O34+O52</f>
        <v>537561.45874376083</v>
      </c>
      <c r="P54" s="83">
        <f ca="1">P17+P24+P34+P52</f>
        <v>2535.9051837188485</v>
      </c>
      <c r="Q54" s="83">
        <f t="shared" ref="Q54:W54" ca="1" si="14">Q17+Q24+Q34+Q52</f>
        <v>33102.215303108329</v>
      </c>
      <c r="R54" s="83">
        <f t="shared" ca="1" si="14"/>
        <v>5412.5283123520312</v>
      </c>
      <c r="S54" s="83">
        <f t="shared" ca="1" si="14"/>
        <v>643.54345809962319</v>
      </c>
      <c r="T54" s="83">
        <f t="shared" ca="1" si="14"/>
        <v>1275.6746203493763</v>
      </c>
      <c r="U54" s="83">
        <f t="shared" ca="1" si="14"/>
        <v>282.50408125972558</v>
      </c>
      <c r="V54" s="83">
        <f t="shared" ca="1" si="14"/>
        <v>4918.5006037927078</v>
      </c>
      <c r="W54" s="83">
        <f t="shared" ca="1" si="14"/>
        <v>22908.333172645674</v>
      </c>
    </row>
    <row r="55" spans="1:23" ht="13.5" thickTop="1" x14ac:dyDescent="0.2">
      <c r="H55" s="31"/>
      <c r="J55" s="31" t="s">
        <v>225</v>
      </c>
      <c r="L55" s="31"/>
      <c r="N55" s="50"/>
    </row>
    <row r="57" spans="1:23" x14ac:dyDescent="0.2">
      <c r="D57" s="96"/>
      <c r="E57" s="96"/>
      <c r="F57" s="96"/>
      <c r="G57" s="96"/>
      <c r="H57" s="156"/>
      <c r="I57" s="96"/>
      <c r="J57" s="96"/>
      <c r="K57" s="96"/>
      <c r="L57" s="15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</row>
  </sheetData>
  <mergeCells count="2">
    <mergeCell ref="B2:L2"/>
    <mergeCell ref="B3:L3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215A1-4E81-41F7-BF70-C2221583193E}">
  <dimension ref="A2:AS217"/>
  <sheetViews>
    <sheetView topLeftCell="A12" zoomScale="70" zoomScaleNormal="70" workbookViewId="0">
      <selection activeCell="V47" sqref="V47"/>
    </sheetView>
  </sheetViews>
  <sheetFormatPr defaultColWidth="9.140625" defaultRowHeight="12.75" x14ac:dyDescent="0.2"/>
  <cols>
    <col min="1" max="1" width="9.140625" style="18"/>
    <col min="2" max="2" width="29.140625" style="1" customWidth="1"/>
    <col min="3" max="3" width="9" style="1" customWidth="1"/>
    <col min="4" max="4" width="15.28515625" style="1" bestFit="1" customWidth="1"/>
    <col min="5" max="5" width="2.85546875" style="1" customWidth="1"/>
    <col min="6" max="15" width="14.7109375" style="1" customWidth="1"/>
    <col min="16" max="16384" width="9.140625" style="1"/>
  </cols>
  <sheetData>
    <row r="2" spans="1:45" x14ac:dyDescent="0.2">
      <c r="D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45" x14ac:dyDescent="0.2">
      <c r="D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45" x14ac:dyDescent="0.2">
      <c r="D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45" ht="15" customHeight="1" x14ac:dyDescent="0.2">
      <c r="B5" s="157" t="s">
        <v>511</v>
      </c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</row>
    <row r="6" spans="1:45" ht="15" customHeight="1" x14ac:dyDescent="0.2">
      <c r="B6" s="157" t="s">
        <v>515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</row>
    <row r="8" spans="1:45" x14ac:dyDescent="0.2">
      <c r="A8" s="18" t="s">
        <v>2</v>
      </c>
      <c r="D8" s="18"/>
      <c r="F8" s="159" t="s">
        <v>459</v>
      </c>
      <c r="G8" s="159"/>
      <c r="H8" s="159"/>
      <c r="I8" s="159"/>
      <c r="J8" s="159"/>
      <c r="K8" s="159"/>
      <c r="L8" s="159"/>
      <c r="M8" s="159"/>
      <c r="N8" s="159"/>
      <c r="O8" s="159"/>
    </row>
    <row r="9" spans="1:45" x14ac:dyDescent="0.2">
      <c r="A9" s="4" t="s">
        <v>4</v>
      </c>
      <c r="B9" s="4" t="s">
        <v>405</v>
      </c>
      <c r="D9" s="4" t="s">
        <v>11</v>
      </c>
      <c r="E9" s="18"/>
      <c r="F9" s="4" t="s">
        <v>460</v>
      </c>
      <c r="G9" s="4" t="s">
        <v>461</v>
      </c>
      <c r="H9" s="4" t="s">
        <v>462</v>
      </c>
      <c r="I9" s="4" t="s">
        <v>463</v>
      </c>
      <c r="J9" s="4" t="s">
        <v>464</v>
      </c>
      <c r="K9" s="4" t="s">
        <v>465</v>
      </c>
      <c r="L9" s="4" t="s">
        <v>466</v>
      </c>
      <c r="M9" s="4" t="s">
        <v>467</v>
      </c>
      <c r="N9" s="4" t="s">
        <v>468</v>
      </c>
      <c r="O9" s="4" t="s">
        <v>469</v>
      </c>
      <c r="P9" s="158"/>
      <c r="Q9" s="158"/>
      <c r="R9" s="158"/>
      <c r="S9" s="158"/>
      <c r="T9" s="158"/>
      <c r="U9" s="18"/>
      <c r="V9" s="158"/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8"/>
      <c r="AK9" s="158"/>
      <c r="AL9" s="158"/>
      <c r="AM9" s="158"/>
      <c r="AN9" s="158"/>
      <c r="AO9" s="158"/>
      <c r="AP9" s="158"/>
      <c r="AQ9" s="158"/>
      <c r="AR9" s="158"/>
      <c r="AS9" s="158"/>
    </row>
    <row r="10" spans="1:45" x14ac:dyDescent="0.2">
      <c r="D10" s="18" t="s">
        <v>12</v>
      </c>
      <c r="F10" s="18" t="s">
        <v>13</v>
      </c>
      <c r="G10" s="18" t="s">
        <v>14</v>
      </c>
      <c r="H10" s="18" t="s">
        <v>15</v>
      </c>
      <c r="I10" s="18" t="s">
        <v>16</v>
      </c>
      <c r="J10" s="18" t="s">
        <v>59</v>
      </c>
      <c r="K10" s="18" t="s">
        <v>61</v>
      </c>
      <c r="L10" s="18" t="s">
        <v>62</v>
      </c>
      <c r="M10" s="18" t="s">
        <v>82</v>
      </c>
      <c r="N10" s="18" t="s">
        <v>143</v>
      </c>
      <c r="O10" s="18" t="s">
        <v>144</v>
      </c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</row>
    <row r="11" spans="1:45" x14ac:dyDescent="0.2"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</row>
    <row r="12" spans="1:45" x14ac:dyDescent="0.2">
      <c r="A12" s="18">
        <v>1</v>
      </c>
      <c r="B12" s="18"/>
      <c r="C12" s="18" t="s">
        <v>368</v>
      </c>
      <c r="D12" s="8">
        <f>SUM(F12:O12)</f>
        <v>125192.20368431938</v>
      </c>
      <c r="F12" s="20">
        <v>64993.34451285153</v>
      </c>
      <c r="G12" s="20">
        <v>52513.156873663873</v>
      </c>
      <c r="H12" s="20">
        <v>207.57470727170934</v>
      </c>
      <c r="I12" s="20">
        <v>4430.0089811443322</v>
      </c>
      <c r="J12" s="20">
        <v>570.55630683476124</v>
      </c>
      <c r="K12" s="20">
        <v>0</v>
      </c>
      <c r="L12" s="20">
        <v>0</v>
      </c>
      <c r="M12" s="20">
        <v>108.30343153065357</v>
      </c>
      <c r="N12" s="20">
        <v>488.77539823564371</v>
      </c>
      <c r="O12" s="20">
        <v>1880.4834727868854</v>
      </c>
    </row>
    <row r="13" spans="1:45" x14ac:dyDescent="0.2">
      <c r="A13" s="18">
        <v>2</v>
      </c>
      <c r="B13" s="18" t="s">
        <v>333</v>
      </c>
      <c r="D13" s="37">
        <f>SUM(F13:O13)</f>
        <v>1.0000000000000002</v>
      </c>
      <c r="F13" s="37">
        <f t="shared" ref="F13:O13" si="0">F12/$D12</f>
        <v>0.519148498070508</v>
      </c>
      <c r="G13" s="37">
        <f t="shared" si="0"/>
        <v>0.41946028049861123</v>
      </c>
      <c r="H13" s="37">
        <f t="shared" si="0"/>
        <v>1.6580481943997329E-3</v>
      </c>
      <c r="I13" s="37">
        <f t="shared" si="0"/>
        <v>3.5385661812575006E-2</v>
      </c>
      <c r="J13" s="37">
        <f t="shared" si="0"/>
        <v>4.5574427963058911E-3</v>
      </c>
      <c r="K13" s="37">
        <f t="shared" si="0"/>
        <v>0</v>
      </c>
      <c r="L13" s="37">
        <f t="shared" si="0"/>
        <v>0</v>
      </c>
      <c r="M13" s="37">
        <f t="shared" si="0"/>
        <v>8.6509725321033573E-4</v>
      </c>
      <c r="N13" s="37">
        <f t="shared" si="0"/>
        <v>3.9041999729322124E-3</v>
      </c>
      <c r="O13" s="37">
        <f t="shared" si="0"/>
        <v>1.5020771401457649E-2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</row>
    <row r="14" spans="1:45" x14ac:dyDescent="0.2"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</row>
    <row r="15" spans="1:45" x14ac:dyDescent="0.2">
      <c r="A15" s="18">
        <v>3</v>
      </c>
      <c r="B15" s="18"/>
      <c r="C15" s="18" t="s">
        <v>367</v>
      </c>
      <c r="D15" s="8">
        <f>SUM(F15:O15)</f>
        <v>6681.6256767138766</v>
      </c>
      <c r="F15" s="20">
        <v>4938.370821570029</v>
      </c>
      <c r="G15" s="20">
        <v>395.43993273337662</v>
      </c>
      <c r="H15" s="20">
        <v>36.710912283553668</v>
      </c>
      <c r="I15" s="20">
        <v>1090.8385364255948</v>
      </c>
      <c r="J15" s="20">
        <v>57.688576445584346</v>
      </c>
      <c r="K15" s="20">
        <v>10.488832081015335</v>
      </c>
      <c r="L15" s="20">
        <v>107.51052883040718</v>
      </c>
      <c r="M15" s="20">
        <v>13.11104010126917</v>
      </c>
      <c r="N15" s="20">
        <v>28.844288222792173</v>
      </c>
      <c r="O15" s="20">
        <v>2.6222080202538338</v>
      </c>
    </row>
    <row r="16" spans="1:45" x14ac:dyDescent="0.2">
      <c r="A16" s="18">
        <v>4</v>
      </c>
      <c r="B16" s="18" t="s">
        <v>341</v>
      </c>
      <c r="D16" s="37">
        <f>SUM(F16:O16)</f>
        <v>0.99999999999999978</v>
      </c>
      <c r="F16" s="37">
        <f t="shared" ref="F16:O16" si="1">F15/$D15</f>
        <v>0.73909719887193581</v>
      </c>
      <c r="G16" s="37">
        <f t="shared" si="1"/>
        <v>5.9183191616304358E-2</v>
      </c>
      <c r="H16" s="37">
        <f t="shared" si="1"/>
        <v>5.4943084302813928E-3</v>
      </c>
      <c r="I16" s="37">
        <f t="shared" si="1"/>
        <v>0.16325945049978999</v>
      </c>
      <c r="J16" s="37">
        <f t="shared" si="1"/>
        <v>8.633913247585048E-3</v>
      </c>
      <c r="K16" s="37">
        <f t="shared" si="1"/>
        <v>1.5698024086518267E-3</v>
      </c>
      <c r="L16" s="37">
        <f t="shared" si="1"/>
        <v>1.6090474688681224E-2</v>
      </c>
      <c r="M16" s="37">
        <f t="shared" si="1"/>
        <v>1.9622530108147837E-3</v>
      </c>
      <c r="N16" s="37">
        <f t="shared" si="1"/>
        <v>4.316956623792524E-3</v>
      </c>
      <c r="O16" s="37">
        <f t="shared" si="1"/>
        <v>3.9245060216295668E-4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</row>
    <row r="17" spans="1:45" x14ac:dyDescent="0.2"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</row>
    <row r="18" spans="1:45" x14ac:dyDescent="0.2">
      <c r="A18" s="18">
        <v>5</v>
      </c>
      <c r="B18" s="18"/>
      <c r="C18" s="18" t="s">
        <v>367</v>
      </c>
      <c r="D18" s="8">
        <f>SUM(F18:O18)</f>
        <v>23752.354357659988</v>
      </c>
      <c r="F18" s="20">
        <v>10029.340408491469</v>
      </c>
      <c r="G18" s="20">
        <v>9604.3836732553973</v>
      </c>
      <c r="H18" s="20">
        <v>54.892041091551491</v>
      </c>
      <c r="I18" s="20">
        <v>2137.8764892850695</v>
      </c>
      <c r="J18" s="20">
        <v>764.21567407845089</v>
      </c>
      <c r="K18" s="20">
        <v>0</v>
      </c>
      <c r="L18" s="20">
        <v>105.35775890945881</v>
      </c>
      <c r="M18" s="20">
        <v>31.446652151680759</v>
      </c>
      <c r="N18" s="20">
        <v>646.90513831467433</v>
      </c>
      <c r="O18" s="20">
        <v>377.93652208223136</v>
      </c>
    </row>
    <row r="19" spans="1:45" x14ac:dyDescent="0.2">
      <c r="A19" s="18">
        <v>6</v>
      </c>
      <c r="B19" s="18" t="s">
        <v>251</v>
      </c>
      <c r="D19" s="37">
        <f>SUM(F19:O19)</f>
        <v>0.99999999999999978</v>
      </c>
      <c r="F19" s="37">
        <f t="shared" ref="F19:O19" si="2">F18/$D18</f>
        <v>0.42224615957942158</v>
      </c>
      <c r="G19" s="37">
        <f t="shared" si="2"/>
        <v>0.40435501797564094</v>
      </c>
      <c r="H19" s="37">
        <f t="shared" si="2"/>
        <v>2.3110147425806295E-3</v>
      </c>
      <c r="I19" s="37">
        <f t="shared" si="2"/>
        <v>9.0006929717079506E-2</v>
      </c>
      <c r="J19" s="37">
        <f t="shared" si="2"/>
        <v>3.2174312599542204E-2</v>
      </c>
      <c r="K19" s="37">
        <f t="shared" si="2"/>
        <v>0</v>
      </c>
      <c r="L19" s="37">
        <f t="shared" si="2"/>
        <v>4.435676452236895E-3</v>
      </c>
      <c r="M19" s="37">
        <f t="shared" si="2"/>
        <v>1.3239383211517055E-3</v>
      </c>
      <c r="N19" s="37">
        <f t="shared" si="2"/>
        <v>2.7235411217501115E-2</v>
      </c>
      <c r="O19" s="37">
        <f t="shared" si="2"/>
        <v>1.591153939484526E-2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</row>
    <row r="20" spans="1:45" x14ac:dyDescent="0.2"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</row>
    <row r="21" spans="1:45" x14ac:dyDescent="0.2">
      <c r="A21" s="18">
        <v>7</v>
      </c>
      <c r="B21" s="18"/>
      <c r="C21" s="18" t="s">
        <v>367</v>
      </c>
      <c r="D21" s="8">
        <f>SUM(F21:O21)</f>
        <v>128207.84407962112</v>
      </c>
      <c r="F21" s="20">
        <v>54135.269790577302</v>
      </c>
      <c r="G21" s="20">
        <v>51841.485097433368</v>
      </c>
      <c r="H21" s="20">
        <v>296.29021778248318</v>
      </c>
      <c r="I21" s="20">
        <v>11539.594411252747</v>
      </c>
      <c r="J21" s="20">
        <v>4124.9992531310963</v>
      </c>
      <c r="K21" s="20">
        <v>0</v>
      </c>
      <c r="L21" s="20">
        <v>568.68851497603487</v>
      </c>
      <c r="M21" s="20">
        <v>169.73927784925323</v>
      </c>
      <c r="N21" s="20">
        <v>3491.7933548177475</v>
      </c>
      <c r="O21" s="20">
        <v>2039.9841618010698</v>
      </c>
    </row>
    <row r="22" spans="1:45" x14ac:dyDescent="0.2">
      <c r="A22" s="18">
        <v>8</v>
      </c>
      <c r="B22" s="18" t="s">
        <v>410</v>
      </c>
      <c r="D22" s="37">
        <f>SUM(F22:O22)</f>
        <v>0.99999999999999989</v>
      </c>
      <c r="F22" s="37">
        <f t="shared" ref="F22:O22" si="3">F21/$D21</f>
        <v>0.42224615957942158</v>
      </c>
      <c r="G22" s="37">
        <f t="shared" si="3"/>
        <v>0.40435501797564094</v>
      </c>
      <c r="H22" s="37">
        <f t="shared" si="3"/>
        <v>2.3110147425806304E-3</v>
      </c>
      <c r="I22" s="37">
        <f t="shared" si="3"/>
        <v>9.0006929717079506E-2</v>
      </c>
      <c r="J22" s="37">
        <f t="shared" si="3"/>
        <v>3.2174312599542204E-2</v>
      </c>
      <c r="K22" s="37">
        <f t="shared" si="3"/>
        <v>0</v>
      </c>
      <c r="L22" s="37">
        <f t="shared" si="3"/>
        <v>4.435676452236895E-3</v>
      </c>
      <c r="M22" s="37">
        <f t="shared" si="3"/>
        <v>1.3239383211517057E-3</v>
      </c>
      <c r="N22" s="37">
        <f t="shared" si="3"/>
        <v>2.7235411217501119E-2</v>
      </c>
      <c r="O22" s="37">
        <f t="shared" si="3"/>
        <v>1.591153939484526E-2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</row>
    <row r="23" spans="1:45" x14ac:dyDescent="0.2">
      <c r="B23" s="18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</row>
    <row r="24" spans="1:45" x14ac:dyDescent="0.2">
      <c r="A24" s="18">
        <v>9</v>
      </c>
      <c r="B24" s="18"/>
      <c r="C24" s="18" t="s">
        <v>367</v>
      </c>
      <c r="D24" s="8">
        <f>SUM(F24:O24)</f>
        <v>40</v>
      </c>
      <c r="F24" s="20">
        <v>19.586486563670707</v>
      </c>
      <c r="G24" s="20">
        <v>17.454706878152955</v>
      </c>
      <c r="H24" s="20">
        <v>6.1610273560679461E-2</v>
      </c>
      <c r="I24" s="20">
        <v>2.0042724084858632</v>
      </c>
      <c r="J24" s="20">
        <v>0.42121692855975362</v>
      </c>
      <c r="K24" s="20">
        <v>0</v>
      </c>
      <c r="L24" s="20">
        <v>6.9838766400672093E-3</v>
      </c>
      <c r="M24" s="20">
        <v>0</v>
      </c>
      <c r="N24" s="20">
        <v>0</v>
      </c>
      <c r="O24" s="20">
        <v>0.46472307092996767</v>
      </c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</row>
    <row r="25" spans="1:45" x14ac:dyDescent="0.2">
      <c r="A25" s="18">
        <v>10</v>
      </c>
      <c r="B25" s="18" t="s">
        <v>332</v>
      </c>
      <c r="D25" s="37">
        <f>SUM(F25:O25)</f>
        <v>0.99999999999999989</v>
      </c>
      <c r="F25" s="37">
        <f t="shared" ref="F25:O25" si="4">F24/$D24</f>
        <v>0.48966216409176766</v>
      </c>
      <c r="G25" s="37">
        <f t="shared" si="4"/>
        <v>0.43636767195382387</v>
      </c>
      <c r="H25" s="37">
        <f t="shared" si="4"/>
        <v>1.5402568390169866E-3</v>
      </c>
      <c r="I25" s="37">
        <f t="shared" si="4"/>
        <v>5.010681021214658E-2</v>
      </c>
      <c r="J25" s="37">
        <f t="shared" si="4"/>
        <v>1.0530423213993841E-2</v>
      </c>
      <c r="K25" s="37">
        <f t="shared" si="4"/>
        <v>0</v>
      </c>
      <c r="L25" s="37">
        <f t="shared" si="4"/>
        <v>1.7459691600168022E-4</v>
      </c>
      <c r="M25" s="37">
        <f t="shared" si="4"/>
        <v>0</v>
      </c>
      <c r="N25" s="37">
        <f t="shared" si="4"/>
        <v>0</v>
      </c>
      <c r="O25" s="37">
        <f t="shared" si="4"/>
        <v>1.1618076773249192E-2</v>
      </c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</row>
    <row r="26" spans="1:45" x14ac:dyDescent="0.2"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</row>
    <row r="27" spans="1:45" x14ac:dyDescent="0.2">
      <c r="A27" s="18">
        <v>11</v>
      </c>
      <c r="B27" s="18"/>
      <c r="C27" s="18" t="s">
        <v>367</v>
      </c>
      <c r="D27" s="8">
        <f>SUM(F27:O27)</f>
        <v>6935.816269573821</v>
      </c>
      <c r="F27" s="20">
        <v>5854.3863036569355</v>
      </c>
      <c r="G27" s="20">
        <v>468.15431355111883</v>
      </c>
      <c r="H27" s="20">
        <v>16.704006095565624</v>
      </c>
      <c r="I27" s="20">
        <v>496.34760969680718</v>
      </c>
      <c r="J27" s="20">
        <v>26.249152435888842</v>
      </c>
      <c r="K27" s="20">
        <v>4.7725731701616079</v>
      </c>
      <c r="L27" s="20">
        <v>48.918874994156475</v>
      </c>
      <c r="M27" s="20">
        <v>5.9657164627020096</v>
      </c>
      <c r="N27" s="20">
        <v>13.124576217944421</v>
      </c>
      <c r="O27" s="20">
        <v>1.193143292540402</v>
      </c>
    </row>
    <row r="28" spans="1:45" x14ac:dyDescent="0.2">
      <c r="A28" s="18">
        <v>12</v>
      </c>
      <c r="B28" s="18" t="s">
        <v>223</v>
      </c>
      <c r="D28" s="37">
        <f>SUM(F28:O28)</f>
        <v>1</v>
      </c>
      <c r="F28" s="37">
        <f t="shared" ref="F28:O28" si="5">F27/$D27</f>
        <v>0.84408036143331477</v>
      </c>
      <c r="G28" s="37">
        <f t="shared" si="5"/>
        <v>6.7498084631340022E-2</v>
      </c>
      <c r="H28" s="37">
        <f t="shared" si="5"/>
        <v>2.4083691733362512E-3</v>
      </c>
      <c r="I28" s="37">
        <f t="shared" si="5"/>
        <v>7.1562969721991471E-2</v>
      </c>
      <c r="J28" s="37">
        <f t="shared" si="5"/>
        <v>3.784580129528395E-3</v>
      </c>
      <c r="K28" s="37">
        <f t="shared" si="5"/>
        <v>6.881054780960719E-4</v>
      </c>
      <c r="L28" s="37">
        <f t="shared" si="5"/>
        <v>7.0530811504847359E-3</v>
      </c>
      <c r="M28" s="37">
        <f t="shared" si="5"/>
        <v>8.6013184762008977E-4</v>
      </c>
      <c r="N28" s="37">
        <f t="shared" si="5"/>
        <v>1.8922900647641975E-3</v>
      </c>
      <c r="O28" s="37">
        <f t="shared" si="5"/>
        <v>1.7202636952401798E-4</v>
      </c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</row>
    <row r="29" spans="1:45" x14ac:dyDescent="0.2">
      <c r="C29" s="18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</row>
    <row r="30" spans="1:45" x14ac:dyDescent="0.2">
      <c r="A30" s="18">
        <v>13</v>
      </c>
      <c r="B30" s="18"/>
      <c r="C30" s="18" t="s">
        <v>368</v>
      </c>
      <c r="D30" s="8">
        <f>SUM(F30:O30)</f>
        <v>514</v>
      </c>
      <c r="F30" s="20">
        <f>0</f>
        <v>0</v>
      </c>
      <c r="G30" s="20">
        <f>0</f>
        <v>0</v>
      </c>
      <c r="H30" s="20">
        <f t="shared" ref="H30:O30" si="6">H90</f>
        <v>14</v>
      </c>
      <c r="I30" s="20">
        <f t="shared" si="6"/>
        <v>416</v>
      </c>
      <c r="J30" s="20">
        <f t="shared" si="6"/>
        <v>22</v>
      </c>
      <c r="K30" s="20">
        <f t="shared" si="6"/>
        <v>4</v>
      </c>
      <c r="L30" s="20">
        <f t="shared" si="6"/>
        <v>41</v>
      </c>
      <c r="M30" s="20">
        <f t="shared" si="6"/>
        <v>5</v>
      </c>
      <c r="N30" s="20">
        <f t="shared" si="6"/>
        <v>11</v>
      </c>
      <c r="O30" s="20">
        <f t="shared" si="6"/>
        <v>1</v>
      </c>
    </row>
    <row r="31" spans="1:45" x14ac:dyDescent="0.2">
      <c r="A31" s="18">
        <v>14</v>
      </c>
      <c r="B31" s="18" t="s">
        <v>272</v>
      </c>
      <c r="C31" s="18"/>
      <c r="D31" s="37">
        <f>SUM(F31:O31)</f>
        <v>0.99999999999999989</v>
      </c>
      <c r="F31" s="37">
        <f t="shared" ref="F31:O31" si="7">F30/$D30</f>
        <v>0</v>
      </c>
      <c r="G31" s="37">
        <f t="shared" si="7"/>
        <v>0</v>
      </c>
      <c r="H31" s="37">
        <f t="shared" si="7"/>
        <v>2.7237354085603113E-2</v>
      </c>
      <c r="I31" s="37">
        <f t="shared" si="7"/>
        <v>0.80933852140077822</v>
      </c>
      <c r="J31" s="37">
        <f t="shared" si="7"/>
        <v>4.2801556420233464E-2</v>
      </c>
      <c r="K31" s="37">
        <f t="shared" si="7"/>
        <v>7.7821011673151752E-3</v>
      </c>
      <c r="L31" s="37">
        <f t="shared" si="7"/>
        <v>7.9766536964980539E-2</v>
      </c>
      <c r="M31" s="37">
        <f t="shared" si="7"/>
        <v>9.727626459143969E-3</v>
      </c>
      <c r="N31" s="37">
        <f t="shared" si="7"/>
        <v>2.1400778210116732E-2</v>
      </c>
      <c r="O31" s="37">
        <f t="shared" si="7"/>
        <v>1.9455252918287938E-3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</row>
    <row r="32" spans="1:45" x14ac:dyDescent="0.2"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</row>
    <row r="33" spans="1:45" x14ac:dyDescent="0.2">
      <c r="A33" s="18">
        <v>15</v>
      </c>
      <c r="B33" s="18"/>
      <c r="C33" s="18" t="s">
        <v>367</v>
      </c>
      <c r="D33" s="20">
        <f>SUM(F33:O33)</f>
        <v>82678.249744114641</v>
      </c>
      <c r="E33" s="20"/>
      <c r="F33" s="20">
        <v>40484.410693022815</v>
      </c>
      <c r="G33" s="20">
        <v>36078.115362056138</v>
      </c>
      <c r="H33" s="20">
        <v>127.345739606327</v>
      </c>
      <c r="I33" s="20">
        <v>4142.7433686008089</v>
      </c>
      <c r="J33" s="20">
        <v>870.63696039780507</v>
      </c>
      <c r="K33" s="20">
        <v>0</v>
      </c>
      <c r="L33" s="20">
        <v>14.435367425739123</v>
      </c>
      <c r="M33" s="20">
        <v>0</v>
      </c>
      <c r="N33" s="20">
        <v>0</v>
      </c>
      <c r="O33" s="20">
        <v>960.5622530049942</v>
      </c>
    </row>
    <row r="34" spans="1:45" x14ac:dyDescent="0.2">
      <c r="A34" s="18">
        <v>16</v>
      </c>
      <c r="B34" s="18" t="s">
        <v>533</v>
      </c>
      <c r="D34" s="37">
        <f>SUM(F34:O34)</f>
        <v>1</v>
      </c>
      <c r="F34" s="37">
        <f t="shared" ref="F34:O34" si="8">F33/$D33</f>
        <v>0.48966216409176772</v>
      </c>
      <c r="G34" s="37">
        <f t="shared" si="8"/>
        <v>0.43636767195382387</v>
      </c>
      <c r="H34" s="37">
        <f t="shared" si="8"/>
        <v>1.5402568390169866E-3</v>
      </c>
      <c r="I34" s="37">
        <f t="shared" si="8"/>
        <v>5.010681021214658E-2</v>
      </c>
      <c r="J34" s="37">
        <f t="shared" si="8"/>
        <v>1.0530423213993841E-2</v>
      </c>
      <c r="K34" s="37">
        <f t="shared" si="8"/>
        <v>0</v>
      </c>
      <c r="L34" s="37">
        <f t="shared" si="8"/>
        <v>1.7459691600168022E-4</v>
      </c>
      <c r="M34" s="37">
        <f t="shared" si="8"/>
        <v>0</v>
      </c>
      <c r="N34" s="37">
        <f t="shared" si="8"/>
        <v>0</v>
      </c>
      <c r="O34" s="37">
        <f t="shared" si="8"/>
        <v>1.1618076773249192E-2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</row>
    <row r="35" spans="1:45" x14ac:dyDescent="0.2"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</row>
    <row r="36" spans="1:45" x14ac:dyDescent="0.2">
      <c r="A36" s="18">
        <v>17</v>
      </c>
      <c r="B36" s="18"/>
      <c r="C36" s="18" t="s">
        <v>367</v>
      </c>
      <c r="D36" s="8">
        <f>SUM(F36:O36)</f>
        <v>7378.2912934305741</v>
      </c>
      <c r="F36" s="20">
        <v>3034.9086836275214</v>
      </c>
      <c r="G36" s="20">
        <v>2906.3154927092023</v>
      </c>
      <c r="H36" s="20">
        <v>16.610497339360506</v>
      </c>
      <c r="I36" s="20">
        <v>646.92787936094066</v>
      </c>
      <c r="J36" s="20">
        <v>231.25396994813983</v>
      </c>
      <c r="K36" s="20">
        <v>190.75716250930662</v>
      </c>
      <c r="L36" s="20">
        <v>31.881575894176454</v>
      </c>
      <c r="M36" s="20">
        <v>9.5158518705124866</v>
      </c>
      <c r="N36" s="20">
        <v>195.75544769546525</v>
      </c>
      <c r="O36" s="20">
        <v>114.36473247594864</v>
      </c>
    </row>
    <row r="37" spans="1:45" x14ac:dyDescent="0.2">
      <c r="A37" s="18">
        <v>18</v>
      </c>
      <c r="B37" s="18" t="s">
        <v>336</v>
      </c>
      <c r="D37" s="37">
        <f>SUM(F37:O37)</f>
        <v>1</v>
      </c>
      <c r="F37" s="37">
        <f t="shared" ref="F37:O37" si="9">F36/$D36</f>
        <v>0.41132947493272864</v>
      </c>
      <c r="G37" s="37">
        <f t="shared" si="9"/>
        <v>0.39390088804123319</v>
      </c>
      <c r="H37" s="37">
        <f t="shared" si="9"/>
        <v>2.2512661372084933E-3</v>
      </c>
      <c r="I37" s="37">
        <f t="shared" si="9"/>
        <v>8.7679904958068988E-2</v>
      </c>
      <c r="J37" s="37">
        <f t="shared" si="9"/>
        <v>3.1342483069764671E-2</v>
      </c>
      <c r="K37" s="37">
        <f t="shared" si="9"/>
        <v>2.5853839991266205E-2</v>
      </c>
      <c r="L37" s="37">
        <f t="shared" si="9"/>
        <v>4.3209971829877361E-3</v>
      </c>
      <c r="M37" s="37">
        <f t="shared" si="9"/>
        <v>1.2897094316383438E-3</v>
      </c>
      <c r="N37" s="37">
        <f t="shared" si="9"/>
        <v>2.653127125378751E-2</v>
      </c>
      <c r="O37" s="37">
        <f t="shared" si="9"/>
        <v>1.5500165001316202E-2</v>
      </c>
      <c r="P37" s="136"/>
      <c r="Q37" s="136"/>
      <c r="R37" s="22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</row>
    <row r="38" spans="1:45" x14ac:dyDescent="0.2"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</row>
    <row r="39" spans="1:45" x14ac:dyDescent="0.2">
      <c r="A39" s="18">
        <v>19</v>
      </c>
      <c r="B39" s="18"/>
      <c r="C39" s="18" t="s">
        <v>367</v>
      </c>
      <c r="D39" s="8">
        <f>SUM(F39:O39)</f>
        <v>18855.304718270207</v>
      </c>
      <c r="F39" s="20">
        <v>9232.729312957912</v>
      </c>
      <c r="G39" s="20">
        <v>8227.8454238915238</v>
      </c>
      <c r="H39" s="20">
        <v>29.042012044064954</v>
      </c>
      <c r="I39" s="20">
        <v>944.77917501055754</v>
      </c>
      <c r="J39" s="20">
        <v>198.55433851220025</v>
      </c>
      <c r="K39" s="20">
        <v>0</v>
      </c>
      <c r="L39" s="20">
        <v>3.2920780540819092</v>
      </c>
      <c r="M39" s="20">
        <v>0</v>
      </c>
      <c r="N39" s="20">
        <v>0</v>
      </c>
      <c r="O39" s="20">
        <v>219.06237779987106</v>
      </c>
    </row>
    <row r="40" spans="1:45" x14ac:dyDescent="0.2">
      <c r="A40" s="18">
        <v>20</v>
      </c>
      <c r="B40" s="18" t="s">
        <v>222</v>
      </c>
      <c r="D40" s="37">
        <f>SUM(F40:O40)</f>
        <v>1.0000000000000002</v>
      </c>
      <c r="F40" s="37">
        <f t="shared" ref="F40:O40" si="10">F39/$D39</f>
        <v>0.48966216409176794</v>
      </c>
      <c r="G40" s="37">
        <f t="shared" si="10"/>
        <v>0.43636767195382403</v>
      </c>
      <c r="H40" s="37">
        <f t="shared" si="10"/>
        <v>1.5402568390169872E-3</v>
      </c>
      <c r="I40" s="37">
        <f t="shared" si="10"/>
        <v>5.0106810212146601E-2</v>
      </c>
      <c r="J40" s="37">
        <f t="shared" si="10"/>
        <v>1.0530423213993844E-2</v>
      </c>
      <c r="K40" s="37">
        <f t="shared" si="10"/>
        <v>0</v>
      </c>
      <c r="L40" s="37">
        <f t="shared" si="10"/>
        <v>1.7459691600168028E-4</v>
      </c>
      <c r="M40" s="37">
        <f t="shared" si="10"/>
        <v>0</v>
      </c>
      <c r="N40" s="37">
        <f t="shared" si="10"/>
        <v>0</v>
      </c>
      <c r="O40" s="37">
        <f t="shared" si="10"/>
        <v>1.1618076773249195E-2</v>
      </c>
      <c r="P40" s="8"/>
      <c r="Q40" s="8"/>
      <c r="R40" s="22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</row>
    <row r="41" spans="1:45" x14ac:dyDescent="0.2"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</row>
    <row r="42" spans="1:45" x14ac:dyDescent="0.2">
      <c r="A42" s="18">
        <v>21</v>
      </c>
      <c r="B42" s="18"/>
      <c r="C42" s="18" t="s">
        <v>367</v>
      </c>
      <c r="D42" s="8">
        <f>SUM(F42:O42)</f>
        <v>18627.860980487538</v>
      </c>
      <c r="F42" s="20">
        <v>9946.3347187808522</v>
      </c>
      <c r="G42" s="20">
        <v>7160.7827974752281</v>
      </c>
      <c r="H42" s="20">
        <v>78.980963857754219</v>
      </c>
      <c r="I42" s="20">
        <v>652.54390814372573</v>
      </c>
      <c r="J42" s="20">
        <v>297.97972211555879</v>
      </c>
      <c r="K42" s="20">
        <v>28.931004667307366</v>
      </c>
      <c r="L42" s="20">
        <v>287.53401163903794</v>
      </c>
      <c r="M42" s="20">
        <v>74.897344784207434</v>
      </c>
      <c r="N42" s="20">
        <v>92.876982733775506</v>
      </c>
      <c r="O42" s="20">
        <v>6.999526290090972</v>
      </c>
    </row>
    <row r="43" spans="1:45" x14ac:dyDescent="0.2">
      <c r="A43" s="18">
        <v>22</v>
      </c>
      <c r="B43" s="18" t="s">
        <v>162</v>
      </c>
      <c r="D43" s="37">
        <f>SUM(F43:O43)</f>
        <v>1</v>
      </c>
      <c r="F43" s="37">
        <f t="shared" ref="F43:O43" si="11">F42/$D42</f>
        <v>0.53394937449874247</v>
      </c>
      <c r="G43" s="37">
        <f t="shared" si="11"/>
        <v>0.38441251010924243</v>
      </c>
      <c r="H43" s="37">
        <f t="shared" si="11"/>
        <v>4.239937368036289E-3</v>
      </c>
      <c r="I43" s="37">
        <f t="shared" si="11"/>
        <v>3.5030533501793776E-2</v>
      </c>
      <c r="J43" s="37">
        <f t="shared" si="11"/>
        <v>1.5996454044170126E-2</v>
      </c>
      <c r="K43" s="37">
        <f t="shared" si="11"/>
        <v>1.5531039606540037E-3</v>
      </c>
      <c r="L43" s="37">
        <f t="shared" si="11"/>
        <v>1.5435696666419531E-2</v>
      </c>
      <c r="M43" s="37">
        <f t="shared" si="11"/>
        <v>4.0207163271543363E-3</v>
      </c>
      <c r="N43" s="37">
        <f t="shared" si="11"/>
        <v>4.9859177514295942E-3</v>
      </c>
      <c r="O43" s="37">
        <f t="shared" si="11"/>
        <v>3.7575577235748604E-4</v>
      </c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</row>
    <row r="44" spans="1:45" x14ac:dyDescent="0.2"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</row>
    <row r="45" spans="1:45" x14ac:dyDescent="0.2">
      <c r="A45" s="18">
        <v>23</v>
      </c>
      <c r="B45" s="18"/>
      <c r="C45" s="18" t="s">
        <v>367</v>
      </c>
      <c r="D45" s="8">
        <f>SUM(F45:O45)</f>
        <v>87804.698633689157</v>
      </c>
      <c r="F45" s="20">
        <v>59444.826151060151</v>
      </c>
      <c r="G45" s="20">
        <v>24282.806623930665</v>
      </c>
      <c r="H45" s="20">
        <v>193.43436483069971</v>
      </c>
      <c r="I45" s="20">
        <v>1743.198105267553</v>
      </c>
      <c r="J45" s="20">
        <v>748.45881260444639</v>
      </c>
      <c r="K45" s="20">
        <v>145.72960539149045</v>
      </c>
      <c r="L45" s="20">
        <v>692.12430664186002</v>
      </c>
      <c r="M45" s="20">
        <v>244.46761706919179</v>
      </c>
      <c r="N45" s="20">
        <v>274.39543258236745</v>
      </c>
      <c r="O45" s="20">
        <v>35.257614310746177</v>
      </c>
    </row>
    <row r="46" spans="1:45" x14ac:dyDescent="0.2">
      <c r="A46" s="18">
        <v>24</v>
      </c>
      <c r="B46" s="18" t="s">
        <v>161</v>
      </c>
      <c r="D46" s="37">
        <f>SUM(F46:O46)</f>
        <v>1.0000000000000002</v>
      </c>
      <c r="F46" s="37">
        <f t="shared" ref="F46:O46" si="12">F45/$D45</f>
        <v>0.67701190341825501</v>
      </c>
      <c r="G46" s="37">
        <f t="shared" si="12"/>
        <v>0.27655475164530396</v>
      </c>
      <c r="H46" s="37">
        <f t="shared" si="12"/>
        <v>2.2030069898387222E-3</v>
      </c>
      <c r="I46" s="37">
        <f>I45/$D45</f>
        <v>1.9853130098879672E-2</v>
      </c>
      <c r="J46" s="37">
        <f t="shared" si="12"/>
        <v>8.5241316723485179E-3</v>
      </c>
      <c r="K46" s="37">
        <f t="shared" si="12"/>
        <v>1.6597016749577056E-3</v>
      </c>
      <c r="L46" s="37">
        <f t="shared" si="12"/>
        <v>7.8825429323471745E-3</v>
      </c>
      <c r="M46" s="37">
        <f t="shared" si="12"/>
        <v>2.7842202168369356E-3</v>
      </c>
      <c r="N46" s="37">
        <f t="shared" si="12"/>
        <v>3.1250654788659185E-3</v>
      </c>
      <c r="O46" s="37">
        <f t="shared" si="12"/>
        <v>4.0154587236654365E-4</v>
      </c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</row>
    <row r="47" spans="1:45" x14ac:dyDescent="0.2">
      <c r="B47" s="18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</row>
    <row r="48" spans="1:45" x14ac:dyDescent="0.2">
      <c r="A48" s="18">
        <v>25</v>
      </c>
      <c r="B48" s="18"/>
      <c r="C48" s="18" t="s">
        <v>367</v>
      </c>
      <c r="D48" s="8">
        <f>SUM(F48:O48)</f>
        <v>103364.76973730393</v>
      </c>
      <c r="F48" s="20">
        <v>52771.728714255762</v>
      </c>
      <c r="G48" s="20">
        <v>47028.09016647422</v>
      </c>
      <c r="H48" s="20">
        <v>153.07943170259909</v>
      </c>
      <c r="I48" s="20">
        <v>3280.1461849891352</v>
      </c>
      <c r="J48" s="20">
        <v>118.58787369552488</v>
      </c>
      <c r="K48" s="20">
        <v>0</v>
      </c>
      <c r="L48" s="20">
        <v>13.13736618667691</v>
      </c>
      <c r="M48" s="20">
        <v>0</v>
      </c>
      <c r="N48" s="20">
        <v>0</v>
      </c>
      <c r="O48" s="20">
        <v>0</v>
      </c>
    </row>
    <row r="49" spans="1:45" x14ac:dyDescent="0.2">
      <c r="A49" s="18">
        <v>26</v>
      </c>
      <c r="B49" s="18" t="s">
        <v>291</v>
      </c>
      <c r="D49" s="37">
        <f>SUM(F49:O49)</f>
        <v>0.99999999999999978</v>
      </c>
      <c r="F49" s="37">
        <f t="shared" ref="F49:O49" si="13">F48/$D48</f>
        <v>0.51053883105793496</v>
      </c>
      <c r="G49" s="37">
        <f t="shared" si="13"/>
        <v>0.45497213688951865</v>
      </c>
      <c r="H49" s="37">
        <f t="shared" si="13"/>
        <v>1.4809633116935523E-3</v>
      </c>
      <c r="I49" s="37">
        <f t="shared" si="13"/>
        <v>3.1733696048716141E-2</v>
      </c>
      <c r="J49" s="37">
        <f t="shared" si="13"/>
        <v>1.1472755562355497E-3</v>
      </c>
      <c r="K49" s="37">
        <f t="shared" si="13"/>
        <v>0</v>
      </c>
      <c r="L49" s="37">
        <f t="shared" si="13"/>
        <v>1.2709713590099248E-4</v>
      </c>
      <c r="M49" s="37">
        <f t="shared" si="13"/>
        <v>0</v>
      </c>
      <c r="N49" s="37">
        <f t="shared" si="13"/>
        <v>0</v>
      </c>
      <c r="O49" s="37">
        <f t="shared" si="13"/>
        <v>0</v>
      </c>
      <c r="P49" s="8"/>
      <c r="Q49" s="8"/>
      <c r="R49" s="22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</row>
    <row r="50" spans="1:45" x14ac:dyDescent="0.2">
      <c r="B50" s="18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</row>
    <row r="51" spans="1:45" x14ac:dyDescent="0.2">
      <c r="A51" s="18">
        <v>27</v>
      </c>
      <c r="B51" s="18"/>
      <c r="C51" s="18" t="s">
        <v>367</v>
      </c>
      <c r="D51" s="8">
        <f>SUM(F51:O51)</f>
        <v>117032.06693421048</v>
      </c>
      <c r="F51" s="20">
        <v>52771.728714255762</v>
      </c>
      <c r="G51" s="20">
        <v>47028.09016647422</v>
      </c>
      <c r="H51" s="20">
        <v>165.99611327872259</v>
      </c>
      <c r="I51" s="20">
        <v>5400.0966159119962</v>
      </c>
      <c r="J51" s="20">
        <v>1134.8817161030206</v>
      </c>
      <c r="K51" s="20">
        <v>9260.357</v>
      </c>
      <c r="L51" s="20">
        <v>18.816608186740794</v>
      </c>
      <c r="M51" s="20">
        <v>0</v>
      </c>
      <c r="N51" s="20">
        <v>0</v>
      </c>
      <c r="O51" s="20">
        <v>1252.0999999999999</v>
      </c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</row>
    <row r="52" spans="1:45" x14ac:dyDescent="0.2">
      <c r="A52" s="18">
        <v>28</v>
      </c>
      <c r="B52" s="18" t="s">
        <v>290</v>
      </c>
      <c r="D52" s="37">
        <f>SUM(F52:O52)</f>
        <v>0.99999999999999978</v>
      </c>
      <c r="F52" s="37">
        <f t="shared" ref="F52:O52" si="14">F51/$D51</f>
        <v>0.45091683071718591</v>
      </c>
      <c r="G52" s="37">
        <f t="shared" si="14"/>
        <v>0.40183935393460185</v>
      </c>
      <c r="H52" s="37">
        <f t="shared" si="14"/>
        <v>1.4183814541363028E-3</v>
      </c>
      <c r="I52" s="37">
        <f t="shared" si="14"/>
        <v>4.614202549244608E-2</v>
      </c>
      <c r="J52" s="37">
        <f t="shared" si="14"/>
        <v>9.6971859579391504E-3</v>
      </c>
      <c r="K52" s="37">
        <f t="shared" si="14"/>
        <v>7.9126663679329065E-2</v>
      </c>
      <c r="L52" s="37">
        <f t="shared" si="14"/>
        <v>1.6078164454976721E-4</v>
      </c>
      <c r="M52" s="37">
        <f t="shared" si="14"/>
        <v>0</v>
      </c>
      <c r="N52" s="37">
        <f t="shared" si="14"/>
        <v>0</v>
      </c>
      <c r="O52" s="37">
        <f t="shared" si="14"/>
        <v>1.0698777119811678E-2</v>
      </c>
      <c r="P52" s="8"/>
      <c r="Q52" s="8"/>
      <c r="R52" s="22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</row>
    <row r="53" spans="1:45" x14ac:dyDescent="0.2">
      <c r="B53" s="18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</row>
    <row r="54" spans="1:45" x14ac:dyDescent="0.2">
      <c r="A54" s="18">
        <v>29</v>
      </c>
      <c r="B54" s="18"/>
      <c r="C54" s="18" t="s">
        <v>367</v>
      </c>
      <c r="D54" s="20">
        <f>SUM(F54:O54)</f>
        <v>1814.0992835209825</v>
      </c>
      <c r="F54" s="20">
        <v>888.29578104620964</v>
      </c>
      <c r="G54" s="20">
        <v>791.6142810431511</v>
      </c>
      <c r="H54" s="20">
        <v>2.794178828099009</v>
      </c>
      <c r="I54" s="20">
        <v>90.898728505376965</v>
      </c>
      <c r="J54" s="20">
        <v>19.103233207678951</v>
      </c>
      <c r="K54" s="20">
        <v>0</v>
      </c>
      <c r="L54" s="20">
        <v>0.31673614022362129</v>
      </c>
      <c r="M54" s="20">
        <v>0</v>
      </c>
      <c r="N54" s="20">
        <v>0</v>
      </c>
      <c r="O54" s="20">
        <v>21.07634475024313</v>
      </c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</row>
    <row r="55" spans="1:45" x14ac:dyDescent="0.2">
      <c r="A55" s="18">
        <v>30</v>
      </c>
      <c r="B55" s="18" t="s">
        <v>218</v>
      </c>
      <c r="D55" s="37">
        <f>SUM(F55:O55)</f>
        <v>1</v>
      </c>
      <c r="F55" s="37">
        <f t="shared" ref="F55:O55" si="15">F54/$D54</f>
        <v>0.48966216409176777</v>
      </c>
      <c r="G55" s="37">
        <f t="shared" si="15"/>
        <v>0.43636767195382392</v>
      </c>
      <c r="H55" s="37">
        <f>H54/$D54</f>
        <v>1.5402568390169868E-3</v>
      </c>
      <c r="I55" s="37">
        <f t="shared" si="15"/>
        <v>5.0106810212146587E-2</v>
      </c>
      <c r="J55" s="37">
        <f t="shared" si="15"/>
        <v>1.0530423213993842E-2</v>
      </c>
      <c r="K55" s="37">
        <f t="shared" si="15"/>
        <v>0</v>
      </c>
      <c r="L55" s="37">
        <f t="shared" si="15"/>
        <v>1.7459691600168025E-4</v>
      </c>
      <c r="M55" s="37">
        <f t="shared" si="15"/>
        <v>0</v>
      </c>
      <c r="N55" s="37">
        <f t="shared" si="15"/>
        <v>0</v>
      </c>
      <c r="O55" s="37">
        <f t="shared" si="15"/>
        <v>1.1618076773249194E-2</v>
      </c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</row>
    <row r="56" spans="1:45" x14ac:dyDescent="0.2">
      <c r="B56" s="18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</row>
    <row r="57" spans="1:45" x14ac:dyDescent="0.2">
      <c r="A57" s="18">
        <v>31</v>
      </c>
      <c r="B57" s="18"/>
      <c r="C57" s="18" t="s">
        <v>367</v>
      </c>
      <c r="D57" s="8">
        <f>SUM(F57:O57)</f>
        <v>119958.96529675426</v>
      </c>
      <c r="F57" s="20">
        <v>61364.045995045417</v>
      </c>
      <c r="G57" s="20">
        <v>53256.072987090272</v>
      </c>
      <c r="H57" s="20">
        <v>142.97716602921383</v>
      </c>
      <c r="I57" s="20">
        <v>3896.2834464598568</v>
      </c>
      <c r="J57" s="20">
        <v>143.6993533279076</v>
      </c>
      <c r="K57" s="20">
        <v>0</v>
      </c>
      <c r="L57" s="20">
        <v>0</v>
      </c>
      <c r="M57" s="20">
        <v>0</v>
      </c>
      <c r="N57" s="20">
        <v>0</v>
      </c>
      <c r="O57" s="20">
        <v>1155.886348801597</v>
      </c>
    </row>
    <row r="58" spans="1:45" x14ac:dyDescent="0.2">
      <c r="A58" s="18">
        <v>32</v>
      </c>
      <c r="B58" s="18" t="s">
        <v>263</v>
      </c>
      <c r="C58" s="18"/>
      <c r="D58" s="37">
        <f>SUM(F58:O58)</f>
        <v>0.99999999999999989</v>
      </c>
      <c r="F58" s="37">
        <f t="shared" ref="F58:O58" si="16">F57/$D57</f>
        <v>0.51154197473480334</v>
      </c>
      <c r="G58" s="37">
        <f t="shared" si="16"/>
        <v>0.44395242035762394</v>
      </c>
      <c r="H58" s="37">
        <f t="shared" si="16"/>
        <v>1.1918839552801843E-3</v>
      </c>
      <c r="I58" s="37">
        <f t="shared" si="16"/>
        <v>3.2480135493176673E-2</v>
      </c>
      <c r="J58" s="37">
        <f t="shared" si="16"/>
        <v>1.1979042414414329E-3</v>
      </c>
      <c r="K58" s="37">
        <f t="shared" si="16"/>
        <v>0</v>
      </c>
      <c r="L58" s="37">
        <f t="shared" si="16"/>
        <v>0</v>
      </c>
      <c r="M58" s="37">
        <f t="shared" si="16"/>
        <v>0</v>
      </c>
      <c r="N58" s="37">
        <f t="shared" si="16"/>
        <v>0</v>
      </c>
      <c r="O58" s="37">
        <f t="shared" si="16"/>
        <v>9.6356812176744567E-3</v>
      </c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</row>
    <row r="59" spans="1:45" x14ac:dyDescent="0.2">
      <c r="B59" s="18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</row>
    <row r="60" spans="1:45" x14ac:dyDescent="0.2">
      <c r="A60" s="18">
        <v>33</v>
      </c>
      <c r="B60" s="18"/>
      <c r="C60" s="18" t="s">
        <v>367</v>
      </c>
      <c r="D60" s="8">
        <f>SUM(F60:O60)</f>
        <v>102857.92637269621</v>
      </c>
      <c r="F60" s="20">
        <v>52771.728714255762</v>
      </c>
      <c r="G60" s="20">
        <v>47028.09016647422</v>
      </c>
      <c r="H60" s="20">
        <v>110.70612294730432</v>
      </c>
      <c r="I60" s="20">
        <v>2713.6018567884316</v>
      </c>
      <c r="J60" s="20">
        <v>106.87487369552488</v>
      </c>
      <c r="K60" s="20">
        <v>0</v>
      </c>
      <c r="L60" s="20">
        <v>8.0759609377615718</v>
      </c>
      <c r="M60" s="20">
        <v>19.909148489661966</v>
      </c>
      <c r="N60" s="20">
        <v>98.939529107538647</v>
      </c>
      <c r="O60" s="20">
        <v>0</v>
      </c>
    </row>
    <row r="61" spans="1:45" x14ac:dyDescent="0.2">
      <c r="A61" s="18">
        <v>34</v>
      </c>
      <c r="B61" s="18" t="s">
        <v>292</v>
      </c>
      <c r="D61" s="37">
        <f>SUM(F61:O61)</f>
        <v>1</v>
      </c>
      <c r="F61" s="37">
        <f t="shared" ref="F61:O61" si="17">F60/$D60</f>
        <v>0.51305456541134487</v>
      </c>
      <c r="G61" s="37">
        <f t="shared" si="17"/>
        <v>0.45721406045142571</v>
      </c>
      <c r="H61" s="37">
        <f t="shared" si="17"/>
        <v>1.0763013299157024E-3</v>
      </c>
      <c r="I61" s="37">
        <f t="shared" si="17"/>
        <v>2.6382039308822401E-2</v>
      </c>
      <c r="J61" s="37">
        <f t="shared" si="17"/>
        <v>1.0390533570380724E-3</v>
      </c>
      <c r="K61" s="37">
        <f t="shared" si="17"/>
        <v>0</v>
      </c>
      <c r="L61" s="37">
        <f t="shared" si="17"/>
        <v>7.8515688800677089E-5</v>
      </c>
      <c r="M61" s="37">
        <f t="shared" si="17"/>
        <v>1.9355969142837863E-4</v>
      </c>
      <c r="N61" s="37">
        <f t="shared" si="17"/>
        <v>9.619047612241412E-4</v>
      </c>
      <c r="O61" s="37">
        <f t="shared" si="17"/>
        <v>0</v>
      </c>
      <c r="P61" s="8"/>
      <c r="Q61" s="8"/>
      <c r="R61" s="22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</row>
    <row r="62" spans="1:45" x14ac:dyDescent="0.2">
      <c r="B62" s="18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</row>
    <row r="63" spans="1:45" x14ac:dyDescent="0.2">
      <c r="A63" s="18">
        <v>35</v>
      </c>
      <c r="B63" s="18"/>
      <c r="C63" s="18" t="s">
        <v>367</v>
      </c>
      <c r="D63" s="8">
        <f>SUM(F63:O63)</f>
        <v>835659135.89476669</v>
      </c>
      <c r="F63" s="20">
        <v>609260947.88186586</v>
      </c>
      <c r="G63" s="20">
        <v>218175335.16939297</v>
      </c>
      <c r="H63" s="20">
        <v>392766.73843750003</v>
      </c>
      <c r="I63" s="20">
        <v>4788243.798740237</v>
      </c>
      <c r="J63" s="20">
        <v>811934.16003333335</v>
      </c>
      <c r="K63" s="20">
        <v>209635.33333333334</v>
      </c>
      <c r="L63" s="20">
        <v>1362402.6593830751</v>
      </c>
      <c r="M63" s="20">
        <v>120633.99305555555</v>
      </c>
      <c r="N63" s="20">
        <v>537236.16052469134</v>
      </c>
      <c r="O63" s="20">
        <v>0</v>
      </c>
    </row>
    <row r="64" spans="1:45" x14ac:dyDescent="0.2">
      <c r="A64" s="18">
        <v>36</v>
      </c>
      <c r="B64" s="18" t="s">
        <v>190</v>
      </c>
      <c r="D64" s="37">
        <f>SUM(F64:O64)</f>
        <v>1</v>
      </c>
      <c r="F64" s="37">
        <f t="shared" ref="F64:O64" si="18">F63/$D63</f>
        <v>0.72907830682603725</v>
      </c>
      <c r="G64" s="37">
        <f t="shared" si="18"/>
        <v>0.26108173272800489</v>
      </c>
      <c r="H64" s="37">
        <f t="shared" si="18"/>
        <v>4.7000831028664843E-4</v>
      </c>
      <c r="I64" s="37">
        <f t="shared" si="18"/>
        <v>5.7299006174488989E-3</v>
      </c>
      <c r="J64" s="37">
        <f t="shared" si="18"/>
        <v>9.7160926645523929E-4</v>
      </c>
      <c r="K64" s="37">
        <f t="shared" si="18"/>
        <v>2.5086225271607921E-4</v>
      </c>
      <c r="L64" s="37">
        <f t="shared" si="18"/>
        <v>1.6303329920809248E-3</v>
      </c>
      <c r="M64" s="37">
        <f t="shared" si="18"/>
        <v>1.4435789411479228E-4</v>
      </c>
      <c r="N64" s="37">
        <f t="shared" si="18"/>
        <v>6.4288911285515426E-4</v>
      </c>
      <c r="O64" s="37">
        <f t="shared" si="18"/>
        <v>0</v>
      </c>
      <c r="P64" s="136"/>
      <c r="Q64" s="136"/>
      <c r="R64" s="22"/>
      <c r="S64" s="136"/>
      <c r="T64" s="136"/>
      <c r="U64" s="136"/>
      <c r="V64" s="136"/>
      <c r="W64" s="136"/>
      <c r="X64" s="136"/>
      <c r="Y64" s="136"/>
      <c r="Z64" s="136"/>
      <c r="AA64" s="136"/>
      <c r="AB64" s="136"/>
      <c r="AC64" s="136"/>
      <c r="AD64" s="136"/>
      <c r="AE64" s="136"/>
      <c r="AF64" s="136"/>
      <c r="AG64" s="136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</row>
    <row r="65" spans="1:45" x14ac:dyDescent="0.2">
      <c r="B65" s="18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</row>
    <row r="66" spans="1:45" x14ac:dyDescent="0.2">
      <c r="A66" s="18">
        <v>37</v>
      </c>
      <c r="B66" s="18"/>
      <c r="C66" s="18" t="s">
        <v>367</v>
      </c>
      <c r="D66" s="8">
        <f>SUM(F66:O66)</f>
        <v>2985.4873543826498</v>
      </c>
      <c r="E66" s="20"/>
      <c r="F66" s="20">
        <v>1527.2020968066843</v>
      </c>
      <c r="G66" s="20">
        <v>1325.4143369252567</v>
      </c>
      <c r="H66" s="20">
        <v>3.5583544763805657</v>
      </c>
      <c r="I66" s="20">
        <v>96.969033783514035</v>
      </c>
      <c r="J66" s="20">
        <v>3.5763279645847383</v>
      </c>
      <c r="K66" s="20">
        <v>0</v>
      </c>
      <c r="L66" s="20">
        <v>0</v>
      </c>
      <c r="M66" s="20">
        <v>0</v>
      </c>
      <c r="N66" s="20">
        <v>0</v>
      </c>
      <c r="O66" s="20">
        <v>28.767204426229505</v>
      </c>
    </row>
    <row r="67" spans="1:45" x14ac:dyDescent="0.2">
      <c r="A67" s="18">
        <v>38</v>
      </c>
      <c r="B67" s="18" t="s">
        <v>156</v>
      </c>
      <c r="D67" s="37">
        <f>SUM(F67:O67)</f>
        <v>0.99999999999999989</v>
      </c>
      <c r="F67" s="37">
        <f t="shared" ref="F67:O67" si="19">F66/$D66</f>
        <v>0.51154197473480334</v>
      </c>
      <c r="G67" s="37">
        <f t="shared" si="19"/>
        <v>0.44395242035762394</v>
      </c>
      <c r="H67" s="37">
        <f t="shared" si="19"/>
        <v>1.1918839552801843E-3</v>
      </c>
      <c r="I67" s="37">
        <f t="shared" si="19"/>
        <v>3.2480135493176673E-2</v>
      </c>
      <c r="J67" s="37">
        <f t="shared" si="19"/>
        <v>1.1979042414414329E-3</v>
      </c>
      <c r="K67" s="37">
        <f t="shared" si="19"/>
        <v>0</v>
      </c>
      <c r="L67" s="37">
        <f t="shared" si="19"/>
        <v>0</v>
      </c>
      <c r="M67" s="37">
        <f t="shared" si="19"/>
        <v>0</v>
      </c>
      <c r="N67" s="37">
        <f t="shared" si="19"/>
        <v>0</v>
      </c>
      <c r="O67" s="37">
        <f t="shared" si="19"/>
        <v>9.6356812176744567E-3</v>
      </c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</row>
    <row r="68" spans="1:45" x14ac:dyDescent="0.2">
      <c r="B68" s="18"/>
    </row>
    <row r="69" spans="1:45" x14ac:dyDescent="0.2">
      <c r="A69" s="18">
        <v>39</v>
      </c>
      <c r="B69" s="18"/>
      <c r="C69" s="18" t="s">
        <v>367</v>
      </c>
      <c r="D69" s="8">
        <f>SUM(F69:O69)</f>
        <v>223452.14563142406</v>
      </c>
      <c r="F69" s="20">
        <v>115429.525687096</v>
      </c>
      <c r="G69" s="20">
        <v>100230.00365214498</v>
      </c>
      <c r="H69" s="20">
        <v>159.82397227882245</v>
      </c>
      <c r="I69" s="20">
        <v>4095.0800781425464</v>
      </c>
      <c r="J69" s="20">
        <v>801.54395185085571</v>
      </c>
      <c r="K69" s="20">
        <v>712.25279126665293</v>
      </c>
      <c r="L69" s="20">
        <v>48.160503502049387</v>
      </c>
      <c r="M69" s="20">
        <v>72.138972421108377</v>
      </c>
      <c r="N69" s="20">
        <v>543.42465418918755</v>
      </c>
      <c r="O69" s="20">
        <v>1360.1913685318491</v>
      </c>
    </row>
    <row r="70" spans="1:45" x14ac:dyDescent="0.2">
      <c r="A70" s="18">
        <v>40</v>
      </c>
      <c r="B70" s="18" t="s">
        <v>346</v>
      </c>
      <c r="D70" s="37">
        <f>SUM(F70:O70)</f>
        <v>0.99999999999999978</v>
      </c>
      <c r="F70" s="37">
        <f t="shared" ref="F70:O70" si="20">F69/$D69</f>
        <v>0.51657380760842042</v>
      </c>
      <c r="G70" s="37">
        <f t="shared" si="20"/>
        <v>0.44855243331371097</v>
      </c>
      <c r="H70" s="37">
        <f t="shared" si="20"/>
        <v>7.1524921735343771E-4</v>
      </c>
      <c r="I70" s="37">
        <f t="shared" si="20"/>
        <v>1.8326429878624782E-2</v>
      </c>
      <c r="J70" s="37">
        <f t="shared" si="20"/>
        <v>3.5870944518607236E-3</v>
      </c>
      <c r="K70" s="37">
        <f t="shared" si="20"/>
        <v>3.1874958696592121E-3</v>
      </c>
      <c r="L70" s="37">
        <f t="shared" si="20"/>
        <v>2.1552938489786681E-4</v>
      </c>
      <c r="M70" s="37">
        <f t="shared" si="20"/>
        <v>3.2283857564786557E-4</v>
      </c>
      <c r="N70" s="37">
        <f t="shared" si="20"/>
        <v>2.4319509336265051E-3</v>
      </c>
      <c r="O70" s="37">
        <f t="shared" si="20"/>
        <v>6.0871707661981182E-3</v>
      </c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</row>
    <row r="71" spans="1:45" x14ac:dyDescent="0.2">
      <c r="B71" s="18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</row>
    <row r="72" spans="1:45" x14ac:dyDescent="0.2">
      <c r="A72" s="18">
        <v>41</v>
      </c>
      <c r="C72" s="18" t="s">
        <v>367</v>
      </c>
      <c r="D72" s="8">
        <f>SUM(F72:O72)</f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</row>
    <row r="73" spans="1:45" x14ac:dyDescent="0.2">
      <c r="A73" s="18">
        <v>42</v>
      </c>
      <c r="B73" s="18" t="s">
        <v>229</v>
      </c>
      <c r="D73" s="37">
        <f>SUM(F73:O73)</f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</row>
    <row r="74" spans="1:45" x14ac:dyDescent="0.2">
      <c r="B74" s="18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</row>
    <row r="75" spans="1:45" x14ac:dyDescent="0.2">
      <c r="A75" s="18">
        <v>43</v>
      </c>
      <c r="B75" s="18"/>
      <c r="C75" s="18" t="s">
        <v>367</v>
      </c>
      <c r="D75" s="20">
        <f>SUM(F75:O75)</f>
        <v>40.204962152716121</v>
      </c>
      <c r="F75" s="61">
        <v>19.686848774926595</v>
      </c>
      <c r="G75" s="61">
        <v>17.544145735572332</v>
      </c>
      <c r="H75" s="61">
        <v>6.1925967918140125E-2</v>
      </c>
      <c r="I75" s="61">
        <v>2.0145424081726828</v>
      </c>
      <c r="J75" s="61">
        <v>0.42337526677070569</v>
      </c>
      <c r="K75" s="61">
        <v>0</v>
      </c>
      <c r="L75" s="61">
        <v>7.0196623998285109E-3</v>
      </c>
      <c r="M75" s="61">
        <v>0</v>
      </c>
      <c r="N75" s="61">
        <v>0</v>
      </c>
      <c r="O75" s="61">
        <v>0.46710433695583403</v>
      </c>
    </row>
    <row r="76" spans="1:45" x14ac:dyDescent="0.2">
      <c r="A76" s="18">
        <v>44</v>
      </c>
      <c r="B76" s="18" t="s">
        <v>230</v>
      </c>
      <c r="D76" s="37">
        <f>SUM(F76:O76)</f>
        <v>1</v>
      </c>
      <c r="F76" s="37">
        <f t="shared" ref="F76:O76" si="21">F75/$D75</f>
        <v>0.48966216409176783</v>
      </c>
      <c r="G76" s="37">
        <f t="shared" si="21"/>
        <v>0.43636767195382387</v>
      </c>
      <c r="H76" s="37">
        <f t="shared" si="21"/>
        <v>1.5402568390169868E-3</v>
      </c>
      <c r="I76" s="37">
        <f t="shared" si="21"/>
        <v>5.010681021214658E-2</v>
      </c>
      <c r="J76" s="37">
        <f t="shared" si="21"/>
        <v>1.0530423213993842E-2</v>
      </c>
      <c r="K76" s="37">
        <f t="shared" si="21"/>
        <v>0</v>
      </c>
      <c r="L76" s="37">
        <f t="shared" si="21"/>
        <v>1.7459691600168028E-4</v>
      </c>
      <c r="M76" s="37">
        <f t="shared" si="21"/>
        <v>0</v>
      </c>
      <c r="N76" s="37">
        <f t="shared" si="21"/>
        <v>0</v>
      </c>
      <c r="O76" s="37">
        <f t="shared" si="21"/>
        <v>1.1618076773249194E-2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</row>
    <row r="77" spans="1:45" x14ac:dyDescent="0.2">
      <c r="B77" s="18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</row>
    <row r="78" spans="1:45" x14ac:dyDescent="0.2">
      <c r="A78" s="18">
        <v>45</v>
      </c>
      <c r="B78" s="18"/>
      <c r="C78" s="18" t="s">
        <v>367</v>
      </c>
      <c r="D78" s="8">
        <f>SUM(F78:O78)</f>
        <v>173127195.28421056</v>
      </c>
      <c r="F78" s="20">
        <v>0</v>
      </c>
      <c r="G78" s="20">
        <v>145480281.44842109</v>
      </c>
      <c r="H78" s="20">
        <v>388582.14736842108</v>
      </c>
      <c r="I78" s="20">
        <v>15686621.987368422</v>
      </c>
      <c r="J78" s="20">
        <v>1975321.0863157897</v>
      </c>
      <c r="K78" s="20">
        <v>5200000</v>
      </c>
      <c r="L78" s="20">
        <v>2273903.2336842106</v>
      </c>
      <c r="M78" s="20">
        <v>1523619.6631578947</v>
      </c>
      <c r="N78" s="20">
        <v>598865.71789473691</v>
      </c>
      <c r="O78" s="20">
        <v>0</v>
      </c>
    </row>
    <row r="79" spans="1:45" x14ac:dyDescent="0.2">
      <c r="A79" s="18">
        <v>46</v>
      </c>
      <c r="B79" s="18" t="s">
        <v>191</v>
      </c>
      <c r="D79" s="37">
        <f>SUM(F79:O79)</f>
        <v>1</v>
      </c>
      <c r="F79" s="37">
        <f t="shared" ref="F79:O79" si="22">F78/$D78</f>
        <v>0</v>
      </c>
      <c r="G79" s="37">
        <f t="shared" si="22"/>
        <v>0.840308659824336</v>
      </c>
      <c r="H79" s="37">
        <f t="shared" si="22"/>
        <v>2.2444893578418661E-3</v>
      </c>
      <c r="I79" s="37">
        <f t="shared" si="22"/>
        <v>9.0607497924383357E-2</v>
      </c>
      <c r="J79" s="37">
        <f t="shared" si="22"/>
        <v>1.140965221017441E-2</v>
      </c>
      <c r="K79" s="37">
        <f t="shared" si="22"/>
        <v>3.0035720219827571E-2</v>
      </c>
      <c r="L79" s="37">
        <f t="shared" si="22"/>
        <v>1.3134292564211567E-2</v>
      </c>
      <c r="M79" s="37">
        <f t="shared" si="22"/>
        <v>8.8005796007766257E-3</v>
      </c>
      <c r="N79" s="37">
        <f t="shared" si="22"/>
        <v>3.4591082984485586E-3</v>
      </c>
      <c r="O79" s="37">
        <f t="shared" si="22"/>
        <v>0</v>
      </c>
      <c r="P79" s="136"/>
      <c r="Q79" s="136"/>
      <c r="R79" s="22"/>
      <c r="S79" s="136"/>
      <c r="T79" s="136"/>
      <c r="U79" s="136"/>
      <c r="V79" s="136"/>
      <c r="W79" s="38"/>
      <c r="X79" s="136"/>
      <c r="Y79" s="136"/>
      <c r="Z79" s="136"/>
      <c r="AA79" s="136"/>
      <c r="AB79" s="136"/>
      <c r="AC79" s="136"/>
      <c r="AD79" s="136"/>
      <c r="AE79" s="136"/>
      <c r="AF79" s="136"/>
      <c r="AG79" s="136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</row>
    <row r="80" spans="1:45" x14ac:dyDescent="0.2">
      <c r="B80" s="18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</row>
    <row r="81" spans="1:45" x14ac:dyDescent="0.2">
      <c r="A81" s="18">
        <v>47</v>
      </c>
      <c r="B81" s="18"/>
      <c r="C81" s="18" t="s">
        <v>367</v>
      </c>
      <c r="D81" s="8">
        <f>SUM(F81:O81)</f>
        <v>125827.90495695337</v>
      </c>
      <c r="F81" s="20">
        <v>65323.367873760966</v>
      </c>
      <c r="G81" s="20">
        <v>52779.808307796251</v>
      </c>
      <c r="H81" s="20">
        <v>208.62873061897776</v>
      </c>
      <c r="I81" s="20">
        <v>4452.5036913915828</v>
      </c>
      <c r="J81" s="20">
        <v>573.4534790203295</v>
      </c>
      <c r="K81" s="20">
        <v>0</v>
      </c>
      <c r="L81" s="20">
        <v>0</v>
      </c>
      <c r="M81" s="20">
        <v>108.85337495547155</v>
      </c>
      <c r="N81" s="20">
        <v>491.25730312705423</v>
      </c>
      <c r="O81" s="20">
        <v>1890.0321962827361</v>
      </c>
      <c r="P81" s="8"/>
      <c r="Q81" s="8"/>
      <c r="R81" s="8"/>
      <c r="S81" s="8"/>
      <c r="T81" s="8"/>
      <c r="U81" s="8"/>
      <c r="V81" s="8"/>
      <c r="W81" s="8"/>
    </row>
    <row r="82" spans="1:45" x14ac:dyDescent="0.2">
      <c r="A82" s="18">
        <v>48</v>
      </c>
      <c r="B82" s="18" t="s">
        <v>157</v>
      </c>
      <c r="D82" s="37">
        <f>SUM(F82:O82)</f>
        <v>1.0000000000000002</v>
      </c>
      <c r="F82" s="37">
        <f t="shared" ref="F82:O82" si="23">F81/$D81</f>
        <v>0.519148498070508</v>
      </c>
      <c r="G82" s="37">
        <f t="shared" si="23"/>
        <v>0.41946028049861123</v>
      </c>
      <c r="H82" s="37">
        <f t="shared" si="23"/>
        <v>1.6580481943997331E-3</v>
      </c>
      <c r="I82" s="37">
        <f t="shared" si="23"/>
        <v>3.5385661812575013E-2</v>
      </c>
      <c r="J82" s="37">
        <f t="shared" si="23"/>
        <v>4.5574427963058911E-3</v>
      </c>
      <c r="K82" s="37">
        <f t="shared" si="23"/>
        <v>0</v>
      </c>
      <c r="L82" s="37">
        <f t="shared" si="23"/>
        <v>0</v>
      </c>
      <c r="M82" s="37">
        <f t="shared" si="23"/>
        <v>8.6509725321033573E-4</v>
      </c>
      <c r="N82" s="37">
        <f t="shared" si="23"/>
        <v>3.9041999729322115E-3</v>
      </c>
      <c r="O82" s="37">
        <f t="shared" si="23"/>
        <v>1.5020771401457647E-2</v>
      </c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</row>
    <row r="83" spans="1:45" x14ac:dyDescent="0.2">
      <c r="B83" s="18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</row>
    <row r="84" spans="1:45" x14ac:dyDescent="0.2">
      <c r="A84" s="18">
        <v>49</v>
      </c>
      <c r="B84" s="18"/>
      <c r="C84" s="18" t="s">
        <v>367</v>
      </c>
      <c r="D84" s="8">
        <f>SUM(F84:O84)</f>
        <v>6928386.7916078679</v>
      </c>
      <c r="F84" s="20">
        <v>2925484.714837213</v>
      </c>
      <c r="G84" s="20">
        <v>2801527.9656627933</v>
      </c>
      <c r="H84" s="20">
        <v>16011.604017706693</v>
      </c>
      <c r="I84" s="20">
        <v>623602.8230049914</v>
      </c>
      <c r="J84" s="20">
        <v>222916.08244373088</v>
      </c>
      <c r="K84" s="20">
        <v>0</v>
      </c>
      <c r="L84" s="20">
        <v>30732.08214352416</v>
      </c>
      <c r="M84" s="20">
        <v>9172.7567771709728</v>
      </c>
      <c r="N84" s="20">
        <v>188697.46334334352</v>
      </c>
      <c r="O84" s="20">
        <v>110241.29937739416</v>
      </c>
      <c r="V84" s="63"/>
      <c r="X84" s="63"/>
      <c r="Z84" s="63"/>
      <c r="AB84" s="63"/>
      <c r="AD84" s="63"/>
      <c r="AE84" s="63"/>
      <c r="AG84" s="63"/>
      <c r="AI84" s="63"/>
      <c r="AJ84" s="63"/>
      <c r="AK84" s="63"/>
      <c r="AL84" s="63"/>
      <c r="AM84" s="63"/>
    </row>
    <row r="85" spans="1:45" x14ac:dyDescent="0.2">
      <c r="A85" s="18">
        <v>50</v>
      </c>
      <c r="B85" s="18" t="s">
        <v>334</v>
      </c>
      <c r="D85" s="37">
        <f>SUM(F85:O85)</f>
        <v>1</v>
      </c>
      <c r="F85" s="37">
        <f t="shared" ref="F85:O85" si="24">F84/$D84</f>
        <v>0.42224615957942169</v>
      </c>
      <c r="G85" s="37">
        <f t="shared" si="24"/>
        <v>0.404355017975641</v>
      </c>
      <c r="H85" s="37">
        <f t="shared" si="24"/>
        <v>2.3110147425806299E-3</v>
      </c>
      <c r="I85" s="37">
        <f t="shared" si="24"/>
        <v>9.000692971707952E-2</v>
      </c>
      <c r="J85" s="37">
        <f t="shared" si="24"/>
        <v>3.2174312599542211E-2</v>
      </c>
      <c r="K85" s="37">
        <f t="shared" si="24"/>
        <v>0</v>
      </c>
      <c r="L85" s="37">
        <f t="shared" si="24"/>
        <v>4.4356764522368959E-3</v>
      </c>
      <c r="M85" s="37">
        <f t="shared" si="24"/>
        <v>1.3239383211517057E-3</v>
      </c>
      <c r="N85" s="37">
        <f t="shared" si="24"/>
        <v>2.7235411217501119E-2</v>
      </c>
      <c r="O85" s="37">
        <f t="shared" si="24"/>
        <v>1.5911539394845263E-2</v>
      </c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</row>
    <row r="86" spans="1:45" x14ac:dyDescent="0.2">
      <c r="B86" s="18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/>
    </row>
    <row r="87" spans="1:45" x14ac:dyDescent="0.2">
      <c r="A87" s="18">
        <v>51</v>
      </c>
      <c r="B87" s="18"/>
      <c r="C87" s="18" t="s">
        <v>367</v>
      </c>
      <c r="D87" s="8">
        <f>SUM(F87:O87)</f>
        <v>8169981.0671466943</v>
      </c>
      <c r="F87" s="20">
        <v>4926335.0754972519</v>
      </c>
      <c r="G87" s="20">
        <v>2974410.3609594428</v>
      </c>
      <c r="H87" s="20">
        <v>14756.64033</v>
      </c>
      <c r="I87" s="20">
        <v>102196.91749000001</v>
      </c>
      <c r="J87" s="20">
        <v>1651.1371800000002</v>
      </c>
      <c r="K87" s="20">
        <v>0</v>
      </c>
      <c r="L87" s="20">
        <v>4391.50749</v>
      </c>
      <c r="M87" s="20">
        <v>573.6249499999999</v>
      </c>
      <c r="N87" s="20">
        <v>5360.2032499999996</v>
      </c>
      <c r="O87" s="20">
        <v>140305.60000000001</v>
      </c>
    </row>
    <row r="88" spans="1:45" x14ac:dyDescent="0.2">
      <c r="A88" s="18">
        <v>52</v>
      </c>
      <c r="B88" s="18" t="s">
        <v>221</v>
      </c>
      <c r="D88" s="37">
        <f>SUM(F88:O88)</f>
        <v>1</v>
      </c>
      <c r="F88" s="37">
        <f t="shared" ref="F88:O88" si="25">F87/$D87</f>
        <v>0.60297998673548192</v>
      </c>
      <c r="G88" s="37">
        <f t="shared" si="25"/>
        <v>0.36406575933452362</v>
      </c>
      <c r="H88" s="37">
        <f t="shared" si="25"/>
        <v>1.8062025124317269E-3</v>
      </c>
      <c r="I88" s="37">
        <f t="shared" si="25"/>
        <v>1.2508831617854842E-2</v>
      </c>
      <c r="J88" s="37">
        <f t="shared" si="25"/>
        <v>2.0209804238587392E-4</v>
      </c>
      <c r="K88" s="37">
        <f t="shared" si="25"/>
        <v>0</v>
      </c>
      <c r="L88" s="37">
        <f t="shared" si="25"/>
        <v>5.3751746226918761E-4</v>
      </c>
      <c r="M88" s="37">
        <f t="shared" si="25"/>
        <v>7.0211294895978766E-5</v>
      </c>
      <c r="N88" s="37">
        <f t="shared" si="25"/>
        <v>6.5608514951822413E-4</v>
      </c>
      <c r="O88" s="37">
        <f t="shared" si="25"/>
        <v>1.7173307850638718E-2</v>
      </c>
      <c r="P88" s="136"/>
      <c r="Q88" s="136"/>
      <c r="R88" s="22"/>
      <c r="S88" s="136"/>
      <c r="T88" s="136"/>
      <c r="U88" s="136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</row>
    <row r="89" spans="1:45" x14ac:dyDescent="0.2">
      <c r="B89" s="18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</row>
    <row r="90" spans="1:45" x14ac:dyDescent="0.2">
      <c r="A90" s="18">
        <v>53</v>
      </c>
      <c r="B90" s="18"/>
      <c r="C90" s="18" t="s">
        <v>367</v>
      </c>
      <c r="D90" s="8">
        <f>SUM(F90:O90)</f>
        <v>2336576.583333333</v>
      </c>
      <c r="F90" s="20">
        <v>2163088.1666666665</v>
      </c>
      <c r="G90" s="20">
        <v>172974.41666666669</v>
      </c>
      <c r="H90" s="20">
        <v>14</v>
      </c>
      <c r="I90" s="20">
        <v>416</v>
      </c>
      <c r="J90" s="20">
        <v>22</v>
      </c>
      <c r="K90" s="20">
        <v>4</v>
      </c>
      <c r="L90" s="20">
        <v>41</v>
      </c>
      <c r="M90" s="20">
        <v>5</v>
      </c>
      <c r="N90" s="20">
        <v>11</v>
      </c>
      <c r="O90" s="20">
        <v>1</v>
      </c>
    </row>
    <row r="91" spans="1:45" x14ac:dyDescent="0.2">
      <c r="A91" s="18">
        <v>54</v>
      </c>
      <c r="B91" s="18" t="s">
        <v>220</v>
      </c>
      <c r="D91" s="37">
        <f>SUM(F91:O91)</f>
        <v>1</v>
      </c>
      <c r="F91" s="37">
        <f t="shared" ref="F91:O91" si="26">F90/$D90</f>
        <v>0.92575102485227767</v>
      </c>
      <c r="G91" s="37">
        <f t="shared" si="26"/>
        <v>7.4028995197710737E-2</v>
      </c>
      <c r="H91" s="37">
        <f t="shared" si="26"/>
        <v>5.9916717901999007E-6</v>
      </c>
      <c r="I91" s="37">
        <f t="shared" si="26"/>
        <v>1.7803824748022562E-4</v>
      </c>
      <c r="J91" s="37">
        <f t="shared" si="26"/>
        <v>9.4154842417427012E-6</v>
      </c>
      <c r="K91" s="37">
        <f t="shared" si="26"/>
        <v>1.7119062257714004E-6</v>
      </c>
      <c r="L91" s="37">
        <f t="shared" si="26"/>
        <v>1.7547038814156855E-5</v>
      </c>
      <c r="M91" s="37">
        <f t="shared" si="26"/>
        <v>2.1398827822142503E-6</v>
      </c>
      <c r="N91" s="37">
        <f t="shared" si="26"/>
        <v>4.7077421208713506E-6</v>
      </c>
      <c r="O91" s="37">
        <f t="shared" si="26"/>
        <v>4.2797655644285011E-7</v>
      </c>
      <c r="P91" s="136"/>
      <c r="Q91" s="136"/>
      <c r="R91" s="22"/>
      <c r="S91" s="136"/>
      <c r="T91" s="136"/>
      <c r="U91" s="136"/>
      <c r="V91" s="136"/>
      <c r="W91" s="136"/>
      <c r="X91" s="136"/>
      <c r="Y91" s="136"/>
      <c r="Z91" s="136"/>
      <c r="AA91" s="136"/>
      <c r="AB91" s="136"/>
      <c r="AC91" s="136"/>
      <c r="AD91" s="136"/>
      <c r="AE91" s="136"/>
      <c r="AF91" s="136"/>
      <c r="AG91" s="136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</row>
    <row r="92" spans="1:45" x14ac:dyDescent="0.2">
      <c r="B92" s="18"/>
    </row>
    <row r="93" spans="1:45" x14ac:dyDescent="0.2">
      <c r="A93" s="18">
        <v>55</v>
      </c>
      <c r="B93" s="18"/>
      <c r="C93" s="18" t="s">
        <v>367</v>
      </c>
      <c r="D93" s="8">
        <f>SUM(F93:O93)</f>
        <v>128207.79224151127</v>
      </c>
      <c r="F93" s="20">
        <v>52297.488890893343</v>
      </c>
      <c r="G93" s="20">
        <v>54304.140936554635</v>
      </c>
      <c r="H93" s="20">
        <v>284.09953201391818</v>
      </c>
      <c r="I93" s="20">
        <v>11354.562862913846</v>
      </c>
      <c r="J93" s="20">
        <v>3955.2785986091721</v>
      </c>
      <c r="K93" s="20">
        <v>0</v>
      </c>
      <c r="L93" s="20">
        <v>545.29016238055954</v>
      </c>
      <c r="M93" s="20">
        <v>162.75545565515537</v>
      </c>
      <c r="N93" s="20">
        <v>3348.1255824696345</v>
      </c>
      <c r="O93" s="20">
        <v>1956.0502200209758</v>
      </c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  <c r="AA93" s="137"/>
      <c r="AB93" s="137"/>
      <c r="AC93" s="137"/>
      <c r="AD93" s="137"/>
      <c r="AE93" s="137"/>
      <c r="AF93" s="137"/>
      <c r="AG93" s="137"/>
      <c r="AH93" s="137"/>
      <c r="AI93" s="137"/>
      <c r="AJ93" s="137"/>
      <c r="AK93" s="137"/>
      <c r="AL93" s="137"/>
      <c r="AM93" s="137"/>
      <c r="AN93" s="137"/>
      <c r="AO93" s="137"/>
      <c r="AP93" s="137"/>
      <c r="AQ93" s="137"/>
      <c r="AR93" s="137"/>
      <c r="AS93" s="137"/>
    </row>
    <row r="94" spans="1:45" x14ac:dyDescent="0.2">
      <c r="A94" s="18">
        <v>56</v>
      </c>
      <c r="B94" s="18" t="s">
        <v>262</v>
      </c>
      <c r="D94" s="37">
        <f>SUM(F94:O94)</f>
        <v>0.99999999999999967</v>
      </c>
      <c r="F94" s="37">
        <f t="shared" ref="F94:O94" si="27">F93/$D93</f>
        <v>0.40791193714948321</v>
      </c>
      <c r="G94" s="37">
        <f t="shared" si="27"/>
        <v>0.42356349787428893</v>
      </c>
      <c r="H94" s="37">
        <f t="shared" si="27"/>
        <v>2.2159303038207386E-3</v>
      </c>
      <c r="I94" s="37">
        <f t="shared" si="27"/>
        <v>8.8563750021720233E-2</v>
      </c>
      <c r="J94" s="37">
        <f t="shared" si="27"/>
        <v>3.085053201102177E-2</v>
      </c>
      <c r="K94" s="37">
        <f t="shared" si="27"/>
        <v>0</v>
      </c>
      <c r="L94" s="37">
        <f t="shared" si="27"/>
        <v>4.253174887789736E-3</v>
      </c>
      <c r="M94" s="37">
        <f t="shared" si="27"/>
        <v>1.2694661752584038E-3</v>
      </c>
      <c r="N94" s="37">
        <f t="shared" si="27"/>
        <v>2.6114836890433361E-2</v>
      </c>
      <c r="O94" s="37">
        <f t="shared" si="27"/>
        <v>1.5256874686183416E-2</v>
      </c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</row>
    <row r="95" spans="1:45" x14ac:dyDescent="0.2">
      <c r="B95" s="18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  <c r="AN95" s="69"/>
      <c r="AO95" s="69"/>
      <c r="AP95" s="69"/>
      <c r="AQ95" s="69"/>
      <c r="AR95" s="69"/>
      <c r="AS95" s="69"/>
    </row>
    <row r="96" spans="1:45" x14ac:dyDescent="0.2">
      <c r="A96" s="18">
        <v>57</v>
      </c>
      <c r="B96" s="18"/>
      <c r="C96" s="18" t="s">
        <v>367</v>
      </c>
      <c r="D96" s="8">
        <f>SUM(F96:O96)</f>
        <v>11955.599352767702</v>
      </c>
      <c r="F96" s="20">
        <v>5048.2059121763805</v>
      </c>
      <c r="G96" s="20">
        <v>4834.3065911979456</v>
      </c>
      <c r="H96" s="20">
        <v>27.629566360633596</v>
      </c>
      <c r="I96" s="20">
        <v>1076.0867906701237</v>
      </c>
      <c r="J96" s="20">
        <v>384.66319089083254</v>
      </c>
      <c r="K96" s="20">
        <v>0</v>
      </c>
      <c r="L96" s="20">
        <v>53.031170521450363</v>
      </c>
      <c r="M96" s="20">
        <v>15.828476135465689</v>
      </c>
      <c r="N96" s="20">
        <v>325.61566472431855</v>
      </c>
      <c r="O96" s="20">
        <v>190.23199009054974</v>
      </c>
    </row>
    <row r="97" spans="1:45" x14ac:dyDescent="0.2">
      <c r="A97" s="18">
        <v>58</v>
      </c>
      <c r="B97" s="18" t="s">
        <v>264</v>
      </c>
      <c r="D97" s="37">
        <f>SUM(F97:O97)</f>
        <v>0.99999999999999978</v>
      </c>
      <c r="F97" s="37">
        <f t="shared" ref="F97:O97" si="28">F96/$D96</f>
        <v>0.42224615957942158</v>
      </c>
      <c r="G97" s="37">
        <f t="shared" si="28"/>
        <v>0.404355017975641</v>
      </c>
      <c r="H97" s="37">
        <f t="shared" si="28"/>
        <v>2.3110147425806299E-3</v>
      </c>
      <c r="I97" s="37">
        <f t="shared" si="28"/>
        <v>9.0006929717079506E-2</v>
      </c>
      <c r="J97" s="37">
        <f t="shared" si="28"/>
        <v>3.2174312599542211E-2</v>
      </c>
      <c r="K97" s="37">
        <f t="shared" si="28"/>
        <v>0</v>
      </c>
      <c r="L97" s="37">
        <f t="shared" si="28"/>
        <v>4.435676452236895E-3</v>
      </c>
      <c r="M97" s="37">
        <f t="shared" si="28"/>
        <v>1.3239383211517055E-3</v>
      </c>
      <c r="N97" s="37">
        <f t="shared" si="28"/>
        <v>2.7235411217501115E-2</v>
      </c>
      <c r="O97" s="37">
        <f t="shared" si="28"/>
        <v>1.5911539394845256E-2</v>
      </c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</row>
    <row r="98" spans="1:45" x14ac:dyDescent="0.2">
      <c r="B98" s="18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</row>
    <row r="99" spans="1:45" x14ac:dyDescent="0.2">
      <c r="A99" s="18">
        <v>59</v>
      </c>
      <c r="B99" s="18"/>
      <c r="C99" s="18" t="s">
        <v>367</v>
      </c>
      <c r="D99" s="8">
        <f>SUM(F99:O99)</f>
        <v>208.93833625875726</v>
      </c>
      <c r="F99" s="20">
        <v>88.223410074174083</v>
      </c>
      <c r="G99" s="20">
        <v>84.485264713710322</v>
      </c>
      <c r="H99" s="20">
        <v>0.48285957538425706</v>
      </c>
      <c r="I99" s="20">
        <v>18.805898146845493</v>
      </c>
      <c r="J99" s="20">
        <v>6.722447344817521</v>
      </c>
      <c r="K99" s="20">
        <v>0</v>
      </c>
      <c r="L99" s="20">
        <v>0.92678285811252403</v>
      </c>
      <c r="M99" s="20">
        <v>0.27662147013064964</v>
      </c>
      <c r="N99" s="20">
        <v>5.6905215071077793</v>
      </c>
      <c r="O99" s="20">
        <v>3.3245305684746427</v>
      </c>
    </row>
    <row r="100" spans="1:45" x14ac:dyDescent="0.2">
      <c r="A100" s="18">
        <v>60</v>
      </c>
      <c r="B100" s="18" t="s">
        <v>335</v>
      </c>
      <c r="D100" s="37">
        <f>SUM(F100:O100)</f>
        <v>1.0000000000000002</v>
      </c>
      <c r="F100" s="37">
        <f t="shared" ref="F100:O100" si="29">F99/$D99</f>
        <v>0.42224615957942169</v>
      </c>
      <c r="G100" s="37">
        <f t="shared" si="29"/>
        <v>0.40435501797564105</v>
      </c>
      <c r="H100" s="37">
        <f t="shared" si="29"/>
        <v>2.3110147425806304E-3</v>
      </c>
      <c r="I100" s="37">
        <f t="shared" si="29"/>
        <v>9.000692971707952E-2</v>
      </c>
      <c r="J100" s="37">
        <f t="shared" si="29"/>
        <v>3.2174312599542211E-2</v>
      </c>
      <c r="K100" s="37">
        <f t="shared" si="29"/>
        <v>0</v>
      </c>
      <c r="L100" s="37">
        <f t="shared" si="29"/>
        <v>4.4356764522368959E-3</v>
      </c>
      <c r="M100" s="37">
        <f t="shared" si="29"/>
        <v>1.3239383211517057E-3</v>
      </c>
      <c r="N100" s="37">
        <f t="shared" si="29"/>
        <v>2.7235411217501122E-2</v>
      </c>
      <c r="O100" s="37">
        <f t="shared" si="29"/>
        <v>1.5911539394845263E-2</v>
      </c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</row>
    <row r="101" spans="1:45" x14ac:dyDescent="0.2">
      <c r="B101" s="18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</row>
    <row r="102" spans="1:45" x14ac:dyDescent="0.2">
      <c r="B102" s="18"/>
    </row>
    <row r="103" spans="1:45" x14ac:dyDescent="0.2">
      <c r="B103" s="18"/>
    </row>
    <row r="104" spans="1:45" x14ac:dyDescent="0.2">
      <c r="B104" s="18"/>
    </row>
    <row r="105" spans="1:45" x14ac:dyDescent="0.2">
      <c r="B105" s="18"/>
    </row>
    <row r="108" spans="1:45" x14ac:dyDescent="0.2">
      <c r="A108" s="56"/>
    </row>
    <row r="109" spans="1:45" x14ac:dyDescent="0.2">
      <c r="A109" s="56"/>
    </row>
    <row r="111" spans="1:45" x14ac:dyDescent="0.2">
      <c r="A111" s="56"/>
    </row>
    <row r="112" spans="1:45" x14ac:dyDescent="0.2">
      <c r="A112" s="56"/>
    </row>
    <row r="114" spans="1:15" x14ac:dyDescent="0.2">
      <c r="A114" s="56"/>
    </row>
    <row r="115" spans="1:15" x14ac:dyDescent="0.2">
      <c r="A115" s="56"/>
    </row>
    <row r="117" spans="1:15" x14ac:dyDescent="0.2">
      <c r="A117" s="56"/>
    </row>
    <row r="118" spans="1:15" x14ac:dyDescent="0.2">
      <c r="A118" s="56"/>
    </row>
    <row r="119" spans="1:15" x14ac:dyDescent="0.2">
      <c r="B119" s="18"/>
      <c r="D119" s="17"/>
    </row>
    <row r="120" spans="1:15" x14ac:dyDescent="0.2">
      <c r="A120" s="56"/>
    </row>
    <row r="121" spans="1:15" x14ac:dyDescent="0.2">
      <c r="A121" s="56"/>
    </row>
    <row r="122" spans="1:15" x14ac:dyDescent="0.2">
      <c r="B122" s="137"/>
      <c r="D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</row>
    <row r="123" spans="1:15" x14ac:dyDescent="0.2">
      <c r="A123" s="56"/>
    </row>
    <row r="124" spans="1:15" x14ac:dyDescent="0.2">
      <c r="A124" s="56"/>
    </row>
    <row r="125" spans="1:15" x14ac:dyDescent="0.2">
      <c r="B125" s="137"/>
      <c r="D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</row>
    <row r="126" spans="1:15" x14ac:dyDescent="0.2">
      <c r="A126" s="56"/>
    </row>
    <row r="127" spans="1:15" x14ac:dyDescent="0.2">
      <c r="A127" s="56"/>
    </row>
    <row r="128" spans="1:15" x14ac:dyDescent="0.2">
      <c r="B128" s="137"/>
      <c r="D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</row>
    <row r="129" spans="1:1" x14ac:dyDescent="0.2">
      <c r="A129" s="56"/>
    </row>
    <row r="130" spans="1:1" x14ac:dyDescent="0.2">
      <c r="A130" s="56"/>
    </row>
    <row r="132" spans="1:1" x14ac:dyDescent="0.2">
      <c r="A132" s="56"/>
    </row>
    <row r="133" spans="1:1" x14ac:dyDescent="0.2">
      <c r="A133" s="56"/>
    </row>
    <row r="135" spans="1:1" x14ac:dyDescent="0.2">
      <c r="A135" s="56"/>
    </row>
    <row r="136" spans="1:1" x14ac:dyDescent="0.2">
      <c r="A136" s="56"/>
    </row>
    <row r="138" spans="1:1" x14ac:dyDescent="0.2">
      <c r="A138" s="56"/>
    </row>
    <row r="139" spans="1:1" x14ac:dyDescent="0.2">
      <c r="A139" s="56"/>
    </row>
    <row r="141" spans="1:1" x14ac:dyDescent="0.2">
      <c r="A141" s="56"/>
    </row>
    <row r="142" spans="1:1" x14ac:dyDescent="0.2">
      <c r="A142" s="56"/>
    </row>
    <row r="144" spans="1:1" x14ac:dyDescent="0.2">
      <c r="A144" s="56"/>
    </row>
    <row r="145" spans="1:1" x14ac:dyDescent="0.2">
      <c r="A145" s="56"/>
    </row>
    <row r="147" spans="1:1" x14ac:dyDescent="0.2">
      <c r="A147" s="56"/>
    </row>
    <row r="148" spans="1:1" x14ac:dyDescent="0.2">
      <c r="A148" s="56"/>
    </row>
    <row r="150" spans="1:1" x14ac:dyDescent="0.2">
      <c r="A150" s="56"/>
    </row>
    <row r="151" spans="1:1" x14ac:dyDescent="0.2">
      <c r="A151" s="56"/>
    </row>
    <row r="153" spans="1:1" x14ac:dyDescent="0.2">
      <c r="A153" s="56"/>
    </row>
    <row r="154" spans="1:1" x14ac:dyDescent="0.2">
      <c r="A154" s="56"/>
    </row>
    <row r="156" spans="1:1" x14ac:dyDescent="0.2">
      <c r="A156" s="56"/>
    </row>
    <row r="157" spans="1:1" x14ac:dyDescent="0.2">
      <c r="A157" s="56"/>
    </row>
    <row r="159" spans="1:1" x14ac:dyDescent="0.2">
      <c r="A159" s="56"/>
    </row>
    <row r="160" spans="1:1" x14ac:dyDescent="0.2">
      <c r="A160" s="56"/>
    </row>
    <row r="162" spans="1:15" x14ac:dyDescent="0.2">
      <c r="A162" s="56"/>
    </row>
    <row r="163" spans="1:15" x14ac:dyDescent="0.2">
      <c r="A163" s="56"/>
    </row>
    <row r="165" spans="1:15" x14ac:dyDescent="0.2">
      <c r="A165" s="56"/>
    </row>
    <row r="166" spans="1:15" x14ac:dyDescent="0.2">
      <c r="A166" s="56"/>
    </row>
    <row r="167" spans="1:15" x14ac:dyDescent="0.2">
      <c r="F167" s="37"/>
      <c r="G167" s="37"/>
      <c r="H167" s="37"/>
      <c r="I167" s="37"/>
      <c r="J167" s="37"/>
      <c r="K167" s="37"/>
      <c r="L167" s="37"/>
      <c r="M167" s="37"/>
      <c r="N167" s="37"/>
      <c r="O167" s="37"/>
    </row>
    <row r="168" spans="1:15" x14ac:dyDescent="0.2">
      <c r="A168" s="56"/>
    </row>
    <row r="169" spans="1:15" x14ac:dyDescent="0.2">
      <c r="A169" s="56"/>
    </row>
    <row r="170" spans="1:15" x14ac:dyDescent="0.2">
      <c r="F170" s="37"/>
      <c r="G170" s="37"/>
      <c r="H170" s="37"/>
      <c r="I170" s="37"/>
      <c r="J170" s="37"/>
      <c r="K170" s="37"/>
      <c r="L170" s="37"/>
      <c r="M170" s="37"/>
      <c r="N170" s="37"/>
      <c r="O170" s="37"/>
    </row>
    <row r="171" spans="1:15" x14ac:dyDescent="0.2">
      <c r="A171" s="56"/>
    </row>
    <row r="172" spans="1:15" x14ac:dyDescent="0.2">
      <c r="A172" s="56"/>
    </row>
    <row r="174" spans="1:15" x14ac:dyDescent="0.2">
      <c r="A174" s="56"/>
    </row>
    <row r="175" spans="1:15" x14ac:dyDescent="0.2">
      <c r="A175" s="56"/>
    </row>
    <row r="177" spans="1:1" x14ac:dyDescent="0.2">
      <c r="A177" s="56"/>
    </row>
    <row r="178" spans="1:1" x14ac:dyDescent="0.2">
      <c r="A178" s="56"/>
    </row>
    <row r="180" spans="1:1" x14ac:dyDescent="0.2">
      <c r="A180" s="56"/>
    </row>
    <row r="181" spans="1:1" x14ac:dyDescent="0.2">
      <c r="A181" s="56"/>
    </row>
    <row r="183" spans="1:1" x14ac:dyDescent="0.2">
      <c r="A183" s="56"/>
    </row>
    <row r="184" spans="1:1" x14ac:dyDescent="0.2">
      <c r="A184" s="56"/>
    </row>
    <row r="186" spans="1:1" x14ac:dyDescent="0.2">
      <c r="A186" s="56"/>
    </row>
    <row r="187" spans="1:1" x14ac:dyDescent="0.2">
      <c r="A187" s="56"/>
    </row>
    <row r="189" spans="1:1" x14ac:dyDescent="0.2">
      <c r="A189" s="56"/>
    </row>
    <row r="190" spans="1:1" x14ac:dyDescent="0.2">
      <c r="A190" s="56"/>
    </row>
    <row r="192" spans="1:1" x14ac:dyDescent="0.2">
      <c r="A192" s="56"/>
    </row>
    <row r="193" spans="1:1" x14ac:dyDescent="0.2">
      <c r="A193" s="56"/>
    </row>
    <row r="195" spans="1:1" x14ac:dyDescent="0.2">
      <c r="A195" s="56"/>
    </row>
    <row r="196" spans="1:1" x14ac:dyDescent="0.2">
      <c r="A196" s="56"/>
    </row>
    <row r="198" spans="1:1" x14ac:dyDescent="0.2">
      <c r="A198" s="56"/>
    </row>
    <row r="199" spans="1:1" x14ac:dyDescent="0.2">
      <c r="A199" s="56"/>
    </row>
    <row r="201" spans="1:1" x14ac:dyDescent="0.2">
      <c r="A201" s="56"/>
    </row>
    <row r="202" spans="1:1" x14ac:dyDescent="0.2">
      <c r="A202" s="56"/>
    </row>
    <row r="204" spans="1:1" x14ac:dyDescent="0.2">
      <c r="A204" s="3"/>
    </row>
    <row r="205" spans="1:1" x14ac:dyDescent="0.2">
      <c r="A205" s="3"/>
    </row>
    <row r="207" spans="1:1" x14ac:dyDescent="0.2">
      <c r="A207" s="2"/>
    </row>
    <row r="208" spans="1:1" x14ac:dyDescent="0.2">
      <c r="A208" s="2"/>
    </row>
    <row r="210" spans="1:1" x14ac:dyDescent="0.2">
      <c r="A210" s="1"/>
    </row>
    <row r="211" spans="1:1" x14ac:dyDescent="0.2">
      <c r="A211" s="1"/>
    </row>
    <row r="213" spans="1:1" x14ac:dyDescent="0.2">
      <c r="A213" s="1"/>
    </row>
    <row r="214" spans="1:1" x14ac:dyDescent="0.2">
      <c r="A214" s="1"/>
    </row>
    <row r="216" spans="1:1" x14ac:dyDescent="0.2">
      <c r="A216" s="1"/>
    </row>
    <row r="217" spans="1:1" x14ac:dyDescent="0.2">
      <c r="A217" s="1"/>
    </row>
  </sheetData>
  <mergeCells count="7">
    <mergeCell ref="AE9:AI9"/>
    <mergeCell ref="AK9:AS9"/>
    <mergeCell ref="B5:O5"/>
    <mergeCell ref="B6:O6"/>
    <mergeCell ref="F8:O8"/>
    <mergeCell ref="P9:T9"/>
    <mergeCell ref="V9:AD9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6419B-C439-4BFC-9B20-1FF7F4970B93}">
  <sheetPr>
    <tabColor theme="0" tint="-0.249977111117893"/>
  </sheetPr>
  <dimension ref="A2:BL59"/>
  <sheetViews>
    <sheetView topLeftCell="A14" zoomScale="70" zoomScaleNormal="70" workbookViewId="0">
      <selection activeCell="BN1" sqref="BN1:BN1048576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hidden="1" customWidth="1"/>
    <col min="5" max="5" width="1.7109375" style="31" hidden="1" customWidth="1"/>
    <col min="6" max="6" width="20.140625" style="31" customWidth="1"/>
    <col min="7" max="7" width="1.7109375" style="31" customWidth="1"/>
    <col min="8" max="8" width="17.140625" style="31" customWidth="1"/>
    <col min="9" max="9" width="1.7109375" style="31" customWidth="1"/>
    <col min="10" max="10" width="24.42578125" style="2" bestFit="1" customWidth="1"/>
    <col min="11" max="11" width="1.7109375" style="31" customWidth="1"/>
    <col min="12" max="12" width="17.140625" style="31" customWidth="1"/>
    <col min="13" max="13" width="1.7109375" style="31" customWidth="1"/>
    <col min="14" max="14" width="20" style="2" customWidth="1"/>
    <col min="15" max="15" width="1.7109375" style="31" customWidth="1"/>
    <col min="16" max="16" width="10.7109375" style="31" customWidth="1"/>
    <col min="17" max="17" width="11.42578125" style="31" customWidth="1"/>
    <col min="18" max="20" width="10.5703125" style="31" customWidth="1"/>
    <col min="21" max="21" width="9.140625" style="31"/>
    <col min="22" max="23" width="10.7109375" style="31" customWidth="1"/>
    <col min="24" max="36" width="10.7109375" style="31" hidden="1" customWidth="1"/>
    <col min="37" max="39" width="11.28515625" style="31" hidden="1" customWidth="1"/>
    <col min="40" max="41" width="10.5703125" style="31" hidden="1" customWidth="1"/>
    <col min="42" max="42" width="12.140625" style="31" hidden="1" customWidth="1"/>
    <col min="43" max="45" width="10.5703125" style="31" hidden="1" customWidth="1"/>
    <col min="46" max="46" width="13.85546875" style="31" customWidth="1"/>
    <col min="47" max="47" width="12.5703125" style="31" customWidth="1"/>
    <col min="48" max="48" width="1.42578125" style="31" customWidth="1"/>
    <col min="49" max="54" width="9.140625" style="31"/>
    <col min="55" max="55" width="4.140625" style="31" customWidth="1"/>
    <col min="56" max="56" width="13" style="31" customWidth="1"/>
    <col min="57" max="57" width="11.85546875" style="31" customWidth="1"/>
    <col min="58" max="58" width="2.42578125" style="31" customWidth="1"/>
    <col min="59" max="59" width="9.140625" style="31"/>
    <col min="60" max="60" width="9.5703125" style="31" bestFit="1" customWidth="1"/>
    <col min="61" max="16384" width="9.140625" style="31"/>
  </cols>
  <sheetData>
    <row r="2" spans="1:64" x14ac:dyDescent="0.2">
      <c r="B2" s="161" t="s">
        <v>511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</row>
    <row r="3" spans="1:64" x14ac:dyDescent="0.2">
      <c r="B3" s="161" t="s">
        <v>516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</row>
    <row r="5" spans="1:64" x14ac:dyDescent="0.2">
      <c r="F5" s="2" t="s">
        <v>150</v>
      </c>
      <c r="AW5" s="164" t="s">
        <v>417</v>
      </c>
      <c r="AX5" s="165"/>
      <c r="AY5" s="165"/>
      <c r="AZ5" s="165"/>
      <c r="BA5" s="165"/>
      <c r="BB5" s="166"/>
      <c r="BC5" s="2"/>
      <c r="BD5" s="2"/>
      <c r="BE5" s="2"/>
      <c r="BF5" s="2"/>
      <c r="BG5" s="164" t="s">
        <v>418</v>
      </c>
      <c r="BH5" s="165"/>
      <c r="BI5" s="165"/>
      <c r="BJ5" s="165"/>
      <c r="BK5" s="165"/>
      <c r="BL5" s="166"/>
    </row>
    <row r="6" spans="1:64" x14ac:dyDescent="0.2">
      <c r="A6" s="2" t="s">
        <v>2</v>
      </c>
      <c r="D6" s="2" t="s">
        <v>150</v>
      </c>
      <c r="F6" s="2" t="s">
        <v>5</v>
      </c>
      <c r="H6" s="2" t="s">
        <v>167</v>
      </c>
      <c r="J6" s="2" t="s">
        <v>168</v>
      </c>
      <c r="K6" s="2"/>
      <c r="L6" s="2" t="s">
        <v>169</v>
      </c>
      <c r="N6" s="2" t="s">
        <v>104</v>
      </c>
      <c r="P6" s="2" t="s">
        <v>485</v>
      </c>
      <c r="Q6" s="2" t="s">
        <v>80</v>
      </c>
      <c r="R6" s="2" t="s">
        <v>80</v>
      </c>
      <c r="S6" s="2" t="s">
        <v>80</v>
      </c>
      <c r="T6" s="2" t="s">
        <v>80</v>
      </c>
      <c r="U6" s="2" t="s">
        <v>80</v>
      </c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 t="s">
        <v>486</v>
      </c>
      <c r="AU6" s="138" t="s">
        <v>169</v>
      </c>
      <c r="AV6" s="2"/>
      <c r="AW6" s="139" t="s">
        <v>485</v>
      </c>
      <c r="AX6" s="2" t="s">
        <v>80</v>
      </c>
      <c r="AY6" s="2" t="s">
        <v>80</v>
      </c>
      <c r="AZ6" s="2" t="s">
        <v>80</v>
      </c>
      <c r="BA6" s="2" t="s">
        <v>80</v>
      </c>
      <c r="BB6" s="140" t="s">
        <v>80</v>
      </c>
      <c r="BC6" s="2"/>
      <c r="BD6" s="2" t="s">
        <v>486</v>
      </c>
      <c r="BE6" s="138" t="s">
        <v>169</v>
      </c>
      <c r="BF6" s="2"/>
      <c r="BG6" s="139" t="s">
        <v>485</v>
      </c>
      <c r="BH6" s="2" t="s">
        <v>80</v>
      </c>
      <c r="BI6" s="2" t="s">
        <v>80</v>
      </c>
      <c r="BJ6" s="2" t="s">
        <v>80</v>
      </c>
      <c r="BK6" s="2" t="s">
        <v>80</v>
      </c>
      <c r="BL6" s="140" t="s">
        <v>80</v>
      </c>
    </row>
    <row r="7" spans="1:64" x14ac:dyDescent="0.2">
      <c r="A7" s="33" t="s">
        <v>4</v>
      </c>
      <c r="B7" s="80" t="s">
        <v>374</v>
      </c>
      <c r="D7" s="33" t="s">
        <v>151</v>
      </c>
      <c r="F7" s="33" t="s">
        <v>152</v>
      </c>
      <c r="H7" s="33" t="s">
        <v>131</v>
      </c>
      <c r="J7" s="33" t="s">
        <v>6</v>
      </c>
      <c r="K7" s="2"/>
      <c r="L7" s="33" t="s">
        <v>170</v>
      </c>
      <c r="N7" s="33" t="s">
        <v>6</v>
      </c>
      <c r="P7" s="33" t="s">
        <v>8</v>
      </c>
      <c r="Q7" s="125" t="s">
        <v>487</v>
      </c>
      <c r="R7" s="33">
        <v>10</v>
      </c>
      <c r="S7" s="33">
        <v>20</v>
      </c>
      <c r="T7" s="33">
        <v>25</v>
      </c>
      <c r="U7" s="33">
        <v>100</v>
      </c>
      <c r="V7" s="2"/>
      <c r="W7" s="2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 t="s">
        <v>131</v>
      </c>
      <c r="AU7" s="141" t="s">
        <v>170</v>
      </c>
      <c r="AV7" s="2"/>
      <c r="AW7" s="142" t="s">
        <v>8</v>
      </c>
      <c r="AX7" s="125" t="s">
        <v>487</v>
      </c>
      <c r="AY7" s="33">
        <v>10</v>
      </c>
      <c r="AZ7" s="33">
        <v>20</v>
      </c>
      <c r="BA7" s="33">
        <v>25</v>
      </c>
      <c r="BB7" s="143">
        <v>100</v>
      </c>
      <c r="BC7" s="2"/>
      <c r="BD7" s="33" t="s">
        <v>131</v>
      </c>
      <c r="BE7" s="141" t="s">
        <v>170</v>
      </c>
      <c r="BF7" s="2"/>
      <c r="BG7" s="142" t="s">
        <v>8</v>
      </c>
      <c r="BH7" s="125" t="s">
        <v>487</v>
      </c>
      <c r="BI7" s="33">
        <v>10</v>
      </c>
      <c r="BJ7" s="33">
        <v>20</v>
      </c>
      <c r="BK7" s="33">
        <v>25</v>
      </c>
      <c r="BL7" s="143">
        <v>100</v>
      </c>
    </row>
    <row r="8" spans="1:64" x14ac:dyDescent="0.2">
      <c r="D8" s="120" t="s">
        <v>12</v>
      </c>
      <c r="F8" s="120" t="s">
        <v>12</v>
      </c>
      <c r="H8" s="120" t="s">
        <v>13</v>
      </c>
      <c r="J8" s="120" t="s">
        <v>14</v>
      </c>
      <c r="L8" s="120" t="s">
        <v>366</v>
      </c>
      <c r="M8" s="74"/>
      <c r="N8" s="120" t="s">
        <v>15</v>
      </c>
      <c r="O8" s="40"/>
      <c r="P8" s="120" t="s">
        <v>16</v>
      </c>
      <c r="Q8" s="120" t="s">
        <v>59</v>
      </c>
      <c r="R8" s="120" t="s">
        <v>61</v>
      </c>
      <c r="S8" s="120" t="s">
        <v>62</v>
      </c>
      <c r="T8" s="120" t="s">
        <v>82</v>
      </c>
      <c r="U8" s="120" t="s">
        <v>82</v>
      </c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U8" s="144"/>
      <c r="BE8" s="144"/>
    </row>
    <row r="9" spans="1:64" x14ac:dyDescent="0.2">
      <c r="AU9" s="144"/>
      <c r="BE9" s="144"/>
    </row>
    <row r="10" spans="1:64" x14ac:dyDescent="0.2">
      <c r="B10" s="77" t="s">
        <v>384</v>
      </c>
      <c r="AU10" s="144"/>
      <c r="BD10" s="96"/>
      <c r="BE10" s="144"/>
    </row>
    <row r="11" spans="1:64" x14ac:dyDescent="0.2">
      <c r="A11" s="2">
        <v>1</v>
      </c>
      <c r="B11" s="31" t="s">
        <v>132</v>
      </c>
      <c r="D11" s="79"/>
      <c r="E11" s="79"/>
      <c r="F11" s="79">
        <f ca="1">'Total Allocation Current RZ'!Q11+'Total Allocation Current RZ'!R11</f>
        <v>163901.21936202416</v>
      </c>
      <c r="H11" s="50"/>
      <c r="L11" s="79">
        <f ca="1">F11-H11</f>
        <v>163901.21936202416</v>
      </c>
      <c r="N11" s="2" t="s">
        <v>221</v>
      </c>
      <c r="P11" s="79">
        <f t="shared" ref="P11:U16" ca="1" si="0">AW11+BG11</f>
        <v>0</v>
      </c>
      <c r="Q11" s="79">
        <f t="shared" ca="1" si="0"/>
        <v>136497.68607499482</v>
      </c>
      <c r="R11" s="79">
        <f t="shared" ca="1" si="0"/>
        <v>24538.972504019708</v>
      </c>
      <c r="S11" s="79">
        <f t="shared" ca="1" si="0"/>
        <v>2216.3357427380693</v>
      </c>
      <c r="T11" s="79">
        <f t="shared" ca="1" si="0"/>
        <v>648.22504027155537</v>
      </c>
      <c r="U11" s="79">
        <f t="shared" ca="1" si="0"/>
        <v>0</v>
      </c>
      <c r="V11" s="38"/>
      <c r="W11" s="38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U11" s="145">
        <f ca="1">'Total Allocation Current RZ'!Q11</f>
        <v>34086.353963475041</v>
      </c>
      <c r="AV11" s="96"/>
      <c r="AW11" s="79">
        <f ca="1">IF($AU11&lt;&gt;0,VLOOKUP($N11,'Allocation Factors-Union North'!$B$12:$Z$101,13,FALSE)*$AU11,0)</f>
        <v>0</v>
      </c>
      <c r="AX11" s="79">
        <f ca="1">IF($AU11&lt;&gt;0,VLOOKUP($N11,'Allocation Factors-Union North'!$B$12:$Z$101,14,FALSE)*$AU11,0)</f>
        <v>28717.999955639494</v>
      </c>
      <c r="AY11" s="79">
        <f ca="1">IF($AU11&lt;&gt;0,VLOOKUP($N11,'Allocation Factors-Union North'!$B$12:$Z$101,15,FALSE)*$AU11,0)</f>
        <v>4191.3565847182663</v>
      </c>
      <c r="AZ11" s="79">
        <f ca="1">IF($AU11&lt;&gt;0,VLOOKUP($N11,'Allocation Factors-Union North'!$B$12:$Z$101,16,FALSE)*$AU11,0)</f>
        <v>624.57128329266368</v>
      </c>
      <c r="BA11" s="79">
        <f ca="1">IF($AU11&lt;&gt;0,VLOOKUP($N11,'Allocation Factors-Union North'!$B$12:$Z$101,17,FALSE)*$AU11,0)</f>
        <v>552.42613982461194</v>
      </c>
      <c r="BB11" s="79">
        <f ca="1">IF($AU11&lt;&gt;0,VLOOKUP($N11,'Allocation Factors-Union North'!$B$12:$Z$101,18,FALSE)*$AU11,0)</f>
        <v>0</v>
      </c>
      <c r="BC11" s="79"/>
      <c r="BD11" s="96"/>
      <c r="BE11" s="145">
        <v>129814.86539854913</v>
      </c>
      <c r="BF11" s="96"/>
      <c r="BG11" s="79">
        <v>0</v>
      </c>
      <c r="BH11" s="79">
        <v>107779.68611935533</v>
      </c>
      <c r="BI11" s="79">
        <v>20347.615919301443</v>
      </c>
      <c r="BJ11" s="79">
        <v>1591.7644594454055</v>
      </c>
      <c r="BK11" s="79">
        <v>95.798900446943435</v>
      </c>
      <c r="BL11" s="79">
        <v>0</v>
      </c>
    </row>
    <row r="12" spans="1:64" x14ac:dyDescent="0.2">
      <c r="A12" s="2">
        <f>A11+1</f>
        <v>2</v>
      </c>
      <c r="B12" s="31" t="s">
        <v>385</v>
      </c>
      <c r="D12" s="79"/>
      <c r="E12" s="79"/>
      <c r="F12" s="79">
        <f ca="1">'Total Allocation Current RZ'!Q12+'Total Allocation Current RZ'!R12</f>
        <v>39499.200744372858</v>
      </c>
      <c r="H12" s="50"/>
      <c r="L12" s="79">
        <f t="shared" ref="L12:L16" ca="1" si="1">F12-H12</f>
        <v>39499.200744372858</v>
      </c>
      <c r="N12" s="2" t="s">
        <v>263</v>
      </c>
      <c r="P12" s="79">
        <f t="shared" ca="1" si="0"/>
        <v>1506.294369829101</v>
      </c>
      <c r="Q12" s="79">
        <f t="shared" ca="1" si="0"/>
        <v>28734.287133312624</v>
      </c>
      <c r="R12" s="79">
        <f t="shared" ca="1" si="0"/>
        <v>8103.9609579334992</v>
      </c>
      <c r="S12" s="79">
        <f t="shared" ca="1" si="0"/>
        <v>1154.6582832976367</v>
      </c>
      <c r="T12" s="79">
        <f t="shared" ca="1" si="0"/>
        <v>0</v>
      </c>
      <c r="U12" s="79">
        <f t="shared" ca="1" si="0"/>
        <v>0</v>
      </c>
      <c r="V12" s="38"/>
      <c r="W12" s="38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U12" s="145">
        <f ca="1">'Total Allocation Current RZ'!Q12</f>
        <v>9738.170971231526</v>
      </c>
      <c r="AV12" s="96"/>
      <c r="AW12" s="79">
        <f ca="1">IF($AU12&lt;&gt;0,VLOOKUP($N12,'Allocation Factors-Union North'!$B$12:$Z$101,13,FALSE)*$AU12,0)</f>
        <v>49.307125742370523</v>
      </c>
      <c r="AX12" s="79">
        <f ca="1">IF($AU12&lt;&gt;0,VLOOKUP($N12,'Allocation Factors-Union North'!$B$12:$Z$101,14,FALSE)*$AU12,0)</f>
        <v>7280.7972365189453</v>
      </c>
      <c r="AY12" s="79">
        <f ca="1">IF($AU12&lt;&gt;0,VLOOKUP($N12,'Allocation Factors-Union North'!$B$12:$Z$101,15,FALSE)*$AU12,0)</f>
        <v>2233.3833677932012</v>
      </c>
      <c r="AZ12" s="79">
        <f ca="1">IF($AU12&lt;&gt;0,VLOOKUP($N12,'Allocation Factors-Union North'!$B$12:$Z$101,16,FALSE)*$AU12,0)</f>
        <v>174.68324117701121</v>
      </c>
      <c r="BA12" s="79">
        <f ca="1">IF($AU12&lt;&gt;0,VLOOKUP($N12,'Allocation Factors-Union North'!$B$12:$Z$101,17,FALSE)*$AU12,0)</f>
        <v>0</v>
      </c>
      <c r="BB12" s="79">
        <f ca="1">IF($AU12&lt;&gt;0,VLOOKUP($N12,'Allocation Factors-Union North'!$B$12:$Z$101,18,FALSE)*$AU12,0)</f>
        <v>0</v>
      </c>
      <c r="BC12" s="79"/>
      <c r="BD12" s="96"/>
      <c r="BE12" s="145">
        <v>29761.02977314133</v>
      </c>
      <c r="BF12" s="96"/>
      <c r="BG12" s="79">
        <v>1456.9872440867305</v>
      </c>
      <c r="BH12" s="79">
        <v>21453.489896793679</v>
      </c>
      <c r="BI12" s="79">
        <v>5870.5775901402985</v>
      </c>
      <c r="BJ12" s="79">
        <v>979.97504212062552</v>
      </c>
      <c r="BK12" s="79">
        <v>0</v>
      </c>
      <c r="BL12" s="79">
        <v>0</v>
      </c>
    </row>
    <row r="13" spans="1:64" x14ac:dyDescent="0.2">
      <c r="A13" s="2">
        <f t="shared" ref="A13:A17" si="2">A12+1</f>
        <v>3</v>
      </c>
      <c r="B13" s="31" t="s">
        <v>386</v>
      </c>
      <c r="D13" s="79"/>
      <c r="E13" s="79"/>
      <c r="F13" s="79">
        <f ca="1">'Total Allocation Current RZ'!Q13+'Total Allocation Current RZ'!R13</f>
        <v>2956.3702981751057</v>
      </c>
      <c r="H13" s="50"/>
      <c r="L13" s="79">
        <f t="shared" ca="1" si="1"/>
        <v>2956.3702981751057</v>
      </c>
      <c r="N13" s="2" t="s">
        <v>156</v>
      </c>
      <c r="P13" s="79">
        <f t="shared" ca="1" si="0"/>
        <v>93.276959314142317</v>
      </c>
      <c r="Q13" s="79">
        <f t="shared" ca="1" si="0"/>
        <v>2165.207582162765</v>
      </c>
      <c r="R13" s="79">
        <f t="shared" ca="1" si="0"/>
        <v>611.30314091952323</v>
      </c>
      <c r="S13" s="79">
        <f t="shared" ca="1" si="0"/>
        <v>86.58261577867475</v>
      </c>
      <c r="T13" s="79">
        <f t="shared" ca="1" si="0"/>
        <v>0</v>
      </c>
      <c r="U13" s="79">
        <f t="shared" ca="1" si="0"/>
        <v>0</v>
      </c>
      <c r="V13" s="38"/>
      <c r="W13" s="38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U13" s="145">
        <f ca="1">'Total Allocation Current RZ'!Q13</f>
        <v>759.15736935511347</v>
      </c>
      <c r="AV13" s="96"/>
      <c r="AW13" s="79">
        <f ca="1">IF($AU13&lt;&gt;0,VLOOKUP($N13,'Allocation Factors-Union North'!$B$12:$Z$101,13,FALSE)*$AU13,0)</f>
        <v>3.0534915371948741</v>
      </c>
      <c r="AX13" s="79">
        <f ca="1">IF($AU13&lt;&gt;0,VLOOKUP($N13,'Allocation Factors-Union North'!$B$12:$Z$101,14,FALSE)*$AU13,0)</f>
        <v>568.18210183652639</v>
      </c>
      <c r="AY13" s="79">
        <f ca="1">IF($AU13&lt;&gt;0,VLOOKUP($N13,'Allocation Factors-Union North'!$B$12:$Z$101,15,FALSE)*$AU13,0)</f>
        <v>174.28976730111407</v>
      </c>
      <c r="AZ13" s="79">
        <f ca="1">IF($AU13&lt;&gt;0,VLOOKUP($N13,'Allocation Factors-Union North'!$B$12:$Z$101,16,FALSE)*$AU13,0)</f>
        <v>13.632008680278103</v>
      </c>
      <c r="BA13" s="79">
        <f ca="1">IF($AU13&lt;&gt;0,VLOOKUP($N13,'Allocation Factors-Union North'!$B$12:$Z$101,17,FALSE)*$AU13,0)</f>
        <v>0</v>
      </c>
      <c r="BB13" s="79">
        <f ca="1">IF($AU13&lt;&gt;0,VLOOKUP($N13,'Allocation Factors-Union North'!$B$12:$Z$101,18,FALSE)*$AU13,0)</f>
        <v>0</v>
      </c>
      <c r="BC13" s="79"/>
      <c r="BE13" s="145">
        <v>2197.2129288199922</v>
      </c>
      <c r="BF13" s="96"/>
      <c r="BG13" s="79">
        <v>90.223467776947444</v>
      </c>
      <c r="BH13" s="79">
        <v>1597.0254803262387</v>
      </c>
      <c r="BI13" s="79">
        <v>437.01337361840922</v>
      </c>
      <c r="BJ13" s="79">
        <v>72.950607098396645</v>
      </c>
      <c r="BK13" s="79">
        <v>0</v>
      </c>
      <c r="BL13" s="79">
        <v>0</v>
      </c>
    </row>
    <row r="14" spans="1:64" x14ac:dyDescent="0.2">
      <c r="A14" s="2">
        <f t="shared" si="2"/>
        <v>4</v>
      </c>
      <c r="B14" s="31" t="s">
        <v>115</v>
      </c>
      <c r="D14" s="79"/>
      <c r="E14" s="79"/>
      <c r="F14" s="79">
        <f ca="1">'Total Allocation Current RZ'!Q14+'Total Allocation Current RZ'!R14</f>
        <v>20111.907557407056</v>
      </c>
      <c r="H14" s="50">
        <v>-3060.0874956206867</v>
      </c>
      <c r="J14" s="2" t="s">
        <v>410</v>
      </c>
      <c r="L14" s="79">
        <f t="shared" ca="1" si="1"/>
        <v>23171.995053027742</v>
      </c>
      <c r="N14" s="2" t="s">
        <v>262</v>
      </c>
      <c r="P14" s="79">
        <f t="shared" si="0"/>
        <v>181.6284768797465</v>
      </c>
      <c r="Q14" s="79">
        <f t="shared" ca="1" si="0"/>
        <v>13651.802220219099</v>
      </c>
      <c r="R14" s="79">
        <f t="shared" ca="1" si="0"/>
        <v>4331.1674396397939</v>
      </c>
      <c r="S14" s="79">
        <f t="shared" ca="1" si="0"/>
        <v>1840.4954652254814</v>
      </c>
      <c r="T14" s="79">
        <f t="shared" ca="1" si="0"/>
        <v>106.81395544293541</v>
      </c>
      <c r="U14" s="79">
        <f t="shared" si="0"/>
        <v>0</v>
      </c>
      <c r="V14" s="38"/>
      <c r="W14" s="38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50">
        <v>-304.2233599669741</v>
      </c>
      <c r="AU14" s="145">
        <f ca="1">'Total Allocation Current RZ'!Q14-AT14</f>
        <v>8008.3358629204267</v>
      </c>
      <c r="AV14" s="96"/>
      <c r="AW14" s="79">
        <v>21.38529075574252</v>
      </c>
      <c r="AX14" s="79">
        <f ca="1">IF($AU14&lt;&gt;0,VLOOKUP($N14,'Allocation Factors-Union North'!$B$12:$Z$101,14,FALSE)*$AU14,0)+IF($AT14&lt;&gt;0,VLOOKUP($J14,'Allocation Factors-Union North'!$B$12:$Z$101,14,FALSE)*$AT14,0)</f>
        <v>5447.8826390372715</v>
      </c>
      <c r="AY14" s="79">
        <f ca="1">IF($AU14&lt;&gt;0,VLOOKUP($N14,'Allocation Factors-Union North'!$B$12:$Z$101,15,FALSE)*$AU14,0)+IF($AT14&lt;&gt;0,VLOOKUP($J14,'Allocation Factors-Union North'!$B$12:$Z$101,15,FALSE)*$AT14,0)</f>
        <v>1449.9302477091994</v>
      </c>
      <c r="AZ14" s="79">
        <f ca="1">IF($AU14&lt;&gt;0,VLOOKUP($N14,'Allocation Factors-Union North'!$B$12:$Z$101,16,FALSE)*$AU14,0)+IF($AT14&lt;&gt;0,VLOOKUP($J14,'Allocation Factors-Union North'!$B$12:$Z$101,16,FALSE)*$AT14,0)</f>
        <v>684.9316009295294</v>
      </c>
      <c r="BA14" s="79">
        <f ca="1">IF($AU14&lt;&gt;0,VLOOKUP($N14,'Allocation Factors-Union North'!$B$12:$Z$101,17,FALSE)*$AU14,0)+IF($AT14&lt;&gt;0,VLOOKUP($J14,'Allocation Factors-Union North'!$B$12:$Z$101,17,FALSE)*$AT14,0)</f>
        <v>99.982724521710196</v>
      </c>
      <c r="BB14" s="79">
        <v>0</v>
      </c>
      <c r="BC14" s="79"/>
      <c r="BD14" s="50">
        <v>-2755.8641356537128</v>
      </c>
      <c r="BE14" s="145">
        <v>15163.659190107315</v>
      </c>
      <c r="BF14" s="96"/>
      <c r="BG14" s="79">
        <f>IF($BE14&lt;&gt;0,VLOOKUP($N14,'Allocation Factors-Union North'!$B$12:$Z$101,20,FALSE)*$BE14,0)+IF($BD14&lt;&gt;0,VLOOKUP($J14,'Allocation Factors-Union North'!$B$12:$Z$101,20,FALSE)*$BD14,0)</f>
        <v>160.24318612400398</v>
      </c>
      <c r="BH14" s="79">
        <f>IF($BE14&lt;&gt;0,VLOOKUP($N14,'Allocation Factors-Union North'!$B$12:$Z$101,21,FALSE)*$BE14,0)+IF($BD14&lt;&gt;0,VLOOKUP($J14,'Allocation Factors-Union North'!$B$12:$Z$101,21,FALSE)*$BD14,0)</f>
        <v>8203.9195811818263</v>
      </c>
      <c r="BI14" s="79">
        <f>IF($BE14&lt;&gt;0,VLOOKUP($N14,'Allocation Factors-Union North'!$B$12:$Z$101,22,FALSE)*$BE14,0)+IF($BD14&lt;&gt;0,VLOOKUP($J14,'Allocation Factors-Union North'!$B$12:$Z$101,22,FALSE)*$BD14,0)</f>
        <v>2881.2371919305942</v>
      </c>
      <c r="BJ14" s="79">
        <f>IF($BE14&lt;&gt;0,VLOOKUP($N14,'Allocation Factors-Union North'!$B$12:$Z$101,23,FALSE)*$BE14,0)+IF($BD14&lt;&gt;0,VLOOKUP($J14,'Allocation Factors-Union North'!$B$12:$Z$101,23,FALSE)*$BD14,0)</f>
        <v>1155.563864295952</v>
      </c>
      <c r="BK14" s="79">
        <f>IF($BE14&lt;&gt;0,VLOOKUP($N14,'Allocation Factors-Union North'!$B$12:$Z$101,24,FALSE)*$BE14,0)+IF($BD14&lt;&gt;0,VLOOKUP($J14,'Allocation Factors-Union North'!$B$12:$Z$101,24,FALSE)*$BD14,0)</f>
        <v>6.8312309212252069</v>
      </c>
      <c r="BL14" s="79">
        <f>IF($BE14&lt;&gt;0,VLOOKUP($N14,'Allocation Factors-Union North'!$B$12:$Z$101,25,FALSE)*$BE14,0)+IF($BD14&lt;&gt;0,VLOOKUP($J14,'Allocation Factors-Union North'!$B$12:$Z$101,25,FALSE)*$BD14,0)</f>
        <v>0</v>
      </c>
    </row>
    <row r="15" spans="1:64" x14ac:dyDescent="0.2">
      <c r="A15" s="2">
        <f t="shared" si="2"/>
        <v>5</v>
      </c>
      <c r="B15" s="31" t="s">
        <v>133</v>
      </c>
      <c r="D15" s="79"/>
      <c r="E15" s="79"/>
      <c r="F15" s="79">
        <f ca="1">'Total Allocation Current RZ'!Q15+'Total Allocation Current RZ'!R15</f>
        <v>2811.1125265780588</v>
      </c>
      <c r="H15" s="50"/>
      <c r="L15" s="79">
        <f t="shared" ca="1" si="1"/>
        <v>2811.1125265780588</v>
      </c>
      <c r="N15" s="2" t="s">
        <v>264</v>
      </c>
      <c r="P15" s="79">
        <f t="shared" ca="1" si="0"/>
        <v>14.304023908463684</v>
      </c>
      <c r="Q15" s="79">
        <f t="shared" ca="1" si="0"/>
        <v>1939.930432209248</v>
      </c>
      <c r="R15" s="79">
        <f t="shared" ca="1" si="0"/>
        <v>579.14392864186038</v>
      </c>
      <c r="S15" s="79">
        <f t="shared" ca="1" si="0"/>
        <v>255.0750855210872</v>
      </c>
      <c r="T15" s="79">
        <f t="shared" ca="1" si="0"/>
        <v>22.659056297399562</v>
      </c>
      <c r="U15" s="79">
        <f t="shared" ca="1" si="0"/>
        <v>0</v>
      </c>
      <c r="V15" s="38"/>
      <c r="W15" s="38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U15" s="145">
        <f ca="1">'Total Allocation Current RZ'!Q15</f>
        <v>1695.3215271433728</v>
      </c>
      <c r="AV15" s="79"/>
      <c r="AW15" s="79">
        <f ca="1">IF($AU15&lt;&gt;0,VLOOKUP($N15,'Allocation Factors-Union North'!$B$12:$Z$101,13,FALSE)*$AU15,0)</f>
        <v>1.4581720102950102</v>
      </c>
      <c r="AX15" s="79">
        <f ca="1">IF($AU15&lt;&gt;0,VLOOKUP($N15,'Allocation Factors-Union North'!$B$12:$Z$101,14,FALSE)*$AU15,0)</f>
        <v>1201.1319041342324</v>
      </c>
      <c r="AY15" s="79">
        <f ca="1">IF($AU15&lt;&gt;0,VLOOKUP($N15,'Allocation Factors-Union North'!$B$12:$Z$101,15,FALSE)*$AU15,0)</f>
        <v>319.67602730893833</v>
      </c>
      <c r="AZ15" s="79">
        <f ca="1">IF($AU15&lt;&gt;0,VLOOKUP($N15,'Allocation Factors-Union North'!$B$12:$Z$101,16,FALSE)*$AU15,0)</f>
        <v>151.01154935517792</v>
      </c>
      <c r="BA15" s="79">
        <f ca="1">IF($AU15&lt;&gt;0,VLOOKUP($N15,'Allocation Factors-Union North'!$B$12:$Z$101,17,FALSE)*$AU15,0)</f>
        <v>22.043874334729143</v>
      </c>
      <c r="BB15" s="79">
        <f ca="1">IF($AU15&lt;&gt;0,VLOOKUP($N15,'Allocation Factors-Union North'!$B$12:$Z$101,18,FALSE)*$AU15,0)</f>
        <v>0</v>
      </c>
      <c r="BC15" s="79"/>
      <c r="BD15" s="79"/>
      <c r="BE15" s="145">
        <v>1115.790999434686</v>
      </c>
      <c r="BF15" s="79"/>
      <c r="BG15" s="79">
        <v>12.845851898168673</v>
      </c>
      <c r="BH15" s="79">
        <v>738.7985280750155</v>
      </c>
      <c r="BI15" s="79">
        <v>259.46790133292211</v>
      </c>
      <c r="BJ15" s="79">
        <v>104.0635361659093</v>
      </c>
      <c r="BK15" s="79">
        <v>0.61518196267041858</v>
      </c>
      <c r="BL15" s="79">
        <v>0</v>
      </c>
    </row>
    <row r="16" spans="1:64" x14ac:dyDescent="0.2">
      <c r="A16" s="2">
        <f t="shared" si="2"/>
        <v>6</v>
      </c>
      <c r="B16" s="31" t="s">
        <v>135</v>
      </c>
      <c r="D16" s="79"/>
      <c r="E16" s="79"/>
      <c r="F16" s="79">
        <f ca="1">'Total Allocation Current RZ'!Q16+'Total Allocation Current RZ'!R16</f>
        <v>1316.1094516787978</v>
      </c>
      <c r="H16" s="50"/>
      <c r="L16" s="79">
        <f t="shared" ca="1" si="1"/>
        <v>1316.1094516787978</v>
      </c>
      <c r="N16" s="2" t="s">
        <v>221</v>
      </c>
      <c r="P16" s="79">
        <f t="shared" ca="1" si="0"/>
        <v>0</v>
      </c>
      <c r="Q16" s="79">
        <f t="shared" ca="1" si="0"/>
        <v>1097.2519361566751</v>
      </c>
      <c r="R16" s="79">
        <f t="shared" ca="1" si="0"/>
        <v>193.76403427241706</v>
      </c>
      <c r="S16" s="79">
        <f t="shared" ca="1" si="0"/>
        <v>18.385725589734591</v>
      </c>
      <c r="T16" s="79">
        <f t="shared" ca="1" si="0"/>
        <v>6.7077556599709256</v>
      </c>
      <c r="U16" s="79">
        <f t="shared" ca="1" si="0"/>
        <v>0</v>
      </c>
      <c r="V16" s="38"/>
      <c r="W16" s="38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U16" s="145">
        <f ca="1">'Total Allocation Current RZ'!Q16</f>
        <v>370.84643159245962</v>
      </c>
      <c r="AV16" s="96"/>
      <c r="AW16" s="79">
        <f ca="1">IF($AU16&lt;&gt;0,VLOOKUP($N16,'Allocation Factors-Union North'!$B$12:$Z$101,13,FALSE)*$AU16,0)</f>
        <v>0</v>
      </c>
      <c r="AX16" s="79">
        <f ca="1">IF($AU16&lt;&gt;0,VLOOKUP($N16,'Allocation Factors-Union North'!$B$12:$Z$101,14,FALSE)*$AU16,0)</f>
        <v>312.4408030683835</v>
      </c>
      <c r="AY16" s="79">
        <f ca="1">IF($AU16&lt;&gt;0,VLOOKUP($N16,'Allocation Factors-Union North'!$B$12:$Z$101,15,FALSE)*$AU16,0)</f>
        <v>45.60034888565314</v>
      </c>
      <c r="AZ16" s="79">
        <f ca="1">IF($AU16&lt;&gt;0,VLOOKUP($N16,'Allocation Factors-Union North'!$B$12:$Z$101,16,FALSE)*$AU16,0)</f>
        <v>6.7950955368355945</v>
      </c>
      <c r="BA16" s="79">
        <f ca="1">IF($AU16&lt;&gt;0,VLOOKUP($N16,'Allocation Factors-Union North'!$B$12:$Z$101,17,FALSE)*$AU16,0)</f>
        <v>6.0101841015872868</v>
      </c>
      <c r="BB16" s="79">
        <f ca="1">IF($AU16&lt;&gt;0,VLOOKUP($N16,'Allocation Factors-Union North'!$B$12:$Z$101,18,FALSE)*$AU16,0)</f>
        <v>0</v>
      </c>
      <c r="BC16" s="79"/>
      <c r="BD16" s="96"/>
      <c r="BE16" s="145">
        <v>945.2630200863382</v>
      </c>
      <c r="BF16" s="96"/>
      <c r="BG16" s="79">
        <v>0</v>
      </c>
      <c r="BH16" s="79">
        <v>784.81113308829163</v>
      </c>
      <c r="BI16" s="79">
        <v>148.16368538676392</v>
      </c>
      <c r="BJ16" s="79">
        <v>11.590630052898996</v>
      </c>
      <c r="BK16" s="79">
        <v>0.69757155838363871</v>
      </c>
      <c r="BL16" s="79">
        <v>0</v>
      </c>
    </row>
    <row r="17" spans="1:64" x14ac:dyDescent="0.2">
      <c r="A17" s="2">
        <f t="shared" si="2"/>
        <v>7</v>
      </c>
      <c r="B17" s="31" t="s">
        <v>383</v>
      </c>
      <c r="D17" s="81"/>
      <c r="E17" s="79"/>
      <c r="F17" s="81">
        <f ca="1">SUM(F11:F16)</f>
        <v>230595.91994023602</v>
      </c>
      <c r="H17" s="81">
        <f>SUM(H11:H16)</f>
        <v>-3060.0874956206867</v>
      </c>
      <c r="L17" s="41">
        <f ca="1">SUM(L11:L16)</f>
        <v>233656.00743585671</v>
      </c>
      <c r="P17" s="41">
        <f t="shared" ref="P17:U17" ca="1" si="3">SUM(P11:P16)</f>
        <v>1795.5038299314535</v>
      </c>
      <c r="Q17" s="41">
        <f t="shared" ca="1" si="3"/>
        <v>184086.16537905525</v>
      </c>
      <c r="R17" s="41">
        <f t="shared" ca="1" si="3"/>
        <v>38358.312005426807</v>
      </c>
      <c r="S17" s="41">
        <f t="shared" ca="1" si="3"/>
        <v>5571.5329181506841</v>
      </c>
      <c r="T17" s="41">
        <f t="shared" ca="1" si="3"/>
        <v>784.40580767186123</v>
      </c>
      <c r="U17" s="41">
        <f t="shared" ca="1" si="3"/>
        <v>0</v>
      </c>
      <c r="V17" s="50"/>
      <c r="W17" s="50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U17" s="146">
        <f ca="1">SUM(AU11:AU16)+AT14</f>
        <v>54353.962765750963</v>
      </c>
      <c r="AV17" s="96"/>
      <c r="AW17" s="81">
        <f ca="1">SUM(AW11:AW16)</f>
        <v>75.204080045602936</v>
      </c>
      <c r="AX17" s="81">
        <f t="shared" ref="AX17:BB17" ca="1" si="4">SUM(AX11:AX16)</f>
        <v>43528.43464023486</v>
      </c>
      <c r="AY17" s="81">
        <f t="shared" ca="1" si="4"/>
        <v>8414.2363437163713</v>
      </c>
      <c r="AZ17" s="81">
        <f t="shared" ca="1" si="4"/>
        <v>1655.6247789714957</v>
      </c>
      <c r="BA17" s="81">
        <f t="shared" ca="1" si="4"/>
        <v>680.46292278263854</v>
      </c>
      <c r="BB17" s="81">
        <f t="shared" ca="1" si="4"/>
        <v>0</v>
      </c>
      <c r="BC17" s="38"/>
      <c r="BD17" s="96"/>
      <c r="BE17" s="146">
        <f>SUM(BE11:BE16)+BD14</f>
        <v>176241.95717448505</v>
      </c>
      <c r="BF17" s="96"/>
      <c r="BG17" s="81">
        <f>SUM(BG11:BG16)</f>
        <v>1720.2997498858506</v>
      </c>
      <c r="BH17" s="81">
        <f t="shared" ref="BH17:BL17" si="5">SUM(BH11:BH16)</f>
        <v>140557.73073882036</v>
      </c>
      <c r="BI17" s="81">
        <f t="shared" si="5"/>
        <v>29944.075661710434</v>
      </c>
      <c r="BJ17" s="81">
        <f t="shared" si="5"/>
        <v>3915.9081391791879</v>
      </c>
      <c r="BK17" s="81">
        <f t="shared" si="5"/>
        <v>103.94288488922271</v>
      </c>
      <c r="BL17" s="81">
        <f t="shared" si="5"/>
        <v>0</v>
      </c>
    </row>
    <row r="18" spans="1:64" x14ac:dyDescent="0.2">
      <c r="D18" s="79"/>
      <c r="E18" s="79"/>
      <c r="F18" s="79"/>
      <c r="P18" s="79"/>
      <c r="Q18" s="79"/>
      <c r="R18" s="79"/>
      <c r="S18" s="79"/>
      <c r="T18" s="79"/>
      <c r="U18" s="79"/>
      <c r="V18" s="38"/>
      <c r="W18" s="38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U18" s="145"/>
      <c r="AV18" s="96"/>
      <c r="AW18" s="96"/>
      <c r="AX18" s="96"/>
      <c r="AY18" s="96"/>
      <c r="AZ18" s="96"/>
      <c r="BA18" s="96"/>
      <c r="BB18" s="96"/>
      <c r="BC18" s="96"/>
      <c r="BD18" s="96"/>
      <c r="BE18" s="145"/>
      <c r="BF18" s="96"/>
      <c r="BG18" s="96"/>
      <c r="BH18" s="96"/>
      <c r="BI18" s="96"/>
      <c r="BJ18" s="96"/>
      <c r="BK18" s="96"/>
      <c r="BL18" s="96"/>
    </row>
    <row r="19" spans="1:64" x14ac:dyDescent="0.2">
      <c r="B19" s="77" t="s">
        <v>97</v>
      </c>
      <c r="D19" s="79"/>
      <c r="E19" s="79"/>
      <c r="F19" s="79"/>
      <c r="P19" s="79"/>
      <c r="Q19" s="79"/>
      <c r="R19" s="79"/>
      <c r="S19" s="79"/>
      <c r="T19" s="79"/>
      <c r="U19" s="79"/>
      <c r="V19" s="38"/>
      <c r="W19" s="38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U19" s="145"/>
      <c r="AV19" s="96"/>
      <c r="AW19" s="96"/>
      <c r="AX19" s="96"/>
      <c r="AY19" s="96"/>
      <c r="AZ19" s="96"/>
      <c r="BA19" s="96"/>
      <c r="BB19" s="96"/>
      <c r="BC19" s="96"/>
      <c r="BD19" s="96"/>
      <c r="BE19" s="145"/>
      <c r="BF19" s="96"/>
      <c r="BG19" s="96"/>
      <c r="BH19" s="96"/>
      <c r="BI19" s="96"/>
      <c r="BJ19" s="96"/>
      <c r="BK19" s="96"/>
      <c r="BL19" s="96"/>
    </row>
    <row r="20" spans="1:64" x14ac:dyDescent="0.2">
      <c r="A20" s="2">
        <f>A17+1</f>
        <v>8</v>
      </c>
      <c r="B20" s="31" t="s">
        <v>89</v>
      </c>
      <c r="D20" s="79"/>
      <c r="E20" s="79"/>
      <c r="F20" s="79">
        <f ca="1">'Total Allocation Current RZ'!Q20+'Total Allocation Current RZ'!R20</f>
        <v>7790.0242045186978</v>
      </c>
      <c r="L20" s="79">
        <f t="shared" ref="L20:L23" ca="1" si="6">F20-H20</f>
        <v>7790.0242045186978</v>
      </c>
      <c r="N20" s="2" t="s">
        <v>156</v>
      </c>
      <c r="P20" s="79">
        <f ca="1">AW20+BG20</f>
        <v>245.7844239707066</v>
      </c>
      <c r="Q20" s="79">
        <f t="shared" ref="Q20:U22" ca="1" si="7">AX20+BH20</f>
        <v>5705.3135337163085</v>
      </c>
      <c r="R20" s="79">
        <f t="shared" ca="1" si="7"/>
        <v>1610.781391965985</v>
      </c>
      <c r="S20" s="79">
        <f t="shared" ca="1" si="7"/>
        <v>228.14485486569765</v>
      </c>
      <c r="T20" s="79">
        <f t="shared" ca="1" si="7"/>
        <v>0</v>
      </c>
      <c r="U20" s="79">
        <f t="shared" ca="1" si="7"/>
        <v>0</v>
      </c>
      <c r="V20" s="38"/>
      <c r="W20" s="38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U20" s="145">
        <f ca="1">'Total Allocation Current RZ'!Q20</f>
        <v>2000.3767071958312</v>
      </c>
      <c r="AV20" s="96"/>
      <c r="AW20" s="79">
        <f ca="1">IF($AU20&lt;&gt;0,VLOOKUP($N20,'Allocation Factors-Union North'!$B$12:$Z$101,13,FALSE)*$AU20,0)</f>
        <v>8.0459382905193113</v>
      </c>
      <c r="AX20" s="79">
        <f ca="1">IF($AU20&lt;&gt;0,VLOOKUP($N20,'Allocation Factors-Union North'!$B$12:$Z$101,14,FALSE)*$AU20,0)</f>
        <v>1497.1576221737184</v>
      </c>
      <c r="AY20" s="79">
        <f ca="1">IF($AU20&lt;&gt;0,VLOOKUP($N20,'Allocation Factors-Union North'!$B$12:$Z$101,15,FALSE)*$AU20,0)</f>
        <v>459.25285703002027</v>
      </c>
      <c r="AZ20" s="79">
        <f ca="1">IF($AU20&lt;&gt;0,VLOOKUP($N20,'Allocation Factors-Union North'!$B$12:$Z$101,16,FALSE)*$AU20,0)</f>
        <v>35.920289701572955</v>
      </c>
      <c r="BA20" s="79">
        <f ca="1">IF($AU20&lt;&gt;0,VLOOKUP($N20,'Allocation Factors-Union North'!$B$12:$Z$101,17,FALSE)*$AU20,0)</f>
        <v>0</v>
      </c>
      <c r="BB20" s="79">
        <f ca="1">IF($AU20&lt;&gt;0,VLOOKUP($N20,'Allocation Factors-Union North'!$B$12:$Z$101,18,FALSE)*$AU20,0)</f>
        <v>0</v>
      </c>
      <c r="BC20" s="79"/>
      <c r="BD20" s="96"/>
      <c r="BE20" s="145">
        <v>5789.6474973228669</v>
      </c>
      <c r="BF20" s="96"/>
      <c r="BG20" s="79">
        <v>237.7384856801873</v>
      </c>
      <c r="BH20" s="79">
        <v>4208.1559115425898</v>
      </c>
      <c r="BI20" s="79">
        <v>1151.5285349359647</v>
      </c>
      <c r="BJ20" s="79">
        <v>192.2245651641247</v>
      </c>
      <c r="BK20" s="79">
        <v>0</v>
      </c>
      <c r="BL20" s="79">
        <v>0</v>
      </c>
    </row>
    <row r="21" spans="1:64" x14ac:dyDescent="0.2">
      <c r="A21" s="2">
        <f>A20+1</f>
        <v>9</v>
      </c>
      <c r="B21" s="31" t="s">
        <v>90</v>
      </c>
      <c r="D21" s="79"/>
      <c r="E21" s="79"/>
      <c r="F21" s="79">
        <f ca="1">'Total Allocation Current RZ'!Q21+'Total Allocation Current RZ'!R21</f>
        <v>5490.6159546653334</v>
      </c>
      <c r="H21" s="79">
        <v>2324.0712554815559</v>
      </c>
      <c r="J21" s="2" t="s">
        <v>333</v>
      </c>
      <c r="L21" s="79">
        <f t="shared" ca="1" si="6"/>
        <v>3166.5446991837775</v>
      </c>
      <c r="N21" s="2" t="s">
        <v>157</v>
      </c>
      <c r="P21" s="79">
        <f ca="1">AW21+BG21</f>
        <v>176.525297812639</v>
      </c>
      <c r="Q21" s="79">
        <f t="shared" ca="1" si="7"/>
        <v>4144.9908216458789</v>
      </c>
      <c r="R21" s="79">
        <f t="shared" ca="1" si="7"/>
        <v>1028.4913453979723</v>
      </c>
      <c r="S21" s="79">
        <f t="shared" ca="1" si="7"/>
        <v>140.60848980884384</v>
      </c>
      <c r="T21" s="79">
        <f t="shared" ca="1" si="7"/>
        <v>0</v>
      </c>
      <c r="U21" s="79">
        <f t="shared" ca="1" si="7"/>
        <v>0</v>
      </c>
      <c r="V21" s="38"/>
      <c r="W21" s="38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96">
        <v>630.44230357891513</v>
      </c>
      <c r="AU21" s="145">
        <f ca="1">'Total Allocation Current RZ'!Q21-AT21</f>
        <v>816.93705474151182</v>
      </c>
      <c r="AV21" s="96"/>
      <c r="AW21" s="79">
        <f ca="1">IF($AU21&lt;&gt;0,VLOOKUP($N21,'Allocation Factors-Union North'!$B$12:$Z$101,13,FALSE)*$AU21,0)+IF($AT21&lt;&gt;0,VLOOKUP($J21,'Allocation Factors-Union North'!$B$12:$Z$101,13,FALSE)*$AT21,0)</f>
        <v>5.7784572936432657</v>
      </c>
      <c r="AX21" s="79">
        <f ca="1">IF($AU21&lt;&gt;0,VLOOKUP($N21,'Allocation Factors-Union North'!$B$12:$Z$101,14,FALSE)*$AU21,0)+IF($AT21&lt;&gt;0,VLOOKUP($J21,'Allocation Factors-Union North'!$B$12:$Z$101,14,FALSE)*$AT21,0)</f>
        <v>1164.5720235113763</v>
      </c>
      <c r="AY21" s="79">
        <f ca="1">IF($AU21&lt;&gt;0,VLOOKUP($N21,'Allocation Factors-Union North'!$B$12:$Z$101,15,FALSE)*$AU21,0)+IF($AT21&lt;&gt;0,VLOOKUP($J21,'Allocation Factors-Union North'!$B$12:$Z$101,15,FALSE)*$AT21,0)</f>
        <v>239.13803446752968</v>
      </c>
      <c r="AZ21" s="79">
        <f ca="1">IF($AU21&lt;&gt;0,VLOOKUP($N21,'Allocation Factors-Union North'!$B$12:$Z$101,16,FALSE)*$AU21,0)+IF($AT21&lt;&gt;0,VLOOKUP($J21,'Allocation Factors-Union North'!$B$12:$Z$101,16,FALSE)*$AT21,0)</f>
        <v>37.890843047877979</v>
      </c>
      <c r="BA21" s="79">
        <f ca="1">IF($AU21&lt;&gt;0,VLOOKUP($N21,'Allocation Factors-Union North'!$B$12:$Z$101,17,FALSE)*$AU21,0)+IF($AT21&lt;&gt;0,VLOOKUP($J21,'Allocation Factors-Union North'!$B$12:$Z$101,17,FALSE)*$AT21,0)</f>
        <v>0</v>
      </c>
      <c r="BB21" s="79">
        <f ca="1">IF($AU21&lt;&gt;0,VLOOKUP($N21,'Allocation Factors-Union North'!$B$12:$Z$101,18,FALSE)*$AU21,0)+IF($AT21&lt;&gt;0,VLOOKUP($J21,'Allocation Factors-Union North'!$B$12:$Z$101,18,FALSE)*$AT21,0)</f>
        <v>0</v>
      </c>
      <c r="BC21" s="79"/>
      <c r="BD21" s="96">
        <v>1693.6289519026407</v>
      </c>
      <c r="BE21" s="145">
        <v>2349.6076444422661</v>
      </c>
      <c r="BF21" s="96"/>
      <c r="BG21" s="79">
        <f>IF($BE21&lt;&gt;0,VLOOKUP($N21,'Allocation Factors-Union North'!$B$12:$Z$101,20,FALSE)*$BE21,0)+IF($BD21&lt;&gt;0,VLOOKUP($J21,'Allocation Factors-Union North'!$B$12:$Z$101,20,FALSE)*$BD21,0)</f>
        <v>170.74684051899573</v>
      </c>
      <c r="BH21" s="79">
        <f>IF($BE21&lt;&gt;0,VLOOKUP($N21,'Allocation Factors-Union North'!$B$12:$Z$101,21,FALSE)*$BE21,0)+IF($BD21&lt;&gt;0,VLOOKUP($J21,'Allocation Factors-Union North'!$B$12:$Z$101,21,FALSE)*$BD21,0)</f>
        <v>2980.418798134503</v>
      </c>
      <c r="BI21" s="79">
        <f>IF($BE21&lt;&gt;0,VLOOKUP($N21,'Allocation Factors-Union North'!$B$12:$Z$101,22,FALSE)*$BE21,0)+IF($BD21&lt;&gt;0,VLOOKUP($J21,'Allocation Factors-Union North'!$B$12:$Z$101,22,FALSE)*$BD21,0)</f>
        <v>789.3533109304426</v>
      </c>
      <c r="BJ21" s="79">
        <f>IF($BE21&lt;&gt;0,VLOOKUP($N21,'Allocation Factors-Union North'!$B$12:$Z$101,23,FALSE)*$BE21,0)+IF($BD21&lt;&gt;0,VLOOKUP($J21,'Allocation Factors-Union North'!$B$12:$Z$101,23,FALSE)*$BD21,0)</f>
        <v>102.71764676096586</v>
      </c>
      <c r="BK21" s="79">
        <f>IF($BE21&lt;&gt;0,VLOOKUP($N21,'Allocation Factors-Union North'!$B$12:$Z$101,24,FALSE)*$BE21,0)+IF($BD21&lt;&gt;0,VLOOKUP($J21,'Allocation Factors-Union North'!$B$12:$Z$101,24,FALSE)*$BD21,0)</f>
        <v>0</v>
      </c>
      <c r="BL21" s="79">
        <f>IF($BE21&lt;&gt;0,VLOOKUP($N21,'Allocation Factors-Union North'!$B$12:$Z$101,25,FALSE)*$BE21,0)+IF($BD21&lt;&gt;0,VLOOKUP($J21,'Allocation Factors-Union North'!$B$12:$Z$101,25,FALSE)*$BD21,0)</f>
        <v>0</v>
      </c>
    </row>
    <row r="22" spans="1:64" x14ac:dyDescent="0.2">
      <c r="A22" s="2">
        <f t="shared" ref="A22:A24" si="8">A21+1</f>
        <v>10</v>
      </c>
      <c r="B22" s="31" t="s">
        <v>345</v>
      </c>
      <c r="D22" s="79"/>
      <c r="E22" s="79"/>
      <c r="F22" s="79">
        <f ca="1">'Total Allocation Current RZ'!Q22+'Total Allocation Current RZ'!R22</f>
        <v>461.54585697489199</v>
      </c>
      <c r="L22" s="79">
        <f t="shared" ca="1" si="6"/>
        <v>461.54585697489199</v>
      </c>
      <c r="N22" s="2" t="s">
        <v>346</v>
      </c>
      <c r="P22" s="79">
        <f ca="1">AW22+BG22</f>
        <v>8.2651592974021035</v>
      </c>
      <c r="Q22" s="79">
        <f t="shared" ca="1" si="7"/>
        <v>329.07512983519911</v>
      </c>
      <c r="R22" s="79">
        <f t="shared" ca="1" si="7"/>
        <v>92.768137055754465</v>
      </c>
      <c r="S22" s="79">
        <f t="shared" ca="1" si="7"/>
        <v>16.424482272815748</v>
      </c>
      <c r="T22" s="79">
        <f t="shared" ca="1" si="7"/>
        <v>1.5825214507779468</v>
      </c>
      <c r="U22" s="79">
        <f t="shared" ca="1" si="7"/>
        <v>13.430427062942664</v>
      </c>
      <c r="V22" s="38"/>
      <c r="W22" s="38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U22" s="145">
        <f ca="1">'Total Allocation Current RZ'!Q22</f>
        <v>121.02913994849065</v>
      </c>
      <c r="AV22" s="96"/>
      <c r="AW22" s="79">
        <f ca="1">IF($AU22&lt;&gt;0,VLOOKUP($N22,'Allocation Factors-Union North'!$B$12:$Z$101,13,FALSE)*$AU22,0)</f>
        <v>0.27051579557130678</v>
      </c>
      <c r="AX22" s="79">
        <f ca="1">IF($AU22&lt;&gt;0,VLOOKUP($N22,'Allocation Factors-Union North'!$B$12:$Z$101,14,FALSE)*$AU22,0)</f>
        <v>88.480688493917555</v>
      </c>
      <c r="AY22" s="79">
        <f ca="1">IF($AU22&lt;&gt;0,VLOOKUP($N22,'Allocation Factors-Union North'!$B$12:$Z$101,15,FALSE)*$AU22,0)</f>
        <v>20.609654860121758</v>
      </c>
      <c r="AZ22" s="79">
        <f ca="1">IF($AU22&lt;&gt;0,VLOOKUP($N22,'Allocation Factors-Union North'!$B$12:$Z$101,16,FALSE)*$AU22,0)</f>
        <v>1.8492453914627545</v>
      </c>
      <c r="BA22" s="79">
        <f ca="1">IF($AU22&lt;&gt;0,VLOOKUP($N22,'Allocation Factors-Union North'!$B$12:$Z$101,17,FALSE)*$AU22,0)</f>
        <v>0.93418149716210885</v>
      </c>
      <c r="BB22" s="79">
        <f ca="1">IF($AU22&lt;&gt;0,VLOOKUP($N22,'Allocation Factors-Union North'!$B$12:$Z$101,18,FALSE)*$AU22,0)</f>
        <v>8.8848539102551545</v>
      </c>
      <c r="BC22" s="79"/>
      <c r="BD22" s="96"/>
      <c r="BE22" s="145">
        <v>340.51671702640135</v>
      </c>
      <c r="BF22" s="96"/>
      <c r="BG22" s="79">
        <v>7.9946435018307973</v>
      </c>
      <c r="BH22" s="79">
        <v>240.59444134128154</v>
      </c>
      <c r="BI22" s="79">
        <v>72.1584821956327</v>
      </c>
      <c r="BJ22" s="79">
        <v>14.575236881352993</v>
      </c>
      <c r="BK22" s="79">
        <v>0.64833995361583785</v>
      </c>
      <c r="BL22" s="79">
        <v>4.5455731526875098</v>
      </c>
    </row>
    <row r="23" spans="1:64" x14ac:dyDescent="0.2">
      <c r="A23" s="2">
        <f t="shared" si="8"/>
        <v>11</v>
      </c>
      <c r="B23" s="31" t="s">
        <v>91</v>
      </c>
      <c r="D23" s="79"/>
      <c r="E23" s="79"/>
      <c r="F23" s="79">
        <f ca="1">'Total Allocation Current RZ'!Q23+'Total Allocation Current RZ'!R23</f>
        <v>982.92151703590412</v>
      </c>
      <c r="L23" s="79">
        <f t="shared" ca="1" si="6"/>
        <v>982.92151703590412</v>
      </c>
      <c r="N23" s="2" t="s">
        <v>334</v>
      </c>
      <c r="P23" s="79">
        <f ca="1">AW23+BG23</f>
        <v>15.237845753041128</v>
      </c>
      <c r="Q23" s="79">
        <f t="shared" ref="Q23" ca="1" si="9">AX23+BH23</f>
        <v>658.15755639746658</v>
      </c>
      <c r="R23" s="79">
        <f t="shared" ref="R23" ca="1" si="10">AY23+BI23</f>
        <v>215.67578482641221</v>
      </c>
      <c r="S23" s="79">
        <f t="shared" ref="S23" ca="1" si="11">AZ23+BJ23</f>
        <v>90.055289575726647</v>
      </c>
      <c r="T23" s="79">
        <f t="shared" ref="T23" ca="1" si="12">BA23+BK23</f>
        <v>3.7950404832574343</v>
      </c>
      <c r="U23" s="79">
        <f t="shared" ref="U23" ca="1" si="13">BB23+BL23</f>
        <v>0</v>
      </c>
      <c r="V23" s="38"/>
      <c r="W23" s="38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91"/>
      <c r="AO23" s="91"/>
      <c r="AP23" s="91"/>
      <c r="AQ23" s="91"/>
      <c r="AR23" s="91"/>
      <c r="AS23" s="91"/>
      <c r="AU23" s="145">
        <f ca="1">'Total Allocation Current RZ'!Q23</f>
        <v>262.51137065294904</v>
      </c>
      <c r="AV23" s="96"/>
      <c r="AW23" s="79">
        <f ca="1">IF($AU23&lt;&gt;0,VLOOKUP($N23,'Allocation Factors-Union North'!$B$12:$Z$101,13,FALSE)*$AU23,0)</f>
        <v>1.5533671026046074</v>
      </c>
      <c r="AX23" s="79">
        <f ca="1">IF($AU23&lt;&gt;0,VLOOKUP($N23,'Allocation Factors-Union North'!$B$12:$Z$101,14,FALSE)*$AU23,0)</f>
        <v>184.97348349486964</v>
      </c>
      <c r="AY23" s="79">
        <f ca="1">IF($AU23&lt;&gt;0,VLOOKUP($N23,'Allocation Factors-Union North'!$B$12:$Z$101,15,FALSE)*$AU23,0)</f>
        <v>49.289869359127046</v>
      </c>
      <c r="AZ23" s="79">
        <f ca="1">IF($AU23&lt;&gt;0,VLOOKUP($N23,'Allocation Factors-Union North'!$B$12:$Z$101,16,FALSE)*$AU23,0)</f>
        <v>23.29427460431625</v>
      </c>
      <c r="BA23" s="79">
        <f ca="1">IF($AU23&lt;&gt;0,VLOOKUP($N23,'Allocation Factors-Union North'!$B$12:$Z$101,17,FALSE)*$AU23,0)</f>
        <v>3.4003760920314785</v>
      </c>
      <c r="BB23" s="79">
        <f ca="1">IF($AU23&lt;&gt;0,VLOOKUP($N23,'Allocation Factors-Union North'!$B$12:$Z$101,18,FALSE)*$AU23,0)</f>
        <v>0</v>
      </c>
      <c r="BC23" s="79"/>
      <c r="BD23" s="96"/>
      <c r="BE23" s="145">
        <v>720.41014638295508</v>
      </c>
      <c r="BF23" s="96"/>
      <c r="BG23" s="79">
        <v>13.684478650436521</v>
      </c>
      <c r="BH23" s="79">
        <v>473.18407290259699</v>
      </c>
      <c r="BI23" s="79">
        <v>166.38591546728517</v>
      </c>
      <c r="BJ23" s="79">
        <v>66.76101497141039</v>
      </c>
      <c r="BK23" s="79">
        <v>0.39466439122595592</v>
      </c>
      <c r="BL23" s="79">
        <v>0</v>
      </c>
    </row>
    <row r="24" spans="1:64" x14ac:dyDescent="0.2">
      <c r="A24" s="2">
        <f t="shared" si="8"/>
        <v>12</v>
      </c>
      <c r="B24" s="31" t="s">
        <v>96</v>
      </c>
      <c r="D24" s="41"/>
      <c r="F24" s="41">
        <f ca="1">SUM(F20:F23)</f>
        <v>14725.107533194827</v>
      </c>
      <c r="H24" s="41">
        <f>SUM(H20:H23)</f>
        <v>2324.0712554815559</v>
      </c>
      <c r="J24" s="122"/>
      <c r="L24" s="41">
        <f ca="1">SUM(L20:L23)</f>
        <v>12401.03627771327</v>
      </c>
      <c r="P24" s="41">
        <f t="shared" ref="P24:U24" ca="1" si="14">SUM(P20:P23)</f>
        <v>445.81272683378882</v>
      </c>
      <c r="Q24" s="41">
        <f t="shared" ca="1" si="14"/>
        <v>10837.537041594853</v>
      </c>
      <c r="R24" s="41">
        <f t="shared" ca="1" si="14"/>
        <v>2947.716659246124</v>
      </c>
      <c r="S24" s="41">
        <f t="shared" ca="1" si="14"/>
        <v>475.23311652308388</v>
      </c>
      <c r="T24" s="41">
        <f t="shared" ca="1" si="14"/>
        <v>5.3775619340353806</v>
      </c>
      <c r="U24" s="41">
        <f t="shared" ca="1" si="14"/>
        <v>13.430427062942664</v>
      </c>
      <c r="V24" s="50"/>
      <c r="W24" s="50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U24" s="146">
        <f ca="1">SUM(AU20:AU23)+AT21</f>
        <v>3831.2965761176979</v>
      </c>
      <c r="AV24" s="96"/>
      <c r="AW24" s="41">
        <f t="shared" ref="AW24:BB24" ca="1" si="15">SUM(AW20:AW23)</f>
        <v>15.64827848233849</v>
      </c>
      <c r="AX24" s="41">
        <f t="shared" ca="1" si="15"/>
        <v>2935.1838176738815</v>
      </c>
      <c r="AY24" s="41">
        <f t="shared" ca="1" si="15"/>
        <v>768.29041571679875</v>
      </c>
      <c r="AZ24" s="41">
        <f t="shared" ca="1" si="15"/>
        <v>98.954652745229936</v>
      </c>
      <c r="BA24" s="41">
        <f t="shared" ca="1" si="15"/>
        <v>4.3345575891935875</v>
      </c>
      <c r="BB24" s="41">
        <f t="shared" ca="1" si="15"/>
        <v>8.8848539102551545</v>
      </c>
      <c r="BC24" s="50"/>
      <c r="BD24" s="96"/>
      <c r="BE24" s="146">
        <f>SUM(BE20:BE23)+BD21</f>
        <v>10893.810957077132</v>
      </c>
      <c r="BF24" s="96"/>
      <c r="BG24" s="41">
        <f t="shared" ref="BG24:BL24" si="16">SUM(BG20:BG23)</f>
        <v>430.16444835145035</v>
      </c>
      <c r="BH24" s="41">
        <f t="shared" si="16"/>
        <v>7902.3532239209717</v>
      </c>
      <c r="BI24" s="41">
        <f t="shared" si="16"/>
        <v>2179.4262435293249</v>
      </c>
      <c r="BJ24" s="41">
        <f t="shared" si="16"/>
        <v>376.27846377785397</v>
      </c>
      <c r="BK24" s="41">
        <f t="shared" si="16"/>
        <v>1.0430043448417938</v>
      </c>
      <c r="BL24" s="41">
        <f t="shared" si="16"/>
        <v>4.5455731526875098</v>
      </c>
    </row>
    <row r="25" spans="1:64" x14ac:dyDescent="0.2">
      <c r="D25" s="50"/>
      <c r="P25" s="79"/>
      <c r="Q25" s="79"/>
      <c r="R25" s="79"/>
      <c r="S25" s="79"/>
      <c r="T25" s="79"/>
      <c r="U25" s="79"/>
      <c r="V25" s="38"/>
      <c r="W25" s="38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91"/>
      <c r="AO25" s="91"/>
      <c r="AP25" s="91"/>
      <c r="AQ25" s="91"/>
      <c r="AR25" s="91"/>
      <c r="AS25" s="91"/>
      <c r="AU25" s="145"/>
      <c r="AV25" s="96"/>
      <c r="AW25" s="96"/>
      <c r="AX25" s="96"/>
      <c r="AY25" s="96"/>
      <c r="AZ25" s="96"/>
      <c r="BA25" s="96"/>
      <c r="BB25" s="96"/>
      <c r="BC25" s="96"/>
      <c r="BD25" s="96"/>
      <c r="BE25" s="145"/>
      <c r="BF25" s="96"/>
      <c r="BG25" s="96"/>
      <c r="BH25" s="96"/>
      <c r="BI25" s="96"/>
      <c r="BJ25" s="96"/>
      <c r="BK25" s="96"/>
      <c r="BL25" s="96"/>
    </row>
    <row r="26" spans="1:64" x14ac:dyDescent="0.2">
      <c r="B26" s="77" t="s">
        <v>98</v>
      </c>
      <c r="P26" s="79"/>
      <c r="Q26" s="79"/>
      <c r="R26" s="79"/>
      <c r="S26" s="79"/>
      <c r="T26" s="79"/>
      <c r="U26" s="79"/>
      <c r="V26" s="38"/>
      <c r="W26" s="38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91"/>
      <c r="AO26" s="91"/>
      <c r="AP26" s="91"/>
      <c r="AQ26" s="91"/>
      <c r="AR26" s="91"/>
      <c r="AS26" s="91"/>
      <c r="AU26" s="144"/>
      <c r="BE26" s="144"/>
    </row>
    <row r="27" spans="1:64" x14ac:dyDescent="0.2">
      <c r="A27" s="2">
        <f>A24+1</f>
        <v>13</v>
      </c>
      <c r="B27" s="31" t="s">
        <v>92</v>
      </c>
      <c r="D27" s="79"/>
      <c r="E27" s="79"/>
      <c r="F27" s="79">
        <f ca="1">'Total Allocation Current RZ'!Q27+'Total Allocation Current RZ'!R27</f>
        <v>597.78865054562345</v>
      </c>
      <c r="L27" s="79">
        <f t="shared" ref="L27:L33" ca="1" si="17">F27-H27</f>
        <v>597.78865054562345</v>
      </c>
      <c r="N27" s="2" t="s">
        <v>533</v>
      </c>
      <c r="P27" s="79">
        <f t="shared" ref="P27:U33" ca="1" si="18">AW27+BG27</f>
        <v>13.335832465654896</v>
      </c>
      <c r="Q27" s="79">
        <f t="shared" ca="1" si="18"/>
        <v>428.13633340068969</v>
      </c>
      <c r="R27" s="79">
        <f t="shared" ca="1" si="18"/>
        <v>126.24179897089638</v>
      </c>
      <c r="S27" s="79">
        <f t="shared" ca="1" si="18"/>
        <v>30.074685708382493</v>
      </c>
      <c r="T27" s="79">
        <f t="shared" ca="1" si="18"/>
        <v>0</v>
      </c>
      <c r="U27" s="79">
        <f t="shared" ca="1" si="18"/>
        <v>0</v>
      </c>
      <c r="V27" s="38"/>
      <c r="W27" s="38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U27" s="145">
        <f ca="1">'Total Allocation Current RZ'!Q27</f>
        <v>47.882758574584528</v>
      </c>
      <c r="AV27" s="96"/>
      <c r="AW27" s="79">
        <f ca="1">IF($AU27&lt;&gt;0,VLOOKUP($N27,'Allocation Factors-Union North'!$B$12:$Z$101,13,FALSE)*$AU27,0)</f>
        <v>0.43653592660630852</v>
      </c>
      <c r="AX27" s="79">
        <f ca="1">IF($AU27&lt;&gt;0,VLOOKUP($N27,'Allocation Factors-Union North'!$B$12:$Z$101,14,FALSE)*$AU27,0)</f>
        <v>35.180884027913159</v>
      </c>
      <c r="AY27" s="79">
        <f ca="1">IF($AU27&lt;&gt;0,VLOOKUP($N27,'Allocation Factors-Union North'!$B$12:$Z$101,15,FALSE)*$AU27,0)</f>
        <v>10.373560341849457</v>
      </c>
      <c r="AZ27" s="79">
        <f ca="1">IF($AU27&lt;&gt;0,VLOOKUP($N27,'Allocation Factors-Union North'!$B$12:$Z$101,16,FALSE)*$AU27,0)</f>
        <v>1.8917782782156036</v>
      </c>
      <c r="BA27" s="79">
        <f ca="1">IF($AU27&lt;&gt;0,VLOOKUP($N27,'Allocation Factors-Union North'!$B$12:$Z$101,17,FALSE)*$AU27,0)</f>
        <v>0</v>
      </c>
      <c r="BB27" s="79">
        <f ca="1">IF($AU27&lt;&gt;0,VLOOKUP($N27,'Allocation Factors-Union North'!$B$12:$Z$101,18,FALSE)*$AU27,0)</f>
        <v>0</v>
      </c>
      <c r="BC27" s="79"/>
      <c r="BD27" s="96"/>
      <c r="BE27" s="145">
        <v>549.90589197103895</v>
      </c>
      <c r="BF27" s="96"/>
      <c r="BG27" s="79">
        <v>12.899296539048587</v>
      </c>
      <c r="BH27" s="79">
        <v>392.95544937277651</v>
      </c>
      <c r="BI27" s="79">
        <v>115.86823862904693</v>
      </c>
      <c r="BJ27" s="79">
        <v>28.182907430166889</v>
      </c>
      <c r="BK27" s="79">
        <v>0</v>
      </c>
      <c r="BL27" s="79">
        <v>0</v>
      </c>
    </row>
    <row r="28" spans="1:64" x14ac:dyDescent="0.2">
      <c r="A28" s="2">
        <f>A27+1</f>
        <v>14</v>
      </c>
      <c r="B28" s="31" t="s">
        <v>93</v>
      </c>
      <c r="D28" s="79"/>
      <c r="E28" s="79"/>
      <c r="F28" s="79">
        <f ca="1">'Total Allocation Current RZ'!Q28+'Total Allocation Current RZ'!R28</f>
        <v>0</v>
      </c>
      <c r="L28" s="79">
        <f t="shared" ca="1" si="17"/>
        <v>0</v>
      </c>
      <c r="N28" s="2" t="s">
        <v>218</v>
      </c>
      <c r="P28" s="79">
        <f t="shared" ca="1" si="18"/>
        <v>0</v>
      </c>
      <c r="Q28" s="79">
        <f t="shared" ca="1" si="18"/>
        <v>0</v>
      </c>
      <c r="R28" s="79">
        <f t="shared" ca="1" si="18"/>
        <v>0</v>
      </c>
      <c r="S28" s="79">
        <f t="shared" ca="1" si="18"/>
        <v>0</v>
      </c>
      <c r="T28" s="79">
        <f t="shared" ca="1" si="18"/>
        <v>0</v>
      </c>
      <c r="U28" s="79">
        <f t="shared" ca="1" si="18"/>
        <v>0</v>
      </c>
      <c r="V28" s="38"/>
      <c r="W28" s="38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U28" s="145">
        <f ca="1">'Total Allocation Current RZ'!Q28</f>
        <v>0</v>
      </c>
      <c r="AV28" s="96"/>
      <c r="AW28" s="79">
        <f ca="1">IF($AU28&lt;&gt;0,VLOOKUP($N28,'Allocation Factors-Union North'!$B$12:$Z$101,13,FALSE)*$AU28,0)</f>
        <v>0</v>
      </c>
      <c r="AX28" s="79">
        <f ca="1">IF($AU28&lt;&gt;0,VLOOKUP($N28,'Allocation Factors-Union North'!$B$12:$Z$101,14,FALSE)*$AU28,0)</f>
        <v>0</v>
      </c>
      <c r="AY28" s="79">
        <f ca="1">IF($AU28&lt;&gt;0,VLOOKUP($N28,'Allocation Factors-Union North'!$B$12:$Z$101,15,FALSE)*$AU28,0)</f>
        <v>0</v>
      </c>
      <c r="AZ28" s="79">
        <f ca="1">IF($AU28&lt;&gt;0,VLOOKUP($N28,'Allocation Factors-Union North'!$B$12:$Z$101,16,FALSE)*$AU28,0)</f>
        <v>0</v>
      </c>
      <c r="BA28" s="79">
        <f ca="1">IF($AU28&lt;&gt;0,VLOOKUP($N28,'Allocation Factors-Union North'!$B$12:$Z$101,17,FALSE)*$AU28,0)</f>
        <v>0</v>
      </c>
      <c r="BB28" s="79">
        <f ca="1">IF($AU28&lt;&gt;0,VLOOKUP($N28,'Allocation Factors-Union North'!$B$12:$Z$101,18,FALSE)*$AU28,0)</f>
        <v>0</v>
      </c>
      <c r="BC28" s="79"/>
      <c r="BD28" s="96"/>
      <c r="BE28" s="145">
        <v>0</v>
      </c>
      <c r="BF28" s="96"/>
      <c r="BG28" s="79">
        <v>0</v>
      </c>
      <c r="BH28" s="79">
        <v>0</v>
      </c>
      <c r="BI28" s="79">
        <v>0</v>
      </c>
      <c r="BJ28" s="79">
        <v>0</v>
      </c>
      <c r="BK28" s="79">
        <v>0</v>
      </c>
      <c r="BL28" s="79">
        <v>0</v>
      </c>
    </row>
    <row r="29" spans="1:64" x14ac:dyDescent="0.2">
      <c r="A29" s="2">
        <f t="shared" ref="A29:A34" si="19">A28+1</f>
        <v>15</v>
      </c>
      <c r="B29" s="31" t="s">
        <v>94</v>
      </c>
      <c r="D29" s="79"/>
      <c r="E29" s="79"/>
      <c r="F29" s="79">
        <f ca="1">'Total Allocation Current RZ'!Q29+'Total Allocation Current RZ'!R29</f>
        <v>3874.443093472612</v>
      </c>
      <c r="L29" s="79">
        <f t="shared" ca="1" si="17"/>
        <v>3874.443093472612</v>
      </c>
      <c r="N29" s="2" t="s">
        <v>230</v>
      </c>
      <c r="P29" s="79">
        <f t="shared" ca="1" si="18"/>
        <v>86.433430854039017</v>
      </c>
      <c r="Q29" s="79">
        <f t="shared" ca="1" si="18"/>
        <v>2774.8768038586077</v>
      </c>
      <c r="R29" s="79">
        <f t="shared" ca="1" si="18"/>
        <v>818.21002403426849</v>
      </c>
      <c r="S29" s="79">
        <f t="shared" ca="1" si="18"/>
        <v>194.92283472569702</v>
      </c>
      <c r="T29" s="79">
        <f t="shared" ca="1" si="18"/>
        <v>0</v>
      </c>
      <c r="U29" s="79">
        <f t="shared" ca="1" si="18"/>
        <v>0</v>
      </c>
      <c r="V29" s="38"/>
      <c r="W29" s="38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U29" s="145">
        <f ca="1">'Total Allocation Current RZ'!Q29</f>
        <v>310.34216371686807</v>
      </c>
      <c r="AV29" s="96"/>
      <c r="AW29" s="79">
        <f ca="1">IF($AU29&lt;&gt;0,VLOOKUP($N29,'Allocation Factors-Union North'!$B$12:$Z$101,13,FALSE)*$AU29,0)</f>
        <v>2.8293170242505226</v>
      </c>
      <c r="AX29" s="79">
        <f ca="1">IF($AU29&lt;&gt;0,VLOOKUP($N29,'Allocation Factors-Union North'!$B$12:$Z$101,14,FALSE)*$AU29,0)</f>
        <v>228.01759956432312</v>
      </c>
      <c r="AY29" s="79">
        <f ca="1">IF($AU29&lt;&gt;0,VLOOKUP($N29,'Allocation Factors-Union North'!$B$12:$Z$101,15,FALSE)*$AU29,0)</f>
        <v>67.234078774355325</v>
      </c>
      <c r="AZ29" s="79">
        <f ca="1">IF($AU29&lt;&gt;0,VLOOKUP($N29,'Allocation Factors-Union North'!$B$12:$Z$101,16,FALSE)*$AU29,0)</f>
        <v>12.261168353939096</v>
      </c>
      <c r="BA29" s="79">
        <f ca="1">IF($AU29&lt;&gt;0,VLOOKUP($N29,'Allocation Factors-Union North'!$B$12:$Z$101,17,FALSE)*$AU29,0)</f>
        <v>0</v>
      </c>
      <c r="BB29" s="79">
        <f ca="1">IF($AU29&lt;&gt;0,VLOOKUP($N29,'Allocation Factors-Union North'!$B$12:$Z$101,18,FALSE)*$AU29,0)</f>
        <v>0</v>
      </c>
      <c r="BC29" s="79"/>
      <c r="BD29" s="96"/>
      <c r="BE29" s="145">
        <v>3564.1009297557439</v>
      </c>
      <c r="BF29" s="96"/>
      <c r="BG29" s="79">
        <v>83.604113829788488</v>
      </c>
      <c r="BH29" s="79">
        <v>2546.8592042942846</v>
      </c>
      <c r="BI29" s="79">
        <v>750.97594525991315</v>
      </c>
      <c r="BJ29" s="79">
        <v>182.66166637175792</v>
      </c>
      <c r="BK29" s="79">
        <v>0</v>
      </c>
      <c r="BL29" s="79">
        <v>0</v>
      </c>
    </row>
    <row r="30" spans="1:64" x14ac:dyDescent="0.2">
      <c r="A30" s="2">
        <f t="shared" si="19"/>
        <v>16</v>
      </c>
      <c r="B30" s="31" t="s">
        <v>330</v>
      </c>
      <c r="D30" s="79"/>
      <c r="E30" s="79"/>
      <c r="F30" s="79">
        <f ca="1">'Total Allocation Current RZ'!Q30+'Total Allocation Current RZ'!R30</f>
        <v>13091.814192815707</v>
      </c>
      <c r="L30" s="79">
        <f t="shared" ca="1" si="17"/>
        <v>13091.814192815707</v>
      </c>
      <c r="N30" s="2" t="s">
        <v>222</v>
      </c>
      <c r="P30" s="79">
        <f t="shared" ca="1" si="18"/>
        <v>292.06014632013898</v>
      </c>
      <c r="Q30" s="79">
        <f t="shared" ca="1" si="18"/>
        <v>9376.3595561060993</v>
      </c>
      <c r="R30" s="79">
        <f t="shared" ca="1" si="18"/>
        <v>2764.7466608562368</v>
      </c>
      <c r="S30" s="79">
        <f t="shared" ca="1" si="18"/>
        <v>658.64782953323027</v>
      </c>
      <c r="T30" s="79">
        <f t="shared" ca="1" si="18"/>
        <v>0</v>
      </c>
      <c r="U30" s="79">
        <f t="shared" ca="1" si="18"/>
        <v>0</v>
      </c>
      <c r="V30" s="38"/>
      <c r="W30" s="38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U30" s="145">
        <f ca="1">'Total Allocation Current RZ'!Q30</f>
        <v>1048.651856681696</v>
      </c>
      <c r="AV30" s="96"/>
      <c r="AW30" s="79">
        <f ca="1">IF($AU30&lt;&gt;0,VLOOKUP($N30,'Allocation Factors-Union North'!$B$12:$Z$101,13,FALSE)*$AU30,0)</f>
        <v>9.5603140581576689</v>
      </c>
      <c r="AX30" s="79">
        <f ca="1">IF($AU30&lt;&gt;0,VLOOKUP($N30,'Allocation Factors-Union North'!$B$12:$Z$101,14,FALSE)*$AU30,0)</f>
        <v>770.47564622052835</v>
      </c>
      <c r="AY30" s="79">
        <f ca="1">IF($AU30&lt;&gt;0,VLOOKUP($N30,'Allocation Factors-Union North'!$B$12:$Z$101,15,FALSE)*$AU30,0)</f>
        <v>227.18518390989405</v>
      </c>
      <c r="AZ30" s="79">
        <f ca="1">IF($AU30&lt;&gt;0,VLOOKUP($N30,'Allocation Factors-Union North'!$B$12:$Z$101,16,FALSE)*$AU30,0)</f>
        <v>41.430712493115969</v>
      </c>
      <c r="BA30" s="79">
        <f ca="1">IF($AU30&lt;&gt;0,VLOOKUP($N30,'Allocation Factors-Union North'!$B$12:$Z$101,17,FALSE)*$AU30,0)</f>
        <v>0</v>
      </c>
      <c r="BB30" s="79">
        <f ca="1">IF($AU30&lt;&gt;0,VLOOKUP($N30,'Allocation Factors-Union North'!$B$12:$Z$101,18,FALSE)*$AU30,0)</f>
        <v>0</v>
      </c>
      <c r="BC30" s="79"/>
      <c r="BD30" s="96"/>
      <c r="BE30" s="145">
        <v>12043.162336134012</v>
      </c>
      <c r="BF30" s="96"/>
      <c r="BG30" s="79">
        <v>282.49983226198134</v>
      </c>
      <c r="BH30" s="79">
        <v>8605.8839098855715</v>
      </c>
      <c r="BI30" s="79">
        <v>2537.5614769463427</v>
      </c>
      <c r="BJ30" s="79">
        <v>617.21711704011432</v>
      </c>
      <c r="BK30" s="79">
        <v>0</v>
      </c>
      <c r="BL30" s="79">
        <v>0</v>
      </c>
    </row>
    <row r="31" spans="1:64" x14ac:dyDescent="0.2">
      <c r="A31" s="2">
        <f t="shared" si="19"/>
        <v>17</v>
      </c>
      <c r="B31" s="31" t="s">
        <v>331</v>
      </c>
      <c r="D31" s="79"/>
      <c r="E31" s="79"/>
      <c r="F31" s="79">
        <f ca="1">'Total Allocation Current RZ'!Q31+'Total Allocation Current RZ'!R31</f>
        <v>0</v>
      </c>
      <c r="L31" s="79">
        <f t="shared" ca="1" si="17"/>
        <v>0</v>
      </c>
      <c r="N31" s="2" t="s">
        <v>332</v>
      </c>
      <c r="P31" s="79">
        <f t="shared" ca="1" si="18"/>
        <v>0</v>
      </c>
      <c r="Q31" s="79">
        <f t="shared" ca="1" si="18"/>
        <v>0</v>
      </c>
      <c r="R31" s="79">
        <f t="shared" ca="1" si="18"/>
        <v>0</v>
      </c>
      <c r="S31" s="79">
        <f t="shared" ca="1" si="18"/>
        <v>0</v>
      </c>
      <c r="T31" s="79">
        <f t="shared" ca="1" si="18"/>
        <v>0</v>
      </c>
      <c r="U31" s="79">
        <f t="shared" ca="1" si="18"/>
        <v>0</v>
      </c>
      <c r="V31" s="38"/>
      <c r="W31" s="38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U31" s="145">
        <f ca="1">'Total Allocation Current RZ'!Q31</f>
        <v>0</v>
      </c>
      <c r="AV31" s="96"/>
      <c r="AW31" s="79">
        <f ca="1">IF($AU31&lt;&gt;0,VLOOKUP($N31,'Allocation Factors-Union North'!$B$12:$Z$101,13,FALSE)*$AU31,0)</f>
        <v>0</v>
      </c>
      <c r="AX31" s="79">
        <f ca="1">IF($AU31&lt;&gt;0,VLOOKUP($N31,'Allocation Factors-Union North'!$B$12:$Z$101,14,FALSE)*$AU31,0)</f>
        <v>0</v>
      </c>
      <c r="AY31" s="79">
        <f ca="1">IF($AU31&lt;&gt;0,VLOOKUP($N31,'Allocation Factors-Union North'!$B$12:$Z$101,15,FALSE)*$AU31,0)</f>
        <v>0</v>
      </c>
      <c r="AZ31" s="79">
        <f ca="1">IF($AU31&lt;&gt;0,VLOOKUP($N31,'Allocation Factors-Union North'!$B$12:$Z$101,16,FALSE)*$AU31,0)</f>
        <v>0</v>
      </c>
      <c r="BA31" s="79">
        <f ca="1">IF($AU31&lt;&gt;0,VLOOKUP($N31,'Allocation Factors-Union North'!$B$12:$Z$101,17,FALSE)*$AU31,0)</f>
        <v>0</v>
      </c>
      <c r="BB31" s="79">
        <f ca="1">IF($AU31&lt;&gt;0,VLOOKUP($N31,'Allocation Factors-Union North'!$B$12:$Z$101,18,FALSE)*$AU31,0)</f>
        <v>0</v>
      </c>
      <c r="BC31" s="79"/>
      <c r="BD31" s="96"/>
      <c r="BE31" s="145">
        <v>0</v>
      </c>
      <c r="BF31" s="96"/>
      <c r="BG31" s="79">
        <v>0</v>
      </c>
      <c r="BH31" s="79">
        <v>0</v>
      </c>
      <c r="BI31" s="79">
        <v>0</v>
      </c>
      <c r="BJ31" s="79">
        <v>0</v>
      </c>
      <c r="BK31" s="79">
        <v>0</v>
      </c>
      <c r="BL31" s="79">
        <v>0</v>
      </c>
    </row>
    <row r="32" spans="1:64" x14ac:dyDescent="0.2">
      <c r="A32" s="2">
        <f t="shared" si="19"/>
        <v>18</v>
      </c>
      <c r="B32" s="31" t="s">
        <v>146</v>
      </c>
      <c r="D32" s="79"/>
      <c r="E32" s="79"/>
      <c r="F32" s="79">
        <f ca="1">'Total Allocation Current RZ'!Q32+'Total Allocation Current RZ'!R32</f>
        <v>0</v>
      </c>
      <c r="L32" s="79">
        <f t="shared" ca="1" si="17"/>
        <v>0</v>
      </c>
      <c r="N32" s="2" t="s">
        <v>229</v>
      </c>
      <c r="P32" s="79">
        <f t="shared" ca="1" si="18"/>
        <v>0</v>
      </c>
      <c r="Q32" s="79">
        <f t="shared" ca="1" si="18"/>
        <v>0</v>
      </c>
      <c r="R32" s="79">
        <f t="shared" ca="1" si="18"/>
        <v>0</v>
      </c>
      <c r="S32" s="79">
        <f t="shared" ca="1" si="18"/>
        <v>0</v>
      </c>
      <c r="T32" s="79">
        <f t="shared" ca="1" si="18"/>
        <v>0</v>
      </c>
      <c r="U32" s="79">
        <f t="shared" ca="1" si="18"/>
        <v>0</v>
      </c>
      <c r="V32" s="38"/>
      <c r="W32" s="38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U32" s="145">
        <f ca="1">'Total Allocation Current RZ'!Q32</f>
        <v>0</v>
      </c>
      <c r="AV32" s="96"/>
      <c r="AW32" s="79">
        <f ca="1">IF($AU32&lt;&gt;0,VLOOKUP($N32,'Allocation Factors-Union North'!$B$12:$Z$101,13,FALSE)*$AU32,0)</f>
        <v>0</v>
      </c>
      <c r="AX32" s="79">
        <f ca="1">IF($AU32&lt;&gt;0,VLOOKUP($N32,'Allocation Factors-Union North'!$B$12:$Z$101,14,FALSE)*$AU32,0)</f>
        <v>0</v>
      </c>
      <c r="AY32" s="79">
        <f ca="1">IF($AU32&lt;&gt;0,VLOOKUP($N32,'Allocation Factors-Union North'!$B$12:$Z$101,15,FALSE)*$AU32,0)</f>
        <v>0</v>
      </c>
      <c r="AZ32" s="79">
        <f ca="1">IF($AU32&lt;&gt;0,VLOOKUP($N32,'Allocation Factors-Union North'!$B$12:$Z$101,16,FALSE)*$AU32,0)</f>
        <v>0</v>
      </c>
      <c r="BA32" s="79">
        <f ca="1">IF($AU32&lt;&gt;0,VLOOKUP($N32,'Allocation Factors-Union North'!$B$12:$Z$101,17,FALSE)*$AU32,0)</f>
        <v>0</v>
      </c>
      <c r="BB32" s="79">
        <f ca="1">IF($AU32&lt;&gt;0,VLOOKUP($N32,'Allocation Factors-Union North'!$B$12:$Z$101,18,FALSE)*$AU32,0)</f>
        <v>0</v>
      </c>
      <c r="BC32" s="79"/>
      <c r="BD32" s="96"/>
      <c r="BE32" s="145">
        <v>0</v>
      </c>
      <c r="BF32" s="96"/>
      <c r="BG32" s="79">
        <v>0</v>
      </c>
      <c r="BH32" s="79">
        <v>0</v>
      </c>
      <c r="BI32" s="79">
        <v>0</v>
      </c>
      <c r="BJ32" s="79">
        <v>0</v>
      </c>
      <c r="BK32" s="79">
        <v>0</v>
      </c>
      <c r="BL32" s="79">
        <v>0</v>
      </c>
    </row>
    <row r="33" spans="1:64" x14ac:dyDescent="0.2">
      <c r="A33" s="2">
        <f t="shared" si="19"/>
        <v>19</v>
      </c>
      <c r="B33" s="31" t="s">
        <v>95</v>
      </c>
      <c r="D33" s="79"/>
      <c r="E33" s="79"/>
      <c r="F33" s="79">
        <f ca="1">'Total Allocation Current RZ'!Q33+'Total Allocation Current RZ'!R33</f>
        <v>1000.2798608739456</v>
      </c>
      <c r="H33" s="79">
        <v>974.41487889010909</v>
      </c>
      <c r="J33" s="2" t="s">
        <v>251</v>
      </c>
      <c r="L33" s="79">
        <f t="shared" ca="1" si="17"/>
        <v>25.864981983836515</v>
      </c>
      <c r="N33" s="2" t="s">
        <v>335</v>
      </c>
      <c r="P33" s="79">
        <f t="shared" ca="1" si="18"/>
        <v>9.0881222878925811</v>
      </c>
      <c r="Q33" s="79">
        <f t="shared" ca="1" si="18"/>
        <v>674.49684021556664</v>
      </c>
      <c r="R33" s="79">
        <f t="shared" ca="1" si="18"/>
        <v>220.67151995430353</v>
      </c>
      <c r="S33" s="79">
        <f t="shared" ca="1" si="18"/>
        <v>92.12210990673708</v>
      </c>
      <c r="T33" s="79">
        <f t="shared" ca="1" si="18"/>
        <v>3.9012685094459245</v>
      </c>
      <c r="U33" s="79">
        <f t="shared" ca="1" si="18"/>
        <v>0</v>
      </c>
      <c r="V33" s="38"/>
      <c r="W33" s="38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96">
        <v>262.77322742029065</v>
      </c>
      <c r="AU33" s="145">
        <f ca="1">'Total Allocation Current RZ'!Q33-AT33</f>
        <v>6.9750831399475715</v>
      </c>
      <c r="AV33" s="96"/>
      <c r="AW33" s="79">
        <f ca="1">IF($AU33&lt;&gt;0,VLOOKUP($N33,'Allocation Factors-Union North'!$B$12:$Z$101,13,FALSE)*$AU33,0)+IF($AT33&lt;&gt;0,VLOOKUP($J33,'Allocation Factors-Union North'!$B$12:$Z$101,13,FALSE)*$AT33,0)</f>
        <v>0.93289631280257435</v>
      </c>
      <c r="AX33" s="79">
        <f ca="1">IF($AU33&lt;&gt;0,VLOOKUP($N33,'Allocation Factors-Union North'!$B$12:$Z$101,14,FALSE)*$AU33,0)+IF($AT33&lt;&gt;0,VLOOKUP($J33,'Allocation Factors-Union North'!$B$12:$Z$101,14,FALSE)*$AT33,0)</f>
        <v>190.61913666010426</v>
      </c>
      <c r="AY33" s="79">
        <f ca="1">IF($AU33&lt;&gt;0,VLOOKUP($N33,'Allocation Factors-Union North'!$B$12:$Z$101,15,FALSE)*$AU33,0)+IF($AT33&lt;&gt;0,VLOOKUP($J33,'Allocation Factors-Union North'!$B$12:$Z$101,15,FALSE)*$AT33,0)</f>
        <v>50.732453385695578</v>
      </c>
      <c r="AZ33" s="79">
        <f ca="1">IF($AU33&lt;&gt;0,VLOOKUP($N33,'Allocation Factors-Union North'!$B$12:$Z$101,16,FALSE)*$AU33,0)+IF($AT33&lt;&gt;0,VLOOKUP($J33,'Allocation Factors-Union North'!$B$12:$Z$101,16,FALSE)*$AT33,0)</f>
        <v>23.965470457249459</v>
      </c>
      <c r="BA33" s="79">
        <f ca="1">IF($AU33&lt;&gt;0,VLOOKUP($N33,'Allocation Factors-Union North'!$B$12:$Z$101,17,FALSE)*$AU33,0)+IF($AT33&lt;&gt;0,VLOOKUP($J33,'Allocation Factors-Union North'!$B$12:$Z$101,17,FALSE)*$AT33,0)</f>
        <v>3.4983537443863502</v>
      </c>
      <c r="BB33" s="79">
        <f ca="1">IF($AU33&lt;&gt;0,VLOOKUP($N33,'Allocation Factors-Union North'!$B$12:$Z$101,18,FALSE)*$AU33,0)+IF($AT33&lt;&gt;0,VLOOKUP($J33,'Allocation Factors-Union North'!$B$12:$Z$101,18,FALSE)*$AT33,0)</f>
        <v>0</v>
      </c>
      <c r="BC33" s="79"/>
      <c r="BD33" s="96">
        <v>711.64165146981838</v>
      </c>
      <c r="BE33" s="145">
        <v>18.889898843889</v>
      </c>
      <c r="BF33" s="96"/>
      <c r="BG33" s="79">
        <f>IF($BE33&lt;&gt;0,VLOOKUP($N33,'Allocation Factors-Union North'!$B$12:$Z$101,20,FALSE)*$BE33,0)+IF($BD33&lt;&gt;0,VLOOKUP($J33,'Allocation Factors-Union North'!$B$12:$Z$101,20,FALSE)*$BD33,0)</f>
        <v>8.1552259750900067</v>
      </c>
      <c r="BH33" s="79">
        <f>IF($BE33&lt;&gt;0,VLOOKUP($N33,'Allocation Factors-Union North'!$B$12:$Z$101,21,FALSE)*$BE33,0)+IF($BD33&lt;&gt;0,VLOOKUP($J33,'Allocation Factors-Union North'!$B$12:$Z$101,21,FALSE)*$BD33,0)</f>
        <v>483.87770355546235</v>
      </c>
      <c r="BI33" s="79">
        <f>IF($BE33&lt;&gt;0,VLOOKUP($N33,'Allocation Factors-Union North'!$B$12:$Z$101,22,FALSE)*$BE33,0)+IF($BD33&lt;&gt;0,VLOOKUP($J33,'Allocation Factors-Union North'!$B$12:$Z$101,22,FALSE)*$BD33,0)</f>
        <v>169.93906656860796</v>
      </c>
      <c r="BJ33" s="79">
        <f>IF($BE33&lt;&gt;0,VLOOKUP($N33,'Allocation Factors-Union North'!$B$12:$Z$101,23,FALSE)*$BE33,0)+IF($BD33&lt;&gt;0,VLOOKUP($J33,'Allocation Factors-Union North'!$B$12:$Z$101,23,FALSE)*$BD33,0)</f>
        <v>68.156639449487628</v>
      </c>
      <c r="BK33" s="79">
        <f>IF($BE33&lt;&gt;0,VLOOKUP($N33,'Allocation Factors-Union North'!$B$12:$Z$101,24,FALSE)*$BE33,0)+IF($BD33&lt;&gt;0,VLOOKUP($J33,'Allocation Factors-Union North'!$B$12:$Z$101,24,FALSE)*$BD33,0)</f>
        <v>0.40291476505957446</v>
      </c>
      <c r="BL33" s="79">
        <f>IF($BE33&lt;&gt;0,VLOOKUP($N33,'Allocation Factors-Union North'!$B$12:$Z$101,25,FALSE)*$BE33,0)+IF($BD33&lt;&gt;0,VLOOKUP($J33,'Allocation Factors-Union North'!$B$12:$Z$101,25,FALSE)*$BD33,0)</f>
        <v>0</v>
      </c>
    </row>
    <row r="34" spans="1:64" x14ac:dyDescent="0.2">
      <c r="A34" s="2">
        <f t="shared" si="19"/>
        <v>20</v>
      </c>
      <c r="B34" s="31" t="s">
        <v>99</v>
      </c>
      <c r="D34" s="41"/>
      <c r="F34" s="41">
        <f ca="1">SUM(F27:F33)</f>
        <v>18564.32579770789</v>
      </c>
      <c r="H34" s="41">
        <f>SUM(H27:H33)</f>
        <v>974.41487889010909</v>
      </c>
      <c r="L34" s="41">
        <f ca="1">SUM(L27:L33)</f>
        <v>17589.910918817779</v>
      </c>
      <c r="P34" s="41">
        <f t="shared" ref="P34:U34" ca="1" si="20">SUM(P27:P33)</f>
        <v>400.91753192772546</v>
      </c>
      <c r="Q34" s="41">
        <f t="shared" ca="1" si="20"/>
        <v>13253.869533580963</v>
      </c>
      <c r="R34" s="41">
        <f t="shared" ca="1" si="20"/>
        <v>3929.8700038157053</v>
      </c>
      <c r="S34" s="41">
        <f t="shared" ca="1" si="20"/>
        <v>975.76745987404684</v>
      </c>
      <c r="T34" s="41">
        <f t="shared" ca="1" si="20"/>
        <v>3.9012685094459245</v>
      </c>
      <c r="U34" s="41">
        <f t="shared" ca="1" si="20"/>
        <v>0</v>
      </c>
      <c r="V34" s="50"/>
      <c r="W34" s="50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U34" s="146">
        <f ca="1">SUM(AU27:AU33)+AT33</f>
        <v>1676.6250895333869</v>
      </c>
      <c r="AW34" s="41">
        <f t="shared" ref="AW34:BB34" ca="1" si="21">SUM(AW27:AW33)</f>
        <v>13.759063321817075</v>
      </c>
      <c r="AX34" s="41">
        <f t="shared" ca="1" si="21"/>
        <v>1224.2932664728689</v>
      </c>
      <c r="AY34" s="41">
        <f t="shared" ca="1" si="21"/>
        <v>355.52527641179444</v>
      </c>
      <c r="AZ34" s="41">
        <f t="shared" ca="1" si="21"/>
        <v>79.549129582520123</v>
      </c>
      <c r="BA34" s="41">
        <f t="shared" ca="1" si="21"/>
        <v>3.4983537443863502</v>
      </c>
      <c r="BB34" s="41">
        <f t="shared" ca="1" si="21"/>
        <v>0</v>
      </c>
      <c r="BC34" s="50"/>
      <c r="BE34" s="146">
        <f>SUM(BE27:BE33)+BD33</f>
        <v>16887.7007081745</v>
      </c>
      <c r="BG34" s="41">
        <f t="shared" ref="BG34:BL34" si="22">SUM(BG27:BG33)</f>
        <v>387.15846860590841</v>
      </c>
      <c r="BH34" s="41">
        <f t="shared" si="22"/>
        <v>12029.576267108096</v>
      </c>
      <c r="BI34" s="41">
        <f t="shared" si="22"/>
        <v>3574.3447274039108</v>
      </c>
      <c r="BJ34" s="41">
        <f t="shared" si="22"/>
        <v>896.21833029152674</v>
      </c>
      <c r="BK34" s="41">
        <f t="shared" si="22"/>
        <v>0.40291476505957446</v>
      </c>
      <c r="BL34" s="41">
        <f t="shared" si="22"/>
        <v>0</v>
      </c>
    </row>
    <row r="35" spans="1:64" x14ac:dyDescent="0.2">
      <c r="D35" s="50"/>
      <c r="P35" s="79"/>
      <c r="Q35" s="79"/>
      <c r="R35" s="79"/>
      <c r="S35" s="79"/>
      <c r="T35" s="79"/>
      <c r="U35" s="79"/>
      <c r="V35" s="38"/>
      <c r="W35" s="38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</row>
    <row r="36" spans="1:64" x14ac:dyDescent="0.2">
      <c r="B36" s="77" t="s">
        <v>100</v>
      </c>
      <c r="P36" s="79"/>
      <c r="Q36" s="79"/>
      <c r="R36" s="79"/>
      <c r="S36" s="79"/>
      <c r="T36" s="79"/>
      <c r="U36" s="79"/>
      <c r="V36" s="38"/>
      <c r="W36" s="38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</row>
    <row r="37" spans="1:64" x14ac:dyDescent="0.2">
      <c r="A37" s="2">
        <f>A34+1</f>
        <v>21</v>
      </c>
      <c r="B37" s="31" t="s">
        <v>287</v>
      </c>
      <c r="D37" s="79"/>
      <c r="E37" s="79"/>
      <c r="F37" s="79">
        <f ca="1">'Total Allocation Current RZ'!Q37</f>
        <v>39696.117200537512</v>
      </c>
      <c r="G37" s="79"/>
      <c r="H37" s="79"/>
      <c r="I37" s="79"/>
      <c r="J37" s="123"/>
      <c r="K37" s="79"/>
      <c r="L37" s="79">
        <f t="shared" ref="L37:L51" ca="1" si="23">F37-H37</f>
        <v>39696.117200537512</v>
      </c>
      <c r="N37" s="2" t="s">
        <v>290</v>
      </c>
      <c r="P37" s="79">
        <f ca="1">IF($L37&lt;&gt;0,VLOOKUP($N37,'Allocation Factors-Union North'!$B$12:$Z$101,5,FALSE)*$L37,0)</f>
        <v>0</v>
      </c>
      <c r="Q37" s="79">
        <f ca="1">IF($L37&lt;&gt;0,VLOOKUP($N37,'Allocation Factors-Union North'!$B$12:$Z$101,6,FALSE)*$L37,0)</f>
        <v>16325.557372513018</v>
      </c>
      <c r="R37" s="79">
        <f ca="1">IF($L37&lt;&gt;0,VLOOKUP($N37,'Allocation Factors-Union North'!$B$12:$Z$101,7,FALSE)*$L37,0)</f>
        <v>4864.8067520157447</v>
      </c>
      <c r="S37" s="79">
        <f ca="1">IF($L37&lt;&gt;0,VLOOKUP($N37,'Allocation Factors-Union North'!$B$12:$Z$101,8,FALSE)*$L37,0)</f>
        <v>12792.959819009538</v>
      </c>
      <c r="T37" s="79">
        <f ca="1">IF($L37&lt;&gt;0,VLOOKUP($N37,'Allocation Factors-Union North'!$B$12:$Z$101,9,FALSE)*$L37,0)</f>
        <v>0</v>
      </c>
      <c r="U37" s="79">
        <f ca="1">IF($L37&lt;&gt;0,VLOOKUP($N37,'Allocation Factors-Union North'!$B$12:$Z$101,10,FALSE)*$L37,0)</f>
        <v>5712.7932569992081</v>
      </c>
      <c r="V37" s="38"/>
      <c r="W37" s="38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</row>
    <row r="38" spans="1:64" x14ac:dyDescent="0.2">
      <c r="A38" s="2">
        <f>A37+1</f>
        <v>22</v>
      </c>
      <c r="B38" s="31" t="s">
        <v>288</v>
      </c>
      <c r="D38" s="79"/>
      <c r="E38" s="79"/>
      <c r="F38" s="79">
        <f ca="1">'Total Allocation Current RZ'!Q38</f>
        <v>7592.4604053034973</v>
      </c>
      <c r="G38" s="79"/>
      <c r="H38" s="79"/>
      <c r="I38" s="79"/>
      <c r="J38" s="123"/>
      <c r="K38" s="79"/>
      <c r="L38" s="79">
        <f t="shared" ca="1" si="23"/>
        <v>7592.4604053034973</v>
      </c>
      <c r="N38" s="2" t="s">
        <v>291</v>
      </c>
      <c r="P38" s="79">
        <f ca="1">IF($L38&lt;&gt;0,VLOOKUP($N38,'Allocation Factors-Union North'!$B$12:$Z$101,5,FALSE)*$L38,0)</f>
        <v>0</v>
      </c>
      <c r="Q38" s="79">
        <f ca="1">IF($L38&lt;&gt;0,VLOOKUP($N38,'Allocation Factors-Union North'!$B$12:$Z$101,6,FALSE)*$L38,0)</f>
        <v>5454.555356486916</v>
      </c>
      <c r="R38" s="79">
        <f ca="1">IF($L38&lt;&gt;0,VLOOKUP($N38,'Allocation Factors-Union North'!$B$12:$Z$101,7,FALSE)*$L38,0)</f>
        <v>1625.3875516776045</v>
      </c>
      <c r="S38" s="79">
        <f ca="1">IF($L38&lt;&gt;0,VLOOKUP($N38,'Allocation Factors-Union North'!$B$12:$Z$101,8,FALSE)*$L38,0)</f>
        <v>438.68692459787212</v>
      </c>
      <c r="T38" s="79">
        <f ca="1">IF($L38&lt;&gt;0,VLOOKUP($N38,'Allocation Factors-Union North'!$B$12:$Z$101,9,FALSE)*$L38,0)</f>
        <v>0</v>
      </c>
      <c r="U38" s="79">
        <f ca="1">IF($L38&lt;&gt;0,VLOOKUP($N38,'Allocation Factors-Union North'!$B$12:$Z$101,10,FALSE)*$L38,0)</f>
        <v>73.830572541105184</v>
      </c>
      <c r="V38" s="38"/>
      <c r="W38" s="38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</row>
    <row r="39" spans="1:64" x14ac:dyDescent="0.2">
      <c r="A39" s="2">
        <f t="shared" ref="A39:A52" si="24">A38+1</f>
        <v>23</v>
      </c>
      <c r="B39" s="31" t="s">
        <v>289</v>
      </c>
      <c r="D39" s="79"/>
      <c r="E39" s="79"/>
      <c r="F39" s="79">
        <f ca="1">'Total Allocation Current RZ'!Q39</f>
        <v>40441.033369543518</v>
      </c>
      <c r="G39" s="79"/>
      <c r="H39" s="79"/>
      <c r="I39" s="79"/>
      <c r="J39" s="123"/>
      <c r="K39" s="79"/>
      <c r="L39" s="79">
        <f t="shared" ca="1" si="23"/>
        <v>40441.033369543518</v>
      </c>
      <c r="N39" s="2" t="s">
        <v>292</v>
      </c>
      <c r="P39" s="79">
        <f ca="1">IF($L39&lt;&gt;0,VLOOKUP($N39,'Allocation Factors-Union North'!$B$12:$Z$101,5,FALSE)*$L39,0)</f>
        <v>0</v>
      </c>
      <c r="Q39" s="79">
        <f ca="1">IF($L39&lt;&gt;0,VLOOKUP($N39,'Allocation Factors-Union North'!$B$12:$Z$101,6,FALSE)*$L39,0)</f>
        <v>29063.293262883049</v>
      </c>
      <c r="R39" s="79">
        <f ca="1">IF($L39&lt;&gt;0,VLOOKUP($N39,'Allocation Factors-Union North'!$B$12:$Z$101,7,FALSE)*$L39,0)</f>
        <v>8660.4887095088015</v>
      </c>
      <c r="S39" s="79">
        <f ca="1">IF($L39&lt;&gt;0,VLOOKUP($N39,'Allocation Factors-Union North'!$B$12:$Z$101,8,FALSE)*$L39,0)</f>
        <v>314.54357002664932</v>
      </c>
      <c r="T39" s="79">
        <f ca="1">IF($L39&lt;&gt;0,VLOOKUP($N39,'Allocation Factors-Union North'!$B$12:$Z$101,9,FALSE)*$L39,0)</f>
        <v>2402.7078271250202</v>
      </c>
      <c r="U39" s="79">
        <f ca="1">IF($L39&lt;&gt;0,VLOOKUP($N39,'Allocation Factors-Union North'!$B$12:$Z$101,10,FALSE)*$L39,0)</f>
        <v>0</v>
      </c>
      <c r="V39" s="38"/>
      <c r="W39" s="38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</row>
    <row r="40" spans="1:64" x14ac:dyDescent="0.2">
      <c r="B40" s="31" t="s">
        <v>163</v>
      </c>
      <c r="D40" s="79"/>
      <c r="E40" s="79"/>
      <c r="F40" s="79"/>
      <c r="G40" s="79"/>
      <c r="H40" s="79"/>
      <c r="I40" s="79"/>
      <c r="J40" s="123"/>
      <c r="K40" s="79"/>
      <c r="L40" s="79"/>
      <c r="P40" s="79">
        <f>IF($L40&lt;&gt;0,VLOOKUP($N40,'Allocation Factors-Union North'!$B$12:$Z$101,5,FALSE)*$L40,0)</f>
        <v>0</v>
      </c>
      <c r="Q40" s="79">
        <f>IF($L40&lt;&gt;0,VLOOKUP($N40,'Allocation Factors-Union North'!$B$12:$Z$101,6,FALSE)*$L40,0)</f>
        <v>0</v>
      </c>
      <c r="R40" s="79">
        <f>IF($L40&lt;&gt;0,VLOOKUP($N40,'Allocation Factors-Union North'!$B$12:$Z$101,7,FALSE)*$L40,0)</f>
        <v>0</v>
      </c>
      <c r="S40" s="79">
        <f>IF($L40&lt;&gt;0,VLOOKUP($N40,'Allocation Factors-Union North'!$B$12:$Z$101,8,FALSE)*$L40,0)</f>
        <v>0</v>
      </c>
      <c r="T40" s="79">
        <f>IF($L40&lt;&gt;0,VLOOKUP($N40,'Allocation Factors-Union North'!$B$12:$Z$101,9,FALSE)*$L40,0)</f>
        <v>0</v>
      </c>
      <c r="U40" s="79">
        <f>IF($L40&lt;&gt;0,VLOOKUP($N40,'Allocation Factors-Union North'!$B$12:$Z$101,10,FALSE)*$L40,0)</f>
        <v>0</v>
      </c>
    </row>
    <row r="41" spans="1:64" x14ac:dyDescent="0.2">
      <c r="A41" s="2">
        <f>A39+1</f>
        <v>24</v>
      </c>
      <c r="B41" s="82" t="s">
        <v>165</v>
      </c>
      <c r="D41" s="79"/>
      <c r="E41" s="79"/>
      <c r="F41" s="79">
        <f ca="1">'Total Allocation Current RZ'!Q41</f>
        <v>8645.6703243885077</v>
      </c>
      <c r="G41" s="79"/>
      <c r="H41" s="79"/>
      <c r="I41" s="79"/>
      <c r="J41" s="123"/>
      <c r="K41" s="79"/>
      <c r="L41" s="79">
        <f t="shared" ca="1" si="23"/>
        <v>8645.6703243885077</v>
      </c>
      <c r="N41" s="2" t="s">
        <v>161</v>
      </c>
      <c r="P41" s="79">
        <f ca="1">IF($L41&lt;&gt;0,VLOOKUP($N41,'Allocation Factors-Union North'!$B$12:$Z$101,5,FALSE)*$L41,0)</f>
        <v>0</v>
      </c>
      <c r="Q41" s="79">
        <f ca="1">IF($L41&lt;&gt;0,VLOOKUP($N41,'Allocation Factors-Union North'!$B$12:$Z$101,6,FALSE)*$L41,0)</f>
        <v>5543.3733161213358</v>
      </c>
      <c r="R41" s="79">
        <f ca="1">IF($L41&lt;&gt;0,VLOOKUP($N41,'Allocation Factors-Union North'!$B$12:$Z$101,7,FALSE)*$L41,0)</f>
        <v>1310.7067199345292</v>
      </c>
      <c r="S41" s="79">
        <f ca="1">IF($L41&lt;&gt;0,VLOOKUP($N41,'Allocation Factors-Union North'!$B$12:$Z$101,8,FALSE)*$L41,0)</f>
        <v>974.85319456500577</v>
      </c>
      <c r="T41" s="79">
        <f ca="1">IF($L41&lt;&gt;0,VLOOKUP($N41,'Allocation Factors-Union North'!$B$12:$Z$101,9,FALSE)*$L41,0)</f>
        <v>65.912255493508766</v>
      </c>
      <c r="U41" s="79">
        <f ca="1">IF($L41&lt;&gt;0,VLOOKUP($N41,'Allocation Factors-Union North'!$B$12:$Z$101,10,FALSE)*$L41,0)</f>
        <v>750.82483827412887</v>
      </c>
      <c r="V41" s="38"/>
      <c r="W41" s="38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79"/>
    </row>
    <row r="42" spans="1:64" x14ac:dyDescent="0.2">
      <c r="A42" s="2">
        <f t="shared" si="24"/>
        <v>25</v>
      </c>
      <c r="B42" s="82" t="s">
        <v>166</v>
      </c>
      <c r="D42" s="79"/>
      <c r="E42" s="79"/>
      <c r="F42" s="79">
        <f ca="1">'Total Allocation Current RZ'!Q42</f>
        <v>3851.5934536775621</v>
      </c>
      <c r="G42" s="79"/>
      <c r="H42" s="79"/>
      <c r="I42" s="79"/>
      <c r="J42" s="123"/>
      <c r="K42" s="79"/>
      <c r="L42" s="79">
        <f t="shared" ca="1" si="23"/>
        <v>3851.5934536775621</v>
      </c>
      <c r="N42" s="2" t="s">
        <v>162</v>
      </c>
      <c r="P42" s="79">
        <f ca="1">IF($L42&lt;&gt;0,VLOOKUP($N42,'Allocation Factors-Union North'!$B$12:$Z$101,5,FALSE)*$L42,0)</f>
        <v>0</v>
      </c>
      <c r="Q42" s="79">
        <f ca="1">IF($L42&lt;&gt;0,VLOOKUP($N42,'Allocation Factors-Union North'!$B$12:$Z$101,6,FALSE)*$L42,0)</f>
        <v>2120.0734295659363</v>
      </c>
      <c r="R42" s="79">
        <f ca="1">IF($L42&lt;&gt;0,VLOOKUP($N42,'Allocation Factors-Union North'!$B$12:$Z$101,7,FALSE)*$L42,0)</f>
        <v>698.31373291275645</v>
      </c>
      <c r="S42" s="79">
        <f ca="1">IF($L42&lt;&gt;0,VLOOKUP($N42,'Allocation Factors-Union North'!$B$12:$Z$101,8,FALSE)*$L42,0)</f>
        <v>691.62774075201389</v>
      </c>
      <c r="T42" s="79">
        <f ca="1">IF($L42&lt;&gt;0,VLOOKUP($N42,'Allocation Factors-Union North'!$B$12:$Z$101,9,FALSE)*$L42,0)</f>
        <v>26.649792532186531</v>
      </c>
      <c r="U42" s="79">
        <f ca="1">IF($L42&lt;&gt;0,VLOOKUP($N42,'Allocation Factors-Union North'!$B$12:$Z$101,10,FALSE)*$L42,0)</f>
        <v>314.92875791466878</v>
      </c>
      <c r="V42" s="38"/>
      <c r="W42" s="38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</row>
    <row r="43" spans="1:64" x14ac:dyDescent="0.2">
      <c r="A43" s="2">
        <f t="shared" si="24"/>
        <v>26</v>
      </c>
      <c r="B43" s="31" t="s">
        <v>101</v>
      </c>
      <c r="D43" s="79"/>
      <c r="E43" s="79"/>
      <c r="F43" s="79">
        <f ca="1">'Total Allocation Current RZ'!Q43</f>
        <v>50861.099722004037</v>
      </c>
      <c r="G43" s="79"/>
      <c r="H43" s="79"/>
      <c r="I43" s="79"/>
      <c r="J43" s="123"/>
      <c r="K43" s="79"/>
      <c r="L43" s="79">
        <f t="shared" ca="1" si="23"/>
        <v>50861.099722004037</v>
      </c>
      <c r="N43" s="2" t="s">
        <v>220</v>
      </c>
      <c r="P43" s="79">
        <f ca="1">IF($L43&lt;&gt;0,VLOOKUP($N43,'Allocation Factors-Union North'!$B$12:$Z$101,5,FALSE)*$L43,0)</f>
        <v>0</v>
      </c>
      <c r="Q43" s="79">
        <f ca="1">IF($L43&lt;&gt;0,VLOOKUP($N43,'Allocation Factors-Union North'!$B$12:$Z$101,6,FALSE)*$L43,0)</f>
        <v>50549.078077500671</v>
      </c>
      <c r="R43" s="79">
        <f ca="1">IF($L43&lt;&gt;0,VLOOKUP($N43,'Allocation Factors-Union North'!$B$12:$Z$101,7,FALSE)*$L43,0)</f>
        <v>301.36163577047694</v>
      </c>
      <c r="S43" s="79">
        <f ca="1">IF($L43&lt;&gt;0,VLOOKUP($N43,'Allocation Factors-Union North'!$B$12:$Z$101,8,FALSE)*$L43,0)</f>
        <v>8.4733402748662137</v>
      </c>
      <c r="T43" s="79">
        <f ca="1">IF($L43&lt;&gt;0,VLOOKUP($N43,'Allocation Factors-Union North'!$B$12:$Z$101,9,FALSE)*$L43,0)</f>
        <v>0.54666711450749772</v>
      </c>
      <c r="U43" s="79">
        <f ca="1">IF($L43&lt;&gt;0,VLOOKUP($N43,'Allocation Factors-Union North'!$B$12:$Z$101,10,FALSE)*$L43,0)</f>
        <v>1.6400013435224929</v>
      </c>
      <c r="V43" s="38"/>
      <c r="W43" s="38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</row>
    <row r="44" spans="1:64" x14ac:dyDescent="0.2">
      <c r="A44" s="2">
        <f t="shared" si="24"/>
        <v>27</v>
      </c>
      <c r="B44" s="31" t="s">
        <v>102</v>
      </c>
      <c r="D44" s="79"/>
      <c r="E44" s="79"/>
      <c r="F44" s="79">
        <f ca="1">'Total Allocation Current RZ'!Q44</f>
        <v>70561.096384294826</v>
      </c>
      <c r="G44" s="79"/>
      <c r="H44" s="79"/>
      <c r="I44" s="79"/>
      <c r="J44" s="123"/>
      <c r="K44" s="79"/>
      <c r="L44" s="79">
        <f t="shared" ca="1" si="23"/>
        <v>70561.096384294826</v>
      </c>
      <c r="N44" s="2" t="s">
        <v>220</v>
      </c>
      <c r="P44" s="79">
        <f ca="1">IF($L44&lt;&gt;0,VLOOKUP($N44,'Allocation Factors-Union North'!$B$12:$Z$101,5,FALSE)*$L44,0)</f>
        <v>0</v>
      </c>
      <c r="Q44" s="79">
        <f ca="1">IF($L44&lt;&gt;0,VLOOKUP($N44,'Allocation Factors-Union North'!$B$12:$Z$101,6,FALSE)*$L44,0)</f>
        <v>70128.219599244432</v>
      </c>
      <c r="R44" s="79">
        <f ca="1">IF($L44&lt;&gt;0,VLOOKUP($N44,'Allocation Factors-Union North'!$B$12:$Z$101,7,FALSE)*$L44,0)</f>
        <v>418.0878420709758</v>
      </c>
      <c r="S44" s="79">
        <f ca="1">IF($L44&lt;&gt;0,VLOOKUP($N44,'Allocation Factors-Union North'!$B$12:$Z$101,8,FALSE)*$L44,0)</f>
        <v>11.75531365030823</v>
      </c>
      <c r="T44" s="79">
        <f ca="1">IF($L44&lt;&gt;0,VLOOKUP($N44,'Allocation Factors-Union North'!$B$12:$Z$101,9,FALSE)*$L44,0)</f>
        <v>0.75840733227795021</v>
      </c>
      <c r="U44" s="79">
        <f ca="1">IF($L44&lt;&gt;0,VLOOKUP($N44,'Allocation Factors-Union North'!$B$12:$Z$101,10,FALSE)*$L44,0)</f>
        <v>2.2752219968338507</v>
      </c>
      <c r="V44" s="38"/>
      <c r="W44" s="38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</row>
    <row r="45" spans="1:64" x14ac:dyDescent="0.2">
      <c r="A45" s="2">
        <f t="shared" si="24"/>
        <v>28</v>
      </c>
      <c r="B45" s="31" t="s">
        <v>103</v>
      </c>
      <c r="D45" s="79"/>
      <c r="E45" s="79"/>
      <c r="F45" s="79">
        <f ca="1">'Total Allocation Current RZ'!Q45</f>
        <v>30043.0405771066</v>
      </c>
      <c r="G45" s="79"/>
      <c r="H45" s="79"/>
      <c r="I45" s="79"/>
      <c r="J45" s="123"/>
      <c r="K45" s="79"/>
      <c r="L45" s="79">
        <f t="shared" ca="1" si="23"/>
        <v>30043.0405771066</v>
      </c>
      <c r="N45" s="2" t="s">
        <v>190</v>
      </c>
      <c r="P45" s="79">
        <f ca="1">IF($L45&lt;&gt;0,VLOOKUP($N45,'Allocation Factors-Union North'!$B$12:$Z$101,5,FALSE)*$L45,0)</f>
        <v>0</v>
      </c>
      <c r="Q45" s="79">
        <f ca="1">IF($L45&lt;&gt;0,VLOOKUP($N45,'Allocation Factors-Union North'!$B$12:$Z$101,6,FALSE)*$L45,0)</f>
        <v>27767.63814061306</v>
      </c>
      <c r="R45" s="79">
        <f ca="1">IF($L45&lt;&gt;0,VLOOKUP($N45,'Allocation Factors-Union North'!$B$12:$Z$101,7,FALSE)*$L45,0)</f>
        <v>1738.7233452398921</v>
      </c>
      <c r="S45" s="79">
        <f ca="1">IF($L45&lt;&gt;0,VLOOKUP($N45,'Allocation Factors-Union North'!$B$12:$Z$101,8,FALSE)*$L45,0)</f>
        <v>319.91788802240245</v>
      </c>
      <c r="T45" s="79">
        <f ca="1">IF($L45&lt;&gt;0,VLOOKUP($N45,'Allocation Factors-Union North'!$B$12:$Z$101,9,FALSE)*$L45,0)</f>
        <v>12.596493594735341</v>
      </c>
      <c r="U45" s="79">
        <f ca="1">IF($L45&lt;&gt;0,VLOOKUP($N45,'Allocation Factors-Union North'!$B$12:$Z$101,10,FALSE)*$L45,0)</f>
        <v>204.16470963651264</v>
      </c>
      <c r="V45" s="38"/>
      <c r="W45" s="38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</row>
    <row r="46" spans="1:64" x14ac:dyDescent="0.2">
      <c r="A46" s="2">
        <f t="shared" si="24"/>
        <v>29</v>
      </c>
      <c r="B46" s="31" t="s">
        <v>186</v>
      </c>
      <c r="D46" s="79"/>
      <c r="E46" s="79"/>
      <c r="F46" s="79">
        <f ca="1">'Total Allocation Current RZ'!Q46</f>
        <v>5683.8498102281874</v>
      </c>
      <c r="G46" s="79"/>
      <c r="H46" s="79"/>
      <c r="I46" s="79"/>
      <c r="J46" s="123"/>
      <c r="K46" s="79"/>
      <c r="L46" s="79">
        <f t="shared" ca="1" si="23"/>
        <v>5683.8498102281874</v>
      </c>
      <c r="N46" s="2" t="s">
        <v>191</v>
      </c>
      <c r="P46" s="79">
        <f ca="1">IF($L46&lt;&gt;0,VLOOKUP($N46,'Allocation Factors-Union North'!$B$12:$Z$101,5,FALSE)*$L46,0)</f>
        <v>0</v>
      </c>
      <c r="Q46" s="79">
        <f ca="1">IF($L46&lt;&gt;0,VLOOKUP($N46,'Allocation Factors-Union North'!$B$12:$Z$101,6,FALSE)*$L46,0)</f>
        <v>1871.2448447462948</v>
      </c>
      <c r="R46" s="79">
        <f ca="1">IF($L46&lt;&gt;0,VLOOKUP($N46,'Allocation Factors-Union North'!$B$12:$Z$101,7,FALSE)*$L46,0)</f>
        <v>2665.7928960646054</v>
      </c>
      <c r="S46" s="79">
        <f ca="1">IF($L46&lt;&gt;0,VLOOKUP($N46,'Allocation Factors-Union North'!$B$12:$Z$101,8,FALSE)*$L46,0)</f>
        <v>829.92189522890521</v>
      </c>
      <c r="T46" s="79">
        <f ca="1">IF($L46&lt;&gt;0,VLOOKUP($N46,'Allocation Factors-Union North'!$B$12:$Z$101,9,FALSE)*$L46,0)</f>
        <v>10.922117652601735</v>
      </c>
      <c r="U46" s="79">
        <f ca="1">IF($L46&lt;&gt;0,VLOOKUP($N46,'Allocation Factors-Union North'!$B$12:$Z$101,10,FALSE)*$L46,0)</f>
        <v>305.96805653577985</v>
      </c>
      <c r="V46" s="38"/>
      <c r="W46" s="38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79"/>
      <c r="AK46" s="79"/>
      <c r="AL46" s="79"/>
      <c r="AM46" s="79"/>
      <c r="AN46" s="79"/>
      <c r="AO46" s="79"/>
      <c r="AP46" s="79"/>
      <c r="AQ46" s="79"/>
      <c r="AR46" s="79"/>
      <c r="AS46" s="79"/>
    </row>
    <row r="47" spans="1:64" x14ac:dyDescent="0.2">
      <c r="B47" s="31" t="s">
        <v>164</v>
      </c>
      <c r="D47" s="79"/>
      <c r="E47" s="79"/>
      <c r="F47" s="79"/>
      <c r="G47" s="79"/>
      <c r="H47" s="79"/>
      <c r="I47" s="79"/>
      <c r="J47" s="123"/>
      <c r="K47" s="79"/>
      <c r="L47" s="79"/>
      <c r="P47" s="79">
        <f>IF($L47&lt;&gt;0,VLOOKUP($N47,'Allocation Factors-Union North'!$B$12:$Z$101,5,FALSE)*$L47,0)</f>
        <v>0</v>
      </c>
      <c r="Q47" s="79">
        <f>IF($L47&lt;&gt;0,VLOOKUP($N47,'Allocation Factors-Union North'!$B$12:$Z$101,6,FALSE)*$L47,0)</f>
        <v>0</v>
      </c>
      <c r="R47" s="79">
        <f>IF($L47&lt;&gt;0,VLOOKUP($N47,'Allocation Factors-Union North'!$B$12:$Z$101,7,FALSE)*$L47,0)</f>
        <v>0</v>
      </c>
      <c r="S47" s="79">
        <f>IF($L47&lt;&gt;0,VLOOKUP($N47,'Allocation Factors-Union North'!$B$12:$Z$101,8,FALSE)*$L47,0)</f>
        <v>0</v>
      </c>
      <c r="T47" s="79">
        <f>IF($L47&lt;&gt;0,VLOOKUP($N47,'Allocation Factors-Union North'!$B$12:$Z$101,9,FALSE)*$L47,0)</f>
        <v>0</v>
      </c>
      <c r="U47" s="79">
        <f>IF($L47&lt;&gt;0,VLOOKUP($N47,'Allocation Factors-Union North'!$B$12:$Z$101,10,FALSE)*$L47,0)</f>
        <v>0</v>
      </c>
      <c r="V47" s="38"/>
      <c r="W47" s="38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79"/>
      <c r="AS47" s="79"/>
    </row>
    <row r="48" spans="1:64" x14ac:dyDescent="0.2">
      <c r="A48" s="2">
        <f>A46+1</f>
        <v>30</v>
      </c>
      <c r="B48" s="82" t="s">
        <v>176</v>
      </c>
      <c r="D48" s="79"/>
      <c r="F48" s="79">
        <f ca="1">'Total Allocation Current RZ'!Q48</f>
        <v>1192.0455207869995</v>
      </c>
      <c r="L48" s="79">
        <f t="shared" ca="1" si="23"/>
        <v>1192.0455207869995</v>
      </c>
      <c r="N48" s="2" t="s">
        <v>223</v>
      </c>
      <c r="P48" s="79">
        <f ca="1">IF($L48&lt;&gt;0,VLOOKUP($N48,'Allocation Factors-Union North'!$B$12:$Z$101,5,FALSE)*$L48,0)</f>
        <v>0</v>
      </c>
      <c r="Q48" s="79">
        <f ca="1">IF($L48&lt;&gt;0,VLOOKUP($N48,'Allocation Factors-Union North'!$B$12:$Z$101,6,FALSE)*$L48,0)</f>
        <v>1084.7339146413624</v>
      </c>
      <c r="R48" s="79">
        <f ca="1">IF($L48&lt;&gt;0,VLOOKUP($N48,'Allocation Factors-Union North'!$B$12:$Z$101,7,FALSE)*$L48,0)</f>
        <v>6.4669267833301092</v>
      </c>
      <c r="S48" s="79">
        <f ca="1">IF($L48&lt;&gt;0,VLOOKUP($N48,'Allocation Factors-Union North'!$B$12:$Z$101,8,FALSE)*$L48,0)</f>
        <v>80.158591287987662</v>
      </c>
      <c r="T48" s="79">
        <f ca="1">IF($L48&lt;&gt;0,VLOOKUP($N48,'Allocation Factors-Union North'!$B$12:$Z$101,9,FALSE)*$L48,0)</f>
        <v>5.1715220185798501</v>
      </c>
      <c r="U48" s="79">
        <f ca="1">IF($L48&lt;&gt;0,VLOOKUP($N48,'Allocation Factors-Union North'!$B$12:$Z$101,10,FALSE)*$L48,0)</f>
        <v>15.514566055739548</v>
      </c>
      <c r="V48" s="38"/>
      <c r="W48" s="38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79"/>
      <c r="AQ48" s="79"/>
      <c r="AR48" s="79"/>
      <c r="AS48" s="79"/>
    </row>
    <row r="49" spans="1:45" x14ac:dyDescent="0.2">
      <c r="A49" s="2">
        <f t="shared" si="24"/>
        <v>31</v>
      </c>
      <c r="B49" s="82" t="s">
        <v>72</v>
      </c>
      <c r="D49" s="79"/>
      <c r="F49" s="79">
        <f ca="1">'Total Allocation Current RZ'!Q49</f>
        <v>12448.058509013845</v>
      </c>
      <c r="H49" s="79">
        <v>1054.1803104527503</v>
      </c>
      <c r="J49" s="2" t="s">
        <v>341</v>
      </c>
      <c r="L49" s="79">
        <f t="shared" ca="1" si="23"/>
        <v>11393.878198561095</v>
      </c>
      <c r="N49" s="2" t="s">
        <v>220</v>
      </c>
      <c r="P49" s="79">
        <f ca="1">IF($L49&lt;&gt;0,VLOOKUP($N49,'Allocation Factors-Union North'!$B$12:$Z$101,5,FALSE)*$L49,0)+IF($H49&lt;&gt;0,VLOOKUP($J49,'Allocation Factors-Union North'!$B$12:$Z$101,5,FALSE)*$H49,0)</f>
        <v>0</v>
      </c>
      <c r="Q49" s="79">
        <f ca="1">IF($L49&lt;&gt;0,VLOOKUP($N49,'Allocation Factors-Union North'!$B$12:$Z$101,6,FALSE)*$L49,0)+IF($H49&lt;&gt;0,VLOOKUP($J49,'Allocation Factors-Union North'!$B$12:$Z$101,6,FALSE)*$H49,0)</f>
        <v>12168.584910245138</v>
      </c>
      <c r="R49" s="79">
        <f ca="1">IF($L49&lt;&gt;0,VLOOKUP($N49,'Allocation Factors-Union North'!$B$12:$Z$101,7,FALSE)*$L49,0)+IF($H49&lt;&gt;0,VLOOKUP($J49,'Allocation Factors-Union North'!$B$12:$Z$101,7,FALSE)*$H49,0)</f>
        <v>72.553323348027718</v>
      </c>
      <c r="S49" s="79">
        <f ca="1">IF($L49&lt;&gt;0,VLOOKUP($N49,'Allocation Factors-Union North'!$B$12:$Z$101,8,FALSE)*$L49,0)+IF($H49&lt;&gt;0,VLOOKUP($J49,'Allocation Factors-Union North'!$B$12:$Z$101,8,FALSE)*$H49,0)</f>
        <v>164.47509071900294</v>
      </c>
      <c r="T49" s="79">
        <f ca="1">IF($L49&lt;&gt;0,VLOOKUP($N49,'Allocation Factors-Union North'!$B$12:$Z$101,9,FALSE)*$L49,0)+IF($H49&lt;&gt;0,VLOOKUP($J49,'Allocation Factors-Union North'!$B$12:$Z$101,9,FALSE)*$H49,0)</f>
        <v>10.611296175419541</v>
      </c>
      <c r="U49" s="79">
        <f ca="1">IF($L49&lt;&gt;0,VLOOKUP($N49,'Allocation Factors-Union North'!$B$12:$Z$101,10,FALSE)*$L49,0)+IF($H49&lt;&gt;0,VLOOKUP($J49,'Allocation Factors-Union North'!$B$12:$Z$101,10,FALSE)*$H49,0)</f>
        <v>31.833888526258626</v>
      </c>
      <c r="V49" s="38"/>
      <c r="W49" s="38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</row>
    <row r="50" spans="1:45" x14ac:dyDescent="0.2">
      <c r="A50" s="2">
        <f t="shared" si="24"/>
        <v>32</v>
      </c>
      <c r="B50" s="82" t="s">
        <v>174</v>
      </c>
      <c r="D50" s="79"/>
      <c r="F50" s="79">
        <f ca="1">'Total Allocation Current RZ'!Q50</f>
        <v>1562.3280566151036</v>
      </c>
      <c r="L50" s="79">
        <f t="shared" ca="1" si="23"/>
        <v>1562.3280566151036</v>
      </c>
      <c r="N50" s="2" t="s">
        <v>272</v>
      </c>
      <c r="P50" s="79">
        <f ca="1">IF($L50&lt;&gt;0,VLOOKUP($N50,'Allocation Factors-Union North'!$B$12:$Z$101,5,FALSE)*$L50,0)</f>
        <v>0</v>
      </c>
      <c r="Q50" s="79">
        <f ca="1">IF($L50&lt;&gt;0,VLOOKUP($N50,'Allocation Factors-Union North'!$B$12:$Z$101,6,FALSE)*$L50,0)</f>
        <v>0</v>
      </c>
      <c r="R50" s="79">
        <f ca="1">IF($L50&lt;&gt;0,VLOOKUP($N50,'Allocation Factors-Union North'!$B$12:$Z$101,7,FALSE)*$L50,0)</f>
        <v>0</v>
      </c>
      <c r="S50" s="79">
        <f ca="1">IF($L50&lt;&gt;0,VLOOKUP($N50,'Allocation Factors-Union North'!$B$12:$Z$101,8,FALSE)*$L50,0)</f>
        <v>1241.8505065402105</v>
      </c>
      <c r="T50" s="79">
        <f ca="1">IF($L50&lt;&gt;0,VLOOKUP($N50,'Allocation Factors-Union North'!$B$12:$Z$101,9,FALSE)*$L50,0)</f>
        <v>80.119387518723258</v>
      </c>
      <c r="U50" s="79">
        <f ca="1">IF($L50&lt;&gt;0,VLOOKUP($N50,'Allocation Factors-Union North'!$B$12:$Z$101,10,FALSE)*$L50,0)</f>
        <v>240.35816255616979</v>
      </c>
      <c r="V50" s="38"/>
      <c r="W50" s="38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</row>
    <row r="51" spans="1:45" x14ac:dyDescent="0.2">
      <c r="A51" s="2">
        <f t="shared" si="24"/>
        <v>33</v>
      </c>
      <c r="B51" s="31" t="s">
        <v>249</v>
      </c>
      <c r="D51" s="79"/>
      <c r="F51" s="79">
        <f ca="1">'Total Allocation Current RZ'!Q51</f>
        <v>2425.8228741204316</v>
      </c>
      <c r="H51" s="79"/>
      <c r="L51" s="79">
        <f t="shared" ca="1" si="23"/>
        <v>2425.8228741204316</v>
      </c>
      <c r="N51" s="2" t="s">
        <v>336</v>
      </c>
      <c r="P51" s="79">
        <f ca="1">IF($L51&lt;&gt;0,VLOOKUP($N51,'Allocation Factors-Union North'!$B$12:$Z$101,5,FALSE)*$L51,0)</f>
        <v>0</v>
      </c>
      <c r="Q51" s="79">
        <f ca="1">IF($L51&lt;&gt;0,VLOOKUP($N51,'Allocation Factors-Union North'!$B$12:$Z$101,6,FALSE)*$L51,0)</f>
        <v>696.34347255981436</v>
      </c>
      <c r="R51" s="79">
        <f ca="1">IF($L51&lt;&gt;0,VLOOKUP($N51,'Allocation Factors-Union North'!$B$12:$Z$101,7,FALSE)*$L51,0)</f>
        <v>230.63951195503253</v>
      </c>
      <c r="S51" s="79">
        <f ca="1">IF($L51&lt;&gt;0,VLOOKUP($N51,'Allocation Factors-Union North'!$B$12:$Z$101,8,FALSE)*$L51,0)</f>
        <v>653.08229539647721</v>
      </c>
      <c r="T51" s="79">
        <f ca="1">IF($L51&lt;&gt;0,VLOOKUP($N51,'Allocation Factors-Union North'!$B$12:$Z$101,9,FALSE)*$L51,0)</f>
        <v>89.151676885526328</v>
      </c>
      <c r="U51" s="79">
        <f ca="1">IF($L51&lt;&gt;0,VLOOKUP($N51,'Allocation Factors-Union North'!$B$12:$Z$101,10,FALSE)*$L51,0)</f>
        <v>756.60591732358102</v>
      </c>
      <c r="V51" s="38"/>
      <c r="W51" s="38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</row>
    <row r="52" spans="1:45" x14ac:dyDescent="0.2">
      <c r="A52" s="2">
        <f t="shared" si="24"/>
        <v>34</v>
      </c>
      <c r="B52" s="31" t="s">
        <v>382</v>
      </c>
      <c r="D52" s="41"/>
      <c r="F52" s="41">
        <f ca="1">SUM(F37:F51)</f>
        <v>275004.21620762063</v>
      </c>
      <c r="H52" s="41">
        <f>SUM(H37:H51)</f>
        <v>1054.1803104527503</v>
      </c>
      <c r="L52" s="41">
        <f ca="1">SUM(L37:L51)</f>
        <v>273950.03589716792</v>
      </c>
      <c r="P52" s="41">
        <f t="shared" ref="P52:U52" ca="1" si="25">SUM(P37:P51)</f>
        <v>0</v>
      </c>
      <c r="Q52" s="41">
        <f t="shared" ca="1" si="25"/>
        <v>222772.69569712103</v>
      </c>
      <c r="R52" s="41">
        <f t="shared" ca="1" si="25"/>
        <v>22593.328947281774</v>
      </c>
      <c r="S52" s="41">
        <f t="shared" ca="1" si="25"/>
        <v>18522.306170071242</v>
      </c>
      <c r="T52" s="41">
        <f t="shared" ca="1" si="25"/>
        <v>2705.1474434430866</v>
      </c>
      <c r="U52" s="41">
        <f t="shared" ca="1" si="25"/>
        <v>8410.737949703509</v>
      </c>
      <c r="V52" s="50"/>
      <c r="W52" s="50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</row>
    <row r="53" spans="1:45" x14ac:dyDescent="0.2">
      <c r="D53" s="50"/>
      <c r="F53" s="50"/>
    </row>
    <row r="54" spans="1:45" ht="13.5" thickBot="1" x14ac:dyDescent="0.25">
      <c r="A54" s="2">
        <f>A52+1</f>
        <v>35</v>
      </c>
      <c r="B54" s="31" t="s">
        <v>149</v>
      </c>
      <c r="D54" s="83"/>
      <c r="F54" s="83">
        <f ca="1">F17+F24+F34+F52</f>
        <v>538889.56947875931</v>
      </c>
      <c r="H54" s="83">
        <f>H17+H24+H34+H52</f>
        <v>1292.5789492037286</v>
      </c>
      <c r="L54" s="83">
        <f ca="1">L17+L24+L34+L52</f>
        <v>537596.99052955571</v>
      </c>
      <c r="P54" s="83">
        <f t="shared" ref="P54:U54" ca="1" si="26">P17+P24+P34+P52</f>
        <v>2642.2340886929678</v>
      </c>
      <c r="Q54" s="83">
        <f ca="1">Q17+Q24+Q34+Q52</f>
        <v>430950.2676513521</v>
      </c>
      <c r="R54" s="83">
        <f t="shared" ca="1" si="26"/>
        <v>67829.227615770404</v>
      </c>
      <c r="S54" s="83">
        <f t="shared" ca="1" si="26"/>
        <v>25544.839664619056</v>
      </c>
      <c r="T54" s="83">
        <f t="shared" ca="1" si="26"/>
        <v>3498.8320815584293</v>
      </c>
      <c r="U54" s="83">
        <f t="shared" ca="1" si="26"/>
        <v>8424.1683767664508</v>
      </c>
      <c r="V54" s="50"/>
      <c r="W54" s="50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</row>
    <row r="55" spans="1:45" ht="13.5" thickTop="1" x14ac:dyDescent="0.2">
      <c r="D55" s="50"/>
      <c r="F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</row>
    <row r="56" spans="1:45" x14ac:dyDescent="0.2">
      <c r="P56" s="79"/>
      <c r="Q56" s="79"/>
      <c r="R56" s="79"/>
      <c r="S56" s="79"/>
      <c r="T56" s="79"/>
      <c r="U56" s="79"/>
      <c r="V56" s="38"/>
      <c r="W56" s="38"/>
      <c r="X56" s="93"/>
      <c r="Y56" s="93"/>
      <c r="Z56" s="93"/>
      <c r="AA56" s="93"/>
      <c r="AB56" s="93"/>
      <c r="AC56" s="93"/>
      <c r="AD56" s="93"/>
      <c r="AE56" s="93"/>
      <c r="AF56" s="93"/>
      <c r="AG56" s="93"/>
      <c r="AH56" s="93"/>
      <c r="AI56" s="93"/>
      <c r="AJ56" s="93"/>
      <c r="AK56" s="93"/>
      <c r="AL56" s="93"/>
      <c r="AM56" s="93"/>
      <c r="AN56" s="93"/>
      <c r="AO56" s="93"/>
      <c r="AP56" s="93"/>
      <c r="AQ56" s="93"/>
      <c r="AR56" s="93"/>
      <c r="AS56" s="93"/>
    </row>
    <row r="57" spans="1:45" x14ac:dyDescent="0.2">
      <c r="F57" s="96"/>
      <c r="G57" s="96"/>
      <c r="H57" s="96"/>
      <c r="I57" s="96"/>
      <c r="J57" s="156"/>
      <c r="K57" s="96"/>
      <c r="L57" s="96"/>
      <c r="M57" s="96"/>
      <c r="N57" s="123"/>
      <c r="O57" s="79"/>
      <c r="P57" s="79"/>
      <c r="Q57" s="79"/>
      <c r="R57" s="79"/>
      <c r="S57" s="79"/>
      <c r="T57" s="79"/>
      <c r="U57" s="79"/>
      <c r="V57" s="38"/>
      <c r="W57" s="38"/>
      <c r="X57" s="93"/>
      <c r="Y57" s="93"/>
      <c r="Z57" s="93"/>
      <c r="AA57" s="93"/>
      <c r="AB57" s="93"/>
      <c r="AC57" s="93"/>
      <c r="AD57" s="93"/>
      <c r="AE57" s="93"/>
      <c r="AF57" s="93"/>
      <c r="AG57" s="93"/>
      <c r="AH57" s="93"/>
      <c r="AI57" s="93"/>
      <c r="AJ57" s="93"/>
      <c r="AK57" s="93"/>
      <c r="AL57" s="93"/>
      <c r="AM57" s="93"/>
      <c r="AN57" s="93"/>
      <c r="AO57" s="93"/>
      <c r="AP57" s="93"/>
      <c r="AQ57" s="93"/>
      <c r="AR57" s="93"/>
      <c r="AS57" s="93"/>
    </row>
    <row r="59" spans="1:45" x14ac:dyDescent="0.2">
      <c r="U59" s="50"/>
    </row>
  </sheetData>
  <mergeCells count="4">
    <mergeCell ref="BG5:BL5"/>
    <mergeCell ref="B2:N2"/>
    <mergeCell ref="B3:N3"/>
    <mergeCell ref="AW5:BB5"/>
  </mergeCells>
  <pageMargins left="0.7" right="0.7" top="0.75" bottom="0.75" header="0.3" footer="0.3"/>
  <pageSetup orientation="portrait" r:id="rId1"/>
  <ignoredErrors>
    <ignoredError sqref="P49:U49" formula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EBC9C-5734-4EEA-85BF-E7155B0C5A0C}">
  <sheetPr>
    <tabColor theme="0" tint="-0.249977111117893"/>
  </sheetPr>
  <dimension ref="A2:BN58"/>
  <sheetViews>
    <sheetView zoomScale="80" zoomScaleNormal="80" workbookViewId="0">
      <selection activeCell="J25" sqref="J25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hidden="1" customWidth="1"/>
    <col min="5" max="5" width="1.7109375" style="31" hidden="1" customWidth="1"/>
    <col min="6" max="6" width="20.140625" style="31" customWidth="1"/>
    <col min="7" max="7" width="1.7109375" style="31" customWidth="1"/>
    <col min="8" max="8" width="17.140625" style="31" customWidth="1"/>
    <col min="9" max="9" width="1.7109375" style="31" customWidth="1"/>
    <col min="10" max="10" width="19.7109375" style="2" customWidth="1"/>
    <col min="11" max="11" width="1.7109375" style="31" customWidth="1"/>
    <col min="12" max="12" width="17.140625" style="31" customWidth="1"/>
    <col min="13" max="13" width="1.7109375" style="31" customWidth="1"/>
    <col min="14" max="14" width="20" style="2" customWidth="1"/>
    <col min="15" max="15" width="1.7109375" style="31" customWidth="1"/>
    <col min="16" max="16" width="10.7109375" style="31" customWidth="1"/>
    <col min="17" max="20" width="10.5703125" style="31" customWidth="1"/>
    <col min="21" max="21" width="9.140625" style="31"/>
    <col min="22" max="23" width="10.7109375" style="31" customWidth="1"/>
    <col min="24" max="36" width="10.7109375" style="31" hidden="1" customWidth="1"/>
    <col min="37" max="39" width="11.28515625" style="31" hidden="1" customWidth="1"/>
    <col min="40" max="41" width="10.5703125" style="31" hidden="1" customWidth="1"/>
    <col min="42" max="42" width="12.140625" style="31" hidden="1" customWidth="1"/>
    <col min="43" max="45" width="10.5703125" style="31" hidden="1" customWidth="1"/>
    <col min="46" max="46" width="13.85546875" style="31" customWidth="1"/>
    <col min="47" max="47" width="12.5703125" style="31" customWidth="1"/>
    <col min="48" max="48" width="1.42578125" style="31" customWidth="1"/>
    <col min="49" max="54" width="9.140625" style="31"/>
    <col min="55" max="55" width="4.140625" style="31" customWidth="1"/>
    <col min="56" max="56" width="13" style="31" customWidth="1"/>
    <col min="57" max="57" width="11.85546875" style="31" customWidth="1"/>
    <col min="58" max="58" width="2.42578125" style="31" customWidth="1"/>
    <col min="59" max="16384" width="9.140625" style="31"/>
  </cols>
  <sheetData>
    <row r="2" spans="1:66" x14ac:dyDescent="0.2">
      <c r="B2" s="161" t="s">
        <v>511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</row>
    <row r="3" spans="1:66" x14ac:dyDescent="0.2">
      <c r="B3" s="161" t="s">
        <v>517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</row>
    <row r="5" spans="1:66" x14ac:dyDescent="0.2">
      <c r="F5" s="2" t="s">
        <v>150</v>
      </c>
      <c r="AW5" s="164" t="s">
        <v>417</v>
      </c>
      <c r="AX5" s="165"/>
      <c r="AY5" s="165"/>
      <c r="AZ5" s="165"/>
      <c r="BA5" s="165"/>
      <c r="BB5" s="166"/>
      <c r="BC5" s="2"/>
      <c r="BD5" s="2"/>
      <c r="BE5" s="2"/>
      <c r="BF5" s="2"/>
      <c r="BG5" s="164" t="s">
        <v>418</v>
      </c>
      <c r="BH5" s="165"/>
      <c r="BI5" s="165"/>
      <c r="BJ5" s="165"/>
      <c r="BK5" s="165"/>
      <c r="BL5" s="166"/>
    </row>
    <row r="6" spans="1:66" x14ac:dyDescent="0.2">
      <c r="A6" s="2" t="s">
        <v>2</v>
      </c>
      <c r="D6" s="2" t="s">
        <v>150</v>
      </c>
      <c r="F6" s="2" t="s">
        <v>5</v>
      </c>
      <c r="H6" s="2" t="s">
        <v>167</v>
      </c>
      <c r="J6" s="2" t="s">
        <v>168</v>
      </c>
      <c r="K6" s="2"/>
      <c r="L6" s="2" t="s">
        <v>169</v>
      </c>
      <c r="N6" s="2" t="s">
        <v>104</v>
      </c>
      <c r="P6" s="2" t="s">
        <v>485</v>
      </c>
      <c r="Q6" s="2" t="s">
        <v>80</v>
      </c>
      <c r="R6" s="2" t="s">
        <v>80</v>
      </c>
      <c r="S6" s="2" t="s">
        <v>80</v>
      </c>
      <c r="T6" s="2" t="s">
        <v>80</v>
      </c>
      <c r="U6" s="2" t="s">
        <v>80</v>
      </c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 t="s">
        <v>486</v>
      </c>
      <c r="AU6" s="138" t="s">
        <v>169</v>
      </c>
      <c r="AV6" s="2"/>
      <c r="AW6" s="139" t="s">
        <v>485</v>
      </c>
      <c r="AX6" s="2" t="s">
        <v>80</v>
      </c>
      <c r="AY6" s="2" t="s">
        <v>80</v>
      </c>
      <c r="AZ6" s="2" t="s">
        <v>80</v>
      </c>
      <c r="BA6" s="2" t="s">
        <v>80</v>
      </c>
      <c r="BB6" s="140" t="s">
        <v>80</v>
      </c>
      <c r="BC6" s="2"/>
      <c r="BD6" s="2" t="s">
        <v>486</v>
      </c>
      <c r="BE6" s="138" t="s">
        <v>169</v>
      </c>
      <c r="BF6" s="2"/>
      <c r="BG6" s="139" t="s">
        <v>485</v>
      </c>
      <c r="BH6" s="2" t="s">
        <v>80</v>
      </c>
      <c r="BI6" s="2" t="s">
        <v>80</v>
      </c>
      <c r="BJ6" s="2" t="s">
        <v>80</v>
      </c>
      <c r="BK6" s="2" t="s">
        <v>80</v>
      </c>
      <c r="BL6" s="140" t="s">
        <v>80</v>
      </c>
    </row>
    <row r="7" spans="1:66" x14ac:dyDescent="0.2">
      <c r="A7" s="33" t="s">
        <v>4</v>
      </c>
      <c r="B7" s="80" t="s">
        <v>374</v>
      </c>
      <c r="D7" s="33" t="s">
        <v>151</v>
      </c>
      <c r="F7" s="33" t="s">
        <v>152</v>
      </c>
      <c r="H7" s="33" t="s">
        <v>131</v>
      </c>
      <c r="J7" s="33" t="s">
        <v>6</v>
      </c>
      <c r="K7" s="2"/>
      <c r="L7" s="33" t="s">
        <v>170</v>
      </c>
      <c r="N7" s="33" t="s">
        <v>6</v>
      </c>
      <c r="P7" s="33" t="s">
        <v>8</v>
      </c>
      <c r="Q7" s="125" t="s">
        <v>487</v>
      </c>
      <c r="R7" s="33">
        <v>10</v>
      </c>
      <c r="S7" s="33">
        <v>20</v>
      </c>
      <c r="T7" s="33">
        <v>25</v>
      </c>
      <c r="U7" s="33">
        <v>100</v>
      </c>
      <c r="V7" s="2"/>
      <c r="W7" s="2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 t="s">
        <v>131</v>
      </c>
      <c r="AU7" s="141" t="s">
        <v>170</v>
      </c>
      <c r="AV7" s="2"/>
      <c r="AW7" s="142" t="s">
        <v>8</v>
      </c>
      <c r="AX7" s="125" t="s">
        <v>487</v>
      </c>
      <c r="AY7" s="33">
        <v>10</v>
      </c>
      <c r="AZ7" s="33">
        <v>20</v>
      </c>
      <c r="BA7" s="33">
        <v>25</v>
      </c>
      <c r="BB7" s="143">
        <v>100</v>
      </c>
      <c r="BC7" s="2"/>
      <c r="BD7" s="33" t="s">
        <v>131</v>
      </c>
      <c r="BE7" s="141" t="s">
        <v>170</v>
      </c>
      <c r="BF7" s="2"/>
      <c r="BG7" s="142" t="s">
        <v>8</v>
      </c>
      <c r="BH7" s="125" t="s">
        <v>487</v>
      </c>
      <c r="BI7" s="33">
        <v>10</v>
      </c>
      <c r="BJ7" s="33">
        <v>20</v>
      </c>
      <c r="BK7" s="33">
        <v>25</v>
      </c>
      <c r="BL7" s="143">
        <v>100</v>
      </c>
    </row>
    <row r="8" spans="1:66" x14ac:dyDescent="0.2">
      <c r="D8" s="120" t="s">
        <v>12</v>
      </c>
      <c r="F8" s="120" t="s">
        <v>12</v>
      </c>
      <c r="H8" s="120" t="s">
        <v>13</v>
      </c>
      <c r="J8" s="120" t="s">
        <v>14</v>
      </c>
      <c r="L8" s="120" t="s">
        <v>366</v>
      </c>
      <c r="M8" s="74"/>
      <c r="N8" s="120" t="s">
        <v>15</v>
      </c>
      <c r="O8" s="40"/>
      <c r="P8" s="120" t="s">
        <v>16</v>
      </c>
      <c r="Q8" s="120" t="s">
        <v>59</v>
      </c>
      <c r="R8" s="120" t="s">
        <v>61</v>
      </c>
      <c r="S8" s="120" t="s">
        <v>62</v>
      </c>
      <c r="T8" s="120" t="s">
        <v>82</v>
      </c>
      <c r="U8" s="120" t="s">
        <v>82</v>
      </c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U8" s="144"/>
      <c r="BE8" s="144"/>
    </row>
    <row r="9" spans="1:66" x14ac:dyDescent="0.2">
      <c r="AU9" s="144"/>
      <c r="BE9" s="144"/>
    </row>
    <row r="10" spans="1:66" x14ac:dyDescent="0.2">
      <c r="B10" s="77" t="s">
        <v>384</v>
      </c>
      <c r="AU10" s="144"/>
      <c r="BD10" s="96"/>
      <c r="BE10" s="144"/>
    </row>
    <row r="11" spans="1:66" x14ac:dyDescent="0.2">
      <c r="A11" s="2">
        <v>1</v>
      </c>
      <c r="B11" s="31" t="s">
        <v>132</v>
      </c>
      <c r="D11" s="79"/>
      <c r="E11" s="79"/>
      <c r="F11" s="79">
        <f ca="1">'Total Allocation - North'!F11-'Total Allo - Gas Union North'!F11</f>
        <v>0</v>
      </c>
      <c r="H11" s="50"/>
      <c r="L11" s="79">
        <f ca="1">F11-H11</f>
        <v>0</v>
      </c>
      <c r="N11" s="2" t="s">
        <v>221</v>
      </c>
      <c r="P11" s="79">
        <f t="shared" ref="P11:U16" ca="1" si="0">AW11+BG11</f>
        <v>0</v>
      </c>
      <c r="Q11" s="79">
        <f t="shared" ca="1" si="0"/>
        <v>0</v>
      </c>
      <c r="R11" s="79">
        <f t="shared" ca="1" si="0"/>
        <v>0</v>
      </c>
      <c r="S11" s="79">
        <f t="shared" ca="1" si="0"/>
        <v>0</v>
      </c>
      <c r="T11" s="79">
        <f t="shared" ca="1" si="0"/>
        <v>0</v>
      </c>
      <c r="U11" s="79">
        <f t="shared" ca="1" si="0"/>
        <v>0</v>
      </c>
      <c r="V11" s="38"/>
      <c r="W11" s="38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>
        <f>'Total Allocation - North'!AT11-'Total Allo - Gas Union North'!AT11</f>
        <v>0</v>
      </c>
      <c r="AU11" s="145">
        <f ca="1">'Total Allocation - North'!AU11-'Total Allo - Gas Union North'!AU11</f>
        <v>0</v>
      </c>
      <c r="AV11" s="96"/>
      <c r="AW11" s="79">
        <f ca="1">'Total Allocation - North'!AW11-'Total Allo - Gas Union North'!AW11</f>
        <v>0</v>
      </c>
      <c r="AX11" s="79">
        <f ca="1">'Total Allocation - North'!AX11-'Total Allo - Gas Union North'!AX11</f>
        <v>0</v>
      </c>
      <c r="AY11" s="79">
        <f ca="1">'Total Allocation - North'!AY11-'Total Allo - Gas Union North'!AY11</f>
        <v>0</v>
      </c>
      <c r="AZ11" s="79">
        <f ca="1">'Total Allocation - North'!AZ11-'Total Allo - Gas Union North'!AZ11</f>
        <v>0</v>
      </c>
      <c r="BA11" s="79">
        <f ca="1">'Total Allocation - North'!BA11-'Total Allo - Gas Union North'!BA11</f>
        <v>0</v>
      </c>
      <c r="BB11" s="79">
        <f ca="1">'Total Allocation - North'!BB11-'Total Allo - Gas Union North'!BB11</f>
        <v>0</v>
      </c>
      <c r="BC11" s="79"/>
      <c r="BD11" s="79">
        <f>'Total Allocation - North'!BD11-'Total Allo - Gas Union North'!BD11</f>
        <v>0</v>
      </c>
      <c r="BE11" s="145">
        <f ca="1">'Total Allocation - North'!BE11-'Total Allo - Gas Union North'!BE11</f>
        <v>0</v>
      </c>
      <c r="BF11" s="96"/>
      <c r="BG11" s="79">
        <f>'Total Allocation - North'!BG11-'Total Allo - Gas Union North'!BG11</f>
        <v>0</v>
      </c>
      <c r="BH11" s="79">
        <f>'Total Allocation - North'!BH11-'Total Allo - Gas Union North'!BH11</f>
        <v>0</v>
      </c>
      <c r="BI11" s="79">
        <f>'Total Allocation - North'!BI11-'Total Allo - Gas Union North'!BI11</f>
        <v>0</v>
      </c>
      <c r="BJ11" s="79">
        <f>'Total Allocation - North'!BJ11-'Total Allo - Gas Union North'!BJ11</f>
        <v>0</v>
      </c>
      <c r="BK11" s="79">
        <f>'Total Allocation - North'!BK11-'Total Allo - Gas Union North'!BK11</f>
        <v>0</v>
      </c>
      <c r="BL11" s="79">
        <f>'Total Allocation - North'!BL11-'Total Allo - Gas Union North'!BL11</f>
        <v>0</v>
      </c>
      <c r="BN11" s="50"/>
    </row>
    <row r="12" spans="1:66" x14ac:dyDescent="0.2">
      <c r="A12" s="2">
        <f>A11+1</f>
        <v>2</v>
      </c>
      <c r="B12" s="31" t="s">
        <v>385</v>
      </c>
      <c r="D12" s="79"/>
      <c r="E12" s="79"/>
      <c r="F12" s="79">
        <f ca="1">'Total Allocation - North'!F12-'Total Allo - Gas Union North'!F12</f>
        <v>-2028.2471161570211</v>
      </c>
      <c r="H12" s="50"/>
      <c r="L12" s="79">
        <f t="shared" ref="L12:L16" ca="1" si="1">F12-H12</f>
        <v>-2028.2471161570211</v>
      </c>
      <c r="N12" s="2" t="s">
        <v>263</v>
      </c>
      <c r="P12" s="79">
        <f t="shared" ca="1" si="0"/>
        <v>-77.346810925653443</v>
      </c>
      <c r="Q12" s="79">
        <f t="shared" ca="1" si="0"/>
        <v>-1475.4788429806886</v>
      </c>
      <c r="R12" s="79">
        <f t="shared" ca="1" si="0"/>
        <v>-416.13083638709668</v>
      </c>
      <c r="S12" s="79">
        <f t="shared" ca="1" si="0"/>
        <v>-59.290625863585063</v>
      </c>
      <c r="T12" s="79">
        <f t="shared" ca="1" si="0"/>
        <v>0</v>
      </c>
      <c r="U12" s="79">
        <f t="shared" ca="1" si="0"/>
        <v>0</v>
      </c>
      <c r="V12" s="38"/>
      <c r="W12" s="38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>
        <f>'Total Allocation - North'!AT12-'Total Allo - Gas Union North'!AT12</f>
        <v>0</v>
      </c>
      <c r="AU12" s="145">
        <f ca="1">'Total Allocation - North'!AU12-'Total Allo - Gas Union North'!AU12</f>
        <v>-500.04599629419499</v>
      </c>
      <c r="AV12" s="96"/>
      <c r="AW12" s="79">
        <f ca="1">'Total Allocation - North'!AW12-'Total Allo - Gas Union North'!AW12</f>
        <v>-2.531874916664016</v>
      </c>
      <c r="AX12" s="79">
        <f ca="1">'Total Allocation - North'!AX12-'Total Allo - Gas Union North'!AX12</f>
        <v>-373.86214708147781</v>
      </c>
      <c r="AY12" s="79">
        <f ca="1">'Total Allocation - North'!AY12-'Total Allo - Gas Union North'!AY12</f>
        <v>-114.68215279381184</v>
      </c>
      <c r="AZ12" s="79">
        <f ca="1">'Total Allocation - North'!AZ12-'Total Allo - Gas Union North'!AZ12</f>
        <v>-8.969821502241615</v>
      </c>
      <c r="BA12" s="79">
        <f ca="1">'Total Allocation - North'!BA12-'Total Allo - Gas Union North'!BA12</f>
        <v>0</v>
      </c>
      <c r="BB12" s="79">
        <f ca="1">'Total Allocation - North'!BB12-'Total Allo - Gas Union North'!BB12</f>
        <v>0</v>
      </c>
      <c r="BC12" s="79"/>
      <c r="BD12" s="79">
        <f>'Total Allocation - North'!BD12-'Total Allo - Gas Union North'!BD12</f>
        <v>0</v>
      </c>
      <c r="BE12" s="145">
        <f ca="1">'Total Allocation - North'!BE12-'Total Allo - Gas Union North'!BE12</f>
        <v>-1528.2011198628279</v>
      </c>
      <c r="BF12" s="96"/>
      <c r="BG12" s="79">
        <f>'Total Allocation - North'!BG12-'Total Allo - Gas Union North'!BG12</f>
        <v>-74.814936008989434</v>
      </c>
      <c r="BH12" s="79">
        <f>'Total Allocation - North'!BH12-'Total Allo - Gas Union North'!BH12</f>
        <v>-1101.6166958992108</v>
      </c>
      <c r="BI12" s="79">
        <f>'Total Allocation - North'!BI12-'Total Allo - Gas Union North'!BI12</f>
        <v>-301.44868359328484</v>
      </c>
      <c r="BJ12" s="79">
        <f>'Total Allocation - North'!BJ12-'Total Allo - Gas Union North'!BJ12</f>
        <v>-50.320804361343448</v>
      </c>
      <c r="BK12" s="79">
        <f>'Total Allocation - North'!BK12-'Total Allo - Gas Union North'!BK12</f>
        <v>0</v>
      </c>
      <c r="BL12" s="79">
        <f>'Total Allocation - North'!BL12-'Total Allo - Gas Union North'!BL12</f>
        <v>0</v>
      </c>
      <c r="BN12" s="50"/>
    </row>
    <row r="13" spans="1:66" x14ac:dyDescent="0.2">
      <c r="A13" s="2">
        <f t="shared" ref="A13:A17" si="2">A12+1</f>
        <v>3</v>
      </c>
      <c r="B13" s="31" t="s">
        <v>386</v>
      </c>
      <c r="D13" s="79"/>
      <c r="E13" s="79"/>
      <c r="F13" s="79">
        <f ca="1">'Total Allocation - North'!F13-'Total Allo - Gas Union North'!F13</f>
        <v>0</v>
      </c>
      <c r="H13" s="50"/>
      <c r="L13" s="79">
        <f t="shared" ca="1" si="1"/>
        <v>0</v>
      </c>
      <c r="N13" s="2" t="s">
        <v>156</v>
      </c>
      <c r="P13" s="79">
        <f t="shared" ca="1" si="0"/>
        <v>0</v>
      </c>
      <c r="Q13" s="79">
        <f t="shared" ca="1" si="0"/>
        <v>0</v>
      </c>
      <c r="R13" s="79">
        <f t="shared" ca="1" si="0"/>
        <v>0</v>
      </c>
      <c r="S13" s="79">
        <f t="shared" ca="1" si="0"/>
        <v>0</v>
      </c>
      <c r="T13" s="79">
        <f t="shared" ca="1" si="0"/>
        <v>0</v>
      </c>
      <c r="U13" s="79">
        <f t="shared" ca="1" si="0"/>
        <v>0</v>
      </c>
      <c r="V13" s="38"/>
      <c r="W13" s="38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>
        <f>'Total Allocation - North'!AT13-'Total Allo - Gas Union North'!AT13</f>
        <v>0</v>
      </c>
      <c r="AU13" s="145">
        <f ca="1">'Total Allocation - North'!AU13-'Total Allo - Gas Union North'!AU13</f>
        <v>0</v>
      </c>
      <c r="AV13" s="96"/>
      <c r="AW13" s="79">
        <f ca="1">'Total Allocation - North'!AW13-'Total Allo - Gas Union North'!AW13</f>
        <v>0</v>
      </c>
      <c r="AX13" s="79">
        <f ca="1">'Total Allocation - North'!AX13-'Total Allo - Gas Union North'!AX13</f>
        <v>0</v>
      </c>
      <c r="AY13" s="79">
        <f ca="1">'Total Allocation - North'!AY13-'Total Allo - Gas Union North'!AY13</f>
        <v>0</v>
      </c>
      <c r="AZ13" s="79">
        <f ca="1">'Total Allocation - North'!AZ13-'Total Allo - Gas Union North'!AZ13</f>
        <v>0</v>
      </c>
      <c r="BA13" s="79">
        <f ca="1">'Total Allocation - North'!BA13-'Total Allo - Gas Union North'!BA13</f>
        <v>0</v>
      </c>
      <c r="BB13" s="79">
        <f ca="1">'Total Allocation - North'!BB13-'Total Allo - Gas Union North'!BB13</f>
        <v>0</v>
      </c>
      <c r="BC13" s="79"/>
      <c r="BD13" s="79">
        <f>'Total Allocation - North'!BD13-'Total Allo - Gas Union North'!BD13</f>
        <v>0</v>
      </c>
      <c r="BE13" s="145">
        <f ca="1">'Total Allocation - North'!BE13-'Total Allo - Gas Union North'!BE13</f>
        <v>0</v>
      </c>
      <c r="BF13" s="96"/>
      <c r="BG13" s="79">
        <f>'Total Allocation - North'!BG13-'Total Allo - Gas Union North'!BG13</f>
        <v>0</v>
      </c>
      <c r="BH13" s="79">
        <f>'Total Allocation - North'!BH13-'Total Allo - Gas Union North'!BH13</f>
        <v>0</v>
      </c>
      <c r="BI13" s="79">
        <f>'Total Allocation - North'!BI13-'Total Allo - Gas Union North'!BI13</f>
        <v>0</v>
      </c>
      <c r="BJ13" s="79">
        <f>'Total Allocation - North'!BJ13-'Total Allo - Gas Union North'!BJ13</f>
        <v>0</v>
      </c>
      <c r="BK13" s="79">
        <f>'Total Allocation - North'!BK13-'Total Allo - Gas Union North'!BK13</f>
        <v>0</v>
      </c>
      <c r="BL13" s="79">
        <f>'Total Allocation - North'!BL13-'Total Allo - Gas Union North'!BL13</f>
        <v>0</v>
      </c>
      <c r="BN13" s="50"/>
    </row>
    <row r="14" spans="1:66" x14ac:dyDescent="0.2">
      <c r="A14" s="2">
        <f t="shared" si="2"/>
        <v>4</v>
      </c>
      <c r="B14" s="31" t="s">
        <v>115</v>
      </c>
      <c r="D14" s="79"/>
      <c r="E14" s="79"/>
      <c r="F14" s="79">
        <f ca="1">'Total Allocation - North'!F14-'Total Allo - Gas Union North'!F14</f>
        <v>-3060.0874956206862</v>
      </c>
      <c r="H14" s="79">
        <f>'Total Allocation - North'!H14-'Total Allo - Gas Union North'!H14</f>
        <v>-3060.0874956206867</v>
      </c>
      <c r="J14" s="2" t="s">
        <v>410</v>
      </c>
      <c r="L14" s="79">
        <f t="shared" ca="1" si="1"/>
        <v>0</v>
      </c>
      <c r="N14" s="2" t="s">
        <v>262</v>
      </c>
      <c r="P14" s="79">
        <f t="shared" ca="1" si="0"/>
        <v>-36.435682525499395</v>
      </c>
      <c r="Q14" s="79">
        <f t="shared" ca="1" si="0"/>
        <v>-2037.2803027210848</v>
      </c>
      <c r="R14" s="79">
        <f t="shared" ca="1" si="0"/>
        <v>-697.19982114824984</v>
      </c>
      <c r="S14" s="79">
        <f t="shared" ca="1" si="0"/>
        <v>-283.70626021437045</v>
      </c>
      <c r="T14" s="79">
        <f t="shared" ca="1" si="0"/>
        <v>-5.4654290114827431</v>
      </c>
      <c r="U14" s="79">
        <f t="shared" ca="1" si="0"/>
        <v>0</v>
      </c>
      <c r="V14" s="38"/>
      <c r="W14" s="38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>
        <f>'Total Allocation - North'!AT14-'Total Allo - Gas Union North'!AT14</f>
        <v>-304.2233599669741</v>
      </c>
      <c r="AU14" s="145">
        <f ca="1">'Total Allocation - North'!AU14-'Total Allo - Gas Union North'!AU14</f>
        <v>0</v>
      </c>
      <c r="AV14" s="96"/>
      <c r="AW14" s="79">
        <f ca="1">'Total Allocation - North'!AW14-'Total Allo - Gas Union North'!AW14</f>
        <v>-0.84447170327387511</v>
      </c>
      <c r="AX14" s="79">
        <f ca="1">'Total Allocation - North'!AX14-'Total Allo - Gas Union North'!AX14</f>
        <v>-215.12836949334451</v>
      </c>
      <c r="AY14" s="79">
        <f ca="1">'Total Allocation - North'!AY14-'Total Allo - Gas Union North'!AY14</f>
        <v>-57.255479006405722</v>
      </c>
      <c r="AZ14" s="79">
        <f ca="1">'Total Allocation - North'!AZ14-'Total Allo - Gas Union North'!AZ14</f>
        <v>-27.04687826176712</v>
      </c>
      <c r="BA14" s="79">
        <f ca="1">'Total Allocation - North'!BA14-'Total Allo - Gas Union North'!BA14</f>
        <v>-3.9481615021829413</v>
      </c>
      <c r="BB14" s="79">
        <f ca="1">'Total Allocation - North'!BB14-'Total Allo - Gas Union North'!BB14</f>
        <v>0</v>
      </c>
      <c r="BC14" s="79"/>
      <c r="BD14" s="79">
        <f>'Total Allocation - North'!BD14-'Total Allo - Gas Union North'!BD14</f>
        <v>-2755.8641356537128</v>
      </c>
      <c r="BE14" s="145">
        <f ca="1">'Total Allocation - North'!BE14-'Total Allo - Gas Union North'!BE14</f>
        <v>0</v>
      </c>
      <c r="BF14" s="96"/>
      <c r="BG14" s="79">
        <f>'Total Allocation - North'!BG14-'Total Allo - Gas Union North'!BG14</f>
        <v>-35.59121082222552</v>
      </c>
      <c r="BH14" s="79">
        <f>'Total Allocation - North'!BH14-'Total Allo - Gas Union North'!BH14</f>
        <v>-1822.1519332277403</v>
      </c>
      <c r="BI14" s="79">
        <f>'Total Allocation - North'!BI14-'Total Allo - Gas Union North'!BI14</f>
        <v>-639.94434214184412</v>
      </c>
      <c r="BJ14" s="79">
        <f>'Total Allocation - North'!BJ14-'Total Allo - Gas Union North'!BJ14</f>
        <v>-256.65938195260333</v>
      </c>
      <c r="BK14" s="79">
        <f>'Total Allocation - North'!BK14-'Total Allo - Gas Union North'!BK14</f>
        <v>-1.5172675092998018</v>
      </c>
      <c r="BL14" s="79">
        <f>'Total Allocation - North'!BL14-'Total Allo - Gas Union North'!BL14</f>
        <v>0</v>
      </c>
      <c r="BN14" s="50"/>
    </row>
    <row r="15" spans="1:66" x14ac:dyDescent="0.2">
      <c r="A15" s="2">
        <f t="shared" si="2"/>
        <v>5</v>
      </c>
      <c r="B15" s="31" t="s">
        <v>133</v>
      </c>
      <c r="D15" s="79"/>
      <c r="E15" s="79"/>
      <c r="F15" s="79">
        <f ca="1">'Total Allocation - North'!F15-'Total Allo - Gas Union North'!F15</f>
        <v>0</v>
      </c>
      <c r="H15" s="50"/>
      <c r="L15" s="79">
        <f t="shared" ca="1" si="1"/>
        <v>0</v>
      </c>
      <c r="N15" s="2" t="s">
        <v>264</v>
      </c>
      <c r="P15" s="79">
        <f t="shared" ca="1" si="0"/>
        <v>0</v>
      </c>
      <c r="Q15" s="79">
        <f t="shared" ca="1" si="0"/>
        <v>0</v>
      </c>
      <c r="R15" s="79">
        <f t="shared" ca="1" si="0"/>
        <v>0</v>
      </c>
      <c r="S15" s="79">
        <f t="shared" ca="1" si="0"/>
        <v>0</v>
      </c>
      <c r="T15" s="79">
        <f t="shared" ca="1" si="0"/>
        <v>0</v>
      </c>
      <c r="U15" s="79">
        <f t="shared" ca="1" si="0"/>
        <v>0</v>
      </c>
      <c r="V15" s="38"/>
      <c r="W15" s="38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>
        <f>'Total Allocation - North'!AT15-'Total Allo - Gas Union North'!AT15</f>
        <v>0</v>
      </c>
      <c r="AU15" s="145">
        <f ca="1">'Total Allocation - North'!AU15-'Total Allo - Gas Union North'!AU15</f>
        <v>0</v>
      </c>
      <c r="AV15" s="79"/>
      <c r="AW15" s="79">
        <f ca="1">'Total Allocation - North'!AW15-'Total Allo - Gas Union North'!AW15</f>
        <v>0</v>
      </c>
      <c r="AX15" s="79">
        <f ca="1">'Total Allocation - North'!AX15-'Total Allo - Gas Union North'!AX15</f>
        <v>0</v>
      </c>
      <c r="AY15" s="79">
        <f ca="1">'Total Allocation - North'!AY15-'Total Allo - Gas Union North'!AY15</f>
        <v>0</v>
      </c>
      <c r="AZ15" s="79">
        <f ca="1">'Total Allocation - North'!AZ15-'Total Allo - Gas Union North'!AZ15</f>
        <v>0</v>
      </c>
      <c r="BA15" s="79">
        <f ca="1">'Total Allocation - North'!BA15-'Total Allo - Gas Union North'!BA15</f>
        <v>0</v>
      </c>
      <c r="BB15" s="79">
        <f ca="1">'Total Allocation - North'!BB15-'Total Allo - Gas Union North'!BB15</f>
        <v>0</v>
      </c>
      <c r="BC15" s="79"/>
      <c r="BD15" s="79">
        <f>'Total Allocation - North'!BD15-'Total Allo - Gas Union North'!BD15</f>
        <v>0</v>
      </c>
      <c r="BE15" s="145">
        <f ca="1">'Total Allocation - North'!BE15-'Total Allo - Gas Union North'!BE15</f>
        <v>0</v>
      </c>
      <c r="BF15" s="79"/>
      <c r="BG15" s="79">
        <f>'Total Allocation - North'!BG15-'Total Allo - Gas Union North'!BG15</f>
        <v>0</v>
      </c>
      <c r="BH15" s="79">
        <f>'Total Allocation - North'!BH15-'Total Allo - Gas Union North'!BH15</f>
        <v>0</v>
      </c>
      <c r="BI15" s="79">
        <f>'Total Allocation - North'!BI15-'Total Allo - Gas Union North'!BI15</f>
        <v>0</v>
      </c>
      <c r="BJ15" s="79">
        <f>'Total Allocation - North'!BJ15-'Total Allo - Gas Union North'!BJ15</f>
        <v>0</v>
      </c>
      <c r="BK15" s="79">
        <f>'Total Allocation - North'!BK15-'Total Allo - Gas Union North'!BK15</f>
        <v>0</v>
      </c>
      <c r="BL15" s="79">
        <f>'Total Allocation - North'!BL15-'Total Allo - Gas Union North'!BL15</f>
        <v>0</v>
      </c>
      <c r="BN15" s="50"/>
    </row>
    <row r="16" spans="1:66" x14ac:dyDescent="0.2">
      <c r="A16" s="2">
        <f t="shared" si="2"/>
        <v>6</v>
      </c>
      <c r="B16" s="31" t="s">
        <v>135</v>
      </c>
      <c r="D16" s="79"/>
      <c r="E16" s="79"/>
      <c r="F16" s="79">
        <f ca="1">'Total Allocation - North'!F16-'Total Allo - Gas Union North'!F16</f>
        <v>1316.1094516787978</v>
      </c>
      <c r="H16" s="50"/>
      <c r="L16" s="79">
        <f t="shared" ca="1" si="1"/>
        <v>1316.1094516787978</v>
      </c>
      <c r="N16" s="2" t="s">
        <v>221</v>
      </c>
      <c r="P16" s="79">
        <f t="shared" ca="1" si="0"/>
        <v>0</v>
      </c>
      <c r="Q16" s="79">
        <f t="shared" ca="1" si="0"/>
        <v>1097.2519361566751</v>
      </c>
      <c r="R16" s="79">
        <f t="shared" ca="1" si="0"/>
        <v>193.76403427241706</v>
      </c>
      <c r="S16" s="79">
        <f t="shared" ca="1" si="0"/>
        <v>18.385725589734591</v>
      </c>
      <c r="T16" s="79">
        <f t="shared" ca="1" si="0"/>
        <v>6.7077556599709256</v>
      </c>
      <c r="U16" s="79">
        <f t="shared" ca="1" si="0"/>
        <v>0</v>
      </c>
      <c r="V16" s="38"/>
      <c r="W16" s="38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>
        <f>'Total Allocation - North'!AT16-'Total Allo - Gas Union North'!AT16</f>
        <v>0</v>
      </c>
      <c r="AU16" s="145">
        <f ca="1">'Total Allocation - North'!AU16-'Total Allo - Gas Union North'!AU16</f>
        <v>370.84643159245962</v>
      </c>
      <c r="AV16" s="96"/>
      <c r="AW16" s="79">
        <f ca="1">'Total Allocation - North'!AW16-'Total Allo - Gas Union North'!AW16</f>
        <v>0</v>
      </c>
      <c r="AX16" s="79">
        <f ca="1">'Total Allocation - North'!AX16-'Total Allo - Gas Union North'!AX16</f>
        <v>312.4408030683835</v>
      </c>
      <c r="AY16" s="79">
        <f ca="1">'Total Allocation - North'!AY16-'Total Allo - Gas Union North'!AY16</f>
        <v>45.60034888565314</v>
      </c>
      <c r="AZ16" s="79">
        <f ca="1">'Total Allocation - North'!AZ16-'Total Allo - Gas Union North'!AZ16</f>
        <v>6.7950955368355945</v>
      </c>
      <c r="BA16" s="79">
        <f ca="1">'Total Allocation - North'!BA16-'Total Allo - Gas Union North'!BA16</f>
        <v>6.0101841015872868</v>
      </c>
      <c r="BB16" s="79">
        <f ca="1">'Total Allocation - North'!BB16-'Total Allo - Gas Union North'!BB16</f>
        <v>0</v>
      </c>
      <c r="BC16" s="79"/>
      <c r="BD16" s="79">
        <f>'Total Allocation - North'!BD16-'Total Allo - Gas Union North'!BD16</f>
        <v>0</v>
      </c>
      <c r="BE16" s="145">
        <f ca="1">'Total Allocation - North'!BE16-'Total Allo - Gas Union North'!BE16</f>
        <v>945.2630200863382</v>
      </c>
      <c r="BF16" s="96"/>
      <c r="BG16" s="79">
        <f>'Total Allocation - North'!BG16-'Total Allo - Gas Union North'!BG16</f>
        <v>0</v>
      </c>
      <c r="BH16" s="79">
        <f>'Total Allocation - North'!BH16-'Total Allo - Gas Union North'!BH16</f>
        <v>784.81113308829163</v>
      </c>
      <c r="BI16" s="79">
        <f>'Total Allocation - North'!BI16-'Total Allo - Gas Union North'!BI16</f>
        <v>148.16368538676392</v>
      </c>
      <c r="BJ16" s="79">
        <f>'Total Allocation - North'!BJ16-'Total Allo - Gas Union North'!BJ16</f>
        <v>11.590630052898996</v>
      </c>
      <c r="BK16" s="79">
        <f>'Total Allocation - North'!BK16-'Total Allo - Gas Union North'!BK16</f>
        <v>0.69757155838363871</v>
      </c>
      <c r="BL16" s="79">
        <f>'Total Allocation - North'!BL16-'Total Allo - Gas Union North'!BL16</f>
        <v>0</v>
      </c>
      <c r="BN16" s="50"/>
    </row>
    <row r="17" spans="1:66" x14ac:dyDescent="0.2">
      <c r="A17" s="2">
        <f t="shared" si="2"/>
        <v>7</v>
      </c>
      <c r="B17" s="31" t="s">
        <v>383</v>
      </c>
      <c r="D17" s="81"/>
      <c r="E17" s="79"/>
      <c r="F17" s="81">
        <f ca="1">SUM(F11:F16)</f>
        <v>-3772.2251600989093</v>
      </c>
      <c r="H17" s="81">
        <f>SUM(H11:H16)</f>
        <v>-3060.0874956206867</v>
      </c>
      <c r="L17" s="41">
        <f ca="1">SUM(L11:L16)</f>
        <v>-712.13766447822331</v>
      </c>
      <c r="P17" s="41">
        <f t="shared" ref="P17:U17" ca="1" si="3">SUM(P11:P16)</f>
        <v>-113.78249345115285</v>
      </c>
      <c r="Q17" s="41">
        <f t="shared" ca="1" si="3"/>
        <v>-2415.5072095450982</v>
      </c>
      <c r="R17" s="41">
        <f t="shared" ca="1" si="3"/>
        <v>-919.5666232629294</v>
      </c>
      <c r="S17" s="41">
        <f t="shared" ca="1" si="3"/>
        <v>-324.61116048822095</v>
      </c>
      <c r="T17" s="41">
        <f t="shared" ca="1" si="3"/>
        <v>1.2423266484881825</v>
      </c>
      <c r="U17" s="41">
        <f t="shared" ca="1" si="3"/>
        <v>0</v>
      </c>
      <c r="V17" s="50"/>
      <c r="W17" s="50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U17" s="146">
        <f ca="1">SUM(AU11:AU16)+AT14</f>
        <v>-433.42292466870947</v>
      </c>
      <c r="AV17" s="96"/>
      <c r="AW17" s="81">
        <f ca="1">SUM(AW11:AW16)</f>
        <v>-3.3763466199378911</v>
      </c>
      <c r="AX17" s="81">
        <f t="shared" ref="AX17:BB17" ca="1" si="4">SUM(AX11:AX16)</f>
        <v>-276.54971350643882</v>
      </c>
      <c r="AY17" s="81">
        <f t="shared" ca="1" si="4"/>
        <v>-126.33728291456441</v>
      </c>
      <c r="AZ17" s="81">
        <f t="shared" ca="1" si="4"/>
        <v>-29.221604227173138</v>
      </c>
      <c r="BA17" s="81">
        <f t="shared" ca="1" si="4"/>
        <v>2.0620225994043455</v>
      </c>
      <c r="BB17" s="81">
        <f t="shared" ca="1" si="4"/>
        <v>0</v>
      </c>
      <c r="BC17" s="38"/>
      <c r="BD17" s="96"/>
      <c r="BE17" s="146">
        <f ca="1">SUM(BE11:BE16)+BD14</f>
        <v>-3338.8022354302025</v>
      </c>
      <c r="BF17" s="96"/>
      <c r="BG17" s="81">
        <f>SUM(BG11:BG16)</f>
        <v>-110.40614683121495</v>
      </c>
      <c r="BH17" s="81">
        <f t="shared" ref="BH17:BL17" si="5">SUM(BH11:BH16)</f>
        <v>-2138.9574960386594</v>
      </c>
      <c r="BI17" s="81">
        <f t="shared" si="5"/>
        <v>-793.22934034836499</v>
      </c>
      <c r="BJ17" s="81">
        <f t="shared" si="5"/>
        <v>-295.3895562610478</v>
      </c>
      <c r="BK17" s="81">
        <f t="shared" si="5"/>
        <v>-0.8196959509161631</v>
      </c>
      <c r="BL17" s="81">
        <f t="shared" si="5"/>
        <v>0</v>
      </c>
      <c r="BN17" s="50"/>
    </row>
    <row r="18" spans="1:66" x14ac:dyDescent="0.2">
      <c r="D18" s="79"/>
      <c r="E18" s="79"/>
      <c r="F18" s="79"/>
      <c r="P18" s="79"/>
      <c r="Q18" s="79"/>
      <c r="R18" s="79"/>
      <c r="S18" s="79"/>
      <c r="T18" s="79"/>
      <c r="U18" s="79"/>
      <c r="V18" s="38"/>
      <c r="W18" s="38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U18" s="145"/>
      <c r="AV18" s="96"/>
      <c r="AW18" s="96"/>
      <c r="AX18" s="96"/>
      <c r="AY18" s="96"/>
      <c r="AZ18" s="96"/>
      <c r="BA18" s="96"/>
      <c r="BB18" s="96"/>
      <c r="BC18" s="96"/>
      <c r="BD18" s="96"/>
      <c r="BE18" s="145"/>
      <c r="BF18" s="96"/>
      <c r="BG18" s="96"/>
      <c r="BH18" s="96"/>
      <c r="BI18" s="96"/>
      <c r="BJ18" s="96"/>
      <c r="BK18" s="96"/>
      <c r="BL18" s="96"/>
      <c r="BN18" s="50"/>
    </row>
    <row r="19" spans="1:66" x14ac:dyDescent="0.2">
      <c r="B19" s="77" t="s">
        <v>97</v>
      </c>
      <c r="D19" s="79"/>
      <c r="E19" s="79"/>
      <c r="F19" s="79"/>
      <c r="P19" s="79"/>
      <c r="Q19" s="79"/>
      <c r="R19" s="79"/>
      <c r="S19" s="79"/>
      <c r="T19" s="79"/>
      <c r="U19" s="79"/>
      <c r="V19" s="38"/>
      <c r="W19" s="38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U19" s="145"/>
      <c r="AV19" s="96"/>
      <c r="AW19" s="96"/>
      <c r="AX19" s="96"/>
      <c r="AY19" s="96"/>
      <c r="AZ19" s="96"/>
      <c r="BA19" s="96"/>
      <c r="BB19" s="96"/>
      <c r="BC19" s="96"/>
      <c r="BD19" s="96"/>
      <c r="BE19" s="145"/>
      <c r="BF19" s="96"/>
      <c r="BG19" s="96"/>
      <c r="BH19" s="96"/>
      <c r="BI19" s="96"/>
      <c r="BJ19" s="96"/>
      <c r="BK19" s="96"/>
      <c r="BL19" s="96"/>
      <c r="BN19" s="50"/>
    </row>
    <row r="20" spans="1:66" x14ac:dyDescent="0.2">
      <c r="A20" s="2">
        <f>A17+1</f>
        <v>8</v>
      </c>
      <c r="B20" s="31" t="s">
        <v>89</v>
      </c>
      <c r="D20" s="79"/>
      <c r="E20" s="79"/>
      <c r="F20" s="79">
        <f ca="1">'Total Allocation - North'!F20-'Total Allo - Gas Union North'!F20</f>
        <v>7037.7981802905742</v>
      </c>
      <c r="L20" s="79">
        <f t="shared" ref="L20:L23" ca="1" si="6">F20-H20</f>
        <v>7037.7981802905742</v>
      </c>
      <c r="N20" s="2" t="s">
        <v>156</v>
      </c>
      <c r="P20" s="79">
        <f ca="1">AW20+BG20</f>
        <v>222.05080836095806</v>
      </c>
      <c r="Q20" s="79">
        <f t="shared" ref="Q20:U21" ca="1" si="7">AX20+BH20</f>
        <v>5154.3928685465035</v>
      </c>
      <c r="R20" s="79">
        <f t="shared" ca="1" si="7"/>
        <v>1455.2399391324532</v>
      </c>
      <c r="S20" s="79">
        <f t="shared" ca="1" si="7"/>
        <v>206.11456425065981</v>
      </c>
      <c r="T20" s="79">
        <f t="shared" ca="1" si="7"/>
        <v>0</v>
      </c>
      <c r="U20" s="79">
        <f t="shared" ca="1" si="7"/>
        <v>0</v>
      </c>
      <c r="V20" s="38"/>
      <c r="W20" s="38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>
        <f>'Total Allocation - North'!AT20-'Total Allo - Gas Union North'!AT20</f>
        <v>0</v>
      </c>
      <c r="AU20" s="145">
        <f ca="1">'Total Allocation - North'!AU20-'Total Allo - Gas Union North'!AU20</f>
        <v>1807.2148661145641</v>
      </c>
      <c r="AV20" s="96"/>
      <c r="AW20" s="79">
        <f ca="1">'Total Allocation - North'!AW20-'Total Allo - Gas Union North'!AW20</f>
        <v>7.2690005028354916</v>
      </c>
      <c r="AX20" s="79">
        <f ca="1">'Total Allocation - North'!AX20-'Total Allo - Gas Union North'!AX20</f>
        <v>1352.5879910399281</v>
      </c>
      <c r="AY20" s="79">
        <f ca="1">'Total Allocation - North'!AY20-'Total Allo - Gas Union North'!AY20</f>
        <v>414.90614619968557</v>
      </c>
      <c r="AZ20" s="79">
        <f ca="1">'Total Allocation - North'!AZ20-'Total Allo - Gas Union North'!AZ20</f>
        <v>32.451728372114793</v>
      </c>
      <c r="BA20" s="79">
        <f ca="1">'Total Allocation - North'!BA20-'Total Allo - Gas Union North'!BA20</f>
        <v>0</v>
      </c>
      <c r="BB20" s="79">
        <f ca="1">'Total Allocation - North'!BB20-'Total Allo - Gas Union North'!BB20</f>
        <v>0</v>
      </c>
      <c r="BC20" s="79"/>
      <c r="BD20" s="79">
        <f>'Total Allocation - North'!BD20-'Total Allo - Gas Union North'!BD20</f>
        <v>0</v>
      </c>
      <c r="BE20" s="145">
        <f ca="1">'Total Allocation - North'!BE20-'Total Allo - Gas Union North'!BE20</f>
        <v>5230.5833141760104</v>
      </c>
      <c r="BF20" s="96"/>
      <c r="BG20" s="79">
        <f>'Total Allocation - North'!BG20-'Total Allo - Gas Union North'!BG20</f>
        <v>214.78180785812256</v>
      </c>
      <c r="BH20" s="79">
        <f>'Total Allocation - North'!BH20-'Total Allo - Gas Union North'!BH20</f>
        <v>3801.8048775065754</v>
      </c>
      <c r="BI20" s="79">
        <f>'Total Allocation - North'!BI20-'Total Allo - Gas Union North'!BI20</f>
        <v>1040.3337929327677</v>
      </c>
      <c r="BJ20" s="79">
        <f>'Total Allocation - North'!BJ20-'Total Allo - Gas Union North'!BJ20</f>
        <v>173.66283587854502</v>
      </c>
      <c r="BK20" s="79">
        <f>'Total Allocation - North'!BK20-'Total Allo - Gas Union North'!BK20</f>
        <v>0</v>
      </c>
      <c r="BL20" s="79">
        <f>'Total Allocation - North'!BL20-'Total Allo - Gas Union North'!BL20</f>
        <v>0</v>
      </c>
      <c r="BN20" s="50"/>
    </row>
    <row r="21" spans="1:66" x14ac:dyDescent="0.2">
      <c r="A21" s="2">
        <f>A20+1</f>
        <v>9</v>
      </c>
      <c r="B21" s="31" t="s">
        <v>90</v>
      </c>
      <c r="D21" s="79"/>
      <c r="E21" s="79"/>
      <c r="F21" s="79">
        <f ca="1">'Total Allocation - North'!F21-'Total Allo - Gas Union North'!F21</f>
        <v>5248.6633036007324</v>
      </c>
      <c r="H21" s="79">
        <f>'Total Allocation - North'!H21-'Total Allo - Gas Union North'!H21</f>
        <v>2324.0712554815559</v>
      </c>
      <c r="J21" s="2" t="s">
        <v>333</v>
      </c>
      <c r="L21" s="79">
        <f t="shared" ca="1" si="6"/>
        <v>2924.5920481191765</v>
      </c>
      <c r="N21" s="2" t="s">
        <v>157</v>
      </c>
      <c r="P21" s="79">
        <f ca="1">AW21+BG21</f>
        <v>163.03716868667229</v>
      </c>
      <c r="Q21" s="79">
        <f t="shared" ca="1" si="7"/>
        <v>3966.788404350571</v>
      </c>
      <c r="R21" s="79">
        <f t="shared" ca="1" si="7"/>
        <v>984.27431047803748</v>
      </c>
      <c r="S21" s="79">
        <f t="shared" ca="1" si="7"/>
        <v>134.56342008545278</v>
      </c>
      <c r="T21" s="79">
        <f t="shared" ca="1" si="7"/>
        <v>0</v>
      </c>
      <c r="U21" s="79">
        <f t="shared" ca="1" si="7"/>
        <v>0</v>
      </c>
      <c r="V21" s="38"/>
      <c r="W21" s="38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>
        <f>'Total Allocation - North'!AT21-'Total Allo - Gas Union North'!AT21</f>
        <v>630.44230357891513</v>
      </c>
      <c r="AU21" s="145">
        <f ca="1">'Total Allocation - North'!AU21-'Total Allo - Gas Union North'!AU21</f>
        <v>754.51567594380663</v>
      </c>
      <c r="AV21" s="96"/>
      <c r="AW21" s="79">
        <f ca="1">'Total Allocation - North'!AW21-'Total Allo - Gas Union North'!AW21</f>
        <v>5.3369309000253411</v>
      </c>
      <c r="AX21" s="79">
        <f ca="1">'Total Allocation - North'!AX21-'Total Allo - Gas Union North'!AX21</f>
        <v>1114.5026859577206</v>
      </c>
      <c r="AY21" s="79">
        <f ca="1">'Total Allocation - North'!AY21-'Total Allo - Gas Union North'!AY21</f>
        <v>228.85658967241045</v>
      </c>
      <c r="AZ21" s="79">
        <f ca="1">'Total Allocation - North'!AZ21-'Total Allo - Gas Union North'!AZ21</f>
        <v>36.261772992565717</v>
      </c>
      <c r="BA21" s="79">
        <f ca="1">'Total Allocation - North'!BA21-'Total Allo - Gas Union North'!BA21</f>
        <v>0</v>
      </c>
      <c r="BB21" s="79">
        <f ca="1">'Total Allocation - North'!BB21-'Total Allo - Gas Union North'!BB21</f>
        <v>0</v>
      </c>
      <c r="BC21" s="79"/>
      <c r="BD21" s="79">
        <f>'Total Allocation - North'!BD21-'Total Allo - Gas Union North'!BD21</f>
        <v>1693.6289519026407</v>
      </c>
      <c r="BE21" s="145">
        <f ca="1">'Total Allocation - North'!BE21-'Total Allo - Gas Union North'!BE21</f>
        <v>2170.0763721753701</v>
      </c>
      <c r="BF21" s="96"/>
      <c r="BG21" s="79">
        <f>'Total Allocation - North'!BG21-'Total Allo - Gas Union North'!BG21</f>
        <v>157.70023778664694</v>
      </c>
      <c r="BH21" s="79">
        <f>'Total Allocation - North'!BH21-'Total Allo - Gas Union North'!BH21</f>
        <v>2852.2857183928504</v>
      </c>
      <c r="BI21" s="79">
        <f>'Total Allocation - North'!BI21-'Total Allo - Gas Union North'!BI21</f>
        <v>755.41772080562703</v>
      </c>
      <c r="BJ21" s="79">
        <f>'Total Allocation - North'!BJ21-'Total Allo - Gas Union North'!BJ21</f>
        <v>98.301647092887066</v>
      </c>
      <c r="BK21" s="79">
        <f>'Total Allocation - North'!BK21-'Total Allo - Gas Union North'!BK21</f>
        <v>0</v>
      </c>
      <c r="BL21" s="79">
        <f>'Total Allocation - North'!BL21-'Total Allo - Gas Union North'!BL21</f>
        <v>0</v>
      </c>
      <c r="BN21" s="50"/>
    </row>
    <row r="22" spans="1:66" x14ac:dyDescent="0.2">
      <c r="A22" s="2">
        <f t="shared" ref="A22:A24" si="8">A21+1</f>
        <v>10</v>
      </c>
      <c r="B22" s="31" t="s">
        <v>345</v>
      </c>
      <c r="D22" s="79"/>
      <c r="E22" s="79"/>
      <c r="F22" s="79">
        <f ca="1">'Total Allocation - North'!F22-'Total Allo - Gas Union North'!F22</f>
        <v>461.54585697489199</v>
      </c>
      <c r="L22" s="79">
        <f t="shared" ca="1" si="6"/>
        <v>461.54585697489199</v>
      </c>
      <c r="N22" s="2" t="s">
        <v>346</v>
      </c>
      <c r="P22" s="79">
        <v>8.264751142751301</v>
      </c>
      <c r="Q22" s="79">
        <v>329.0526093776927</v>
      </c>
      <c r="R22" s="79">
        <v>92.787720721443435</v>
      </c>
      <c r="S22" s="79">
        <v>16.428568596980131</v>
      </c>
      <c r="T22" s="79">
        <v>1.5824433018316415</v>
      </c>
      <c r="U22" s="79">
        <v>13.429763834192826</v>
      </c>
      <c r="V22" s="38"/>
      <c r="W22" s="38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>
        <f>'Total Allocation - North'!AT22-'Total Allo - Gas Union North'!AT22</f>
        <v>0</v>
      </c>
      <c r="AU22" s="145">
        <f ca="1">'Total Allocation - North'!AU22-'Total Allo - Gas Union North'!AU22</f>
        <v>121.02913994849065</v>
      </c>
      <c r="AV22" s="96"/>
      <c r="AW22" s="79">
        <f ca="1">'Total Allocation - North'!AW22-'Total Allo - Gas Union North'!AW22</f>
        <v>0.27051579557130678</v>
      </c>
      <c r="AX22" s="79">
        <f ca="1">'Total Allocation - North'!AX22-'Total Allo - Gas Union North'!AX22</f>
        <v>88.480688493917555</v>
      </c>
      <c r="AY22" s="79">
        <f ca="1">'Total Allocation - North'!AY22-'Total Allo - Gas Union North'!AY22</f>
        <v>20.609654860121758</v>
      </c>
      <c r="AZ22" s="79">
        <f ca="1">'Total Allocation - North'!AZ22-'Total Allo - Gas Union North'!AZ22</f>
        <v>1.8492453914627545</v>
      </c>
      <c r="BA22" s="79">
        <f ca="1">'Total Allocation - North'!BA22-'Total Allo - Gas Union North'!BA22</f>
        <v>0.93418149716210885</v>
      </c>
      <c r="BB22" s="79">
        <f ca="1">'Total Allocation - North'!BB22-'Total Allo - Gas Union North'!BB22</f>
        <v>8.8848539102551545</v>
      </c>
      <c r="BC22" s="79"/>
      <c r="BD22" s="79">
        <f>'Total Allocation - North'!BD22-'Total Allo - Gas Union North'!BD22</f>
        <v>0</v>
      </c>
      <c r="BE22" s="145">
        <f ca="1">'Total Allocation - North'!BE22-'Total Allo - Gas Union North'!BE22</f>
        <v>340.51671702640135</v>
      </c>
      <c r="BF22" s="96"/>
      <c r="BG22" s="79">
        <f>'Total Allocation - North'!BG22-'Total Allo - Gas Union North'!BG22</f>
        <v>7.9946435018307973</v>
      </c>
      <c r="BH22" s="79">
        <f>'Total Allocation - North'!BH22-'Total Allo - Gas Union North'!BH22</f>
        <v>240.59444134128154</v>
      </c>
      <c r="BI22" s="79">
        <f>'Total Allocation - North'!BI22-'Total Allo - Gas Union North'!BI22</f>
        <v>72.1584821956327</v>
      </c>
      <c r="BJ22" s="79">
        <f>'Total Allocation - North'!BJ22-'Total Allo - Gas Union North'!BJ22</f>
        <v>14.575236881352993</v>
      </c>
      <c r="BK22" s="79">
        <f>'Total Allocation - North'!BK22-'Total Allo - Gas Union North'!BK22</f>
        <v>0.64833995361583785</v>
      </c>
      <c r="BL22" s="79">
        <f>'Total Allocation - North'!BL22-'Total Allo - Gas Union North'!BL22</f>
        <v>4.5455731526875098</v>
      </c>
      <c r="BN22" s="50"/>
    </row>
    <row r="23" spans="1:66" x14ac:dyDescent="0.2">
      <c r="A23" s="2">
        <f t="shared" si="8"/>
        <v>11</v>
      </c>
      <c r="B23" s="31" t="s">
        <v>91</v>
      </c>
      <c r="D23" s="79"/>
      <c r="E23" s="79"/>
      <c r="F23" s="79">
        <f ca="1">'Total Allocation - North'!F23-'Total Allo - Gas Union North'!F23</f>
        <v>0</v>
      </c>
      <c r="L23" s="79">
        <f t="shared" ca="1" si="6"/>
        <v>0</v>
      </c>
      <c r="N23" s="2" t="s">
        <v>334</v>
      </c>
      <c r="P23" s="79">
        <v>0</v>
      </c>
      <c r="Q23" s="79">
        <v>0</v>
      </c>
      <c r="R23" s="79">
        <v>0</v>
      </c>
      <c r="S23" s="79">
        <v>0</v>
      </c>
      <c r="T23" s="79">
        <v>0</v>
      </c>
      <c r="U23" s="79">
        <v>0</v>
      </c>
      <c r="V23" s="38"/>
      <c r="W23" s="38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91"/>
      <c r="AO23" s="91"/>
      <c r="AP23" s="91"/>
      <c r="AQ23" s="91"/>
      <c r="AR23" s="91"/>
      <c r="AS23" s="91"/>
      <c r="AT23" s="79">
        <f>'Total Allocation - North'!AT23-'Total Allo - Gas Union North'!AT23</f>
        <v>0</v>
      </c>
      <c r="AU23" s="145">
        <f ca="1">'Total Allocation - North'!AU23-'Total Allo - Gas Union North'!AU23</f>
        <v>0</v>
      </c>
      <c r="AV23" s="96"/>
      <c r="AW23" s="79">
        <f ca="1">'Total Allocation - North'!AW23-'Total Allo - Gas Union North'!AW23</f>
        <v>0</v>
      </c>
      <c r="AX23" s="79">
        <f ca="1">'Total Allocation - North'!AX23-'Total Allo - Gas Union North'!AX23</f>
        <v>0</v>
      </c>
      <c r="AY23" s="79">
        <f ca="1">'Total Allocation - North'!AY23-'Total Allo - Gas Union North'!AY23</f>
        <v>0</v>
      </c>
      <c r="AZ23" s="79">
        <f ca="1">'Total Allocation - North'!AZ23-'Total Allo - Gas Union North'!AZ23</f>
        <v>0</v>
      </c>
      <c r="BA23" s="79">
        <f ca="1">'Total Allocation - North'!BA23-'Total Allo - Gas Union North'!BA23</f>
        <v>0</v>
      </c>
      <c r="BB23" s="79">
        <f ca="1">'Total Allocation - North'!BB23-'Total Allo - Gas Union North'!BB23</f>
        <v>0</v>
      </c>
      <c r="BC23" s="79"/>
      <c r="BD23" s="79">
        <f>'Total Allocation - North'!BD23-'Total Allo - Gas Union North'!BD23</f>
        <v>0</v>
      </c>
      <c r="BE23" s="145">
        <f ca="1">'Total Allocation - North'!BE23-'Total Allo - Gas Union North'!BE23</f>
        <v>0</v>
      </c>
      <c r="BF23" s="96"/>
      <c r="BG23" s="79">
        <f>'Total Allocation - North'!BG23-'Total Allo - Gas Union North'!BG23</f>
        <v>0</v>
      </c>
      <c r="BH23" s="79">
        <f>'Total Allocation - North'!BH23-'Total Allo - Gas Union North'!BH23</f>
        <v>0</v>
      </c>
      <c r="BI23" s="79">
        <f>'Total Allocation - North'!BI23-'Total Allo - Gas Union North'!BI23</f>
        <v>0</v>
      </c>
      <c r="BJ23" s="79">
        <f>'Total Allocation - North'!BJ23-'Total Allo - Gas Union North'!BJ23</f>
        <v>0</v>
      </c>
      <c r="BK23" s="79">
        <f>'Total Allocation - North'!BK23-'Total Allo - Gas Union North'!BK23</f>
        <v>0</v>
      </c>
      <c r="BL23" s="79">
        <f>'Total Allocation - North'!BL23-'Total Allo - Gas Union North'!BL23</f>
        <v>0</v>
      </c>
      <c r="BN23" s="50"/>
    </row>
    <row r="24" spans="1:66" x14ac:dyDescent="0.2">
      <c r="A24" s="2">
        <f t="shared" si="8"/>
        <v>12</v>
      </c>
      <c r="B24" s="31" t="s">
        <v>96</v>
      </c>
      <c r="D24" s="41"/>
      <c r="F24" s="41">
        <f ca="1">SUM(F20:F23)</f>
        <v>12748.007340866199</v>
      </c>
      <c r="H24" s="41">
        <f>SUM(H20:H23)</f>
        <v>2324.0712554815559</v>
      </c>
      <c r="J24" s="122"/>
      <c r="L24" s="41">
        <f ca="1">SUM(L20:L23)</f>
        <v>10423.936085384643</v>
      </c>
      <c r="P24" s="41">
        <f t="shared" ref="P24:U24" ca="1" si="9">SUM(P20:P23)</f>
        <v>393.3527281903817</v>
      </c>
      <c r="Q24" s="41">
        <f t="shared" ca="1" si="9"/>
        <v>9450.2338822747679</v>
      </c>
      <c r="R24" s="41">
        <f t="shared" ca="1" si="9"/>
        <v>2532.3019703319342</v>
      </c>
      <c r="S24" s="41">
        <f t="shared" ca="1" si="9"/>
        <v>357.1065529330927</v>
      </c>
      <c r="T24" s="41">
        <f t="shared" ca="1" si="9"/>
        <v>1.5824433018316415</v>
      </c>
      <c r="U24" s="41">
        <f t="shared" ca="1" si="9"/>
        <v>13.429763834192826</v>
      </c>
      <c r="V24" s="50"/>
      <c r="W24" s="50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U24" s="146">
        <f ca="1">SUM(AU20:AU23)+AT21</f>
        <v>3313.2019855857766</v>
      </c>
      <c r="AV24" s="96"/>
      <c r="AW24" s="41">
        <f t="shared" ref="AW24:BB24" ca="1" si="10">SUM(AW20:AW23)</f>
        <v>12.876447198432139</v>
      </c>
      <c r="AX24" s="41">
        <f t="shared" ca="1" si="10"/>
        <v>2555.5713654915662</v>
      </c>
      <c r="AY24" s="41">
        <f t="shared" ca="1" si="10"/>
        <v>664.37239073221781</v>
      </c>
      <c r="AZ24" s="41">
        <f t="shared" ca="1" si="10"/>
        <v>70.56274675614327</v>
      </c>
      <c r="BA24" s="41">
        <f t="shared" ca="1" si="10"/>
        <v>0.93418149716210885</v>
      </c>
      <c r="BB24" s="41">
        <f t="shared" ca="1" si="10"/>
        <v>8.8848539102551545</v>
      </c>
      <c r="BC24" s="50"/>
      <c r="BD24" s="96"/>
      <c r="BE24" s="146">
        <f ca="1">SUM(BE20:BE23)+BD21</f>
        <v>9434.8053552804231</v>
      </c>
      <c r="BF24" s="96"/>
      <c r="BG24" s="41">
        <f t="shared" ref="BG24:BL24" si="11">SUM(BG20:BG23)</f>
        <v>380.47668914660034</v>
      </c>
      <c r="BH24" s="41">
        <f t="shared" si="11"/>
        <v>6894.685037240708</v>
      </c>
      <c r="BI24" s="41">
        <f t="shared" si="11"/>
        <v>1867.9099959340274</v>
      </c>
      <c r="BJ24" s="41">
        <f t="shared" si="11"/>
        <v>286.53971985278508</v>
      </c>
      <c r="BK24" s="41">
        <f t="shared" si="11"/>
        <v>0.64833995361583785</v>
      </c>
      <c r="BL24" s="41">
        <f t="shared" si="11"/>
        <v>4.5455731526875098</v>
      </c>
      <c r="BN24" s="50"/>
    </row>
    <row r="25" spans="1:66" x14ac:dyDescent="0.2">
      <c r="D25" s="50"/>
      <c r="P25" s="79"/>
      <c r="Q25" s="79"/>
      <c r="R25" s="79"/>
      <c r="S25" s="79"/>
      <c r="T25" s="79"/>
      <c r="U25" s="79"/>
      <c r="V25" s="38"/>
      <c r="W25" s="38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91"/>
      <c r="AO25" s="91"/>
      <c r="AP25" s="91"/>
      <c r="AQ25" s="91"/>
      <c r="AR25" s="91"/>
      <c r="AS25" s="91"/>
      <c r="AU25" s="145"/>
      <c r="AV25" s="96"/>
      <c r="AW25" s="96"/>
      <c r="AX25" s="96"/>
      <c r="AY25" s="96"/>
      <c r="AZ25" s="96"/>
      <c r="BA25" s="96"/>
      <c r="BB25" s="96"/>
      <c r="BC25" s="96"/>
      <c r="BD25" s="96"/>
      <c r="BE25" s="145"/>
      <c r="BF25" s="96"/>
      <c r="BG25" s="96"/>
      <c r="BH25" s="96"/>
      <c r="BI25" s="96"/>
      <c r="BJ25" s="96"/>
      <c r="BK25" s="96"/>
      <c r="BL25" s="96"/>
      <c r="BN25" s="50"/>
    </row>
    <row r="26" spans="1:66" x14ac:dyDescent="0.2">
      <c r="B26" s="77" t="s">
        <v>98</v>
      </c>
      <c r="P26" s="79"/>
      <c r="Q26" s="79"/>
      <c r="R26" s="79"/>
      <c r="S26" s="79"/>
      <c r="T26" s="79"/>
      <c r="U26" s="79"/>
      <c r="V26" s="38"/>
      <c r="W26" s="38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91"/>
      <c r="AO26" s="91"/>
      <c r="AP26" s="91"/>
      <c r="AQ26" s="91"/>
      <c r="AR26" s="91"/>
      <c r="AS26" s="91"/>
      <c r="AU26" s="144"/>
      <c r="BE26" s="144"/>
      <c r="BN26" s="50"/>
    </row>
    <row r="27" spans="1:66" x14ac:dyDescent="0.2">
      <c r="A27" s="2">
        <f>A24+1</f>
        <v>13</v>
      </c>
      <c r="B27" s="31" t="s">
        <v>92</v>
      </c>
      <c r="D27" s="79"/>
      <c r="E27" s="79"/>
      <c r="F27" s="79">
        <f ca="1">'Total Allocation - North'!F27-'Total Allo - Gas Union North'!F27</f>
        <v>597.78865054562345</v>
      </c>
      <c r="L27" s="79">
        <f t="shared" ref="L27:L33" ca="1" si="12">F27-H27</f>
        <v>597.78865054562345</v>
      </c>
      <c r="N27" s="2" t="s">
        <v>533</v>
      </c>
      <c r="P27" s="79">
        <f t="shared" ref="P27:U32" ca="1" si="13">AW27+BG27</f>
        <v>13.335832465654896</v>
      </c>
      <c r="Q27" s="79">
        <f t="shared" ca="1" si="13"/>
        <v>428.13633340068969</v>
      </c>
      <c r="R27" s="79">
        <f t="shared" ca="1" si="13"/>
        <v>126.24179897089638</v>
      </c>
      <c r="S27" s="79">
        <f t="shared" ca="1" si="13"/>
        <v>30.074685708382493</v>
      </c>
      <c r="T27" s="79">
        <f t="shared" ca="1" si="13"/>
        <v>0</v>
      </c>
      <c r="U27" s="79">
        <f t="shared" ca="1" si="13"/>
        <v>0</v>
      </c>
      <c r="V27" s="38"/>
      <c r="W27" s="38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>
        <f>'Total Allocation - North'!AT27-'Total Allo - Gas Union North'!AT27</f>
        <v>0</v>
      </c>
      <c r="AU27" s="145">
        <f ca="1">'Total Allocation - North'!AU27-'Total Allo - Gas Union North'!AU27</f>
        <v>47.882758574584528</v>
      </c>
      <c r="AV27" s="96"/>
      <c r="AW27" s="79">
        <f ca="1">'Total Allocation - North'!AW27-'Total Allo - Gas Union North'!AW27</f>
        <v>0.43653592660630852</v>
      </c>
      <c r="AX27" s="79">
        <f ca="1">'Total Allocation - North'!AX27-'Total Allo - Gas Union North'!AX27</f>
        <v>35.180884027913159</v>
      </c>
      <c r="AY27" s="79">
        <f ca="1">'Total Allocation - North'!AY27-'Total Allo - Gas Union North'!AY27</f>
        <v>10.373560341849457</v>
      </c>
      <c r="AZ27" s="79">
        <f ca="1">'Total Allocation - North'!AZ27-'Total Allo - Gas Union North'!AZ27</f>
        <v>1.8917782782156036</v>
      </c>
      <c r="BA27" s="79">
        <f ca="1">'Total Allocation - North'!BA27-'Total Allo - Gas Union North'!BA27</f>
        <v>0</v>
      </c>
      <c r="BB27" s="79">
        <f ca="1">'Total Allocation - North'!BB27-'Total Allo - Gas Union North'!BB27</f>
        <v>0</v>
      </c>
      <c r="BC27" s="79"/>
      <c r="BD27" s="79">
        <f>'Total Allocation - North'!BD27-'Total Allo - Gas Union North'!BD27</f>
        <v>0</v>
      </c>
      <c r="BE27" s="145">
        <f ca="1">'Total Allocation - North'!BE27-'Total Allo - Gas Union North'!BE27</f>
        <v>549.90589197103895</v>
      </c>
      <c r="BF27" s="96"/>
      <c r="BG27" s="79">
        <f>'Total Allocation - North'!BG27-'Total Allo - Gas Union North'!BG27</f>
        <v>12.899296539048587</v>
      </c>
      <c r="BH27" s="79">
        <f>'Total Allocation - North'!BH27-'Total Allo - Gas Union North'!BH27</f>
        <v>392.95544937277651</v>
      </c>
      <c r="BI27" s="79">
        <f>'Total Allocation - North'!BI27-'Total Allo - Gas Union North'!BI27</f>
        <v>115.86823862904693</v>
      </c>
      <c r="BJ27" s="79">
        <f>'Total Allocation - North'!BJ27-'Total Allo - Gas Union North'!BJ27</f>
        <v>28.182907430166889</v>
      </c>
      <c r="BK27" s="79">
        <f>'Total Allocation - North'!BK27-'Total Allo - Gas Union North'!BK27</f>
        <v>0</v>
      </c>
      <c r="BL27" s="79">
        <f>'Total Allocation - North'!BL27-'Total Allo - Gas Union North'!BL27</f>
        <v>0</v>
      </c>
      <c r="BN27" s="50"/>
    </row>
    <row r="28" spans="1:66" x14ac:dyDescent="0.2">
      <c r="A28" s="2">
        <f>A27+1</f>
        <v>14</v>
      </c>
      <c r="B28" s="31" t="s">
        <v>93</v>
      </c>
      <c r="D28" s="79"/>
      <c r="E28" s="79"/>
      <c r="F28" s="79">
        <f ca="1">'Total Allocation - North'!F28-'Total Allo - Gas Union North'!F28</f>
        <v>0</v>
      </c>
      <c r="L28" s="79">
        <f t="shared" ca="1" si="12"/>
        <v>0</v>
      </c>
      <c r="N28" s="2" t="s">
        <v>218</v>
      </c>
      <c r="P28" s="79">
        <f t="shared" ca="1" si="13"/>
        <v>0</v>
      </c>
      <c r="Q28" s="79">
        <f t="shared" ca="1" si="13"/>
        <v>0</v>
      </c>
      <c r="R28" s="79">
        <f t="shared" ca="1" si="13"/>
        <v>0</v>
      </c>
      <c r="S28" s="79">
        <f t="shared" ca="1" si="13"/>
        <v>0</v>
      </c>
      <c r="T28" s="79">
        <f t="shared" ca="1" si="13"/>
        <v>0</v>
      </c>
      <c r="U28" s="79">
        <f t="shared" ca="1" si="13"/>
        <v>0</v>
      </c>
      <c r="V28" s="38"/>
      <c r="W28" s="38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>
        <f>'Total Allocation - North'!AT28-'Total Allo - Gas Union North'!AT28</f>
        <v>0</v>
      </c>
      <c r="AU28" s="145">
        <f ca="1">'Total Allocation - North'!AU28-'Total Allo - Gas Union North'!AU28</f>
        <v>0</v>
      </c>
      <c r="AV28" s="96"/>
      <c r="AW28" s="79">
        <f ca="1">'Total Allocation - North'!AW28-'Total Allo - Gas Union North'!AW28</f>
        <v>0</v>
      </c>
      <c r="AX28" s="79">
        <f ca="1">'Total Allocation - North'!AX28-'Total Allo - Gas Union North'!AX28</f>
        <v>0</v>
      </c>
      <c r="AY28" s="79">
        <f ca="1">'Total Allocation - North'!AY28-'Total Allo - Gas Union North'!AY28</f>
        <v>0</v>
      </c>
      <c r="AZ28" s="79">
        <f ca="1">'Total Allocation - North'!AZ28-'Total Allo - Gas Union North'!AZ28</f>
        <v>0</v>
      </c>
      <c r="BA28" s="79">
        <f ca="1">'Total Allocation - North'!BA28-'Total Allo - Gas Union North'!BA28</f>
        <v>0</v>
      </c>
      <c r="BB28" s="79">
        <f ca="1">'Total Allocation - North'!BB28-'Total Allo - Gas Union North'!BB28</f>
        <v>0</v>
      </c>
      <c r="BC28" s="79"/>
      <c r="BD28" s="79">
        <f>'Total Allocation - North'!BD28-'Total Allo - Gas Union North'!BD28</f>
        <v>0</v>
      </c>
      <c r="BE28" s="145">
        <f ca="1">'Total Allocation - North'!BE28-'Total Allo - Gas Union North'!BE28</f>
        <v>0</v>
      </c>
      <c r="BF28" s="96"/>
      <c r="BG28" s="79">
        <f>'Total Allocation - North'!BG28-'Total Allo - Gas Union North'!BG28</f>
        <v>0</v>
      </c>
      <c r="BH28" s="79">
        <f>'Total Allocation - North'!BH28-'Total Allo - Gas Union North'!BH28</f>
        <v>0</v>
      </c>
      <c r="BI28" s="79">
        <f>'Total Allocation - North'!BI28-'Total Allo - Gas Union North'!BI28</f>
        <v>0</v>
      </c>
      <c r="BJ28" s="79">
        <f>'Total Allocation - North'!BJ28-'Total Allo - Gas Union North'!BJ28</f>
        <v>0</v>
      </c>
      <c r="BK28" s="79">
        <f>'Total Allocation - North'!BK28-'Total Allo - Gas Union North'!BK28</f>
        <v>0</v>
      </c>
      <c r="BL28" s="79">
        <f>'Total Allocation - North'!BL28-'Total Allo - Gas Union North'!BL28</f>
        <v>0</v>
      </c>
      <c r="BN28" s="50"/>
    </row>
    <row r="29" spans="1:66" x14ac:dyDescent="0.2">
      <c r="A29" s="2">
        <f t="shared" ref="A29:A34" si="14">A28+1</f>
        <v>15</v>
      </c>
      <c r="B29" s="31" t="s">
        <v>94</v>
      </c>
      <c r="D29" s="79"/>
      <c r="E29" s="79"/>
      <c r="F29" s="79">
        <f ca="1">'Total Allocation - North'!F29-'Total Allo - Gas Union North'!F29</f>
        <v>3874.443093472612</v>
      </c>
      <c r="L29" s="79">
        <f t="shared" ca="1" si="12"/>
        <v>3874.443093472612</v>
      </c>
      <c r="N29" s="2" t="s">
        <v>230</v>
      </c>
      <c r="P29" s="79">
        <f t="shared" ca="1" si="13"/>
        <v>86.433430854039017</v>
      </c>
      <c r="Q29" s="79">
        <f t="shared" ca="1" si="13"/>
        <v>2774.8768038586077</v>
      </c>
      <c r="R29" s="79">
        <f t="shared" ca="1" si="13"/>
        <v>818.21002403426849</v>
      </c>
      <c r="S29" s="79">
        <f t="shared" ca="1" si="13"/>
        <v>194.92283472569702</v>
      </c>
      <c r="T29" s="79">
        <f t="shared" ca="1" si="13"/>
        <v>0</v>
      </c>
      <c r="U29" s="79">
        <f t="shared" ca="1" si="13"/>
        <v>0</v>
      </c>
      <c r="V29" s="38"/>
      <c r="W29" s="38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>
        <f>'Total Allocation - North'!AT29-'Total Allo - Gas Union North'!AT29</f>
        <v>0</v>
      </c>
      <c r="AU29" s="145">
        <f ca="1">'Total Allocation - North'!AU29-'Total Allo - Gas Union North'!AU29</f>
        <v>310.34216371686807</v>
      </c>
      <c r="AV29" s="96"/>
      <c r="AW29" s="79">
        <f ca="1">'Total Allocation - North'!AW29-'Total Allo - Gas Union North'!AW29</f>
        <v>2.8293170242505226</v>
      </c>
      <c r="AX29" s="79">
        <f ca="1">'Total Allocation - North'!AX29-'Total Allo - Gas Union North'!AX29</f>
        <v>228.01759956432312</v>
      </c>
      <c r="AY29" s="79">
        <f ca="1">'Total Allocation - North'!AY29-'Total Allo - Gas Union North'!AY29</f>
        <v>67.234078774355325</v>
      </c>
      <c r="AZ29" s="79">
        <f ca="1">'Total Allocation - North'!AZ29-'Total Allo - Gas Union North'!AZ29</f>
        <v>12.261168353939096</v>
      </c>
      <c r="BA29" s="79">
        <f ca="1">'Total Allocation - North'!BA29-'Total Allo - Gas Union North'!BA29</f>
        <v>0</v>
      </c>
      <c r="BB29" s="79">
        <f ca="1">'Total Allocation - North'!BB29-'Total Allo - Gas Union North'!BB29</f>
        <v>0</v>
      </c>
      <c r="BC29" s="79"/>
      <c r="BD29" s="79">
        <f>'Total Allocation - North'!BD29-'Total Allo - Gas Union North'!BD29</f>
        <v>0</v>
      </c>
      <c r="BE29" s="145">
        <f ca="1">'Total Allocation - North'!BE29-'Total Allo - Gas Union North'!BE29</f>
        <v>3564.1009297557439</v>
      </c>
      <c r="BF29" s="96"/>
      <c r="BG29" s="79">
        <f>'Total Allocation - North'!BG29-'Total Allo - Gas Union North'!BG29</f>
        <v>83.604113829788488</v>
      </c>
      <c r="BH29" s="79">
        <f>'Total Allocation - North'!BH29-'Total Allo - Gas Union North'!BH29</f>
        <v>2546.8592042942846</v>
      </c>
      <c r="BI29" s="79">
        <f>'Total Allocation - North'!BI29-'Total Allo - Gas Union North'!BI29</f>
        <v>750.97594525991315</v>
      </c>
      <c r="BJ29" s="79">
        <f>'Total Allocation - North'!BJ29-'Total Allo - Gas Union North'!BJ29</f>
        <v>182.66166637175792</v>
      </c>
      <c r="BK29" s="79">
        <f>'Total Allocation - North'!BK29-'Total Allo - Gas Union North'!BK29</f>
        <v>0</v>
      </c>
      <c r="BL29" s="79">
        <f>'Total Allocation - North'!BL29-'Total Allo - Gas Union North'!BL29</f>
        <v>0</v>
      </c>
      <c r="BN29" s="50"/>
    </row>
    <row r="30" spans="1:66" x14ac:dyDescent="0.2">
      <c r="A30" s="2">
        <f t="shared" si="14"/>
        <v>16</v>
      </c>
      <c r="B30" s="31" t="s">
        <v>330</v>
      </c>
      <c r="D30" s="79"/>
      <c r="E30" s="79"/>
      <c r="F30" s="79">
        <f ca="1">'Total Allocation - North'!F30-'Total Allo - Gas Union North'!F30</f>
        <v>13091.814192815707</v>
      </c>
      <c r="L30" s="79">
        <f t="shared" ca="1" si="12"/>
        <v>13091.814192815707</v>
      </c>
      <c r="N30" s="2" t="s">
        <v>222</v>
      </c>
      <c r="P30" s="79">
        <f t="shared" ca="1" si="13"/>
        <v>292.06014632013898</v>
      </c>
      <c r="Q30" s="79">
        <f t="shared" ca="1" si="13"/>
        <v>9376.3595561060993</v>
      </c>
      <c r="R30" s="79">
        <f t="shared" ca="1" si="13"/>
        <v>2764.7466608562368</v>
      </c>
      <c r="S30" s="79">
        <f t="shared" ca="1" si="13"/>
        <v>658.64782953323027</v>
      </c>
      <c r="T30" s="79">
        <f t="shared" ca="1" si="13"/>
        <v>0</v>
      </c>
      <c r="U30" s="79">
        <f t="shared" ca="1" si="13"/>
        <v>0</v>
      </c>
      <c r="V30" s="38"/>
      <c r="W30" s="38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>
        <f>'Total Allocation - North'!AT30-'Total Allo - Gas Union North'!AT30</f>
        <v>0</v>
      </c>
      <c r="AU30" s="145">
        <f ca="1">'Total Allocation - North'!AU30-'Total Allo - Gas Union North'!AU30</f>
        <v>1048.651856681696</v>
      </c>
      <c r="AV30" s="96"/>
      <c r="AW30" s="79">
        <f ca="1">'Total Allocation - North'!AW30-'Total Allo - Gas Union North'!AW30</f>
        <v>9.5603140581576689</v>
      </c>
      <c r="AX30" s="79">
        <f ca="1">'Total Allocation - North'!AX30-'Total Allo - Gas Union North'!AX30</f>
        <v>770.47564622052835</v>
      </c>
      <c r="AY30" s="79">
        <f ca="1">'Total Allocation - North'!AY30-'Total Allo - Gas Union North'!AY30</f>
        <v>227.18518390989405</v>
      </c>
      <c r="AZ30" s="79">
        <f ca="1">'Total Allocation - North'!AZ30-'Total Allo - Gas Union North'!AZ30</f>
        <v>41.430712493115969</v>
      </c>
      <c r="BA30" s="79">
        <f ca="1">'Total Allocation - North'!BA30-'Total Allo - Gas Union North'!BA30</f>
        <v>0</v>
      </c>
      <c r="BB30" s="79">
        <f ca="1">'Total Allocation - North'!BB30-'Total Allo - Gas Union North'!BB30</f>
        <v>0</v>
      </c>
      <c r="BC30" s="79"/>
      <c r="BD30" s="79">
        <f>'Total Allocation - North'!BD30-'Total Allo - Gas Union North'!BD30</f>
        <v>0</v>
      </c>
      <c r="BE30" s="145">
        <f ca="1">'Total Allocation - North'!BE30-'Total Allo - Gas Union North'!BE30</f>
        <v>12043.162336134012</v>
      </c>
      <c r="BF30" s="96"/>
      <c r="BG30" s="79">
        <f>'Total Allocation - North'!BG30-'Total Allo - Gas Union North'!BG30</f>
        <v>282.49983226198134</v>
      </c>
      <c r="BH30" s="79">
        <f>'Total Allocation - North'!BH30-'Total Allo - Gas Union North'!BH30</f>
        <v>8605.8839098855715</v>
      </c>
      <c r="BI30" s="79">
        <f>'Total Allocation - North'!BI30-'Total Allo - Gas Union North'!BI30</f>
        <v>2537.5614769463427</v>
      </c>
      <c r="BJ30" s="79">
        <f>'Total Allocation - North'!BJ30-'Total Allo - Gas Union North'!BJ30</f>
        <v>617.21711704011432</v>
      </c>
      <c r="BK30" s="79">
        <f>'Total Allocation - North'!BK30-'Total Allo - Gas Union North'!BK30</f>
        <v>0</v>
      </c>
      <c r="BL30" s="79">
        <f>'Total Allocation - North'!BL30-'Total Allo - Gas Union North'!BL30</f>
        <v>0</v>
      </c>
      <c r="BN30" s="50"/>
    </row>
    <row r="31" spans="1:66" x14ac:dyDescent="0.2">
      <c r="A31" s="2">
        <f t="shared" si="14"/>
        <v>17</v>
      </c>
      <c r="B31" s="31" t="s">
        <v>331</v>
      </c>
      <c r="D31" s="79"/>
      <c r="E31" s="79"/>
      <c r="F31" s="79">
        <f ca="1">'Total Allocation - North'!F31-'Total Allo - Gas Union North'!F31</f>
        <v>0</v>
      </c>
      <c r="L31" s="79">
        <f t="shared" ca="1" si="12"/>
        <v>0</v>
      </c>
      <c r="N31" s="2" t="s">
        <v>332</v>
      </c>
      <c r="P31" s="79">
        <f t="shared" ca="1" si="13"/>
        <v>0</v>
      </c>
      <c r="Q31" s="79">
        <f t="shared" ca="1" si="13"/>
        <v>0</v>
      </c>
      <c r="R31" s="79">
        <f t="shared" ca="1" si="13"/>
        <v>0</v>
      </c>
      <c r="S31" s="79">
        <f t="shared" ca="1" si="13"/>
        <v>0</v>
      </c>
      <c r="T31" s="79">
        <f t="shared" ca="1" si="13"/>
        <v>0</v>
      </c>
      <c r="U31" s="79">
        <f t="shared" ca="1" si="13"/>
        <v>0</v>
      </c>
      <c r="V31" s="38"/>
      <c r="W31" s="38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>
        <f>'Total Allocation - North'!AT31-'Total Allo - Gas Union North'!AT31</f>
        <v>0</v>
      </c>
      <c r="AU31" s="145">
        <f ca="1">'Total Allocation - North'!AU31-'Total Allo - Gas Union North'!AU31</f>
        <v>0</v>
      </c>
      <c r="AV31" s="96"/>
      <c r="AW31" s="79">
        <f ca="1">'Total Allocation - North'!AW31-'Total Allo - Gas Union North'!AW31</f>
        <v>0</v>
      </c>
      <c r="AX31" s="79">
        <f ca="1">'Total Allocation - North'!AX31-'Total Allo - Gas Union North'!AX31</f>
        <v>0</v>
      </c>
      <c r="AY31" s="79">
        <f ca="1">'Total Allocation - North'!AY31-'Total Allo - Gas Union North'!AY31</f>
        <v>0</v>
      </c>
      <c r="AZ31" s="79">
        <f ca="1">'Total Allocation - North'!AZ31-'Total Allo - Gas Union North'!AZ31</f>
        <v>0</v>
      </c>
      <c r="BA31" s="79">
        <f ca="1">'Total Allocation - North'!BA31-'Total Allo - Gas Union North'!BA31</f>
        <v>0</v>
      </c>
      <c r="BB31" s="79">
        <f ca="1">'Total Allocation - North'!BB31-'Total Allo - Gas Union North'!BB31</f>
        <v>0</v>
      </c>
      <c r="BC31" s="79"/>
      <c r="BD31" s="79">
        <f>'Total Allocation - North'!BD31-'Total Allo - Gas Union North'!BD31</f>
        <v>0</v>
      </c>
      <c r="BE31" s="145">
        <f ca="1">'Total Allocation - North'!BE31-'Total Allo - Gas Union North'!BE31</f>
        <v>0</v>
      </c>
      <c r="BF31" s="96"/>
      <c r="BG31" s="79">
        <f>'Total Allocation - North'!BG31-'Total Allo - Gas Union North'!BG31</f>
        <v>0</v>
      </c>
      <c r="BH31" s="79">
        <f>'Total Allocation - North'!BH31-'Total Allo - Gas Union North'!BH31</f>
        <v>0</v>
      </c>
      <c r="BI31" s="79">
        <f>'Total Allocation - North'!BI31-'Total Allo - Gas Union North'!BI31</f>
        <v>0</v>
      </c>
      <c r="BJ31" s="79">
        <f>'Total Allocation - North'!BJ31-'Total Allo - Gas Union North'!BJ31</f>
        <v>0</v>
      </c>
      <c r="BK31" s="79">
        <f>'Total Allocation - North'!BK31-'Total Allo - Gas Union North'!BK31</f>
        <v>0</v>
      </c>
      <c r="BL31" s="79">
        <f>'Total Allocation - North'!BL31-'Total Allo - Gas Union North'!BL31</f>
        <v>0</v>
      </c>
      <c r="BN31" s="50"/>
    </row>
    <row r="32" spans="1:66" x14ac:dyDescent="0.2">
      <c r="A32" s="2">
        <f t="shared" si="14"/>
        <v>18</v>
      </c>
      <c r="B32" s="31" t="s">
        <v>146</v>
      </c>
      <c r="D32" s="79"/>
      <c r="E32" s="79"/>
      <c r="F32" s="79">
        <f ca="1">'Total Allocation - North'!F32-'Total Allo - Gas Union North'!F32</f>
        <v>0</v>
      </c>
      <c r="L32" s="79">
        <f t="shared" ca="1" si="12"/>
        <v>0</v>
      </c>
      <c r="N32" s="2" t="s">
        <v>229</v>
      </c>
      <c r="P32" s="79">
        <f t="shared" ca="1" si="13"/>
        <v>0</v>
      </c>
      <c r="Q32" s="79">
        <f t="shared" ca="1" si="13"/>
        <v>0</v>
      </c>
      <c r="R32" s="79">
        <f t="shared" ca="1" si="13"/>
        <v>0</v>
      </c>
      <c r="S32" s="79">
        <f t="shared" ca="1" si="13"/>
        <v>0</v>
      </c>
      <c r="T32" s="79">
        <f t="shared" ca="1" si="13"/>
        <v>0</v>
      </c>
      <c r="U32" s="79">
        <f t="shared" ca="1" si="13"/>
        <v>0</v>
      </c>
      <c r="V32" s="38"/>
      <c r="W32" s="38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>
        <f>'Total Allocation - North'!AT32-'Total Allo - Gas Union North'!AT32</f>
        <v>0</v>
      </c>
      <c r="AU32" s="145">
        <f ca="1">'Total Allocation - North'!AU32-'Total Allo - Gas Union North'!AU32</f>
        <v>0</v>
      </c>
      <c r="AV32" s="96"/>
      <c r="AW32" s="79">
        <f ca="1">'Total Allocation - North'!AW32-'Total Allo - Gas Union North'!AW32</f>
        <v>0</v>
      </c>
      <c r="AX32" s="79">
        <f ca="1">'Total Allocation - North'!AX32-'Total Allo - Gas Union North'!AX32</f>
        <v>0</v>
      </c>
      <c r="AY32" s="79">
        <f ca="1">'Total Allocation - North'!AY32-'Total Allo - Gas Union North'!AY32</f>
        <v>0</v>
      </c>
      <c r="AZ32" s="79">
        <f ca="1">'Total Allocation - North'!AZ32-'Total Allo - Gas Union North'!AZ32</f>
        <v>0</v>
      </c>
      <c r="BA32" s="79">
        <f ca="1">'Total Allocation - North'!BA32-'Total Allo - Gas Union North'!BA32</f>
        <v>0</v>
      </c>
      <c r="BB32" s="79">
        <f ca="1">'Total Allocation - North'!BB32-'Total Allo - Gas Union North'!BB32</f>
        <v>0</v>
      </c>
      <c r="BC32" s="79"/>
      <c r="BD32" s="79">
        <f>'Total Allocation - North'!BD32-'Total Allo - Gas Union North'!BD32</f>
        <v>0</v>
      </c>
      <c r="BE32" s="145">
        <f ca="1">'Total Allocation - North'!BE32-'Total Allo - Gas Union North'!BE32</f>
        <v>0</v>
      </c>
      <c r="BF32" s="96"/>
      <c r="BG32" s="79">
        <f>'Total Allocation - North'!BG32-'Total Allo - Gas Union North'!BG32</f>
        <v>0</v>
      </c>
      <c r="BH32" s="79">
        <f>'Total Allocation - North'!BH32-'Total Allo - Gas Union North'!BH32</f>
        <v>0</v>
      </c>
      <c r="BI32" s="79">
        <f>'Total Allocation - North'!BI32-'Total Allo - Gas Union North'!BI32</f>
        <v>0</v>
      </c>
      <c r="BJ32" s="79">
        <f>'Total Allocation - North'!BJ32-'Total Allo - Gas Union North'!BJ32</f>
        <v>0</v>
      </c>
      <c r="BK32" s="79">
        <f>'Total Allocation - North'!BK32-'Total Allo - Gas Union North'!BK32</f>
        <v>0</v>
      </c>
      <c r="BL32" s="79">
        <f>'Total Allocation - North'!BL32-'Total Allo - Gas Union North'!BL32</f>
        <v>0</v>
      </c>
      <c r="BN32" s="50"/>
    </row>
    <row r="33" spans="1:66" x14ac:dyDescent="0.2">
      <c r="A33" s="2">
        <f t="shared" si="14"/>
        <v>19</v>
      </c>
      <c r="B33" s="31" t="s">
        <v>95</v>
      </c>
      <c r="D33" s="79"/>
      <c r="E33" s="79"/>
      <c r="F33" s="79">
        <f ca="1">'Total Allocation - North'!F33-'Total Allo - Gas Union North'!F33</f>
        <v>0</v>
      </c>
      <c r="H33" s="79">
        <f>'Total Allocation - North'!H33-'Total Allo - Gas Union North'!H33</f>
        <v>0</v>
      </c>
      <c r="J33" s="2" t="s">
        <v>251</v>
      </c>
      <c r="L33" s="79">
        <f t="shared" ca="1" si="12"/>
        <v>0</v>
      </c>
      <c r="N33" s="2" t="s">
        <v>335</v>
      </c>
      <c r="P33" s="79">
        <f t="shared" ref="P33:U33" ca="1" si="15">ROUND(AW33+BG33,0)</f>
        <v>0</v>
      </c>
      <c r="Q33" s="79">
        <f t="shared" ca="1" si="15"/>
        <v>0</v>
      </c>
      <c r="R33" s="79">
        <f t="shared" ca="1" si="15"/>
        <v>0</v>
      </c>
      <c r="S33" s="79">
        <f t="shared" ca="1" si="15"/>
        <v>0</v>
      </c>
      <c r="T33" s="79">
        <f t="shared" ca="1" si="15"/>
        <v>0</v>
      </c>
      <c r="U33" s="79">
        <f t="shared" ca="1" si="15"/>
        <v>0</v>
      </c>
      <c r="V33" s="38"/>
      <c r="W33" s="38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>
        <f>'Total Allocation - North'!AT33-'Total Allo - Gas Union North'!AT33</f>
        <v>0</v>
      </c>
      <c r="AU33" s="145">
        <f ca="1">'Total Allocation - North'!AU33-'Total Allo - Gas Union North'!AU33</f>
        <v>3.2960313207652803E-6</v>
      </c>
      <c r="AV33" s="96"/>
      <c r="AW33" s="79">
        <f ca="1">'Total Allocation - North'!AW33-'Total Allo - Gas Union North'!AW33</f>
        <v>1.1398979538057574E-8</v>
      </c>
      <c r="AX33" s="79">
        <f ca="1">'Total Allocation - North'!AX33-'Total Allo - Gas Union North'!AX33</f>
        <v>2.3291587751828047E-6</v>
      </c>
      <c r="AY33" s="79">
        <f ca="1">'Total Allocation - North'!AY33-'Total Allo - Gas Union North'!AY33</f>
        <v>6.1989546651375349E-7</v>
      </c>
      <c r="AZ33" s="79">
        <f ca="1">'Total Allocation - North'!AZ33-'Total Allo - Gas Union North'!AZ33</f>
        <v>2.9283201641305823E-7</v>
      </c>
      <c r="BA33" s="79">
        <f ca="1">'Total Allocation - North'!BA33-'Total Allo - Gas Union North'!BA33</f>
        <v>4.2746082673517094E-8</v>
      </c>
      <c r="BB33" s="79">
        <f ca="1">'Total Allocation - North'!BB33-'Total Allo - Gas Union North'!BB33</f>
        <v>0</v>
      </c>
      <c r="BC33" s="79"/>
      <c r="BD33" s="79">
        <f>'Total Allocation - North'!BD33-'Total Allo - Gas Union North'!BD33</f>
        <v>0</v>
      </c>
      <c r="BE33" s="145">
        <f>'Total Allocation - North'!BE33-'Total Allo - Gas Union North'!BE33</f>
        <v>8.9263017706286973E-6</v>
      </c>
      <c r="BF33" s="96"/>
      <c r="BG33" s="79">
        <f>'Total Allocation - North'!BG33-'Total Allo - Gas Union North'!BG33</f>
        <v>9.9648000073671028E-8</v>
      </c>
      <c r="BH33" s="79">
        <f>'Total Allocation - North'!BH33-'Total Allo - Gas Union North'!BH33</f>
        <v>5.9124597555637592E-6</v>
      </c>
      <c r="BI33" s="79">
        <f>'Total Allocation - North'!BI33-'Total Allo - Gas Union North'!BI33</f>
        <v>2.0764707358011947E-6</v>
      </c>
      <c r="BJ33" s="79">
        <f>'Total Allocation - North'!BJ33-'Total Allo - Gas Union North'!BJ33</f>
        <v>8.3280008311703568E-7</v>
      </c>
      <c r="BK33" s="79">
        <f>'Total Allocation - North'!BK33-'Total Allo - Gas Union North'!BK33</f>
        <v>4.9231806409366641E-9</v>
      </c>
      <c r="BL33" s="79">
        <f>'Total Allocation - North'!BL33-'Total Allo - Gas Union North'!BL33</f>
        <v>0</v>
      </c>
      <c r="BN33" s="50"/>
    </row>
    <row r="34" spans="1:66" x14ac:dyDescent="0.2">
      <c r="A34" s="2">
        <f t="shared" si="14"/>
        <v>20</v>
      </c>
      <c r="B34" s="31" t="s">
        <v>99</v>
      </c>
      <c r="D34" s="41"/>
      <c r="F34" s="41">
        <f ca="1">SUM(F27:F33)</f>
        <v>17564.045936833943</v>
      </c>
      <c r="H34" s="41">
        <f>SUM(H27:H33)</f>
        <v>0</v>
      </c>
      <c r="L34" s="41">
        <f ca="1">SUM(L27:L33)</f>
        <v>17564.045936833943</v>
      </c>
      <c r="P34" s="41">
        <f t="shared" ref="P34:U34" ca="1" si="16">SUM(P27:P33)</f>
        <v>391.82940963983287</v>
      </c>
      <c r="Q34" s="41">
        <f t="shared" ca="1" si="16"/>
        <v>12579.372693365396</v>
      </c>
      <c r="R34" s="41">
        <f t="shared" ca="1" si="16"/>
        <v>3709.1984838614017</v>
      </c>
      <c r="S34" s="41">
        <f t="shared" ca="1" si="16"/>
        <v>883.64534996730981</v>
      </c>
      <c r="T34" s="41">
        <f t="shared" ca="1" si="16"/>
        <v>0</v>
      </c>
      <c r="U34" s="41">
        <f t="shared" ca="1" si="16"/>
        <v>0</v>
      </c>
      <c r="V34" s="50"/>
      <c r="W34" s="50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U34" s="146">
        <f ca="1">SUM(AU27:AU33)+AT33</f>
        <v>1406.87678226918</v>
      </c>
      <c r="AW34" s="41">
        <f t="shared" ref="AW34:BB34" ca="1" si="17">SUM(AW27:AW33)</f>
        <v>12.826167020413481</v>
      </c>
      <c r="AX34" s="41">
        <f t="shared" ca="1" si="17"/>
        <v>1033.6741321419236</v>
      </c>
      <c r="AY34" s="41">
        <f t="shared" ca="1" si="17"/>
        <v>304.7928236459943</v>
      </c>
      <c r="AZ34" s="41">
        <f t="shared" ca="1" si="17"/>
        <v>55.583659418102684</v>
      </c>
      <c r="BA34" s="41">
        <f t="shared" ca="1" si="17"/>
        <v>4.2746082673517094E-8</v>
      </c>
      <c r="BB34" s="41">
        <f t="shared" ca="1" si="17"/>
        <v>0</v>
      </c>
      <c r="BC34" s="50"/>
      <c r="BE34" s="146">
        <f ca="1">SUM(BE27:BE33)+BD33</f>
        <v>16157.169166787095</v>
      </c>
      <c r="BG34" s="41">
        <f t="shared" ref="BG34:BL34" si="18">SUM(BG27:BG33)</f>
        <v>379.00324273046641</v>
      </c>
      <c r="BH34" s="41">
        <f t="shared" si="18"/>
        <v>11545.698569465092</v>
      </c>
      <c r="BI34" s="41">
        <f t="shared" si="18"/>
        <v>3404.4056629117736</v>
      </c>
      <c r="BJ34" s="41">
        <f t="shared" si="18"/>
        <v>828.06169167483915</v>
      </c>
      <c r="BK34" s="41">
        <f t="shared" si="18"/>
        <v>4.9231806409366641E-9</v>
      </c>
      <c r="BL34" s="41">
        <f t="shared" si="18"/>
        <v>0</v>
      </c>
      <c r="BN34" s="50"/>
    </row>
    <row r="35" spans="1:66" x14ac:dyDescent="0.2">
      <c r="D35" s="50"/>
      <c r="P35" s="79"/>
      <c r="Q35" s="79"/>
      <c r="R35" s="79"/>
      <c r="S35" s="79"/>
      <c r="T35" s="79"/>
      <c r="U35" s="79"/>
      <c r="V35" s="38"/>
      <c r="W35" s="38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</row>
    <row r="36" spans="1:66" x14ac:dyDescent="0.2">
      <c r="B36" s="77" t="s">
        <v>100</v>
      </c>
      <c r="P36" s="79"/>
      <c r="Q36" s="79"/>
      <c r="R36" s="79"/>
      <c r="S36" s="79"/>
      <c r="T36" s="79"/>
      <c r="U36" s="79"/>
      <c r="V36" s="38"/>
      <c r="W36" s="38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</row>
    <row r="37" spans="1:66" x14ac:dyDescent="0.2">
      <c r="A37" s="2">
        <f>A34+1</f>
        <v>21</v>
      </c>
      <c r="B37" s="31" t="s">
        <v>287</v>
      </c>
      <c r="D37" s="79"/>
      <c r="E37" s="79"/>
      <c r="F37" s="79">
        <f ca="1">'Total Allocation - North'!F37-'Total Allo - Gas Union North'!F37</f>
        <v>38330.586650959587</v>
      </c>
      <c r="G37" s="79"/>
      <c r="H37" s="79"/>
      <c r="I37" s="79"/>
      <c r="J37" s="123"/>
      <c r="K37" s="79"/>
      <c r="L37" s="79">
        <f t="shared" ref="L37:L51" ca="1" si="19">F37-H37</f>
        <v>38330.586650959587</v>
      </c>
      <c r="N37" s="2" t="s">
        <v>290</v>
      </c>
      <c r="P37" s="79">
        <f ca="1">'Total Allocation - North'!P37-'Total Allo - Gas Union North'!P37</f>
        <v>0</v>
      </c>
      <c r="Q37" s="79">
        <f ca="1">'Total Allocation - North'!Q37-'Total Allo - Gas Union North'!Q37</f>
        <v>15763.964730632371</v>
      </c>
      <c r="R37" s="79">
        <f ca="1">'Total Allocation - North'!R37-'Total Allo - Gas Union North'!R37</f>
        <v>4697.459346119319</v>
      </c>
      <c r="S37" s="79">
        <f ca="1">'Total Allocation - North'!S37-'Total Allo - Gas Union North'!S37</f>
        <v>12352.887119603465</v>
      </c>
      <c r="T37" s="79">
        <f ca="1">'Total Allocation - North'!T37-'Total Allo - Gas Union North'!T37</f>
        <v>0</v>
      </c>
      <c r="U37" s="79">
        <f ca="1">'Total Allocation - North'!U37-'Total Allo - Gas Union North'!U37</f>
        <v>5516.2754546044298</v>
      </c>
      <c r="V37" s="38"/>
      <c r="W37" s="38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</row>
    <row r="38" spans="1:66" x14ac:dyDescent="0.2">
      <c r="A38" s="2">
        <f>A37+1</f>
        <v>22</v>
      </c>
      <c r="B38" s="31" t="s">
        <v>288</v>
      </c>
      <c r="D38" s="79"/>
      <c r="E38" s="79"/>
      <c r="F38" s="79">
        <f ca="1">'Total Allocation - North'!F38-'Total Allo - Gas Union North'!F38</f>
        <v>7592.4604053034973</v>
      </c>
      <c r="G38" s="79"/>
      <c r="H38" s="79"/>
      <c r="I38" s="79"/>
      <c r="J38" s="123"/>
      <c r="K38" s="79"/>
      <c r="L38" s="79">
        <f t="shared" ca="1" si="19"/>
        <v>7592.4604053034973</v>
      </c>
      <c r="N38" s="2" t="s">
        <v>291</v>
      </c>
      <c r="P38" s="79">
        <f ca="1">'Total Allocation - North'!P38-'Total Allo - Gas Union North'!P38</f>
        <v>0</v>
      </c>
      <c r="Q38" s="79">
        <f ca="1">'Total Allocation - North'!Q38-'Total Allo - Gas Union North'!Q38</f>
        <v>5454.555356486916</v>
      </c>
      <c r="R38" s="79">
        <f ca="1">'Total Allocation - North'!R38-'Total Allo - Gas Union North'!R38</f>
        <v>1625.3875516776045</v>
      </c>
      <c r="S38" s="79">
        <f ca="1">'Total Allocation - North'!S38-'Total Allo - Gas Union North'!S38</f>
        <v>438.68692459787212</v>
      </c>
      <c r="T38" s="79">
        <f ca="1">'Total Allocation - North'!T38-'Total Allo - Gas Union North'!T38</f>
        <v>0</v>
      </c>
      <c r="U38" s="79">
        <f ca="1">'Total Allocation - North'!U38-'Total Allo - Gas Union North'!U38</f>
        <v>73.830572541105184</v>
      </c>
      <c r="V38" s="38"/>
      <c r="W38" s="38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</row>
    <row r="39" spans="1:66" x14ac:dyDescent="0.2">
      <c r="A39" s="2">
        <f t="shared" ref="A39:A52" si="20">A38+1</f>
        <v>23</v>
      </c>
      <c r="B39" s="31" t="s">
        <v>289</v>
      </c>
      <c r="D39" s="79"/>
      <c r="E39" s="79"/>
      <c r="F39" s="79">
        <f ca="1">'Total Allocation - North'!F39-'Total Allo - Gas Union North'!F39</f>
        <v>40441.033369543518</v>
      </c>
      <c r="G39" s="79"/>
      <c r="H39" s="79"/>
      <c r="I39" s="79"/>
      <c r="J39" s="123"/>
      <c r="K39" s="79"/>
      <c r="L39" s="79">
        <f t="shared" ca="1" si="19"/>
        <v>40441.033369543518</v>
      </c>
      <c r="N39" s="2" t="s">
        <v>292</v>
      </c>
      <c r="P39" s="79">
        <f ca="1">'Total Allocation - North'!P39-'Total Allo - Gas Union North'!P39</f>
        <v>0</v>
      </c>
      <c r="Q39" s="79">
        <f ca="1">'Total Allocation - North'!Q39-'Total Allo - Gas Union North'!Q39</f>
        <v>29063.293262883049</v>
      </c>
      <c r="R39" s="79">
        <f ca="1">'Total Allocation - North'!R39-'Total Allo - Gas Union North'!R39</f>
        <v>8660.4887095088015</v>
      </c>
      <c r="S39" s="79">
        <f ca="1">'Total Allocation - North'!S39-'Total Allo - Gas Union North'!S39</f>
        <v>314.54357002664932</v>
      </c>
      <c r="T39" s="79">
        <f ca="1">'Total Allocation - North'!T39-'Total Allo - Gas Union North'!T39</f>
        <v>2402.7078271250202</v>
      </c>
      <c r="U39" s="79">
        <f ca="1">'Total Allocation - North'!U39-'Total Allo - Gas Union North'!U39</f>
        <v>0</v>
      </c>
      <c r="V39" s="38"/>
      <c r="W39" s="38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</row>
    <row r="40" spans="1:66" x14ac:dyDescent="0.2">
      <c r="B40" s="31" t="s">
        <v>163</v>
      </c>
      <c r="D40" s="79"/>
      <c r="E40" s="79"/>
      <c r="F40" s="79"/>
      <c r="G40" s="79"/>
      <c r="H40" s="79"/>
      <c r="I40" s="79"/>
      <c r="J40" s="123"/>
      <c r="K40" s="79"/>
      <c r="L40" s="79"/>
      <c r="P40" s="79"/>
      <c r="Q40" s="79"/>
      <c r="R40" s="79"/>
      <c r="S40" s="79"/>
      <c r="T40" s="79"/>
      <c r="U40" s="79"/>
    </row>
    <row r="41" spans="1:66" x14ac:dyDescent="0.2">
      <c r="A41" s="2">
        <f>A39+1</f>
        <v>24</v>
      </c>
      <c r="B41" s="82" t="s">
        <v>165</v>
      </c>
      <c r="D41" s="79"/>
      <c r="E41" s="79"/>
      <c r="F41" s="79">
        <f ca="1">'Total Allocation - North'!F41-'Total Allo - Gas Union North'!F41</f>
        <v>8645.6703243885077</v>
      </c>
      <c r="G41" s="79"/>
      <c r="H41" s="79"/>
      <c r="I41" s="79"/>
      <c r="J41" s="123"/>
      <c r="K41" s="79"/>
      <c r="L41" s="79">
        <f t="shared" ca="1" si="19"/>
        <v>8645.6703243885077</v>
      </c>
      <c r="N41" s="2" t="s">
        <v>161</v>
      </c>
      <c r="P41" s="79">
        <f ca="1">'Total Allocation - North'!P41-'Total Allo - Gas Union North'!P41</f>
        <v>0</v>
      </c>
      <c r="Q41" s="79">
        <f ca="1">'Total Allocation - North'!Q41-'Total Allo - Gas Union North'!Q41</f>
        <v>5543.3733161213358</v>
      </c>
      <c r="R41" s="79">
        <f ca="1">'Total Allocation - North'!R41-'Total Allo - Gas Union North'!R41</f>
        <v>1310.7067199345292</v>
      </c>
      <c r="S41" s="79">
        <f ca="1">'Total Allocation - North'!S41-'Total Allo - Gas Union North'!S41</f>
        <v>974.85319456500577</v>
      </c>
      <c r="T41" s="79">
        <f ca="1">'Total Allocation - North'!T41-'Total Allo - Gas Union North'!T41</f>
        <v>65.912255493508766</v>
      </c>
      <c r="U41" s="79">
        <f ca="1">'Total Allocation - North'!U41-'Total Allo - Gas Union North'!U41</f>
        <v>750.82483827412887</v>
      </c>
      <c r="V41" s="38"/>
      <c r="W41" s="38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79"/>
    </row>
    <row r="42" spans="1:66" x14ac:dyDescent="0.2">
      <c r="A42" s="2">
        <f t="shared" si="20"/>
        <v>25</v>
      </c>
      <c r="B42" s="82" t="s">
        <v>166</v>
      </c>
      <c r="D42" s="79"/>
      <c r="E42" s="79"/>
      <c r="F42" s="79">
        <f ca="1">'Total Allocation - North'!F42-'Total Allo - Gas Union North'!F42</f>
        <v>3851.5934536775621</v>
      </c>
      <c r="G42" s="79"/>
      <c r="H42" s="79"/>
      <c r="I42" s="79"/>
      <c r="J42" s="123"/>
      <c r="K42" s="79"/>
      <c r="L42" s="79">
        <f t="shared" ca="1" si="19"/>
        <v>3851.5934536775621</v>
      </c>
      <c r="N42" s="2" t="s">
        <v>162</v>
      </c>
      <c r="P42" s="79">
        <f ca="1">'Total Allocation - North'!P42-'Total Allo - Gas Union North'!P42</f>
        <v>0</v>
      </c>
      <c r="Q42" s="79">
        <f ca="1">'Total Allocation - North'!Q42-'Total Allo - Gas Union North'!Q42</f>
        <v>2120.0734295659363</v>
      </c>
      <c r="R42" s="79">
        <f ca="1">'Total Allocation - North'!R42-'Total Allo - Gas Union North'!R42</f>
        <v>698.31373291275645</v>
      </c>
      <c r="S42" s="79">
        <f ca="1">'Total Allocation - North'!S42-'Total Allo - Gas Union North'!S42</f>
        <v>691.62774075201389</v>
      </c>
      <c r="T42" s="79">
        <f ca="1">'Total Allocation - North'!T42-'Total Allo - Gas Union North'!T42</f>
        <v>26.649792532186531</v>
      </c>
      <c r="U42" s="79">
        <f ca="1">'Total Allocation - North'!U42-'Total Allo - Gas Union North'!U42</f>
        <v>314.92875791466878</v>
      </c>
      <c r="V42" s="38"/>
      <c r="W42" s="38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</row>
    <row r="43" spans="1:66" x14ac:dyDescent="0.2">
      <c r="A43" s="2">
        <f t="shared" si="20"/>
        <v>26</v>
      </c>
      <c r="B43" s="31" t="s">
        <v>101</v>
      </c>
      <c r="D43" s="79"/>
      <c r="E43" s="79"/>
      <c r="F43" s="79">
        <f ca="1">'Total Allocation - North'!F43-'Total Allo - Gas Union North'!F43</f>
        <v>50861.099722004037</v>
      </c>
      <c r="G43" s="79"/>
      <c r="H43" s="79"/>
      <c r="I43" s="79"/>
      <c r="J43" s="123"/>
      <c r="K43" s="79"/>
      <c r="L43" s="79">
        <f t="shared" ca="1" si="19"/>
        <v>50861.099722004037</v>
      </c>
      <c r="N43" s="2" t="s">
        <v>220</v>
      </c>
      <c r="P43" s="79">
        <f ca="1">'Total Allocation - North'!P43-'Total Allo - Gas Union North'!P43</f>
        <v>0</v>
      </c>
      <c r="Q43" s="79">
        <f ca="1">'Total Allocation - North'!Q43-'Total Allo - Gas Union North'!Q43</f>
        <v>50549.078077500671</v>
      </c>
      <c r="R43" s="79">
        <f ca="1">'Total Allocation - North'!R43-'Total Allo - Gas Union North'!R43</f>
        <v>301.36163577047694</v>
      </c>
      <c r="S43" s="79">
        <f ca="1">'Total Allocation - North'!S43-'Total Allo - Gas Union North'!S43</f>
        <v>8.4733402748662137</v>
      </c>
      <c r="T43" s="79">
        <f ca="1">'Total Allocation - North'!T43-'Total Allo - Gas Union North'!T43</f>
        <v>0.54666711450749772</v>
      </c>
      <c r="U43" s="79">
        <f ca="1">'Total Allocation - North'!U43-'Total Allo - Gas Union North'!U43</f>
        <v>1.6400013435224929</v>
      </c>
      <c r="V43" s="38"/>
      <c r="W43" s="38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</row>
    <row r="44" spans="1:66" x14ac:dyDescent="0.2">
      <c r="A44" s="2">
        <f t="shared" si="20"/>
        <v>27</v>
      </c>
      <c r="B44" s="31" t="s">
        <v>102</v>
      </c>
      <c r="D44" s="79"/>
      <c r="E44" s="79"/>
      <c r="F44" s="79">
        <f ca="1">'Total Allocation - North'!F44-'Total Allo - Gas Union North'!F44</f>
        <v>70561.096384294826</v>
      </c>
      <c r="G44" s="79"/>
      <c r="H44" s="79"/>
      <c r="I44" s="79"/>
      <c r="J44" s="123"/>
      <c r="K44" s="79"/>
      <c r="L44" s="79">
        <f t="shared" ca="1" si="19"/>
        <v>70561.096384294826</v>
      </c>
      <c r="N44" s="2" t="s">
        <v>220</v>
      </c>
      <c r="P44" s="79">
        <f ca="1">'Total Allocation - North'!P44-'Total Allo - Gas Union North'!P44</f>
        <v>0</v>
      </c>
      <c r="Q44" s="79">
        <f ca="1">'Total Allocation - North'!Q44-'Total Allo - Gas Union North'!Q44</f>
        <v>70128.219599244432</v>
      </c>
      <c r="R44" s="79">
        <f ca="1">'Total Allocation - North'!R44-'Total Allo - Gas Union North'!R44</f>
        <v>418.0878420709758</v>
      </c>
      <c r="S44" s="79">
        <f ca="1">'Total Allocation - North'!S44-'Total Allo - Gas Union North'!S44</f>
        <v>11.75531365030823</v>
      </c>
      <c r="T44" s="79">
        <f ca="1">'Total Allocation - North'!T44-'Total Allo - Gas Union North'!T44</f>
        <v>0.75840733227795021</v>
      </c>
      <c r="U44" s="79">
        <f ca="1">'Total Allocation - North'!U44-'Total Allo - Gas Union North'!U44</f>
        <v>2.2752219968338507</v>
      </c>
      <c r="V44" s="38"/>
      <c r="W44" s="38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</row>
    <row r="45" spans="1:66" x14ac:dyDescent="0.2">
      <c r="A45" s="2">
        <f t="shared" si="20"/>
        <v>28</v>
      </c>
      <c r="B45" s="31" t="s">
        <v>103</v>
      </c>
      <c r="D45" s="79"/>
      <c r="E45" s="79"/>
      <c r="F45" s="79">
        <f ca="1">'Total Allocation - North'!F45-'Total Allo - Gas Union North'!F45</f>
        <v>30043.0405771066</v>
      </c>
      <c r="G45" s="79"/>
      <c r="H45" s="79"/>
      <c r="I45" s="79"/>
      <c r="J45" s="123"/>
      <c r="K45" s="79"/>
      <c r="L45" s="79">
        <f t="shared" ca="1" si="19"/>
        <v>30043.0405771066</v>
      </c>
      <c r="N45" s="2" t="s">
        <v>190</v>
      </c>
      <c r="P45" s="79">
        <f ca="1">'Total Allocation - North'!P45-'Total Allo - Gas Union North'!P45</f>
        <v>0</v>
      </c>
      <c r="Q45" s="79">
        <f ca="1">'Total Allocation - North'!Q45-'Total Allo - Gas Union North'!Q45</f>
        <v>27767.63814061306</v>
      </c>
      <c r="R45" s="79">
        <f ca="1">'Total Allocation - North'!R45-'Total Allo - Gas Union North'!R45</f>
        <v>1738.7233452398921</v>
      </c>
      <c r="S45" s="79">
        <f ca="1">'Total Allocation - North'!S45-'Total Allo - Gas Union North'!S45</f>
        <v>319.91788802240245</v>
      </c>
      <c r="T45" s="79">
        <f ca="1">'Total Allocation - North'!T45-'Total Allo - Gas Union North'!T45</f>
        <v>12.596493594735341</v>
      </c>
      <c r="U45" s="79">
        <f ca="1">'Total Allocation - North'!U45-'Total Allo - Gas Union North'!U45</f>
        <v>204.16470963651264</v>
      </c>
      <c r="V45" s="38"/>
      <c r="W45" s="38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</row>
    <row r="46" spans="1:66" x14ac:dyDescent="0.2">
      <c r="A46" s="2">
        <f t="shared" si="20"/>
        <v>29</v>
      </c>
      <c r="B46" s="31" t="s">
        <v>186</v>
      </c>
      <c r="D46" s="79"/>
      <c r="E46" s="79"/>
      <c r="F46" s="79">
        <f ca="1">'Total Allocation - North'!F46-'Total Allo - Gas Union North'!F46</f>
        <v>5683.8498102281874</v>
      </c>
      <c r="G46" s="79"/>
      <c r="H46" s="79"/>
      <c r="I46" s="79"/>
      <c r="J46" s="123"/>
      <c r="K46" s="79"/>
      <c r="L46" s="79">
        <f t="shared" ca="1" si="19"/>
        <v>5683.8498102281874</v>
      </c>
      <c r="N46" s="2" t="s">
        <v>191</v>
      </c>
      <c r="P46" s="79">
        <f ca="1">'Total Allocation - North'!P46-'Total Allo - Gas Union North'!P46</f>
        <v>0</v>
      </c>
      <c r="Q46" s="79">
        <f ca="1">'Total Allocation - North'!Q46-'Total Allo - Gas Union North'!Q46</f>
        <v>1871.2448447462948</v>
      </c>
      <c r="R46" s="79">
        <f ca="1">'Total Allocation - North'!R46-'Total Allo - Gas Union North'!R46</f>
        <v>2665.7928960646054</v>
      </c>
      <c r="S46" s="79">
        <f ca="1">'Total Allocation - North'!S46-'Total Allo - Gas Union North'!S46</f>
        <v>829.92189522890521</v>
      </c>
      <c r="T46" s="79">
        <f ca="1">'Total Allocation - North'!T46-'Total Allo - Gas Union North'!T46</f>
        <v>10.922117652601735</v>
      </c>
      <c r="U46" s="79">
        <f ca="1">'Total Allocation - North'!U46-'Total Allo - Gas Union North'!U46</f>
        <v>305.96805653577985</v>
      </c>
      <c r="V46" s="38"/>
      <c r="W46" s="38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79"/>
      <c r="AK46" s="79"/>
      <c r="AL46" s="79"/>
      <c r="AM46" s="79"/>
      <c r="AN46" s="79"/>
      <c r="AO46" s="79"/>
      <c r="AP46" s="79"/>
      <c r="AQ46" s="79"/>
      <c r="AR46" s="79"/>
      <c r="AS46" s="79"/>
    </row>
    <row r="47" spans="1:66" x14ac:dyDescent="0.2">
      <c r="B47" s="31" t="s">
        <v>164</v>
      </c>
      <c r="D47" s="79"/>
      <c r="E47" s="79"/>
      <c r="F47" s="79"/>
      <c r="G47" s="79"/>
      <c r="H47" s="79"/>
      <c r="I47" s="79"/>
      <c r="J47" s="123"/>
      <c r="K47" s="79"/>
      <c r="L47" s="79"/>
      <c r="P47" s="79"/>
      <c r="Q47" s="79"/>
      <c r="R47" s="79"/>
      <c r="S47" s="79"/>
      <c r="T47" s="79"/>
      <c r="U47" s="79"/>
      <c r="V47" s="38"/>
      <c r="W47" s="38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79"/>
      <c r="AS47" s="79"/>
    </row>
    <row r="48" spans="1:66" x14ac:dyDescent="0.2">
      <c r="A48" s="2">
        <f>A46+1</f>
        <v>30</v>
      </c>
      <c r="B48" s="82" t="s">
        <v>176</v>
      </c>
      <c r="D48" s="79"/>
      <c r="F48" s="79">
        <f ca="1">'Total Allocation - North'!F48-'Total Allo - Gas Union North'!F48</f>
        <v>1192.0455207869995</v>
      </c>
      <c r="L48" s="79">
        <f t="shared" ca="1" si="19"/>
        <v>1192.0455207869995</v>
      </c>
      <c r="N48" s="2" t="s">
        <v>223</v>
      </c>
      <c r="P48" s="79">
        <f ca="1">'Total Allocation - North'!P48-'Total Allo - Gas Union North'!P48</f>
        <v>0</v>
      </c>
      <c r="Q48" s="79">
        <f ca="1">'Total Allocation - North'!Q48-'Total Allo - Gas Union North'!Q48</f>
        <v>1084.7339146413624</v>
      </c>
      <c r="R48" s="79">
        <f ca="1">'Total Allocation - North'!R48-'Total Allo - Gas Union North'!R48</f>
        <v>6.4669267833301092</v>
      </c>
      <c r="S48" s="79">
        <f ca="1">'Total Allocation - North'!S48-'Total Allo - Gas Union North'!S48</f>
        <v>80.158591287987662</v>
      </c>
      <c r="T48" s="79">
        <f ca="1">'Total Allocation - North'!T48-'Total Allo - Gas Union North'!T48</f>
        <v>5.1715220185798501</v>
      </c>
      <c r="U48" s="79">
        <f ca="1">'Total Allocation - North'!U48-'Total Allo - Gas Union North'!U48</f>
        <v>15.514566055739548</v>
      </c>
      <c r="V48" s="38"/>
      <c r="W48" s="38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79"/>
      <c r="AQ48" s="79"/>
      <c r="AR48" s="79"/>
      <c r="AS48" s="79"/>
    </row>
    <row r="49" spans="1:45" x14ac:dyDescent="0.2">
      <c r="A49" s="2">
        <f t="shared" si="20"/>
        <v>31</v>
      </c>
      <c r="B49" s="82" t="s">
        <v>72</v>
      </c>
      <c r="D49" s="79"/>
      <c r="F49" s="79">
        <f ca="1">'Total Allocation - North'!F49-'Total Allo - Gas Union North'!F49</f>
        <v>12448.058509013845</v>
      </c>
      <c r="H49" s="79">
        <f>'Total Allocation - North'!H49-'Total Allo - Gas Union North'!H49</f>
        <v>1054.1803104527503</v>
      </c>
      <c r="J49" s="2" t="s">
        <v>341</v>
      </c>
      <c r="L49" s="79">
        <f t="shared" ca="1" si="19"/>
        <v>11393.878198561095</v>
      </c>
      <c r="N49" s="2" t="s">
        <v>220</v>
      </c>
      <c r="P49" s="79">
        <f ca="1">'Total Allocation - North'!P49-'Total Allo - Gas Union North'!P49</f>
        <v>0</v>
      </c>
      <c r="Q49" s="79">
        <f ca="1">'Total Allocation - North'!Q49-'Total Allo - Gas Union North'!Q49</f>
        <v>12168.584910245138</v>
      </c>
      <c r="R49" s="79">
        <f ca="1">'Total Allocation - North'!R49-'Total Allo - Gas Union North'!R49</f>
        <v>72.553323348027718</v>
      </c>
      <c r="S49" s="79">
        <f ca="1">'Total Allocation - North'!S49-'Total Allo - Gas Union North'!S49</f>
        <v>164.47509071900294</v>
      </c>
      <c r="T49" s="79">
        <f ca="1">'Total Allocation - North'!T49-'Total Allo - Gas Union North'!T49</f>
        <v>10.611296175419541</v>
      </c>
      <c r="U49" s="79">
        <f ca="1">'Total Allocation - North'!U49-'Total Allo - Gas Union North'!U49</f>
        <v>31.833888526258626</v>
      </c>
      <c r="V49" s="38"/>
      <c r="W49" s="38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</row>
    <row r="50" spans="1:45" x14ac:dyDescent="0.2">
      <c r="A50" s="2">
        <f t="shared" si="20"/>
        <v>32</v>
      </c>
      <c r="B50" s="82" t="s">
        <v>174</v>
      </c>
      <c r="D50" s="79"/>
      <c r="F50" s="79">
        <f ca="1">'Total Allocation - North'!F50-'Total Allo - Gas Union North'!F50</f>
        <v>1562.3280566151036</v>
      </c>
      <c r="L50" s="79">
        <f t="shared" ca="1" si="19"/>
        <v>1562.3280566151036</v>
      </c>
      <c r="N50" s="2" t="s">
        <v>272</v>
      </c>
      <c r="P50" s="79">
        <f ca="1">'Total Allocation - North'!P50-'Total Allo - Gas Union North'!P50</f>
        <v>0</v>
      </c>
      <c r="Q50" s="79">
        <f ca="1">'Total Allocation - North'!Q50-'Total Allo - Gas Union North'!Q50</f>
        <v>0</v>
      </c>
      <c r="R50" s="79">
        <f ca="1">'Total Allocation - North'!R50-'Total Allo - Gas Union North'!R50</f>
        <v>0</v>
      </c>
      <c r="S50" s="79">
        <f ca="1">'Total Allocation - North'!S50-'Total Allo - Gas Union North'!S50</f>
        <v>1241.8505065402105</v>
      </c>
      <c r="T50" s="79">
        <f ca="1">'Total Allocation - North'!T50-'Total Allo - Gas Union North'!T50</f>
        <v>80.119387518723258</v>
      </c>
      <c r="U50" s="79">
        <f ca="1">'Total Allocation - North'!U50-'Total Allo - Gas Union North'!U50</f>
        <v>240.35816255616979</v>
      </c>
      <c r="V50" s="38"/>
      <c r="W50" s="38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</row>
    <row r="51" spans="1:45" x14ac:dyDescent="0.2">
      <c r="A51" s="2">
        <f t="shared" si="20"/>
        <v>33</v>
      </c>
      <c r="B51" s="31" t="s">
        <v>249</v>
      </c>
      <c r="D51" s="79"/>
      <c r="F51" s="79">
        <f ca="1">'Total Allocation - North'!F51-'Total Allo - Gas Union North'!F51</f>
        <v>0</v>
      </c>
      <c r="H51" s="79"/>
      <c r="L51" s="79">
        <f t="shared" ca="1" si="19"/>
        <v>0</v>
      </c>
      <c r="N51" s="2" t="s">
        <v>336</v>
      </c>
      <c r="P51" s="79">
        <f ca="1">'Total Allocation - North'!P51-'Total Allo - Gas Union North'!P51</f>
        <v>0</v>
      </c>
      <c r="Q51" s="79">
        <f ca="1">'Total Allocation - North'!Q51-'Total Allo - Gas Union North'!Q51</f>
        <v>0</v>
      </c>
      <c r="R51" s="79">
        <f ca="1">'Total Allocation - North'!R51-'Total Allo - Gas Union North'!R51</f>
        <v>0</v>
      </c>
      <c r="S51" s="79">
        <f ca="1">'Total Allocation - North'!S51-'Total Allo - Gas Union North'!S51</f>
        <v>0</v>
      </c>
      <c r="T51" s="79">
        <f ca="1">'Total Allocation - North'!T51-'Total Allo - Gas Union North'!T51</f>
        <v>0</v>
      </c>
      <c r="U51" s="79">
        <f ca="1">'Total Allocation - North'!U51-'Total Allo - Gas Union North'!U51</f>
        <v>0</v>
      </c>
      <c r="V51" s="38"/>
      <c r="W51" s="38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</row>
    <row r="52" spans="1:45" x14ac:dyDescent="0.2">
      <c r="A52" s="2">
        <f t="shared" si="20"/>
        <v>34</v>
      </c>
      <c r="B52" s="31" t="s">
        <v>382</v>
      </c>
      <c r="D52" s="41"/>
      <c r="F52" s="41">
        <f ca="1">SUM(F37:F51)</f>
        <v>271212.86278392223</v>
      </c>
      <c r="H52" s="41">
        <f>SUM(H37:H51)</f>
        <v>1054.1803104527503</v>
      </c>
      <c r="L52" s="41">
        <f ca="1">SUM(L37:L51)</f>
        <v>270158.68247346953</v>
      </c>
      <c r="P52" s="41">
        <f t="shared" ref="P52:U52" ca="1" si="21">SUM(P37:P51)</f>
        <v>0</v>
      </c>
      <c r="Q52" s="41">
        <f t="shared" ca="1" si="21"/>
        <v>221514.75958268059</v>
      </c>
      <c r="R52" s="41">
        <f t="shared" ca="1" si="21"/>
        <v>22195.342029430318</v>
      </c>
      <c r="S52" s="41">
        <f t="shared" ca="1" si="21"/>
        <v>17429.151175268689</v>
      </c>
      <c r="T52" s="41">
        <f t="shared" ca="1" si="21"/>
        <v>2615.9957665575603</v>
      </c>
      <c r="U52" s="41">
        <f t="shared" ca="1" si="21"/>
        <v>7457.6142299851481</v>
      </c>
      <c r="V52" s="50"/>
      <c r="W52" s="50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</row>
    <row r="53" spans="1:45" x14ac:dyDescent="0.2">
      <c r="D53" s="50"/>
      <c r="F53" s="50"/>
    </row>
    <row r="54" spans="1:45" ht="13.5" thickBot="1" x14ac:dyDescent="0.25">
      <c r="A54" s="2">
        <f>A52+1</f>
        <v>35</v>
      </c>
      <c r="B54" s="31" t="s">
        <v>149</v>
      </c>
      <c r="D54" s="83"/>
      <c r="F54" s="83">
        <f ca="1">F17+F24+F34+F52</f>
        <v>297752.69090152346</v>
      </c>
      <c r="H54" s="83">
        <f>H17+H24+H34+H52</f>
        <v>318.1640703136195</v>
      </c>
      <c r="L54" s="83">
        <f ca="1">L17+L24+L34+L52</f>
        <v>297434.52683120989</v>
      </c>
      <c r="P54" s="83">
        <f t="shared" ref="P54:U54" ca="1" si="22">P17+P24+P34+P52</f>
        <v>671.39964437906178</v>
      </c>
      <c r="Q54" s="83">
        <f t="shared" ca="1" si="22"/>
        <v>241128.85894877565</v>
      </c>
      <c r="R54" s="83">
        <f t="shared" ca="1" si="22"/>
        <v>27517.275860360725</v>
      </c>
      <c r="S54" s="83">
        <f t="shared" ca="1" si="22"/>
        <v>18345.291917680872</v>
      </c>
      <c r="T54" s="83">
        <f t="shared" ca="1" si="22"/>
        <v>2618.8205365078802</v>
      </c>
      <c r="U54" s="83">
        <f t="shared" ca="1" si="22"/>
        <v>7471.0439938193413</v>
      </c>
      <c r="V54" s="50"/>
      <c r="W54" s="50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</row>
    <row r="55" spans="1:45" ht="13.5" thickTop="1" x14ac:dyDescent="0.2">
      <c r="D55" s="50"/>
      <c r="F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</row>
    <row r="56" spans="1:45" x14ac:dyDescent="0.2">
      <c r="P56" s="79"/>
      <c r="Q56" s="79"/>
      <c r="R56" s="79"/>
      <c r="S56" s="79"/>
      <c r="T56" s="79"/>
      <c r="U56" s="79"/>
      <c r="V56" s="38"/>
      <c r="W56" s="38"/>
      <c r="X56" s="93"/>
      <c r="Y56" s="93"/>
      <c r="Z56" s="93"/>
      <c r="AA56" s="93"/>
      <c r="AB56" s="93"/>
      <c r="AC56" s="93"/>
      <c r="AD56" s="93"/>
      <c r="AE56" s="93"/>
      <c r="AF56" s="93"/>
      <c r="AG56" s="93"/>
      <c r="AH56" s="93"/>
      <c r="AI56" s="93"/>
      <c r="AJ56" s="93"/>
      <c r="AK56" s="93"/>
      <c r="AL56" s="93"/>
      <c r="AM56" s="93"/>
      <c r="AN56" s="93"/>
      <c r="AO56" s="93"/>
      <c r="AP56" s="93"/>
      <c r="AQ56" s="93"/>
      <c r="AR56" s="93"/>
      <c r="AS56" s="93"/>
    </row>
    <row r="58" spans="1:45" x14ac:dyDescent="0.2">
      <c r="U58" s="50"/>
    </row>
  </sheetData>
  <mergeCells count="4">
    <mergeCell ref="B2:N2"/>
    <mergeCell ref="B3:N3"/>
    <mergeCell ref="AW5:BB5"/>
    <mergeCell ref="BG5:BL5"/>
  </mergeCells>
  <pageMargins left="0.7" right="0.7" top="0.75" bottom="0.75" header="0.3" footer="0.3"/>
  <pageSetup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2E62D-31DA-45F1-B5D7-4C4825141B66}">
  <sheetPr>
    <tabColor theme="0" tint="-0.249977111117893"/>
  </sheetPr>
  <dimension ref="A2:BL58"/>
  <sheetViews>
    <sheetView topLeftCell="A16" zoomScale="80" zoomScaleNormal="80" workbookViewId="0">
      <selection activeCell="AT41" sqref="AT41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hidden="1" customWidth="1"/>
    <col min="5" max="5" width="1.7109375" style="31" hidden="1" customWidth="1"/>
    <col min="6" max="6" width="20.140625" style="31" customWidth="1"/>
    <col min="7" max="7" width="1.7109375" style="31" customWidth="1"/>
    <col min="8" max="8" width="17.140625" style="31" customWidth="1"/>
    <col min="9" max="9" width="1.7109375" style="31" customWidth="1"/>
    <col min="10" max="10" width="19.7109375" style="2" customWidth="1"/>
    <col min="11" max="11" width="1.7109375" style="31" customWidth="1"/>
    <col min="12" max="12" width="17.140625" style="31" customWidth="1"/>
    <col min="13" max="13" width="1.7109375" style="31" customWidth="1"/>
    <col min="14" max="14" width="20" style="2" customWidth="1"/>
    <col min="15" max="15" width="1.7109375" style="31" customWidth="1"/>
    <col min="16" max="16" width="10.7109375" style="31" customWidth="1"/>
    <col min="17" max="20" width="10.5703125" style="31" customWidth="1"/>
    <col min="21" max="21" width="9.140625" style="31"/>
    <col min="22" max="23" width="10.7109375" style="31" customWidth="1"/>
    <col min="24" max="36" width="10.7109375" style="31" hidden="1" customWidth="1"/>
    <col min="37" max="39" width="11.28515625" style="31" hidden="1" customWidth="1"/>
    <col min="40" max="41" width="10.5703125" style="31" hidden="1" customWidth="1"/>
    <col min="42" max="42" width="12.140625" style="31" hidden="1" customWidth="1"/>
    <col min="43" max="45" width="10.5703125" style="31" hidden="1" customWidth="1"/>
    <col min="46" max="46" width="13.85546875" style="31" customWidth="1"/>
    <col min="47" max="47" width="12.5703125" style="31" customWidth="1"/>
    <col min="48" max="48" width="1.42578125" style="31" customWidth="1"/>
    <col min="49" max="54" width="9.140625" style="31"/>
    <col min="55" max="55" width="4.140625" style="31" customWidth="1"/>
    <col min="56" max="56" width="13" style="31" customWidth="1"/>
    <col min="57" max="57" width="11.85546875" style="31" customWidth="1"/>
    <col min="58" max="58" width="2.42578125" style="31" customWidth="1"/>
    <col min="59" max="59" width="9.140625" style="31"/>
    <col min="60" max="60" width="9.5703125" style="31" bestFit="1" customWidth="1"/>
    <col min="61" max="16384" width="9.140625" style="31"/>
  </cols>
  <sheetData>
    <row r="2" spans="1:64" x14ac:dyDescent="0.2">
      <c r="B2" s="161" t="s">
        <v>511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</row>
    <row r="3" spans="1:64" x14ac:dyDescent="0.2">
      <c r="B3" s="161" t="s">
        <v>518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</row>
    <row r="5" spans="1:64" x14ac:dyDescent="0.2">
      <c r="F5" s="2" t="s">
        <v>150</v>
      </c>
      <c r="AW5" s="164" t="s">
        <v>417</v>
      </c>
      <c r="AX5" s="165"/>
      <c r="AY5" s="165"/>
      <c r="AZ5" s="165"/>
      <c r="BA5" s="165"/>
      <c r="BB5" s="166"/>
      <c r="BC5" s="2"/>
      <c r="BD5" s="2"/>
      <c r="BE5" s="2"/>
      <c r="BF5" s="2"/>
      <c r="BG5" s="164" t="s">
        <v>418</v>
      </c>
      <c r="BH5" s="165"/>
      <c r="BI5" s="165"/>
      <c r="BJ5" s="165"/>
      <c r="BK5" s="165"/>
      <c r="BL5" s="166"/>
    </row>
    <row r="6" spans="1:64" x14ac:dyDescent="0.2">
      <c r="A6" s="2" t="s">
        <v>2</v>
      </c>
      <c r="D6" s="2" t="s">
        <v>150</v>
      </c>
      <c r="F6" s="2" t="s">
        <v>5</v>
      </c>
      <c r="H6" s="2" t="s">
        <v>167</v>
      </c>
      <c r="J6" s="2" t="s">
        <v>168</v>
      </c>
      <c r="K6" s="2"/>
      <c r="L6" s="2" t="s">
        <v>169</v>
      </c>
      <c r="N6" s="2" t="s">
        <v>104</v>
      </c>
      <c r="P6" s="2" t="s">
        <v>485</v>
      </c>
      <c r="Q6" s="2" t="s">
        <v>80</v>
      </c>
      <c r="R6" s="2" t="s">
        <v>80</v>
      </c>
      <c r="S6" s="2" t="s">
        <v>80</v>
      </c>
      <c r="T6" s="2" t="s">
        <v>80</v>
      </c>
      <c r="U6" s="2" t="s">
        <v>80</v>
      </c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 t="s">
        <v>486</v>
      </c>
      <c r="AU6" s="138" t="s">
        <v>169</v>
      </c>
      <c r="AV6" s="2"/>
      <c r="AW6" s="139" t="s">
        <v>485</v>
      </c>
      <c r="AX6" s="2" t="s">
        <v>80</v>
      </c>
      <c r="AY6" s="2" t="s">
        <v>80</v>
      </c>
      <c r="AZ6" s="2" t="s">
        <v>80</v>
      </c>
      <c r="BA6" s="2" t="s">
        <v>80</v>
      </c>
      <c r="BB6" s="140" t="s">
        <v>80</v>
      </c>
      <c r="BC6" s="2"/>
      <c r="BD6" s="2" t="s">
        <v>486</v>
      </c>
      <c r="BE6" s="138" t="s">
        <v>169</v>
      </c>
      <c r="BF6" s="2"/>
      <c r="BG6" s="139" t="s">
        <v>485</v>
      </c>
      <c r="BH6" s="2" t="s">
        <v>80</v>
      </c>
      <c r="BI6" s="2" t="s">
        <v>80</v>
      </c>
      <c r="BJ6" s="2" t="s">
        <v>80</v>
      </c>
      <c r="BK6" s="2" t="s">
        <v>80</v>
      </c>
      <c r="BL6" s="140" t="s">
        <v>80</v>
      </c>
    </row>
    <row r="7" spans="1:64" x14ac:dyDescent="0.2">
      <c r="A7" s="33" t="s">
        <v>4</v>
      </c>
      <c r="B7" s="80" t="s">
        <v>374</v>
      </c>
      <c r="D7" s="33" t="s">
        <v>151</v>
      </c>
      <c r="F7" s="33" t="s">
        <v>152</v>
      </c>
      <c r="H7" s="33" t="s">
        <v>131</v>
      </c>
      <c r="J7" s="33" t="s">
        <v>6</v>
      </c>
      <c r="K7" s="2"/>
      <c r="L7" s="33" t="s">
        <v>170</v>
      </c>
      <c r="N7" s="33" t="s">
        <v>6</v>
      </c>
      <c r="P7" s="33" t="s">
        <v>8</v>
      </c>
      <c r="Q7" s="125" t="s">
        <v>487</v>
      </c>
      <c r="R7" s="33">
        <v>10</v>
      </c>
      <c r="S7" s="33">
        <v>20</v>
      </c>
      <c r="T7" s="33">
        <v>25</v>
      </c>
      <c r="U7" s="33">
        <v>100</v>
      </c>
      <c r="V7" s="2"/>
      <c r="W7" s="2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 t="s">
        <v>131</v>
      </c>
      <c r="AU7" s="141" t="s">
        <v>170</v>
      </c>
      <c r="AV7" s="2"/>
      <c r="AW7" s="142" t="s">
        <v>8</v>
      </c>
      <c r="AX7" s="125" t="s">
        <v>487</v>
      </c>
      <c r="AY7" s="33">
        <v>10</v>
      </c>
      <c r="AZ7" s="33">
        <v>20</v>
      </c>
      <c r="BA7" s="33">
        <v>25</v>
      </c>
      <c r="BB7" s="143">
        <v>100</v>
      </c>
      <c r="BC7" s="2"/>
      <c r="BD7" s="33" t="s">
        <v>131</v>
      </c>
      <c r="BE7" s="141" t="s">
        <v>170</v>
      </c>
      <c r="BF7" s="2"/>
      <c r="BG7" s="142" t="s">
        <v>8</v>
      </c>
      <c r="BH7" s="125" t="s">
        <v>487</v>
      </c>
      <c r="BI7" s="33">
        <v>10</v>
      </c>
      <c r="BJ7" s="33">
        <v>20</v>
      </c>
      <c r="BK7" s="33">
        <v>25</v>
      </c>
      <c r="BL7" s="143">
        <v>100</v>
      </c>
    </row>
    <row r="8" spans="1:64" x14ac:dyDescent="0.2">
      <c r="D8" s="120" t="s">
        <v>12</v>
      </c>
      <c r="F8" s="120" t="s">
        <v>12</v>
      </c>
      <c r="H8" s="120" t="s">
        <v>13</v>
      </c>
      <c r="J8" s="120" t="s">
        <v>14</v>
      </c>
      <c r="L8" s="120" t="s">
        <v>366</v>
      </c>
      <c r="M8" s="74"/>
      <c r="N8" s="120" t="s">
        <v>15</v>
      </c>
      <c r="O8" s="40"/>
      <c r="P8" s="120" t="s">
        <v>16</v>
      </c>
      <c r="Q8" s="120" t="s">
        <v>59</v>
      </c>
      <c r="R8" s="120" t="s">
        <v>61</v>
      </c>
      <c r="S8" s="120" t="s">
        <v>62</v>
      </c>
      <c r="T8" s="120" t="s">
        <v>82</v>
      </c>
      <c r="U8" s="120" t="s">
        <v>82</v>
      </c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U8" s="144"/>
      <c r="BE8" s="144"/>
    </row>
    <row r="9" spans="1:64" x14ac:dyDescent="0.2">
      <c r="AU9" s="144"/>
      <c r="BE9" s="144"/>
    </row>
    <row r="10" spans="1:64" x14ac:dyDescent="0.2">
      <c r="B10" s="77" t="s">
        <v>384</v>
      </c>
      <c r="AU10" s="144"/>
      <c r="BD10" s="96"/>
      <c r="BE10" s="144"/>
    </row>
    <row r="11" spans="1:64" x14ac:dyDescent="0.2">
      <c r="A11" s="2">
        <v>1</v>
      </c>
      <c r="B11" s="31" t="s">
        <v>132</v>
      </c>
      <c r="D11" s="79"/>
      <c r="E11" s="79"/>
      <c r="F11" s="79">
        <f ca="1">'Total Allocation RZ - Gas'!O11+'Total Allocation RZ - Gas'!P11</f>
        <v>163901.21936202416</v>
      </c>
      <c r="H11" s="50"/>
      <c r="L11" s="79">
        <f ca="1">F11-H11</f>
        <v>163901.21936202416</v>
      </c>
      <c r="N11" s="2" t="s">
        <v>221</v>
      </c>
      <c r="P11" s="79">
        <f t="shared" ref="P11:U16" ca="1" si="0">AW11+BG11</f>
        <v>0</v>
      </c>
      <c r="Q11" s="79">
        <f t="shared" ca="1" si="0"/>
        <v>136497.68607499482</v>
      </c>
      <c r="R11" s="79">
        <f t="shared" ca="1" si="0"/>
        <v>24538.972504019708</v>
      </c>
      <c r="S11" s="79">
        <f t="shared" ca="1" si="0"/>
        <v>2216.3357427380693</v>
      </c>
      <c r="T11" s="79">
        <f t="shared" ca="1" si="0"/>
        <v>648.22504027155537</v>
      </c>
      <c r="U11" s="79">
        <f t="shared" ca="1" si="0"/>
        <v>0</v>
      </c>
      <c r="V11" s="38"/>
      <c r="W11" s="38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U11" s="145">
        <f ca="1">'Total Allocation RZ - Gas'!O11</f>
        <v>34086.353963475041</v>
      </c>
      <c r="AV11" s="96"/>
      <c r="AW11" s="79">
        <f ca="1">IF($AU11&lt;&gt;0,VLOOKUP($N11,'Allocation Factors-Union North'!$B$12:$Z$101,13,FALSE)*$AU11,0)</f>
        <v>0</v>
      </c>
      <c r="AX11" s="79">
        <f ca="1">IF($AU11&lt;&gt;0,VLOOKUP($N11,'Allocation Factors-Union North'!$B$12:$Z$101,14,FALSE)*$AU11,0)</f>
        <v>28717.999955639494</v>
      </c>
      <c r="AY11" s="79">
        <f ca="1">IF($AU11&lt;&gt;0,VLOOKUP($N11,'Allocation Factors-Union North'!$B$12:$Z$101,15,FALSE)*$AU11,0)</f>
        <v>4191.3565847182663</v>
      </c>
      <c r="AZ11" s="79">
        <f ca="1">IF($AU11&lt;&gt;0,VLOOKUP($N11,'Allocation Factors-Union North'!$B$12:$Z$101,16,FALSE)*$AU11,0)</f>
        <v>624.57128329266368</v>
      </c>
      <c r="BA11" s="79">
        <f ca="1">IF($AU11&lt;&gt;0,VLOOKUP($N11,'Allocation Factors-Union North'!$B$12:$Z$101,17,FALSE)*$AU11,0)</f>
        <v>552.42613982461194</v>
      </c>
      <c r="BB11" s="79">
        <f ca="1">IF($AU11&lt;&gt;0,VLOOKUP($N11,'Allocation Factors-Union North'!$B$12:$Z$101,18,FALSE)*$AU11,0)</f>
        <v>0</v>
      </c>
      <c r="BC11" s="79"/>
      <c r="BD11" s="96"/>
      <c r="BE11" s="145">
        <f ca="1">'Total Allocation RZ - Gas'!P11</f>
        <v>129814.86539854913</v>
      </c>
      <c r="BF11" s="96"/>
      <c r="BG11" s="79">
        <v>0</v>
      </c>
      <c r="BH11" s="79">
        <v>107779.68611935533</v>
      </c>
      <c r="BI11" s="79">
        <v>20347.615919301443</v>
      </c>
      <c r="BJ11" s="79">
        <v>1591.7644594454055</v>
      </c>
      <c r="BK11" s="79">
        <v>95.798900446943435</v>
      </c>
      <c r="BL11" s="79">
        <v>0</v>
      </c>
    </row>
    <row r="12" spans="1:64" x14ac:dyDescent="0.2">
      <c r="A12" s="2">
        <f>A11+1</f>
        <v>2</v>
      </c>
      <c r="B12" s="31" t="s">
        <v>385</v>
      </c>
      <c r="D12" s="79"/>
      <c r="E12" s="79"/>
      <c r="F12" s="79">
        <f ca="1">'Total Allocation RZ - Gas'!O12+'Total Allocation RZ - Gas'!P12</f>
        <v>41527.447860529879</v>
      </c>
      <c r="H12" s="50"/>
      <c r="L12" s="79">
        <f t="shared" ref="L12:L16" ca="1" si="1">F12-H12</f>
        <v>41527.447860529879</v>
      </c>
      <c r="N12" s="2" t="s">
        <v>263</v>
      </c>
      <c r="P12" s="79">
        <f t="shared" ca="1" si="0"/>
        <v>1583.6411807547545</v>
      </c>
      <c r="Q12" s="79">
        <f t="shared" ca="1" si="0"/>
        <v>30209.765976293311</v>
      </c>
      <c r="R12" s="79">
        <f t="shared" ca="1" si="0"/>
        <v>8520.0917943205968</v>
      </c>
      <c r="S12" s="79">
        <f t="shared" ca="1" si="0"/>
        <v>1213.9489091612218</v>
      </c>
      <c r="T12" s="79">
        <f t="shared" ca="1" si="0"/>
        <v>0</v>
      </c>
      <c r="U12" s="79">
        <f t="shared" ca="1" si="0"/>
        <v>0</v>
      </c>
      <c r="V12" s="38"/>
      <c r="W12" s="38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U12" s="145">
        <f ca="1">'Total Allocation RZ - Gas'!O12</f>
        <v>10238.216967525721</v>
      </c>
      <c r="AV12" s="96"/>
      <c r="AW12" s="79">
        <f ca="1">IF($AU12&lt;&gt;0,VLOOKUP($N12,'Allocation Factors-Union North'!$B$12:$Z$101,13,FALSE)*$AU12,0)</f>
        <v>51.839000659034539</v>
      </c>
      <c r="AX12" s="79">
        <f ca="1">IF($AU12&lt;&gt;0,VLOOKUP($N12,'Allocation Factors-Union North'!$B$12:$Z$101,14,FALSE)*$AU12,0)</f>
        <v>7654.6593836004231</v>
      </c>
      <c r="AY12" s="79">
        <f ca="1">IF($AU12&lt;&gt;0,VLOOKUP($N12,'Allocation Factors-Union North'!$B$12:$Z$101,15,FALSE)*$AU12,0)</f>
        <v>2348.065520587013</v>
      </c>
      <c r="AZ12" s="79">
        <f ca="1">IF($AU12&lt;&gt;0,VLOOKUP($N12,'Allocation Factors-Union North'!$B$12:$Z$101,16,FALSE)*$AU12,0)</f>
        <v>183.65306267925283</v>
      </c>
      <c r="BA12" s="79">
        <f ca="1">IF($AU12&lt;&gt;0,VLOOKUP($N12,'Allocation Factors-Union North'!$B$12:$Z$101,17,FALSE)*$AU12,0)</f>
        <v>0</v>
      </c>
      <c r="BB12" s="79">
        <f ca="1">IF($AU12&lt;&gt;0,VLOOKUP($N12,'Allocation Factors-Union North'!$B$12:$Z$101,18,FALSE)*$AU12,0)</f>
        <v>0</v>
      </c>
      <c r="BC12" s="79"/>
      <c r="BD12" s="96"/>
      <c r="BE12" s="145">
        <f ca="1">'Total Allocation RZ - Gas'!P12</f>
        <v>31289.230893004158</v>
      </c>
      <c r="BF12" s="96"/>
      <c r="BG12" s="79">
        <v>1531.8021800957199</v>
      </c>
      <c r="BH12" s="79">
        <v>22555.10659269289</v>
      </c>
      <c r="BI12" s="79">
        <v>6172.0262737335834</v>
      </c>
      <c r="BJ12" s="79">
        <v>1030.295846481969</v>
      </c>
      <c r="BK12" s="79">
        <v>0</v>
      </c>
      <c r="BL12" s="79">
        <v>0</v>
      </c>
    </row>
    <row r="13" spans="1:64" x14ac:dyDescent="0.2">
      <c r="A13" s="2">
        <f t="shared" ref="A13:A17" si="2">A12+1</f>
        <v>3</v>
      </c>
      <c r="B13" s="31" t="s">
        <v>386</v>
      </c>
      <c r="D13" s="79"/>
      <c r="E13" s="79"/>
      <c r="F13" s="79">
        <f ca="1">'Total Allocation RZ - Gas'!O13+'Total Allocation RZ - Gas'!P13</f>
        <v>2956.3702981751057</v>
      </c>
      <c r="H13" s="50"/>
      <c r="L13" s="79">
        <f t="shared" ca="1" si="1"/>
        <v>2956.3702981751057</v>
      </c>
      <c r="N13" s="2" t="s">
        <v>156</v>
      </c>
      <c r="P13" s="79">
        <f t="shared" ca="1" si="0"/>
        <v>93.276959314142317</v>
      </c>
      <c r="Q13" s="79">
        <f t="shared" ca="1" si="0"/>
        <v>2165.207582162765</v>
      </c>
      <c r="R13" s="79">
        <f t="shared" ca="1" si="0"/>
        <v>611.30314091952323</v>
      </c>
      <c r="S13" s="79">
        <f t="shared" ca="1" si="0"/>
        <v>86.58261577867475</v>
      </c>
      <c r="T13" s="79">
        <f t="shared" ca="1" si="0"/>
        <v>0</v>
      </c>
      <c r="U13" s="79">
        <f t="shared" ca="1" si="0"/>
        <v>0</v>
      </c>
      <c r="V13" s="38"/>
      <c r="W13" s="38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U13" s="145">
        <f ca="1">'Total Allocation RZ - Gas'!O13</f>
        <v>759.15736935511347</v>
      </c>
      <c r="AV13" s="96"/>
      <c r="AW13" s="79">
        <f ca="1">IF($AU13&lt;&gt;0,VLOOKUP($N13,'Allocation Factors-Union North'!$B$12:$Z$101,13,FALSE)*$AU13,0)</f>
        <v>3.0534915371948741</v>
      </c>
      <c r="AX13" s="79">
        <f ca="1">IF($AU13&lt;&gt;0,VLOOKUP($N13,'Allocation Factors-Union North'!$B$12:$Z$101,14,FALSE)*$AU13,0)</f>
        <v>568.18210183652639</v>
      </c>
      <c r="AY13" s="79">
        <f ca="1">IF($AU13&lt;&gt;0,VLOOKUP($N13,'Allocation Factors-Union North'!$B$12:$Z$101,15,FALSE)*$AU13,0)</f>
        <v>174.28976730111407</v>
      </c>
      <c r="AZ13" s="79">
        <f ca="1">IF($AU13&lt;&gt;0,VLOOKUP($N13,'Allocation Factors-Union North'!$B$12:$Z$101,16,FALSE)*$AU13,0)</f>
        <v>13.632008680278103</v>
      </c>
      <c r="BA13" s="79">
        <f ca="1">IF($AU13&lt;&gt;0,VLOOKUP($N13,'Allocation Factors-Union North'!$B$12:$Z$101,17,FALSE)*$AU13,0)</f>
        <v>0</v>
      </c>
      <c r="BB13" s="79">
        <f ca="1">IF($AU13&lt;&gt;0,VLOOKUP($N13,'Allocation Factors-Union North'!$B$12:$Z$101,18,FALSE)*$AU13,0)</f>
        <v>0</v>
      </c>
      <c r="BC13" s="79"/>
      <c r="BE13" s="145">
        <f ca="1">'Total Allocation RZ - Gas'!P13</f>
        <v>2197.2129288199922</v>
      </c>
      <c r="BF13" s="96"/>
      <c r="BG13" s="79">
        <v>90.223467776947444</v>
      </c>
      <c r="BH13" s="79">
        <v>1597.0254803262387</v>
      </c>
      <c r="BI13" s="79">
        <v>437.01337361840922</v>
      </c>
      <c r="BJ13" s="79">
        <v>72.950607098396645</v>
      </c>
      <c r="BK13" s="79">
        <v>0</v>
      </c>
      <c r="BL13" s="79">
        <v>0</v>
      </c>
    </row>
    <row r="14" spans="1:64" x14ac:dyDescent="0.2">
      <c r="A14" s="2">
        <f t="shared" si="2"/>
        <v>4</v>
      </c>
      <c r="B14" s="31" t="s">
        <v>115</v>
      </c>
      <c r="D14" s="79"/>
      <c r="E14" s="79"/>
      <c r="F14" s="79">
        <f ca="1">'Total Allocation RZ - Gas'!O14+'Total Allocation RZ - Gas'!P14</f>
        <v>23171.995053027742</v>
      </c>
      <c r="H14" s="50"/>
      <c r="L14" s="79">
        <f t="shared" ca="1" si="1"/>
        <v>23171.995053027742</v>
      </c>
      <c r="N14" s="2" t="s">
        <v>262</v>
      </c>
      <c r="P14" s="79">
        <f t="shared" ca="1" si="0"/>
        <v>218.0641594052459</v>
      </c>
      <c r="Q14" s="79">
        <f t="shared" ca="1" si="0"/>
        <v>15689.082522940182</v>
      </c>
      <c r="R14" s="79">
        <f t="shared" ca="1" si="0"/>
        <v>5028.3672607880435</v>
      </c>
      <c r="S14" s="79">
        <f t="shared" ca="1" si="0"/>
        <v>2124.201725439852</v>
      </c>
      <c r="T14" s="79">
        <f t="shared" ca="1" si="0"/>
        <v>112.27938445441815</v>
      </c>
      <c r="U14" s="79">
        <f t="shared" ca="1" si="0"/>
        <v>0</v>
      </c>
      <c r="V14" s="38"/>
      <c r="W14" s="38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50"/>
      <c r="AU14" s="145">
        <f ca="1">'Total Allocation RZ - Gas'!O14</f>
        <v>8008.3358629204267</v>
      </c>
      <c r="AV14" s="96"/>
      <c r="AW14" s="79">
        <f ca="1">IF($AU14&lt;&gt;0,VLOOKUP($N14,'Allocation Factors-Union North'!$B$12:$Z$101,13,FALSE)*$AU14,0)</f>
        <v>22.229762459016396</v>
      </c>
      <c r="AX14" s="79">
        <f ca="1">IF($AU14&lt;&gt;0,VLOOKUP($N14,'Allocation Factors-Union North'!$B$12:$Z$101,14,FALSE)*$AU14,0)</f>
        <v>5663.011008530616</v>
      </c>
      <c r="AY14" s="79">
        <f ca="1">IF($AU14&lt;&gt;0,VLOOKUP($N14,'Allocation Factors-Union North'!$B$12:$Z$101,15,FALSE)*$AU14,0)+IF($AT14&lt;&gt;0,VLOOKUP($J14,'Allocation Factors-Union North'!$B$12:$Z$101,15,FALSE)*$AT14,0)</f>
        <v>1507.1857267156051</v>
      </c>
      <c r="AZ14" s="79">
        <f ca="1">IF($AU14&lt;&gt;0,VLOOKUP($N14,'Allocation Factors-Union North'!$B$12:$Z$101,16,FALSE)*$AU14,0)+IF($AT14&lt;&gt;0,VLOOKUP($J14,'Allocation Factors-Union North'!$B$12:$Z$101,16,FALSE)*$AT14,0)</f>
        <v>711.97847919129651</v>
      </c>
      <c r="BA14" s="79">
        <f ca="1">IF($AU14&lt;&gt;0,VLOOKUP($N14,'Allocation Factors-Union North'!$B$12:$Z$101,17,FALSE)*$AU14,0)+IF($AT14&lt;&gt;0,VLOOKUP($J14,'Allocation Factors-Union North'!$B$12:$Z$101,17,FALSE)*$AT14,0)</f>
        <v>103.93088602389314</v>
      </c>
      <c r="BB14" s="79">
        <f ca="1">IF($AU14&lt;&gt;0,VLOOKUP($N14,'Allocation Factors-Union North'!$B$12:$Z$101,18,FALSE)*$AU14,0)+IF($AT14&lt;&gt;0,VLOOKUP($J14,'Allocation Factors-Union North'!$B$12:$Z$101,18,FALSE)*$AT14,0)</f>
        <v>0</v>
      </c>
      <c r="BC14" s="79"/>
      <c r="BD14" s="50"/>
      <c r="BE14" s="145">
        <f ca="1">'Total Allocation RZ - Gas'!P14</f>
        <v>15163.659190107315</v>
      </c>
      <c r="BF14" s="96"/>
      <c r="BG14" s="79">
        <v>195.8343969462295</v>
      </c>
      <c r="BH14" s="79">
        <v>10026.071514409567</v>
      </c>
      <c r="BI14" s="79">
        <v>3521.1815340724384</v>
      </c>
      <c r="BJ14" s="79">
        <v>1412.2232462485554</v>
      </c>
      <c r="BK14" s="79">
        <v>8.3484984305250087</v>
      </c>
      <c r="BL14" s="79">
        <v>0</v>
      </c>
    </row>
    <row r="15" spans="1:64" x14ac:dyDescent="0.2">
      <c r="A15" s="2">
        <f t="shared" si="2"/>
        <v>5</v>
      </c>
      <c r="B15" s="31" t="s">
        <v>133</v>
      </c>
      <c r="D15" s="79"/>
      <c r="E15" s="79"/>
      <c r="F15" s="79">
        <f ca="1">'Total Allocation RZ - Gas'!O15+'Total Allocation RZ - Gas'!P15</f>
        <v>2811.1125265780588</v>
      </c>
      <c r="H15" s="50"/>
      <c r="L15" s="79">
        <f t="shared" ca="1" si="1"/>
        <v>2811.1125265780588</v>
      </c>
      <c r="N15" s="2" t="s">
        <v>264</v>
      </c>
      <c r="P15" s="79">
        <f t="shared" ca="1" si="0"/>
        <v>14.304023908463684</v>
      </c>
      <c r="Q15" s="79">
        <f t="shared" ca="1" si="0"/>
        <v>1939.930432209248</v>
      </c>
      <c r="R15" s="79">
        <f t="shared" ca="1" si="0"/>
        <v>579.14392864186038</v>
      </c>
      <c r="S15" s="79">
        <f t="shared" ca="1" si="0"/>
        <v>255.0750855210872</v>
      </c>
      <c r="T15" s="79">
        <f t="shared" ca="1" si="0"/>
        <v>22.659056297399562</v>
      </c>
      <c r="U15" s="79">
        <f t="shared" ca="1" si="0"/>
        <v>0</v>
      </c>
      <c r="V15" s="38"/>
      <c r="W15" s="38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U15" s="145">
        <f ca="1">'Total Allocation RZ - Gas'!O15</f>
        <v>1695.3215271433728</v>
      </c>
      <c r="AV15" s="79"/>
      <c r="AW15" s="79">
        <f ca="1">IF($AU15&lt;&gt;0,VLOOKUP($N15,'Allocation Factors-Union North'!$B$12:$Z$101,13,FALSE)*$AU15,0)</f>
        <v>1.4581720102950102</v>
      </c>
      <c r="AX15" s="79">
        <f ca="1">IF($AU15&lt;&gt;0,VLOOKUP($N15,'Allocation Factors-Union North'!$B$12:$Z$101,14,FALSE)*$AU15,0)</f>
        <v>1201.1319041342324</v>
      </c>
      <c r="AY15" s="79">
        <f ca="1">IF($AU15&lt;&gt;0,VLOOKUP($N15,'Allocation Factors-Union North'!$B$12:$Z$101,15,FALSE)*$AU15,0)</f>
        <v>319.67602730893833</v>
      </c>
      <c r="AZ15" s="79">
        <f ca="1">IF($AU15&lt;&gt;0,VLOOKUP($N15,'Allocation Factors-Union North'!$B$12:$Z$101,16,FALSE)*$AU15,0)</f>
        <v>151.01154935517792</v>
      </c>
      <c r="BA15" s="79">
        <f ca="1">IF($AU15&lt;&gt;0,VLOOKUP($N15,'Allocation Factors-Union North'!$B$12:$Z$101,17,FALSE)*$AU15,0)</f>
        <v>22.043874334729143</v>
      </c>
      <c r="BB15" s="79">
        <f ca="1">IF($AU15&lt;&gt;0,VLOOKUP($N15,'Allocation Factors-Union North'!$B$12:$Z$101,18,FALSE)*$AU15,0)</f>
        <v>0</v>
      </c>
      <c r="BC15" s="79"/>
      <c r="BD15" s="79"/>
      <c r="BE15" s="145">
        <f ca="1">'Total Allocation RZ - Gas'!P15</f>
        <v>1115.790999434686</v>
      </c>
      <c r="BF15" s="79"/>
      <c r="BG15" s="79">
        <v>12.845851898168673</v>
      </c>
      <c r="BH15" s="79">
        <v>738.7985280750155</v>
      </c>
      <c r="BI15" s="79">
        <v>259.46790133292211</v>
      </c>
      <c r="BJ15" s="79">
        <v>104.0635361659093</v>
      </c>
      <c r="BK15" s="79">
        <v>0.61518196267041858</v>
      </c>
      <c r="BL15" s="79">
        <v>0</v>
      </c>
    </row>
    <row r="16" spans="1:64" x14ac:dyDescent="0.2">
      <c r="A16" s="2">
        <f t="shared" si="2"/>
        <v>6</v>
      </c>
      <c r="B16" s="31" t="s">
        <v>135</v>
      </c>
      <c r="D16" s="79"/>
      <c r="E16" s="79"/>
      <c r="F16" s="79">
        <f ca="1">'Total Allocation RZ - Gas'!O16+'Total Allocation RZ - Gas'!P16</f>
        <v>0</v>
      </c>
      <c r="H16" s="50"/>
      <c r="L16" s="79">
        <f t="shared" ca="1" si="1"/>
        <v>0</v>
      </c>
      <c r="N16" s="2" t="s">
        <v>221</v>
      </c>
      <c r="P16" s="79">
        <f t="shared" ca="1" si="0"/>
        <v>0</v>
      </c>
      <c r="Q16" s="79">
        <f t="shared" ca="1" si="0"/>
        <v>0</v>
      </c>
      <c r="R16" s="79">
        <f t="shared" ca="1" si="0"/>
        <v>0</v>
      </c>
      <c r="S16" s="79">
        <f t="shared" ca="1" si="0"/>
        <v>0</v>
      </c>
      <c r="T16" s="79">
        <f t="shared" ca="1" si="0"/>
        <v>0</v>
      </c>
      <c r="U16" s="79">
        <f t="shared" ca="1" si="0"/>
        <v>0</v>
      </c>
      <c r="V16" s="38"/>
      <c r="W16" s="38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U16" s="145">
        <f ca="1">'Total Allocation RZ - Gas'!O16</f>
        <v>0</v>
      </c>
      <c r="AV16" s="96"/>
      <c r="AW16" s="79">
        <f ca="1">IF($AU16&lt;&gt;0,VLOOKUP($N16,'Allocation Factors-Union North'!$B$12:$Z$101,13,FALSE)*$AU16,0)</f>
        <v>0</v>
      </c>
      <c r="AX16" s="79">
        <f ca="1">IF($AU16&lt;&gt;0,VLOOKUP($N16,'Allocation Factors-Union North'!$B$12:$Z$101,14,FALSE)*$AU16,0)</f>
        <v>0</v>
      </c>
      <c r="AY16" s="79">
        <f ca="1">IF($AU16&lt;&gt;0,VLOOKUP($N16,'Allocation Factors-Union North'!$B$12:$Z$101,15,FALSE)*$AU16,0)</f>
        <v>0</v>
      </c>
      <c r="AZ16" s="79">
        <f ca="1">IF($AU16&lt;&gt;0,VLOOKUP($N16,'Allocation Factors-Union North'!$B$12:$Z$101,16,FALSE)*$AU16,0)</f>
        <v>0</v>
      </c>
      <c r="BA16" s="79">
        <f ca="1">IF($AU16&lt;&gt;0,VLOOKUP($N16,'Allocation Factors-Union North'!$B$12:$Z$101,17,FALSE)*$AU16,0)</f>
        <v>0</v>
      </c>
      <c r="BB16" s="79">
        <f ca="1">IF($AU16&lt;&gt;0,VLOOKUP($N16,'Allocation Factors-Union North'!$B$12:$Z$101,18,FALSE)*$AU16,0)</f>
        <v>0</v>
      </c>
      <c r="BC16" s="79"/>
      <c r="BD16" s="96"/>
      <c r="BE16" s="145">
        <f ca="1">'Total Allocation RZ - Gas'!P16</f>
        <v>0</v>
      </c>
      <c r="BF16" s="96"/>
      <c r="BG16" s="79">
        <v>0</v>
      </c>
      <c r="BH16" s="79">
        <v>0</v>
      </c>
      <c r="BI16" s="79">
        <v>0</v>
      </c>
      <c r="BJ16" s="79">
        <v>0</v>
      </c>
      <c r="BK16" s="79">
        <v>0</v>
      </c>
      <c r="BL16" s="79">
        <v>0</v>
      </c>
    </row>
    <row r="17" spans="1:64" x14ac:dyDescent="0.2">
      <c r="A17" s="2">
        <f t="shared" si="2"/>
        <v>7</v>
      </c>
      <c r="B17" s="31" t="s">
        <v>383</v>
      </c>
      <c r="D17" s="81"/>
      <c r="E17" s="79"/>
      <c r="F17" s="81">
        <f ca="1">SUM(F11:F16)</f>
        <v>234368.14510033495</v>
      </c>
      <c r="H17" s="81">
        <f>SUM(H11:H16)</f>
        <v>0</v>
      </c>
      <c r="L17" s="41">
        <f ca="1">SUM(L11:L16)</f>
        <v>234368.14510033495</v>
      </c>
      <c r="P17" s="41">
        <f t="shared" ref="P17:U17" ca="1" si="3">SUM(P11:P16)</f>
        <v>1909.2863233826063</v>
      </c>
      <c r="Q17" s="41">
        <f t="shared" ca="1" si="3"/>
        <v>186501.67258860031</v>
      </c>
      <c r="R17" s="41">
        <f t="shared" ca="1" si="3"/>
        <v>39277.878628689738</v>
      </c>
      <c r="S17" s="41">
        <f t="shared" ca="1" si="3"/>
        <v>5896.1440786389048</v>
      </c>
      <c r="T17" s="41">
        <f t="shared" ca="1" si="3"/>
        <v>783.16348102337315</v>
      </c>
      <c r="U17" s="41">
        <f t="shared" ca="1" si="3"/>
        <v>0</v>
      </c>
      <c r="V17" s="50"/>
      <c r="W17" s="50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U17" s="146">
        <f ca="1">SUM(AU11:AU16)+AT14</f>
        <v>54787.385690419673</v>
      </c>
      <c r="AV17" s="96"/>
      <c r="AW17" s="81">
        <f ca="1">SUM(AW11:AW16)</f>
        <v>78.580426665540827</v>
      </c>
      <c r="AX17" s="81">
        <f t="shared" ref="AX17:BB17" ca="1" si="4">SUM(AX11:AX16)</f>
        <v>43804.984353741296</v>
      </c>
      <c r="AY17" s="81">
        <f t="shared" ca="1" si="4"/>
        <v>8540.5736266309359</v>
      </c>
      <c r="AZ17" s="81">
        <f t="shared" ca="1" si="4"/>
        <v>1684.8463831986692</v>
      </c>
      <c r="BA17" s="81">
        <f t="shared" ca="1" si="4"/>
        <v>678.40090018323417</v>
      </c>
      <c r="BB17" s="81">
        <f t="shared" ca="1" si="4"/>
        <v>0</v>
      </c>
      <c r="BC17" s="38"/>
      <c r="BD17" s="96"/>
      <c r="BE17" s="146">
        <f ca="1">SUM(BE11:BE16)+BD14</f>
        <v>179580.75940991528</v>
      </c>
      <c r="BF17" s="96"/>
      <c r="BG17" s="81">
        <f>SUM(BG11:BG16)</f>
        <v>1830.7058967170653</v>
      </c>
      <c r="BH17" s="81">
        <f t="shared" ref="BH17:BL17" si="5">SUM(BH11:BH16)</f>
        <v>142696.68823485903</v>
      </c>
      <c r="BI17" s="81">
        <f t="shared" si="5"/>
        <v>30737.305002058798</v>
      </c>
      <c r="BJ17" s="81">
        <f t="shared" si="5"/>
        <v>4211.2976954402366</v>
      </c>
      <c r="BK17" s="81">
        <f t="shared" si="5"/>
        <v>104.76258084013887</v>
      </c>
      <c r="BL17" s="81">
        <f t="shared" si="5"/>
        <v>0</v>
      </c>
    </row>
    <row r="18" spans="1:64" x14ac:dyDescent="0.2">
      <c r="D18" s="79"/>
      <c r="E18" s="79"/>
      <c r="F18" s="79"/>
      <c r="P18" s="79"/>
      <c r="Q18" s="79"/>
      <c r="R18" s="79"/>
      <c r="S18" s="79"/>
      <c r="T18" s="79"/>
      <c r="U18" s="79"/>
      <c r="V18" s="38"/>
      <c r="W18" s="38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U18" s="145"/>
      <c r="AV18" s="96"/>
      <c r="AW18" s="96"/>
      <c r="AX18" s="96"/>
      <c r="AY18" s="96"/>
      <c r="AZ18" s="96"/>
      <c r="BA18" s="96"/>
      <c r="BB18" s="96"/>
      <c r="BC18" s="96"/>
      <c r="BD18" s="96"/>
      <c r="BE18" s="145"/>
      <c r="BF18" s="96"/>
      <c r="BG18" s="96"/>
      <c r="BH18" s="96"/>
      <c r="BI18" s="96"/>
      <c r="BJ18" s="96"/>
      <c r="BK18" s="96"/>
      <c r="BL18" s="96"/>
    </row>
    <row r="19" spans="1:64" x14ac:dyDescent="0.2">
      <c r="B19" s="77" t="s">
        <v>97</v>
      </c>
      <c r="D19" s="79"/>
      <c r="E19" s="79"/>
      <c r="F19" s="79"/>
      <c r="P19" s="79"/>
      <c r="Q19" s="79"/>
      <c r="R19" s="79"/>
      <c r="S19" s="79"/>
      <c r="T19" s="79"/>
      <c r="U19" s="79"/>
      <c r="V19" s="38"/>
      <c r="W19" s="38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U19" s="145"/>
      <c r="AV19" s="96"/>
      <c r="AW19" s="96"/>
      <c r="AX19" s="96"/>
      <c r="AY19" s="96"/>
      <c r="AZ19" s="96"/>
      <c r="BA19" s="96"/>
      <c r="BB19" s="96"/>
      <c r="BC19" s="96"/>
      <c r="BD19" s="96"/>
      <c r="BE19" s="145"/>
      <c r="BF19" s="96"/>
      <c r="BG19" s="96"/>
      <c r="BH19" s="96"/>
      <c r="BI19" s="96"/>
      <c r="BJ19" s="96"/>
      <c r="BK19" s="96"/>
      <c r="BL19" s="96"/>
    </row>
    <row r="20" spans="1:64" x14ac:dyDescent="0.2">
      <c r="A20" s="2">
        <f>A17+1</f>
        <v>8</v>
      </c>
      <c r="B20" s="31" t="s">
        <v>89</v>
      </c>
      <c r="D20" s="79"/>
      <c r="E20" s="79"/>
      <c r="F20" s="79">
        <f ca="1">'Total Allocation RZ - Gas'!O20+'Total Allocation RZ - Gas'!P20</f>
        <v>752.22602422812315</v>
      </c>
      <c r="L20" s="79">
        <f t="shared" ref="L20:L23" ca="1" si="6">F20-H20</f>
        <v>752.22602422812315</v>
      </c>
      <c r="N20" s="2" t="s">
        <v>156</v>
      </c>
      <c r="P20" s="79">
        <f ca="1">AW20+BG20</f>
        <v>23.733615609748554</v>
      </c>
      <c r="Q20" s="79">
        <f t="shared" ref="Q20:U21" ca="1" si="7">AX20+BH20</f>
        <v>550.92066516980503</v>
      </c>
      <c r="R20" s="79">
        <f t="shared" ca="1" si="7"/>
        <v>155.54145283353165</v>
      </c>
      <c r="S20" s="79">
        <f t="shared" ca="1" si="7"/>
        <v>22.030290615037842</v>
      </c>
      <c r="T20" s="79">
        <f t="shared" ca="1" si="7"/>
        <v>0</v>
      </c>
      <c r="U20" s="79">
        <f t="shared" ca="1" si="7"/>
        <v>0</v>
      </c>
      <c r="V20" s="38"/>
      <c r="W20" s="38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U20" s="145">
        <f ca="1">'Total Allocation RZ - Gas'!O20</f>
        <v>193.16184108126703</v>
      </c>
      <c r="AV20" s="96"/>
      <c r="AW20" s="79">
        <f ca="1">IF($AU20&lt;&gt;0,VLOOKUP($N20,'Allocation Factors-Union North'!$B$12:$Z$101,13,FALSE)*$AU20,0)</f>
        <v>0.77693778768381938</v>
      </c>
      <c r="AX20" s="79">
        <f ca="1">IF($AU20&lt;&gt;0,VLOOKUP($N20,'Allocation Factors-Union North'!$B$12:$Z$101,14,FALSE)*$AU20,0)</f>
        <v>144.56963113379035</v>
      </c>
      <c r="AY20" s="79">
        <f ca="1">IF($AU20&lt;&gt;0,VLOOKUP($N20,'Allocation Factors-Union North'!$B$12:$Z$101,15,FALSE)*$AU20,0)</f>
        <v>44.346710830334693</v>
      </c>
      <c r="AZ20" s="79">
        <f ca="1">IF($AU20&lt;&gt;0,VLOOKUP($N20,'Allocation Factors-Union North'!$B$12:$Z$101,16,FALSE)*$AU20,0)</f>
        <v>3.4685613294581596</v>
      </c>
      <c r="BA20" s="79">
        <f ca="1">IF($AU20&lt;&gt;0,VLOOKUP($N20,'Allocation Factors-Union North'!$B$12:$Z$101,17,FALSE)*$AU20,0)</f>
        <v>0</v>
      </c>
      <c r="BB20" s="79">
        <f ca="1">IF($AU20&lt;&gt;0,VLOOKUP($N20,'Allocation Factors-Union North'!$B$12:$Z$101,18,FALSE)*$AU20,0)</f>
        <v>0</v>
      </c>
      <c r="BC20" s="79"/>
      <c r="BD20" s="96"/>
      <c r="BE20" s="145">
        <f ca="1">'Total Allocation RZ - Gas'!P20</f>
        <v>559.06418314685607</v>
      </c>
      <c r="BF20" s="96"/>
      <c r="BG20" s="79">
        <v>22.956677822064734</v>
      </c>
      <c r="BH20" s="79">
        <v>406.35103403601465</v>
      </c>
      <c r="BI20" s="79">
        <v>111.19474200319695</v>
      </c>
      <c r="BJ20" s="79">
        <v>18.561729285579684</v>
      </c>
      <c r="BK20" s="79">
        <v>0</v>
      </c>
      <c r="BL20" s="79">
        <v>0</v>
      </c>
    </row>
    <row r="21" spans="1:64" x14ac:dyDescent="0.2">
      <c r="A21" s="2">
        <f>A20+1</f>
        <v>9</v>
      </c>
      <c r="B21" s="31" t="s">
        <v>90</v>
      </c>
      <c r="D21" s="79"/>
      <c r="E21" s="79"/>
      <c r="F21" s="79">
        <f ca="1">'Total Allocation RZ - Gas'!O21+'Total Allocation RZ - Gas'!P21</f>
        <v>241.95265106460107</v>
      </c>
      <c r="H21" s="79"/>
      <c r="L21" s="79">
        <f t="shared" ca="1" si="6"/>
        <v>241.95265106460107</v>
      </c>
      <c r="N21" s="2" t="s">
        <v>157</v>
      </c>
      <c r="P21" s="79">
        <f ca="1">AW21+BG21</f>
        <v>13.488129125966715</v>
      </c>
      <c r="Q21" s="79">
        <f t="shared" ca="1" si="7"/>
        <v>178.20241729530852</v>
      </c>
      <c r="R21" s="79">
        <f t="shared" ca="1" si="7"/>
        <v>44.217034919934825</v>
      </c>
      <c r="S21" s="79">
        <f t="shared" ca="1" si="7"/>
        <v>6.0450697233910553</v>
      </c>
      <c r="T21" s="79">
        <f t="shared" ca="1" si="7"/>
        <v>0</v>
      </c>
      <c r="U21" s="79">
        <f t="shared" ca="1" si="7"/>
        <v>0</v>
      </c>
      <c r="V21" s="38"/>
      <c r="W21" s="38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96"/>
      <c r="AU21" s="145">
        <f ca="1">'Total Allocation RZ - Gas'!O21</f>
        <v>62.421378797705167</v>
      </c>
      <c r="AV21" s="96"/>
      <c r="AW21" s="79">
        <f ca="1">IF($AU21&lt;&gt;0,VLOOKUP($N21,'Allocation Factors-Union North'!$B$12:$Z$101,13,FALSE)*$AU21,0)</f>
        <v>0.44152639361792428</v>
      </c>
      <c r="AX21" s="79">
        <f ca="1">IF($AU21&lt;&gt;0,VLOOKUP($N21,'Allocation Factors-Union North'!$B$12:$Z$101,14,FALSE)*$AU21,0)</f>
        <v>50.069337553655757</v>
      </c>
      <c r="AY21" s="79">
        <f ca="1">IF($AU21&lt;&gt;0,VLOOKUP($N21,'Allocation Factors-Union North'!$B$12:$Z$101,15,FALSE)*$AU21,0)+IF($AT21&lt;&gt;0,VLOOKUP($J21,'Allocation Factors-Union North'!$B$12:$Z$101,15,FALSE)*$AT21,0)</f>
        <v>10.28144479511923</v>
      </c>
      <c r="AZ21" s="79">
        <f ca="1">IF($AU21&lt;&gt;0,VLOOKUP($N21,'Allocation Factors-Union North'!$B$12:$Z$101,16,FALSE)*$AU21,0)+IF($AT21&lt;&gt;0,VLOOKUP($J21,'Allocation Factors-Union North'!$B$12:$Z$101,16,FALSE)*$AT21,0)</f>
        <v>1.6290700553122641</v>
      </c>
      <c r="BA21" s="79">
        <f ca="1">IF($AU21&lt;&gt;0,VLOOKUP($N21,'Allocation Factors-Union North'!$B$12:$Z$101,17,FALSE)*$AU21,0)+IF($AT21&lt;&gt;0,VLOOKUP($J21,'Allocation Factors-Union North'!$B$12:$Z$101,17,FALSE)*$AT21,0)</f>
        <v>0</v>
      </c>
      <c r="BB21" s="79">
        <f ca="1">IF($AU21&lt;&gt;0,VLOOKUP($N21,'Allocation Factors-Union North'!$B$12:$Z$101,18,FALSE)*$AU21,0)+IF($AT21&lt;&gt;0,VLOOKUP($J21,'Allocation Factors-Union North'!$B$12:$Z$101,18,FALSE)*$AT21,0)</f>
        <v>0</v>
      </c>
      <c r="BC21" s="79"/>
      <c r="BD21" s="96"/>
      <c r="BE21" s="145">
        <f ca="1">'Total Allocation RZ - Gas'!P21</f>
        <v>179.53127226689591</v>
      </c>
      <c r="BF21" s="96"/>
      <c r="BG21" s="79">
        <v>13.046602732348791</v>
      </c>
      <c r="BH21" s="79">
        <v>128.13307974165275</v>
      </c>
      <c r="BI21" s="79">
        <v>33.935590124815597</v>
      </c>
      <c r="BJ21" s="79">
        <v>4.4159996680787916</v>
      </c>
      <c r="BK21" s="79">
        <v>0</v>
      </c>
      <c r="BL21" s="79">
        <v>0</v>
      </c>
    </row>
    <row r="22" spans="1:64" x14ac:dyDescent="0.2">
      <c r="A22" s="2">
        <f t="shared" ref="A22:A24" si="8">A21+1</f>
        <v>10</v>
      </c>
      <c r="B22" s="31" t="s">
        <v>345</v>
      </c>
      <c r="D22" s="79"/>
      <c r="E22" s="79"/>
      <c r="F22" s="79">
        <f ca="1">'Total Allocation RZ - Gas'!O22+'Total Allocation RZ - Gas'!P22</f>
        <v>0</v>
      </c>
      <c r="L22" s="79">
        <f t="shared" ca="1" si="6"/>
        <v>0</v>
      </c>
      <c r="N22" s="2" t="s">
        <v>346</v>
      </c>
      <c r="P22" s="79">
        <f ca="1">AW22+BG22</f>
        <v>0</v>
      </c>
      <c r="Q22" s="79">
        <f t="shared" ref="Q22" ca="1" si="9">AX22+BH22</f>
        <v>0</v>
      </c>
      <c r="R22" s="79">
        <f t="shared" ref="R22" ca="1" si="10">AY22+BI22</f>
        <v>0</v>
      </c>
      <c r="S22" s="79">
        <f t="shared" ref="S22" ca="1" si="11">AZ22+BJ22</f>
        <v>0</v>
      </c>
      <c r="T22" s="79">
        <f t="shared" ref="T22" ca="1" si="12">BA22+BK22</f>
        <v>0</v>
      </c>
      <c r="U22" s="79">
        <f t="shared" ref="U22" ca="1" si="13">BB22+BL22</f>
        <v>0</v>
      </c>
      <c r="V22" s="38"/>
      <c r="W22" s="38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U22" s="145">
        <f ca="1">'Total Allocation RZ - Gas'!O22</f>
        <v>0</v>
      </c>
      <c r="AV22" s="96"/>
      <c r="AW22" s="79">
        <f ca="1">IF($AU22&lt;&gt;0,VLOOKUP($N22,'Allocation Factors-Union North'!$B$12:$Z$101,13,FALSE)*$AU22,0)</f>
        <v>0</v>
      </c>
      <c r="AX22" s="79">
        <f ca="1">IF($AU22&lt;&gt;0,VLOOKUP($N22,'Allocation Factors-Union North'!$B$12:$Z$101,14,FALSE)*$AU22,0)</f>
        <v>0</v>
      </c>
      <c r="AY22" s="79">
        <f ca="1">IF($AU22&lt;&gt;0,VLOOKUP($N22,'Allocation Factors-Union North'!$B$12:$Z$101,15,FALSE)*$AU22,0)</f>
        <v>0</v>
      </c>
      <c r="AZ22" s="79">
        <f ca="1">IF($AU22&lt;&gt;0,VLOOKUP($N22,'Allocation Factors-Union North'!$B$12:$Z$101,16,FALSE)*$AU22,0)</f>
        <v>0</v>
      </c>
      <c r="BA22" s="79">
        <f ca="1">IF($AU22&lt;&gt;0,VLOOKUP($N22,'Allocation Factors-Union North'!$B$12:$Z$101,17,FALSE)*$AU22,0)</f>
        <v>0</v>
      </c>
      <c r="BB22" s="79">
        <f ca="1">IF($AU22&lt;&gt;0,VLOOKUP($N22,'Allocation Factors-Union North'!$B$12:$Z$101,18,FALSE)*$AU22,0)</f>
        <v>0</v>
      </c>
      <c r="BC22" s="79"/>
      <c r="BD22" s="96"/>
      <c r="BE22" s="145">
        <f ca="1">'Total Allocation RZ - Gas'!P22</f>
        <v>0</v>
      </c>
      <c r="BF22" s="96"/>
      <c r="BG22" s="79">
        <v>0</v>
      </c>
      <c r="BH22" s="79">
        <v>0</v>
      </c>
      <c r="BI22" s="79">
        <v>0</v>
      </c>
      <c r="BJ22" s="79">
        <v>0</v>
      </c>
      <c r="BK22" s="79">
        <v>0</v>
      </c>
      <c r="BL22" s="79">
        <v>0</v>
      </c>
    </row>
    <row r="23" spans="1:64" x14ac:dyDescent="0.2">
      <c r="A23" s="2">
        <f t="shared" si="8"/>
        <v>11</v>
      </c>
      <c r="B23" s="31" t="s">
        <v>91</v>
      </c>
      <c r="D23" s="79"/>
      <c r="E23" s="79"/>
      <c r="F23" s="79">
        <f ca="1">'Total Allocation RZ - Gas'!O23+'Total Allocation RZ - Gas'!P23</f>
        <v>982.92151703590412</v>
      </c>
      <c r="L23" s="79">
        <f t="shared" ca="1" si="6"/>
        <v>982.92151703590412</v>
      </c>
      <c r="N23" s="2" t="s">
        <v>334</v>
      </c>
      <c r="P23" s="79">
        <v>15.219458426264888</v>
      </c>
      <c r="Q23" s="79">
        <v>658.45447270105751</v>
      </c>
      <c r="R23" s="79">
        <v>215.51050392382157</v>
      </c>
      <c r="S23" s="79">
        <v>89.946620931602283</v>
      </c>
      <c r="T23" s="79">
        <v>3.7904610531578169</v>
      </c>
      <c r="U23" s="79">
        <v>0</v>
      </c>
      <c r="V23" s="38"/>
      <c r="W23" s="38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91"/>
      <c r="AO23" s="91"/>
      <c r="AP23" s="91"/>
      <c r="AQ23" s="91"/>
      <c r="AR23" s="91"/>
      <c r="AS23" s="91"/>
      <c r="AU23" s="145">
        <f ca="1">'Total Allocation RZ - Gas'!O23</f>
        <v>262.51137065294904</v>
      </c>
      <c r="AV23" s="96"/>
      <c r="AW23" s="79">
        <f ca="1">IF($AU23&lt;&gt;0,VLOOKUP($N23,'Allocation Factors-Union North'!$B$12:$Z$101,13,FALSE)*$AU23,0)</f>
        <v>1.5533671026046074</v>
      </c>
      <c r="AX23" s="79">
        <f ca="1">IF($AU23&lt;&gt;0,VLOOKUP($N23,'Allocation Factors-Union North'!$B$12:$Z$101,14,FALSE)*$AU23,0)</f>
        <v>184.97348349486964</v>
      </c>
      <c r="AY23" s="79">
        <f ca="1">IF($AU23&lt;&gt;0,VLOOKUP($N23,'Allocation Factors-Union North'!$B$12:$Z$101,15,FALSE)*$AU23,0)</f>
        <v>49.289869359127046</v>
      </c>
      <c r="AZ23" s="79">
        <f ca="1">IF($AU23&lt;&gt;0,VLOOKUP($N23,'Allocation Factors-Union North'!$B$12:$Z$101,16,FALSE)*$AU23,0)</f>
        <v>23.29427460431625</v>
      </c>
      <c r="BA23" s="79">
        <f ca="1">IF($AU23&lt;&gt;0,VLOOKUP($N23,'Allocation Factors-Union North'!$B$12:$Z$101,17,FALSE)*$AU23,0)</f>
        <v>3.4003760920314785</v>
      </c>
      <c r="BB23" s="79">
        <f ca="1">IF($AU23&lt;&gt;0,VLOOKUP($N23,'Allocation Factors-Union North'!$B$12:$Z$101,18,FALSE)*$AU23,0)</f>
        <v>0</v>
      </c>
      <c r="BC23" s="79"/>
      <c r="BD23" s="96"/>
      <c r="BE23" s="145">
        <f ca="1">'Total Allocation RZ - Gas'!P23</f>
        <v>720.41014638295508</v>
      </c>
      <c r="BF23" s="96"/>
      <c r="BG23" s="79">
        <v>13.684478650436521</v>
      </c>
      <c r="BH23" s="79">
        <v>473.18407290259699</v>
      </c>
      <c r="BI23" s="79">
        <v>166.38591546728517</v>
      </c>
      <c r="BJ23" s="79">
        <v>66.76101497141039</v>
      </c>
      <c r="BK23" s="79">
        <v>0.39466439122595592</v>
      </c>
      <c r="BL23" s="79">
        <v>0</v>
      </c>
    </row>
    <row r="24" spans="1:64" x14ac:dyDescent="0.2">
      <c r="A24" s="2">
        <f t="shared" si="8"/>
        <v>12</v>
      </c>
      <c r="B24" s="31" t="s">
        <v>96</v>
      </c>
      <c r="D24" s="41"/>
      <c r="F24" s="41">
        <f ca="1">SUM(F20:F23)</f>
        <v>1977.1001923286283</v>
      </c>
      <c r="H24" s="41">
        <f>SUM(H20:H23)</f>
        <v>0</v>
      </c>
      <c r="J24" s="122"/>
      <c r="L24" s="41">
        <f ca="1">SUM(L20:L23)</f>
        <v>1977.1001923286283</v>
      </c>
      <c r="P24" s="41">
        <f t="shared" ref="P24:U24" ca="1" si="14">SUM(P20:P23)</f>
        <v>52.441203161980155</v>
      </c>
      <c r="Q24" s="41">
        <f t="shared" ca="1" si="14"/>
        <v>1387.5775551661711</v>
      </c>
      <c r="R24" s="41">
        <f t="shared" ca="1" si="14"/>
        <v>415.26899167728806</v>
      </c>
      <c r="S24" s="41">
        <f t="shared" ca="1" si="14"/>
        <v>118.02198127003118</v>
      </c>
      <c r="T24" s="41">
        <f t="shared" ca="1" si="14"/>
        <v>3.7904610531578169</v>
      </c>
      <c r="U24" s="41">
        <f t="shared" ca="1" si="14"/>
        <v>0</v>
      </c>
      <c r="V24" s="50"/>
      <c r="W24" s="50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U24" s="146">
        <f ca="1">SUM(AU20:AU23)+AT21</f>
        <v>518.0945905319212</v>
      </c>
      <c r="AV24" s="96"/>
      <c r="AW24" s="41">
        <f t="shared" ref="AW24:BB24" ca="1" si="15">SUM(AW20:AW23)</f>
        <v>2.771831283906351</v>
      </c>
      <c r="AX24" s="41">
        <f t="shared" ca="1" si="15"/>
        <v>379.61245218231574</v>
      </c>
      <c r="AY24" s="41">
        <f t="shared" ca="1" si="15"/>
        <v>103.91802498458097</v>
      </c>
      <c r="AZ24" s="41">
        <f t="shared" ca="1" si="15"/>
        <v>28.391905989086673</v>
      </c>
      <c r="BA24" s="41">
        <f t="shared" ca="1" si="15"/>
        <v>3.4003760920314785</v>
      </c>
      <c r="BB24" s="41">
        <f t="shared" ca="1" si="15"/>
        <v>0</v>
      </c>
      <c r="BC24" s="50"/>
      <c r="BD24" s="96"/>
      <c r="BE24" s="146">
        <f ca="1">SUM(BE20:BE23)+BD21</f>
        <v>1459.0056017967072</v>
      </c>
      <c r="BF24" s="96"/>
      <c r="BG24" s="41">
        <f t="shared" ref="BG24:BL24" si="16">SUM(BG20:BG23)</f>
        <v>49.687759204850039</v>
      </c>
      <c r="BH24" s="41">
        <f t="shared" si="16"/>
        <v>1007.6681866802644</v>
      </c>
      <c r="BI24" s="41">
        <f t="shared" si="16"/>
        <v>311.51624759529773</v>
      </c>
      <c r="BJ24" s="41">
        <f t="shared" si="16"/>
        <v>89.73874392506886</v>
      </c>
      <c r="BK24" s="41">
        <f t="shared" si="16"/>
        <v>0.39466439122595592</v>
      </c>
      <c r="BL24" s="41">
        <f t="shared" si="16"/>
        <v>0</v>
      </c>
    </row>
    <row r="25" spans="1:64" x14ac:dyDescent="0.2">
      <c r="D25" s="50"/>
      <c r="P25" s="79"/>
      <c r="Q25" s="79"/>
      <c r="R25" s="79"/>
      <c r="S25" s="79"/>
      <c r="T25" s="79"/>
      <c r="U25" s="79"/>
      <c r="V25" s="38"/>
      <c r="W25" s="38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91"/>
      <c r="AO25" s="91"/>
      <c r="AP25" s="91"/>
      <c r="AQ25" s="91"/>
      <c r="AR25" s="91"/>
      <c r="AS25" s="91"/>
      <c r="AU25" s="145"/>
      <c r="AV25" s="96"/>
      <c r="AW25" s="96"/>
      <c r="AX25" s="96"/>
      <c r="AY25" s="96"/>
      <c r="AZ25" s="96"/>
      <c r="BA25" s="96"/>
      <c r="BB25" s="96"/>
      <c r="BC25" s="96"/>
      <c r="BD25" s="96"/>
      <c r="BE25" s="145"/>
      <c r="BF25" s="96"/>
      <c r="BG25" s="96"/>
      <c r="BH25" s="96"/>
      <c r="BI25" s="96"/>
      <c r="BJ25" s="96"/>
      <c r="BK25" s="96"/>
      <c r="BL25" s="96"/>
    </row>
    <row r="26" spans="1:64" x14ac:dyDescent="0.2">
      <c r="B26" s="77" t="s">
        <v>98</v>
      </c>
      <c r="P26" s="79"/>
      <c r="Q26" s="79"/>
      <c r="R26" s="79"/>
      <c r="S26" s="79"/>
      <c r="T26" s="79"/>
      <c r="U26" s="79"/>
      <c r="V26" s="38"/>
      <c r="W26" s="38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91"/>
      <c r="AO26" s="91"/>
      <c r="AP26" s="91"/>
      <c r="AQ26" s="91"/>
      <c r="AR26" s="91"/>
      <c r="AS26" s="91"/>
      <c r="AU26" s="144"/>
      <c r="BE26" s="144"/>
    </row>
    <row r="27" spans="1:64" x14ac:dyDescent="0.2">
      <c r="A27" s="2">
        <f>A24+1</f>
        <v>13</v>
      </c>
      <c r="B27" s="31" t="s">
        <v>92</v>
      </c>
      <c r="D27" s="79"/>
      <c r="E27" s="79"/>
      <c r="F27" s="79">
        <f ca="1">'Total Allocation RZ - Gas'!O27+'Total Allocation RZ - Gas'!P27</f>
        <v>0</v>
      </c>
      <c r="L27" s="79">
        <f t="shared" ref="L27:L33" ca="1" si="17">F27-H27</f>
        <v>0</v>
      </c>
      <c r="N27" s="2" t="s">
        <v>533</v>
      </c>
      <c r="P27" s="79">
        <f t="shared" ref="P27:U33" ca="1" si="18">AW27+BG27</f>
        <v>0</v>
      </c>
      <c r="Q27" s="79">
        <f t="shared" ca="1" si="18"/>
        <v>0</v>
      </c>
      <c r="R27" s="79">
        <f t="shared" ca="1" si="18"/>
        <v>0</v>
      </c>
      <c r="S27" s="79">
        <f t="shared" ca="1" si="18"/>
        <v>0</v>
      </c>
      <c r="T27" s="79">
        <f t="shared" ca="1" si="18"/>
        <v>0</v>
      </c>
      <c r="U27" s="79">
        <f t="shared" ca="1" si="18"/>
        <v>0</v>
      </c>
      <c r="V27" s="38"/>
      <c r="W27" s="38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U27" s="145">
        <f ca="1">'Total Allocation RZ - Gas'!O27</f>
        <v>0</v>
      </c>
      <c r="AV27" s="96"/>
      <c r="AW27" s="79">
        <f ca="1">IF($AU27&lt;&gt;0,VLOOKUP($N27,'Allocation Factors-Union North'!$B$12:$Z$101,13,FALSE)*$AU27,0)</f>
        <v>0</v>
      </c>
      <c r="AX27" s="79">
        <f ca="1">IF($AU27&lt;&gt;0,VLOOKUP($N27,'Allocation Factors-Union North'!$B$12:$Z$101,14,FALSE)*$AU27,0)</f>
        <v>0</v>
      </c>
      <c r="AY27" s="79">
        <f ca="1">IF($AU27&lt;&gt;0,VLOOKUP($N27,'Allocation Factors-Union North'!$B$12:$Z$101,15,FALSE)*$AU27,0)</f>
        <v>0</v>
      </c>
      <c r="AZ27" s="79">
        <f ca="1">IF($AU27&lt;&gt;0,VLOOKUP($N27,'Allocation Factors-Union North'!$B$12:$Z$101,16,FALSE)*$AU27,0)</f>
        <v>0</v>
      </c>
      <c r="BA27" s="79">
        <f ca="1">IF($AU27&lt;&gt;0,VLOOKUP($N27,'Allocation Factors-Union North'!$B$12:$Z$101,17,FALSE)*$AU27,0)</f>
        <v>0</v>
      </c>
      <c r="BB27" s="79">
        <f ca="1">IF($AU27&lt;&gt;0,VLOOKUP($N27,'Allocation Factors-Union North'!$B$12:$Z$101,18,FALSE)*$AU27,0)</f>
        <v>0</v>
      </c>
      <c r="BC27" s="79"/>
      <c r="BD27" s="96"/>
      <c r="BE27" s="145">
        <f ca="1">'Total Allocation RZ - Gas'!P27</f>
        <v>0</v>
      </c>
      <c r="BF27" s="96"/>
      <c r="BG27" s="79">
        <v>0</v>
      </c>
      <c r="BH27" s="79">
        <v>0</v>
      </c>
      <c r="BI27" s="79">
        <v>0</v>
      </c>
      <c r="BJ27" s="79">
        <v>0</v>
      </c>
      <c r="BK27" s="79">
        <v>0</v>
      </c>
      <c r="BL27" s="79">
        <v>0</v>
      </c>
    </row>
    <row r="28" spans="1:64" x14ac:dyDescent="0.2">
      <c r="A28" s="2">
        <f>A27+1</f>
        <v>14</v>
      </c>
      <c r="B28" s="31" t="s">
        <v>93</v>
      </c>
      <c r="D28" s="79"/>
      <c r="E28" s="79"/>
      <c r="F28" s="79">
        <f ca="1">'Total Allocation RZ - Gas'!O28+'Total Allocation RZ - Gas'!P28</f>
        <v>0</v>
      </c>
      <c r="L28" s="79">
        <f t="shared" ca="1" si="17"/>
        <v>0</v>
      </c>
      <c r="N28" s="2" t="s">
        <v>218</v>
      </c>
      <c r="P28" s="79">
        <f t="shared" ca="1" si="18"/>
        <v>0</v>
      </c>
      <c r="Q28" s="79">
        <f t="shared" ca="1" si="18"/>
        <v>0</v>
      </c>
      <c r="R28" s="79">
        <f t="shared" ca="1" si="18"/>
        <v>0</v>
      </c>
      <c r="S28" s="79">
        <f t="shared" ca="1" si="18"/>
        <v>0</v>
      </c>
      <c r="T28" s="79">
        <f t="shared" ca="1" si="18"/>
        <v>0</v>
      </c>
      <c r="U28" s="79">
        <f t="shared" ca="1" si="18"/>
        <v>0</v>
      </c>
      <c r="V28" s="38"/>
      <c r="W28" s="38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U28" s="145">
        <f ca="1">'Total Allocation RZ - Gas'!O28</f>
        <v>0</v>
      </c>
      <c r="AV28" s="96"/>
      <c r="AW28" s="79">
        <f ca="1">IF($AU28&lt;&gt;0,VLOOKUP($N28,'Allocation Factors-Union North'!$B$12:$Z$101,13,FALSE)*$AU28,0)</f>
        <v>0</v>
      </c>
      <c r="AX28" s="79">
        <f ca="1">IF($AU28&lt;&gt;0,VLOOKUP($N28,'Allocation Factors-Union North'!$B$12:$Z$101,14,FALSE)*$AU28,0)</f>
        <v>0</v>
      </c>
      <c r="AY28" s="79">
        <f ca="1">IF($AU28&lt;&gt;0,VLOOKUP($N28,'Allocation Factors-Union North'!$B$12:$Z$101,15,FALSE)*$AU28,0)</f>
        <v>0</v>
      </c>
      <c r="AZ28" s="79">
        <f ca="1">IF($AU28&lt;&gt;0,VLOOKUP($N28,'Allocation Factors-Union North'!$B$12:$Z$101,16,FALSE)*$AU28,0)</f>
        <v>0</v>
      </c>
      <c r="BA28" s="79">
        <f ca="1">IF($AU28&lt;&gt;0,VLOOKUP($N28,'Allocation Factors-Union North'!$B$12:$Z$101,17,FALSE)*$AU28,0)</f>
        <v>0</v>
      </c>
      <c r="BB28" s="79">
        <f ca="1">IF($AU28&lt;&gt;0,VLOOKUP($N28,'Allocation Factors-Union North'!$B$12:$Z$101,18,FALSE)*$AU28,0)</f>
        <v>0</v>
      </c>
      <c r="BC28" s="79"/>
      <c r="BD28" s="96"/>
      <c r="BE28" s="145">
        <f ca="1">'Total Allocation RZ - Gas'!P28</f>
        <v>0</v>
      </c>
      <c r="BF28" s="96"/>
      <c r="BG28" s="79">
        <v>0</v>
      </c>
      <c r="BH28" s="79">
        <v>0</v>
      </c>
      <c r="BI28" s="79">
        <v>0</v>
      </c>
      <c r="BJ28" s="79">
        <v>0</v>
      </c>
      <c r="BK28" s="79">
        <v>0</v>
      </c>
      <c r="BL28" s="79">
        <v>0</v>
      </c>
    </row>
    <row r="29" spans="1:64" x14ac:dyDescent="0.2">
      <c r="A29" s="2">
        <f t="shared" ref="A29:A34" si="19">A28+1</f>
        <v>15</v>
      </c>
      <c r="B29" s="31" t="s">
        <v>94</v>
      </c>
      <c r="D29" s="79"/>
      <c r="E29" s="79"/>
      <c r="F29" s="79">
        <f ca="1">'Total Allocation RZ - Gas'!O29+'Total Allocation RZ - Gas'!P29</f>
        <v>0</v>
      </c>
      <c r="L29" s="79">
        <f t="shared" ca="1" si="17"/>
        <v>0</v>
      </c>
      <c r="N29" s="2" t="s">
        <v>230</v>
      </c>
      <c r="P29" s="79">
        <f t="shared" ca="1" si="18"/>
        <v>0</v>
      </c>
      <c r="Q29" s="79">
        <f t="shared" ca="1" si="18"/>
        <v>0</v>
      </c>
      <c r="R29" s="79">
        <f t="shared" ca="1" si="18"/>
        <v>0</v>
      </c>
      <c r="S29" s="79">
        <f t="shared" ca="1" si="18"/>
        <v>0</v>
      </c>
      <c r="T29" s="79">
        <f t="shared" ca="1" si="18"/>
        <v>0</v>
      </c>
      <c r="U29" s="79">
        <f t="shared" ca="1" si="18"/>
        <v>0</v>
      </c>
      <c r="V29" s="38"/>
      <c r="W29" s="38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U29" s="145">
        <f ca="1">'Total Allocation RZ - Gas'!O29</f>
        <v>0</v>
      </c>
      <c r="AV29" s="96"/>
      <c r="AW29" s="79">
        <f ca="1">IF($AU29&lt;&gt;0,VLOOKUP($N29,'Allocation Factors-Union North'!$B$12:$Z$101,13,FALSE)*$AU29,0)</f>
        <v>0</v>
      </c>
      <c r="AX29" s="79">
        <f ca="1">IF($AU29&lt;&gt;0,VLOOKUP($N29,'Allocation Factors-Union North'!$B$12:$Z$101,14,FALSE)*$AU29,0)</f>
        <v>0</v>
      </c>
      <c r="AY29" s="79">
        <f ca="1">IF($AU29&lt;&gt;0,VLOOKUP($N29,'Allocation Factors-Union North'!$B$12:$Z$101,15,FALSE)*$AU29,0)</f>
        <v>0</v>
      </c>
      <c r="AZ29" s="79">
        <f ca="1">IF($AU29&lt;&gt;0,VLOOKUP($N29,'Allocation Factors-Union North'!$B$12:$Z$101,16,FALSE)*$AU29,0)</f>
        <v>0</v>
      </c>
      <c r="BA29" s="79">
        <f ca="1">IF($AU29&lt;&gt;0,VLOOKUP($N29,'Allocation Factors-Union North'!$B$12:$Z$101,17,FALSE)*$AU29,0)</f>
        <v>0</v>
      </c>
      <c r="BB29" s="79">
        <f ca="1">IF($AU29&lt;&gt;0,VLOOKUP($N29,'Allocation Factors-Union North'!$B$12:$Z$101,18,FALSE)*$AU29,0)</f>
        <v>0</v>
      </c>
      <c r="BC29" s="79"/>
      <c r="BD29" s="96"/>
      <c r="BE29" s="145">
        <f ca="1">'Total Allocation RZ - Gas'!P29</f>
        <v>0</v>
      </c>
      <c r="BF29" s="96"/>
      <c r="BG29" s="79">
        <v>0</v>
      </c>
      <c r="BH29" s="79">
        <v>0</v>
      </c>
      <c r="BI29" s="79">
        <v>0</v>
      </c>
      <c r="BJ29" s="79">
        <v>0</v>
      </c>
      <c r="BK29" s="79">
        <v>0</v>
      </c>
      <c r="BL29" s="79">
        <v>0</v>
      </c>
    </row>
    <row r="30" spans="1:64" x14ac:dyDescent="0.2">
      <c r="A30" s="2">
        <f t="shared" si="19"/>
        <v>16</v>
      </c>
      <c r="B30" s="31" t="s">
        <v>330</v>
      </c>
      <c r="D30" s="79"/>
      <c r="E30" s="79"/>
      <c r="F30" s="79">
        <f ca="1">'Total Allocation RZ - Gas'!O30+'Total Allocation RZ - Gas'!P30</f>
        <v>0</v>
      </c>
      <c r="L30" s="79">
        <f t="shared" ca="1" si="17"/>
        <v>0</v>
      </c>
      <c r="N30" s="2" t="s">
        <v>222</v>
      </c>
      <c r="P30" s="79">
        <f t="shared" ca="1" si="18"/>
        <v>0</v>
      </c>
      <c r="Q30" s="79">
        <f t="shared" ca="1" si="18"/>
        <v>0</v>
      </c>
      <c r="R30" s="79">
        <f t="shared" ca="1" si="18"/>
        <v>0</v>
      </c>
      <c r="S30" s="79">
        <f t="shared" ca="1" si="18"/>
        <v>0</v>
      </c>
      <c r="T30" s="79">
        <f t="shared" ca="1" si="18"/>
        <v>0</v>
      </c>
      <c r="U30" s="79">
        <f t="shared" ca="1" si="18"/>
        <v>0</v>
      </c>
      <c r="V30" s="38"/>
      <c r="W30" s="38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U30" s="145">
        <f ca="1">'Total Allocation RZ - Gas'!O30</f>
        <v>0</v>
      </c>
      <c r="AV30" s="96"/>
      <c r="AW30" s="79">
        <f ca="1">IF($AU30&lt;&gt;0,VLOOKUP($N30,'Allocation Factors-Union North'!$B$12:$Z$101,13,FALSE)*$AU30,0)</f>
        <v>0</v>
      </c>
      <c r="AX30" s="79">
        <f ca="1">IF($AU30&lt;&gt;0,VLOOKUP($N30,'Allocation Factors-Union North'!$B$12:$Z$101,14,FALSE)*$AU30,0)</f>
        <v>0</v>
      </c>
      <c r="AY30" s="79">
        <f ca="1">IF($AU30&lt;&gt;0,VLOOKUP($N30,'Allocation Factors-Union North'!$B$12:$Z$101,15,FALSE)*$AU30,0)</f>
        <v>0</v>
      </c>
      <c r="AZ30" s="79">
        <f ca="1">IF($AU30&lt;&gt;0,VLOOKUP($N30,'Allocation Factors-Union North'!$B$12:$Z$101,16,FALSE)*$AU30,0)</f>
        <v>0</v>
      </c>
      <c r="BA30" s="79">
        <f ca="1">IF($AU30&lt;&gt;0,VLOOKUP($N30,'Allocation Factors-Union North'!$B$12:$Z$101,17,FALSE)*$AU30,0)</f>
        <v>0</v>
      </c>
      <c r="BB30" s="79">
        <f ca="1">IF($AU30&lt;&gt;0,VLOOKUP($N30,'Allocation Factors-Union North'!$B$12:$Z$101,18,FALSE)*$AU30,0)</f>
        <v>0</v>
      </c>
      <c r="BC30" s="79"/>
      <c r="BD30" s="96"/>
      <c r="BE30" s="145">
        <f ca="1">'Total Allocation RZ - Gas'!P30</f>
        <v>0</v>
      </c>
      <c r="BF30" s="96"/>
      <c r="BG30" s="79">
        <v>0</v>
      </c>
      <c r="BH30" s="79">
        <v>0</v>
      </c>
      <c r="BI30" s="79">
        <v>0</v>
      </c>
      <c r="BJ30" s="79">
        <v>0</v>
      </c>
      <c r="BK30" s="79">
        <v>0</v>
      </c>
      <c r="BL30" s="79">
        <v>0</v>
      </c>
    </row>
    <row r="31" spans="1:64" x14ac:dyDescent="0.2">
      <c r="A31" s="2">
        <f t="shared" si="19"/>
        <v>17</v>
      </c>
      <c r="B31" s="31" t="s">
        <v>331</v>
      </c>
      <c r="D31" s="79"/>
      <c r="E31" s="79"/>
      <c r="F31" s="79">
        <f ca="1">'Total Allocation RZ - Gas'!O31+'Total Allocation RZ - Gas'!P31</f>
        <v>0</v>
      </c>
      <c r="L31" s="79">
        <f t="shared" ca="1" si="17"/>
        <v>0</v>
      </c>
      <c r="N31" s="2" t="s">
        <v>332</v>
      </c>
      <c r="P31" s="79">
        <f t="shared" ca="1" si="18"/>
        <v>0</v>
      </c>
      <c r="Q31" s="79">
        <f t="shared" ca="1" si="18"/>
        <v>0</v>
      </c>
      <c r="R31" s="79">
        <f t="shared" ca="1" si="18"/>
        <v>0</v>
      </c>
      <c r="S31" s="79">
        <f t="shared" ca="1" si="18"/>
        <v>0</v>
      </c>
      <c r="T31" s="79">
        <f t="shared" ca="1" si="18"/>
        <v>0</v>
      </c>
      <c r="U31" s="79">
        <f t="shared" ca="1" si="18"/>
        <v>0</v>
      </c>
      <c r="V31" s="38"/>
      <c r="W31" s="38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U31" s="145">
        <f ca="1">'Total Allocation RZ - Gas'!O31</f>
        <v>0</v>
      </c>
      <c r="AV31" s="96"/>
      <c r="AW31" s="79">
        <f ca="1">IF($AU31&lt;&gt;0,VLOOKUP($N31,'Allocation Factors-Union North'!$B$12:$Z$101,13,FALSE)*$AU31,0)</f>
        <v>0</v>
      </c>
      <c r="AX31" s="79">
        <f ca="1">IF($AU31&lt;&gt;0,VLOOKUP($N31,'Allocation Factors-Union North'!$B$12:$Z$101,14,FALSE)*$AU31,0)</f>
        <v>0</v>
      </c>
      <c r="AY31" s="79">
        <f ca="1">IF($AU31&lt;&gt;0,VLOOKUP($N31,'Allocation Factors-Union North'!$B$12:$Z$101,15,FALSE)*$AU31,0)</f>
        <v>0</v>
      </c>
      <c r="AZ31" s="79">
        <f ca="1">IF($AU31&lt;&gt;0,VLOOKUP($N31,'Allocation Factors-Union North'!$B$12:$Z$101,16,FALSE)*$AU31,0)</f>
        <v>0</v>
      </c>
      <c r="BA31" s="79">
        <f ca="1">IF($AU31&lt;&gt;0,VLOOKUP($N31,'Allocation Factors-Union North'!$B$12:$Z$101,17,FALSE)*$AU31,0)</f>
        <v>0</v>
      </c>
      <c r="BB31" s="79">
        <f ca="1">IF($AU31&lt;&gt;0,VLOOKUP($N31,'Allocation Factors-Union North'!$B$12:$Z$101,18,FALSE)*$AU31,0)</f>
        <v>0</v>
      </c>
      <c r="BC31" s="79"/>
      <c r="BD31" s="96"/>
      <c r="BE31" s="145">
        <f ca="1">'Total Allocation RZ - Gas'!P31</f>
        <v>0</v>
      </c>
      <c r="BF31" s="96"/>
      <c r="BG31" s="79">
        <v>0</v>
      </c>
      <c r="BH31" s="79">
        <v>0</v>
      </c>
      <c r="BI31" s="79">
        <v>0</v>
      </c>
      <c r="BJ31" s="79">
        <v>0</v>
      </c>
      <c r="BK31" s="79">
        <v>0</v>
      </c>
      <c r="BL31" s="79">
        <v>0</v>
      </c>
    </row>
    <row r="32" spans="1:64" x14ac:dyDescent="0.2">
      <c r="A32" s="2">
        <f t="shared" si="19"/>
        <v>18</v>
      </c>
      <c r="B32" s="31" t="s">
        <v>146</v>
      </c>
      <c r="D32" s="79"/>
      <c r="E32" s="79"/>
      <c r="F32" s="79">
        <f ca="1">'Total Allocation RZ - Gas'!O32+'Total Allocation RZ - Gas'!P32</f>
        <v>0</v>
      </c>
      <c r="L32" s="79">
        <f t="shared" ca="1" si="17"/>
        <v>0</v>
      </c>
      <c r="N32" s="2" t="s">
        <v>229</v>
      </c>
      <c r="P32" s="79">
        <f t="shared" ca="1" si="18"/>
        <v>0</v>
      </c>
      <c r="Q32" s="79">
        <f t="shared" ca="1" si="18"/>
        <v>0</v>
      </c>
      <c r="R32" s="79">
        <f t="shared" ca="1" si="18"/>
        <v>0</v>
      </c>
      <c r="S32" s="79">
        <f t="shared" ca="1" si="18"/>
        <v>0</v>
      </c>
      <c r="T32" s="79">
        <f t="shared" ca="1" si="18"/>
        <v>0</v>
      </c>
      <c r="U32" s="79">
        <f t="shared" ca="1" si="18"/>
        <v>0</v>
      </c>
      <c r="V32" s="38"/>
      <c r="W32" s="38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U32" s="145">
        <f ca="1">'Total Allocation RZ - Gas'!O32</f>
        <v>0</v>
      </c>
      <c r="AV32" s="96"/>
      <c r="AW32" s="79">
        <f ca="1">IF($AU32&lt;&gt;0,VLOOKUP($N32,'Allocation Factors-Union North'!$B$12:$Z$101,13,FALSE)*$AU32,0)</f>
        <v>0</v>
      </c>
      <c r="AX32" s="79">
        <f ca="1">IF($AU32&lt;&gt;0,VLOOKUP($N32,'Allocation Factors-Union North'!$B$12:$Z$101,14,FALSE)*$AU32,0)</f>
        <v>0</v>
      </c>
      <c r="AY32" s="79">
        <f ca="1">IF($AU32&lt;&gt;0,VLOOKUP($N32,'Allocation Factors-Union North'!$B$12:$Z$101,15,FALSE)*$AU32,0)</f>
        <v>0</v>
      </c>
      <c r="AZ32" s="79">
        <f ca="1">IF($AU32&lt;&gt;0,VLOOKUP($N32,'Allocation Factors-Union North'!$B$12:$Z$101,16,FALSE)*$AU32,0)</f>
        <v>0</v>
      </c>
      <c r="BA32" s="79">
        <f ca="1">IF($AU32&lt;&gt;0,VLOOKUP($N32,'Allocation Factors-Union North'!$B$12:$Z$101,17,FALSE)*$AU32,0)</f>
        <v>0</v>
      </c>
      <c r="BB32" s="79">
        <f ca="1">IF($AU32&lt;&gt;0,VLOOKUP($N32,'Allocation Factors-Union North'!$B$12:$Z$101,18,FALSE)*$AU32,0)</f>
        <v>0</v>
      </c>
      <c r="BC32" s="79"/>
      <c r="BD32" s="96"/>
      <c r="BE32" s="145">
        <f ca="1">'Total Allocation RZ - Gas'!P32</f>
        <v>0</v>
      </c>
      <c r="BF32" s="96"/>
      <c r="BG32" s="79">
        <v>0</v>
      </c>
      <c r="BH32" s="79">
        <v>0</v>
      </c>
      <c r="BI32" s="79">
        <v>0</v>
      </c>
      <c r="BJ32" s="79">
        <v>0</v>
      </c>
      <c r="BK32" s="79">
        <v>0</v>
      </c>
      <c r="BL32" s="79">
        <v>0</v>
      </c>
    </row>
    <row r="33" spans="1:64" x14ac:dyDescent="0.2">
      <c r="A33" s="2">
        <f t="shared" si="19"/>
        <v>19</v>
      </c>
      <c r="B33" s="31" t="s">
        <v>95</v>
      </c>
      <c r="D33" s="79"/>
      <c r="E33" s="79"/>
      <c r="F33" s="79">
        <f ca="1">'Total Allocation RZ - Gas'!O33+'Total Allocation RZ - Gas'!P33</f>
        <v>1000.2798608739456</v>
      </c>
      <c r="H33" s="79">
        <f>'Total Allocation - North'!H33</f>
        <v>974.41487889010909</v>
      </c>
      <c r="J33" s="2" t="s">
        <v>251</v>
      </c>
      <c r="L33" s="79">
        <f t="shared" ca="1" si="17"/>
        <v>25.864981983836515</v>
      </c>
      <c r="N33" s="2" t="s">
        <v>335</v>
      </c>
      <c r="P33" s="79">
        <f t="shared" si="18"/>
        <v>9.0881221768456015</v>
      </c>
      <c r="Q33" s="79">
        <f t="shared" si="18"/>
        <v>674.49683197394802</v>
      </c>
      <c r="R33" s="79">
        <f t="shared" si="18"/>
        <v>220.67151725793732</v>
      </c>
      <c r="S33" s="79">
        <f t="shared" si="18"/>
        <v>92.122108781104984</v>
      </c>
      <c r="T33" s="79">
        <f t="shared" si="18"/>
        <v>3.9012684617766613</v>
      </c>
      <c r="U33" s="79">
        <f t="shared" si="18"/>
        <v>0</v>
      </c>
      <c r="V33" s="38"/>
      <c r="W33" s="38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96">
        <v>262.77322742029065</v>
      </c>
      <c r="AU33" s="145">
        <v>6.9750798439162507</v>
      </c>
      <c r="AV33" s="96"/>
      <c r="AW33" s="79">
        <f>IF($AU33&lt;&gt;0,VLOOKUP($N33,'Allocation Factors-Union North'!$B$12:$Z$101,13,FALSE)*$AU33,0)+IF($AT33&lt;&gt;0,VLOOKUP($J33,'Allocation Factors-Union North'!$B$12:$Z$101,13,FALSE)*$AT33,0)</f>
        <v>0.93289630140359481</v>
      </c>
      <c r="AX33" s="79">
        <f>IF($AU33&lt;&gt;0,VLOOKUP($N33,'Allocation Factors-Union North'!$B$12:$Z$101,14,FALSE)*$AU33,0)+IF($AT33&lt;&gt;0,VLOOKUP($J33,'Allocation Factors-Union North'!$B$12:$Z$101,14,FALSE)*$AT33,0)</f>
        <v>190.61913433094549</v>
      </c>
      <c r="AY33" s="79">
        <f>IF($AU33&lt;&gt;0,VLOOKUP($N33,'Allocation Factors-Union North'!$B$12:$Z$101,15,FALSE)*$AU33,0)+IF($AT33&lt;&gt;0,VLOOKUP($J33,'Allocation Factors-Union North'!$B$12:$Z$101,15,FALSE)*$AT33,0)</f>
        <v>50.732452765800112</v>
      </c>
      <c r="AZ33" s="79">
        <f>IF($AU33&lt;&gt;0,VLOOKUP($N33,'Allocation Factors-Union North'!$B$12:$Z$101,16,FALSE)*$AU33,0)+IF($AT33&lt;&gt;0,VLOOKUP($J33,'Allocation Factors-Union North'!$B$12:$Z$101,16,FALSE)*$AT33,0)</f>
        <v>23.965470164417443</v>
      </c>
      <c r="BA33" s="79">
        <f>IF($AU33&lt;&gt;0,VLOOKUP($N33,'Allocation Factors-Union North'!$B$12:$Z$101,17,FALSE)*$AU33,0)+IF($AT33&lt;&gt;0,VLOOKUP($J33,'Allocation Factors-Union North'!$B$12:$Z$101,17,FALSE)*$AT33,0)</f>
        <v>3.4983537016402675</v>
      </c>
      <c r="BB33" s="79">
        <f>IF($AU33&lt;&gt;0,VLOOKUP($N33,'Allocation Factors-Union North'!$B$12:$Z$101,18,FALSE)*$AU33,0)+IF($AT33&lt;&gt;0,VLOOKUP($J33,'Allocation Factors-Union North'!$B$12:$Z$101,18,FALSE)*$AT33,0)</f>
        <v>0</v>
      </c>
      <c r="BC33" s="79"/>
      <c r="BD33" s="96">
        <v>711.64165146981838</v>
      </c>
      <c r="BE33" s="145">
        <v>18.889889917587229</v>
      </c>
      <c r="BF33" s="96"/>
      <c r="BG33" s="79">
        <v>8.1552258754420066</v>
      </c>
      <c r="BH33" s="79">
        <v>483.87769764300259</v>
      </c>
      <c r="BI33" s="79">
        <v>169.93906449213722</v>
      </c>
      <c r="BJ33" s="79">
        <v>68.156638616687545</v>
      </c>
      <c r="BK33" s="79">
        <v>0.40291476013639382</v>
      </c>
      <c r="BL33" s="79">
        <v>0</v>
      </c>
    </row>
    <row r="34" spans="1:64" x14ac:dyDescent="0.2">
      <c r="A34" s="2">
        <f t="shared" si="19"/>
        <v>20</v>
      </c>
      <c r="B34" s="31" t="s">
        <v>99</v>
      </c>
      <c r="D34" s="41"/>
      <c r="F34" s="41">
        <f ca="1">SUM(F27:F33)</f>
        <v>1000.2798608739456</v>
      </c>
      <c r="H34" s="41">
        <f>SUM(H27:H33)</f>
        <v>974.41487889010909</v>
      </c>
      <c r="L34" s="41">
        <f ca="1">SUM(L27:L33)</f>
        <v>25.864981983836515</v>
      </c>
      <c r="P34" s="41">
        <f t="shared" ref="P34:U34" ca="1" si="20">SUM(P27:P33)</f>
        <v>9.0881221768456015</v>
      </c>
      <c r="Q34" s="41">
        <f t="shared" ca="1" si="20"/>
        <v>674.49683197394802</v>
      </c>
      <c r="R34" s="41">
        <f t="shared" ca="1" si="20"/>
        <v>220.67151725793732</v>
      </c>
      <c r="S34" s="41">
        <f t="shared" ca="1" si="20"/>
        <v>92.122108781104984</v>
      </c>
      <c r="T34" s="41">
        <f t="shared" ca="1" si="20"/>
        <v>3.9012684617766613</v>
      </c>
      <c r="U34" s="41">
        <f t="shared" ca="1" si="20"/>
        <v>0</v>
      </c>
      <c r="V34" s="50"/>
      <c r="W34" s="50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U34" s="146">
        <f ca="1">SUM(AU27:AU33)</f>
        <v>6.9750798439162507</v>
      </c>
      <c r="AW34" s="41">
        <f t="shared" ref="AW34:BB34" ca="1" si="21">SUM(AW27:AW33)</f>
        <v>0.93289630140359481</v>
      </c>
      <c r="AX34" s="41">
        <f t="shared" ca="1" si="21"/>
        <v>190.61913433094549</v>
      </c>
      <c r="AY34" s="41">
        <f t="shared" ca="1" si="21"/>
        <v>50.732452765800112</v>
      </c>
      <c r="AZ34" s="41">
        <f t="shared" ca="1" si="21"/>
        <v>23.965470164417443</v>
      </c>
      <c r="BA34" s="41">
        <f t="shared" ca="1" si="21"/>
        <v>3.4983537016402675</v>
      </c>
      <c r="BB34" s="41">
        <f t="shared" ca="1" si="21"/>
        <v>0</v>
      </c>
      <c r="BC34" s="50"/>
      <c r="BE34" s="146">
        <f ca="1">SUM(BE27:BE33)</f>
        <v>18.889889917587229</v>
      </c>
      <c r="BG34" s="41">
        <f t="shared" ref="BG34:BL34" si="22">SUM(BG27:BG33)</f>
        <v>8.1552258754420066</v>
      </c>
      <c r="BH34" s="41">
        <f t="shared" si="22"/>
        <v>483.87769764300259</v>
      </c>
      <c r="BI34" s="41">
        <f t="shared" si="22"/>
        <v>169.93906449213722</v>
      </c>
      <c r="BJ34" s="41">
        <f t="shared" si="22"/>
        <v>68.156638616687545</v>
      </c>
      <c r="BK34" s="41">
        <f t="shared" si="22"/>
        <v>0.40291476013639382</v>
      </c>
      <c r="BL34" s="41">
        <f t="shared" si="22"/>
        <v>0</v>
      </c>
    </row>
    <row r="35" spans="1:64" x14ac:dyDescent="0.2">
      <c r="D35" s="50"/>
      <c r="P35" s="79"/>
      <c r="Q35" s="79"/>
      <c r="R35" s="79"/>
      <c r="S35" s="79"/>
      <c r="T35" s="79"/>
      <c r="U35" s="79"/>
      <c r="V35" s="38"/>
      <c r="W35" s="38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</row>
    <row r="36" spans="1:64" x14ac:dyDescent="0.2">
      <c r="B36" s="77" t="s">
        <v>100</v>
      </c>
      <c r="P36" s="79"/>
      <c r="Q36" s="79"/>
      <c r="R36" s="79"/>
      <c r="S36" s="79"/>
      <c r="T36" s="79"/>
      <c r="U36" s="79"/>
      <c r="V36" s="38"/>
      <c r="W36" s="38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</row>
    <row r="37" spans="1:64" x14ac:dyDescent="0.2">
      <c r="A37" s="2">
        <f>A34+1</f>
        <v>21</v>
      </c>
      <c r="B37" s="31" t="s">
        <v>287</v>
      </c>
      <c r="D37" s="79"/>
      <c r="E37" s="79"/>
      <c r="F37" s="79">
        <f ca="1">'Total Allocation RZ - Gas'!O37</f>
        <v>1365.5305495779226</v>
      </c>
      <c r="G37" s="79"/>
      <c r="H37" s="79"/>
      <c r="I37" s="79"/>
      <c r="J37" s="123"/>
      <c r="K37" s="79"/>
      <c r="L37" s="79">
        <f t="shared" ref="L37:L51" ca="1" si="23">F37-H37</f>
        <v>1365.5305495779226</v>
      </c>
      <c r="N37" s="2" t="s">
        <v>290</v>
      </c>
      <c r="P37" s="79">
        <f ca="1">IF($L37&lt;&gt;0,VLOOKUP($N37,'Allocation Factors-Union North'!$B$12:$Z$101,5,FALSE)*$L37,0)</f>
        <v>0</v>
      </c>
      <c r="Q37" s="79">
        <f ca="1">IF($L37&lt;&gt;0,VLOOKUP($N37,'Allocation Factors-Union North'!$B$12:$Z$101,6,FALSE)*$L37,0)</f>
        <v>561.59264188064583</v>
      </c>
      <c r="R37" s="79">
        <f ca="1">IF($L37&lt;&gt;0,VLOOKUP($N37,'Allocation Factors-Union North'!$B$12:$Z$101,7,FALSE)*$L37,0)</f>
        <v>167.34740589642601</v>
      </c>
      <c r="S37" s="79">
        <f ca="1">IF($L37&lt;&gt;0,VLOOKUP($N37,'Allocation Factors-Union North'!$B$12:$Z$101,8,FALSE)*$L37,0)</f>
        <v>440.07269940607273</v>
      </c>
      <c r="T37" s="79">
        <f ca="1">IF($L37&lt;&gt;0,VLOOKUP($N37,'Allocation Factors-Union North'!$B$12:$Z$101,9,FALSE)*$L37,0)</f>
        <v>0</v>
      </c>
      <c r="U37" s="79">
        <f ca="1">IF($L37&lt;&gt;0,VLOOKUP($N37,'Allocation Factors-Union North'!$B$12:$Z$101,10,FALSE)*$L37,0)</f>
        <v>196.51780239477799</v>
      </c>
      <c r="V37" s="38"/>
      <c r="W37" s="38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</row>
    <row r="38" spans="1:64" x14ac:dyDescent="0.2">
      <c r="A38" s="2">
        <f>A37+1</f>
        <v>22</v>
      </c>
      <c r="B38" s="31" t="s">
        <v>288</v>
      </c>
      <c r="D38" s="79"/>
      <c r="E38" s="79"/>
      <c r="F38" s="79">
        <f ca="1">'Total Allocation RZ - Gas'!O38</f>
        <v>0</v>
      </c>
      <c r="G38" s="79"/>
      <c r="H38" s="79"/>
      <c r="I38" s="79"/>
      <c r="J38" s="123"/>
      <c r="K38" s="79"/>
      <c r="L38" s="79">
        <f t="shared" ca="1" si="23"/>
        <v>0</v>
      </c>
      <c r="N38" s="2" t="s">
        <v>291</v>
      </c>
      <c r="P38" s="79">
        <f ca="1">IF($L38&lt;&gt;0,VLOOKUP($N38,'Allocation Factors-Union North'!$B$12:$Z$101,5,FALSE)*$L38,0)</f>
        <v>0</v>
      </c>
      <c r="Q38" s="79">
        <f ca="1">IF($L38&lt;&gt;0,VLOOKUP($N38,'Allocation Factors-Union North'!$B$12:$Z$101,6,FALSE)*$L38,0)</f>
        <v>0</v>
      </c>
      <c r="R38" s="79">
        <f ca="1">IF($L38&lt;&gt;0,VLOOKUP($N38,'Allocation Factors-Union North'!$B$12:$Z$101,7,FALSE)*$L38,0)</f>
        <v>0</v>
      </c>
      <c r="S38" s="79">
        <f ca="1">IF($L38&lt;&gt;0,VLOOKUP($N38,'Allocation Factors-Union North'!$B$12:$Z$101,8,FALSE)*$L38,0)</f>
        <v>0</v>
      </c>
      <c r="T38" s="79">
        <f ca="1">IF($L38&lt;&gt;0,VLOOKUP($N38,'Allocation Factors-Union North'!$B$12:$Z$101,9,FALSE)*$L38,0)</f>
        <v>0</v>
      </c>
      <c r="U38" s="79">
        <f ca="1">IF($L38&lt;&gt;0,VLOOKUP($N38,'Allocation Factors-Union North'!$B$12:$Z$101,10,FALSE)*$L38,0)</f>
        <v>0</v>
      </c>
      <c r="V38" s="38"/>
      <c r="W38" s="38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</row>
    <row r="39" spans="1:64" x14ac:dyDescent="0.2">
      <c r="A39" s="2">
        <f t="shared" ref="A39:A52" si="24">A38+1</f>
        <v>23</v>
      </c>
      <c r="B39" s="31" t="s">
        <v>289</v>
      </c>
      <c r="D39" s="79"/>
      <c r="E39" s="79"/>
      <c r="F39" s="79">
        <f ca="1">'Total Allocation RZ - Gas'!O39</f>
        <v>0</v>
      </c>
      <c r="G39" s="79"/>
      <c r="H39" s="79"/>
      <c r="I39" s="79"/>
      <c r="J39" s="123"/>
      <c r="K39" s="79"/>
      <c r="L39" s="79">
        <f t="shared" ca="1" si="23"/>
        <v>0</v>
      </c>
      <c r="N39" s="2" t="s">
        <v>292</v>
      </c>
      <c r="P39" s="79">
        <f ca="1">IF($L39&lt;&gt;0,VLOOKUP($N39,'Allocation Factors-Union North'!$B$12:$Z$101,5,FALSE)*$L39,0)</f>
        <v>0</v>
      </c>
      <c r="Q39" s="79">
        <f ca="1">IF($L39&lt;&gt;0,VLOOKUP($N39,'Allocation Factors-Union North'!$B$12:$Z$101,6,FALSE)*$L39,0)</f>
        <v>0</v>
      </c>
      <c r="R39" s="79">
        <f ca="1">IF($L39&lt;&gt;0,VLOOKUP($N39,'Allocation Factors-Union North'!$B$12:$Z$101,7,FALSE)*$L39,0)</f>
        <v>0</v>
      </c>
      <c r="S39" s="79">
        <f ca="1">IF($L39&lt;&gt;0,VLOOKUP($N39,'Allocation Factors-Union North'!$B$12:$Z$101,8,FALSE)*$L39,0)</f>
        <v>0</v>
      </c>
      <c r="T39" s="79">
        <f ca="1">IF($L39&lt;&gt;0,VLOOKUP($N39,'Allocation Factors-Union North'!$B$12:$Z$101,9,FALSE)*$L39,0)</f>
        <v>0</v>
      </c>
      <c r="U39" s="79">
        <f ca="1">IF($L39&lt;&gt;0,VLOOKUP($N39,'Allocation Factors-Union North'!$B$12:$Z$101,10,FALSE)*$L39,0)</f>
        <v>0</v>
      </c>
      <c r="V39" s="38"/>
      <c r="W39" s="38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</row>
    <row r="40" spans="1:64" x14ac:dyDescent="0.2">
      <c r="B40" s="31" t="s">
        <v>163</v>
      </c>
      <c r="D40" s="79"/>
      <c r="E40" s="79"/>
      <c r="F40" s="79"/>
      <c r="G40" s="79"/>
      <c r="H40" s="79"/>
      <c r="I40" s="79"/>
      <c r="J40" s="123"/>
      <c r="K40" s="79"/>
      <c r="L40" s="79"/>
      <c r="P40" s="79"/>
      <c r="Q40" s="79"/>
      <c r="R40" s="79"/>
      <c r="S40" s="79"/>
      <c r="T40" s="79"/>
      <c r="U40" s="79"/>
    </row>
    <row r="41" spans="1:64" x14ac:dyDescent="0.2">
      <c r="A41" s="2">
        <f>A39+1</f>
        <v>24</v>
      </c>
      <c r="B41" s="82" t="s">
        <v>165</v>
      </c>
      <c r="D41" s="79"/>
      <c r="E41" s="79"/>
      <c r="F41" s="79">
        <f ca="1">'Total Allocation RZ - Gas'!O41</f>
        <v>0</v>
      </c>
      <c r="G41" s="79"/>
      <c r="H41" s="79"/>
      <c r="I41" s="79"/>
      <c r="J41" s="123"/>
      <c r="K41" s="79"/>
      <c r="L41" s="79">
        <f t="shared" ca="1" si="23"/>
        <v>0</v>
      </c>
      <c r="N41" s="2" t="s">
        <v>161</v>
      </c>
      <c r="P41" s="79">
        <f ca="1">IF($L41&lt;&gt;0,VLOOKUP($N41,'Allocation Factors-Union North'!$B$12:$Z$101,5,FALSE)*$L41,0)</f>
        <v>0</v>
      </c>
      <c r="Q41" s="79">
        <f ca="1">IF($L41&lt;&gt;0,VLOOKUP($N41,'Allocation Factors-Union North'!$B$12:$Z$101,6,FALSE)*$L41,0)</f>
        <v>0</v>
      </c>
      <c r="R41" s="79">
        <f ca="1">IF($L41&lt;&gt;0,VLOOKUP($N41,'Allocation Factors-Union North'!$B$12:$Z$101,7,FALSE)*$L41,0)</f>
        <v>0</v>
      </c>
      <c r="S41" s="79">
        <f ca="1">IF($L41&lt;&gt;0,VLOOKUP($N41,'Allocation Factors-Union North'!$B$12:$Z$101,8,FALSE)*$L41,0)</f>
        <v>0</v>
      </c>
      <c r="T41" s="79">
        <f ca="1">IF($L41&lt;&gt;0,VLOOKUP($N41,'Allocation Factors-Union North'!$B$12:$Z$101,9,FALSE)*$L41,0)</f>
        <v>0</v>
      </c>
      <c r="U41" s="79">
        <f ca="1">IF($L41&lt;&gt;0,VLOOKUP($N41,'Allocation Factors-Union North'!$B$12:$Z$101,10,FALSE)*$L41,0)</f>
        <v>0</v>
      </c>
      <c r="V41" s="38"/>
      <c r="W41" s="38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79"/>
    </row>
    <row r="42" spans="1:64" x14ac:dyDescent="0.2">
      <c r="A42" s="2">
        <f t="shared" si="24"/>
        <v>25</v>
      </c>
      <c r="B42" s="82" t="s">
        <v>166</v>
      </c>
      <c r="D42" s="79"/>
      <c r="E42" s="79"/>
      <c r="F42" s="79">
        <f ca="1">'Total Allocation RZ - Gas'!O42</f>
        <v>0</v>
      </c>
      <c r="G42" s="79"/>
      <c r="H42" s="79"/>
      <c r="I42" s="79"/>
      <c r="J42" s="123"/>
      <c r="K42" s="79"/>
      <c r="L42" s="79">
        <f t="shared" ca="1" si="23"/>
        <v>0</v>
      </c>
      <c r="N42" s="2" t="s">
        <v>162</v>
      </c>
      <c r="P42" s="79">
        <f ca="1">IF($L42&lt;&gt;0,VLOOKUP($N42,'Allocation Factors-Union North'!$B$12:$Z$101,5,FALSE)*$L42,0)</f>
        <v>0</v>
      </c>
      <c r="Q42" s="79">
        <f ca="1">IF($L42&lt;&gt;0,VLOOKUP($N42,'Allocation Factors-Union North'!$B$12:$Z$101,6,FALSE)*$L42,0)</f>
        <v>0</v>
      </c>
      <c r="R42" s="79">
        <f ca="1">IF($L42&lt;&gt;0,VLOOKUP($N42,'Allocation Factors-Union North'!$B$12:$Z$101,7,FALSE)*$L42,0)</f>
        <v>0</v>
      </c>
      <c r="S42" s="79">
        <f ca="1">IF($L42&lt;&gt;0,VLOOKUP($N42,'Allocation Factors-Union North'!$B$12:$Z$101,8,FALSE)*$L42,0)</f>
        <v>0</v>
      </c>
      <c r="T42" s="79">
        <f ca="1">IF($L42&lt;&gt;0,VLOOKUP($N42,'Allocation Factors-Union North'!$B$12:$Z$101,9,FALSE)*$L42,0)</f>
        <v>0</v>
      </c>
      <c r="U42" s="79">
        <f ca="1">IF($L42&lt;&gt;0,VLOOKUP($N42,'Allocation Factors-Union North'!$B$12:$Z$101,10,FALSE)*$L42,0)</f>
        <v>0</v>
      </c>
      <c r="V42" s="38"/>
      <c r="W42" s="38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</row>
    <row r="43" spans="1:64" x14ac:dyDescent="0.2">
      <c r="A43" s="2">
        <f t="shared" si="24"/>
        <v>26</v>
      </c>
      <c r="B43" s="31" t="s">
        <v>101</v>
      </c>
      <c r="D43" s="79"/>
      <c r="E43" s="79"/>
      <c r="F43" s="79">
        <f ca="1">'Total Allocation RZ - Gas'!O43</f>
        <v>0</v>
      </c>
      <c r="G43" s="79"/>
      <c r="H43" s="79"/>
      <c r="I43" s="79"/>
      <c r="J43" s="123"/>
      <c r="K43" s="79"/>
      <c r="L43" s="79">
        <f t="shared" ca="1" si="23"/>
        <v>0</v>
      </c>
      <c r="N43" s="2" t="s">
        <v>220</v>
      </c>
      <c r="P43" s="79">
        <f ca="1">IF($L43&lt;&gt;0,VLOOKUP($N43,'Allocation Factors-Union North'!$B$12:$Z$101,5,FALSE)*$L43,0)</f>
        <v>0</v>
      </c>
      <c r="Q43" s="79">
        <f ca="1">IF($L43&lt;&gt;0,VLOOKUP($N43,'Allocation Factors-Union North'!$B$12:$Z$101,6,FALSE)*$L43,0)</f>
        <v>0</v>
      </c>
      <c r="R43" s="79">
        <f ca="1">IF($L43&lt;&gt;0,VLOOKUP($N43,'Allocation Factors-Union North'!$B$12:$Z$101,7,FALSE)*$L43,0)</f>
        <v>0</v>
      </c>
      <c r="S43" s="79">
        <f ca="1">IF($L43&lt;&gt;0,VLOOKUP($N43,'Allocation Factors-Union North'!$B$12:$Z$101,8,FALSE)*$L43,0)</f>
        <v>0</v>
      </c>
      <c r="T43" s="79">
        <f ca="1">IF($L43&lt;&gt;0,VLOOKUP($N43,'Allocation Factors-Union North'!$B$12:$Z$101,9,FALSE)*$L43,0)</f>
        <v>0</v>
      </c>
      <c r="U43" s="79">
        <f ca="1">IF($L43&lt;&gt;0,VLOOKUP($N43,'Allocation Factors-Union North'!$B$12:$Z$101,10,FALSE)*$L43,0)</f>
        <v>0</v>
      </c>
      <c r="V43" s="38"/>
      <c r="W43" s="38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</row>
    <row r="44" spans="1:64" x14ac:dyDescent="0.2">
      <c r="A44" s="2">
        <f t="shared" si="24"/>
        <v>27</v>
      </c>
      <c r="B44" s="31" t="s">
        <v>102</v>
      </c>
      <c r="D44" s="79"/>
      <c r="E44" s="79"/>
      <c r="F44" s="79">
        <f ca="1">'Total Allocation RZ - Gas'!O44</f>
        <v>0</v>
      </c>
      <c r="G44" s="79"/>
      <c r="H44" s="79"/>
      <c r="I44" s="79"/>
      <c r="J44" s="123"/>
      <c r="K44" s="79"/>
      <c r="L44" s="79">
        <f t="shared" ca="1" si="23"/>
        <v>0</v>
      </c>
      <c r="N44" s="2" t="s">
        <v>220</v>
      </c>
      <c r="P44" s="79">
        <f ca="1">IF($L44&lt;&gt;0,VLOOKUP($N44,'Allocation Factors-Union North'!$B$12:$Z$101,5,FALSE)*$L44,0)</f>
        <v>0</v>
      </c>
      <c r="Q44" s="79">
        <f ca="1">IF($L44&lt;&gt;0,VLOOKUP($N44,'Allocation Factors-Union North'!$B$12:$Z$101,6,FALSE)*$L44,0)</f>
        <v>0</v>
      </c>
      <c r="R44" s="79">
        <f ca="1">IF($L44&lt;&gt;0,VLOOKUP($N44,'Allocation Factors-Union North'!$B$12:$Z$101,7,FALSE)*$L44,0)</f>
        <v>0</v>
      </c>
      <c r="S44" s="79">
        <f ca="1">IF($L44&lt;&gt;0,VLOOKUP($N44,'Allocation Factors-Union North'!$B$12:$Z$101,8,FALSE)*$L44,0)</f>
        <v>0</v>
      </c>
      <c r="T44" s="79">
        <f ca="1">IF($L44&lt;&gt;0,VLOOKUP($N44,'Allocation Factors-Union North'!$B$12:$Z$101,9,FALSE)*$L44,0)</f>
        <v>0</v>
      </c>
      <c r="U44" s="79">
        <f ca="1">IF($L44&lt;&gt;0,VLOOKUP($N44,'Allocation Factors-Union North'!$B$12:$Z$101,10,FALSE)*$L44,0)</f>
        <v>0</v>
      </c>
      <c r="V44" s="38"/>
      <c r="W44" s="38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</row>
    <row r="45" spans="1:64" x14ac:dyDescent="0.2">
      <c r="A45" s="2">
        <f t="shared" si="24"/>
        <v>28</v>
      </c>
      <c r="B45" s="31" t="s">
        <v>103</v>
      </c>
      <c r="D45" s="79"/>
      <c r="E45" s="79"/>
      <c r="F45" s="79">
        <f ca="1">'Total Allocation RZ - Gas'!O45</f>
        <v>0</v>
      </c>
      <c r="G45" s="79"/>
      <c r="H45" s="79"/>
      <c r="I45" s="79"/>
      <c r="J45" s="123"/>
      <c r="K45" s="79"/>
      <c r="L45" s="79">
        <f t="shared" ca="1" si="23"/>
        <v>0</v>
      </c>
      <c r="N45" s="2" t="s">
        <v>190</v>
      </c>
      <c r="P45" s="79">
        <f ca="1">IF($L45&lt;&gt;0,VLOOKUP($N45,'Allocation Factors-Union North'!$B$12:$Z$101,5,FALSE)*$L45,0)</f>
        <v>0</v>
      </c>
      <c r="Q45" s="79">
        <f ca="1">IF($L45&lt;&gt;0,VLOOKUP($N45,'Allocation Factors-Union North'!$B$12:$Z$101,6,FALSE)*$L45,0)</f>
        <v>0</v>
      </c>
      <c r="R45" s="79">
        <f ca="1">IF($L45&lt;&gt;0,VLOOKUP($N45,'Allocation Factors-Union North'!$B$12:$Z$101,7,FALSE)*$L45,0)</f>
        <v>0</v>
      </c>
      <c r="S45" s="79">
        <f ca="1">IF($L45&lt;&gt;0,VLOOKUP($N45,'Allocation Factors-Union North'!$B$12:$Z$101,8,FALSE)*$L45,0)</f>
        <v>0</v>
      </c>
      <c r="T45" s="79">
        <f ca="1">IF($L45&lt;&gt;0,VLOOKUP($N45,'Allocation Factors-Union North'!$B$12:$Z$101,9,FALSE)*$L45,0)</f>
        <v>0</v>
      </c>
      <c r="U45" s="79">
        <f ca="1">IF($L45&lt;&gt;0,VLOOKUP($N45,'Allocation Factors-Union North'!$B$12:$Z$101,10,FALSE)*$L45,0)</f>
        <v>0</v>
      </c>
      <c r="V45" s="38"/>
      <c r="W45" s="38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</row>
    <row r="46" spans="1:64" x14ac:dyDescent="0.2">
      <c r="A46" s="2">
        <f t="shared" si="24"/>
        <v>29</v>
      </c>
      <c r="B46" s="31" t="s">
        <v>186</v>
      </c>
      <c r="D46" s="79"/>
      <c r="E46" s="79"/>
      <c r="F46" s="79">
        <f ca="1">'Total Allocation RZ - Gas'!O46</f>
        <v>0</v>
      </c>
      <c r="G46" s="79"/>
      <c r="H46" s="79"/>
      <c r="I46" s="79"/>
      <c r="J46" s="123"/>
      <c r="K46" s="79"/>
      <c r="L46" s="79">
        <f t="shared" ca="1" si="23"/>
        <v>0</v>
      </c>
      <c r="N46" s="2" t="s">
        <v>191</v>
      </c>
      <c r="P46" s="79">
        <f ca="1">IF($L46&lt;&gt;0,VLOOKUP($N46,'Allocation Factors-Union North'!$B$12:$Z$101,5,FALSE)*$L46,0)</f>
        <v>0</v>
      </c>
      <c r="Q46" s="79">
        <f ca="1">IF($L46&lt;&gt;0,VLOOKUP($N46,'Allocation Factors-Union North'!$B$12:$Z$101,6,FALSE)*$L46,0)</f>
        <v>0</v>
      </c>
      <c r="R46" s="79">
        <f ca="1">IF($L46&lt;&gt;0,VLOOKUP($N46,'Allocation Factors-Union North'!$B$12:$Z$101,7,FALSE)*$L46,0)</f>
        <v>0</v>
      </c>
      <c r="S46" s="79">
        <f ca="1">IF($L46&lt;&gt;0,VLOOKUP($N46,'Allocation Factors-Union North'!$B$12:$Z$101,8,FALSE)*$L46,0)</f>
        <v>0</v>
      </c>
      <c r="T46" s="79">
        <f ca="1">IF($L46&lt;&gt;0,VLOOKUP($N46,'Allocation Factors-Union North'!$B$12:$Z$101,9,FALSE)*$L46,0)</f>
        <v>0</v>
      </c>
      <c r="U46" s="79">
        <f ca="1">IF($L46&lt;&gt;0,VLOOKUP($N46,'Allocation Factors-Union North'!$B$12:$Z$101,10,FALSE)*$L46,0)</f>
        <v>0</v>
      </c>
      <c r="V46" s="38"/>
      <c r="W46" s="38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79"/>
      <c r="AK46" s="79"/>
      <c r="AL46" s="79"/>
      <c r="AM46" s="79"/>
      <c r="AN46" s="79"/>
      <c r="AO46" s="79"/>
      <c r="AP46" s="79"/>
      <c r="AQ46" s="79"/>
      <c r="AR46" s="79"/>
      <c r="AS46" s="79"/>
    </row>
    <row r="47" spans="1:64" x14ac:dyDescent="0.2">
      <c r="B47" s="31" t="s">
        <v>164</v>
      </c>
      <c r="D47" s="79"/>
      <c r="E47" s="79"/>
      <c r="F47" s="79"/>
      <c r="G47" s="79"/>
      <c r="H47" s="79"/>
      <c r="I47" s="79"/>
      <c r="J47" s="123"/>
      <c r="K47" s="79"/>
      <c r="L47" s="79"/>
      <c r="P47" s="79"/>
      <c r="Q47" s="79"/>
      <c r="R47" s="79"/>
      <c r="S47" s="79"/>
      <c r="T47" s="79"/>
      <c r="U47" s="79"/>
      <c r="V47" s="38"/>
      <c r="W47" s="38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79"/>
      <c r="AS47" s="79"/>
    </row>
    <row r="48" spans="1:64" x14ac:dyDescent="0.2">
      <c r="A48" s="2">
        <f>A46+1</f>
        <v>30</v>
      </c>
      <c r="B48" s="82" t="s">
        <v>176</v>
      </c>
      <c r="D48" s="79"/>
      <c r="F48" s="79">
        <f ca="1">'Total Allocation RZ - Gas'!O48</f>
        <v>0</v>
      </c>
      <c r="L48" s="79">
        <f t="shared" ca="1" si="23"/>
        <v>0</v>
      </c>
      <c r="N48" s="2" t="s">
        <v>223</v>
      </c>
      <c r="P48" s="79">
        <f ca="1">IF($L48&lt;&gt;0,VLOOKUP($N48,'Allocation Factors-Union North'!$B$12:$Z$101,5,FALSE)*$L48,0)</f>
        <v>0</v>
      </c>
      <c r="Q48" s="79">
        <f ca="1">IF($L48&lt;&gt;0,VLOOKUP($N48,'Allocation Factors-Union North'!$B$12:$Z$101,6,FALSE)*$L48,0)</f>
        <v>0</v>
      </c>
      <c r="R48" s="79">
        <f ca="1">IF($L48&lt;&gt;0,VLOOKUP($N48,'Allocation Factors-Union North'!$B$12:$Z$101,7,FALSE)*$L48,0)</f>
        <v>0</v>
      </c>
      <c r="S48" s="79">
        <f ca="1">IF($L48&lt;&gt;0,VLOOKUP($N48,'Allocation Factors-Union North'!$B$12:$Z$101,8,FALSE)*$L48,0)</f>
        <v>0</v>
      </c>
      <c r="T48" s="79">
        <f ca="1">IF($L48&lt;&gt;0,VLOOKUP($N48,'Allocation Factors-Union North'!$B$12:$Z$101,9,FALSE)*$L48,0)</f>
        <v>0</v>
      </c>
      <c r="U48" s="79">
        <f ca="1">IF($L48&lt;&gt;0,VLOOKUP($N48,'Allocation Factors-Union North'!$B$12:$Z$101,10,FALSE)*$L48,0)</f>
        <v>0</v>
      </c>
      <c r="V48" s="38"/>
      <c r="W48" s="38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79"/>
      <c r="AQ48" s="79"/>
      <c r="AR48" s="79"/>
      <c r="AS48" s="79"/>
    </row>
    <row r="49" spans="1:45" x14ac:dyDescent="0.2">
      <c r="A49" s="2">
        <f t="shared" si="24"/>
        <v>31</v>
      </c>
      <c r="B49" s="82" t="s">
        <v>72</v>
      </c>
      <c r="D49" s="79"/>
      <c r="F49" s="79">
        <f ca="1">'Total Allocation RZ - Gas'!O49</f>
        <v>0</v>
      </c>
      <c r="H49" s="79"/>
      <c r="L49" s="79">
        <f t="shared" ca="1" si="23"/>
        <v>0</v>
      </c>
      <c r="N49" s="2" t="s">
        <v>220</v>
      </c>
      <c r="P49" s="79">
        <f ca="1">IF($L49&lt;&gt;0,VLOOKUP($N49,'Allocation Factors-Union North'!$B$12:$Z$101,5,FALSE)*$L49,0)+IF($H49&lt;&gt;0,VLOOKUP($J49,'Allocation Factors-Union North'!$B$12:$Z$101,5,FALSE)*$H49,0)</f>
        <v>0</v>
      </c>
      <c r="Q49" s="79">
        <f ca="1">IF($L49&lt;&gt;0,VLOOKUP($N49,'Allocation Factors-Union North'!$B$12:$Z$101,6,FALSE)*$L49,0)+IF($H49&lt;&gt;0,VLOOKUP($J49,'Allocation Factors-Union North'!$B$12:$Z$101,6,FALSE)*$H49,0)</f>
        <v>0</v>
      </c>
      <c r="R49" s="79">
        <f ca="1">IF($L49&lt;&gt;0,VLOOKUP($N49,'Allocation Factors-Union North'!$B$12:$Z$101,7,FALSE)*$L49,0)+IF($H49&lt;&gt;0,VLOOKUP($J49,'Allocation Factors-Union North'!$B$12:$Z$101,7,FALSE)*$H49,0)</f>
        <v>0</v>
      </c>
      <c r="S49" s="79">
        <f ca="1">IF($L49&lt;&gt;0,VLOOKUP($N49,'Allocation Factors-Union North'!$B$12:$Z$101,8,FALSE)*$L49,0)+IF($H49&lt;&gt;0,VLOOKUP($J49,'Allocation Factors-Union North'!$B$12:$Z$101,8,FALSE)*$H49,0)</f>
        <v>0</v>
      </c>
      <c r="T49" s="79">
        <f ca="1">IF($L49&lt;&gt;0,VLOOKUP($N49,'Allocation Factors-Union North'!$B$12:$Z$101,9,FALSE)*$L49,0)+IF($H49&lt;&gt;0,VLOOKUP($J49,'Allocation Factors-Union North'!$B$12:$Z$101,9,FALSE)*$H49,0)</f>
        <v>0</v>
      </c>
      <c r="U49" s="79">
        <f ca="1">IF($L49&lt;&gt;0,VLOOKUP($N49,'Allocation Factors-Union North'!$B$12:$Z$101,10,FALSE)*$L49,0)+IF($H49&lt;&gt;0,VLOOKUP($J49,'Allocation Factors-Union North'!$B$12:$Z$101,10,FALSE)*$H49,0)</f>
        <v>0</v>
      </c>
      <c r="V49" s="38"/>
      <c r="W49" s="38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</row>
    <row r="50" spans="1:45" x14ac:dyDescent="0.2">
      <c r="A50" s="2">
        <f t="shared" si="24"/>
        <v>32</v>
      </c>
      <c r="B50" s="82" t="s">
        <v>174</v>
      </c>
      <c r="D50" s="79"/>
      <c r="F50" s="79">
        <f ca="1">'Total Allocation RZ - Gas'!O50</f>
        <v>0</v>
      </c>
      <c r="L50" s="79">
        <f t="shared" ca="1" si="23"/>
        <v>0</v>
      </c>
      <c r="N50" s="2" t="s">
        <v>272</v>
      </c>
      <c r="P50" s="79">
        <f ca="1">IF($L50&lt;&gt;0,VLOOKUP($N50,'Allocation Factors-Union North'!$B$12:$Z$101,5,FALSE)*$L50,0)</f>
        <v>0</v>
      </c>
      <c r="Q50" s="79">
        <f ca="1">IF($L50&lt;&gt;0,VLOOKUP($N50,'Allocation Factors-Union North'!$B$12:$Z$101,6,FALSE)*$L50,0)</f>
        <v>0</v>
      </c>
      <c r="R50" s="79">
        <f ca="1">IF($L50&lt;&gt;0,VLOOKUP($N50,'Allocation Factors-Union North'!$B$12:$Z$101,7,FALSE)*$L50,0)</f>
        <v>0</v>
      </c>
      <c r="S50" s="79">
        <f ca="1">IF($L50&lt;&gt;0,VLOOKUP($N50,'Allocation Factors-Union North'!$B$12:$Z$101,8,FALSE)*$L50,0)</f>
        <v>0</v>
      </c>
      <c r="T50" s="79">
        <f ca="1">IF($L50&lt;&gt;0,VLOOKUP($N50,'Allocation Factors-Union North'!$B$12:$Z$101,9,FALSE)*$L50,0)</f>
        <v>0</v>
      </c>
      <c r="U50" s="79">
        <f ca="1">IF($L50&lt;&gt;0,VLOOKUP($N50,'Allocation Factors-Union North'!$B$12:$Z$101,10,FALSE)*$L50,0)</f>
        <v>0</v>
      </c>
      <c r="V50" s="38"/>
      <c r="W50" s="38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</row>
    <row r="51" spans="1:45" x14ac:dyDescent="0.2">
      <c r="A51" s="2">
        <f t="shared" si="24"/>
        <v>33</v>
      </c>
      <c r="B51" s="31" t="s">
        <v>249</v>
      </c>
      <c r="D51" s="79"/>
      <c r="F51" s="79">
        <f ca="1">'Total Allocation RZ - Gas'!O51</f>
        <v>2425.8228741204316</v>
      </c>
      <c r="H51" s="79"/>
      <c r="L51" s="79">
        <f t="shared" ca="1" si="23"/>
        <v>2425.8228741204316</v>
      </c>
      <c r="N51" s="2" t="s">
        <v>336</v>
      </c>
      <c r="P51" s="79">
        <f ca="1">IF($L51&lt;&gt;0,VLOOKUP($N51,'Allocation Factors-Union North'!$B$12:$Z$101,5,FALSE)*$L51,0)</f>
        <v>0</v>
      </c>
      <c r="Q51" s="79">
        <f ca="1">IF($L51&lt;&gt;0,VLOOKUP($N51,'Allocation Factors-Union North'!$B$12:$Z$101,6,FALSE)*$L51,0)</f>
        <v>696.34347255981436</v>
      </c>
      <c r="R51" s="79">
        <f ca="1">IF($L51&lt;&gt;0,VLOOKUP($N51,'Allocation Factors-Union North'!$B$12:$Z$101,7,FALSE)*$L51,0)</f>
        <v>230.63951195503253</v>
      </c>
      <c r="S51" s="79">
        <f ca="1">IF($L51&lt;&gt;0,VLOOKUP($N51,'Allocation Factors-Union North'!$B$12:$Z$101,8,FALSE)*$L51,0)</f>
        <v>653.08229539647721</v>
      </c>
      <c r="T51" s="79">
        <f ca="1">IF($L51&lt;&gt;0,VLOOKUP($N51,'Allocation Factors-Union North'!$B$12:$Z$101,9,FALSE)*$L51,0)</f>
        <v>89.151676885526328</v>
      </c>
      <c r="U51" s="79">
        <f ca="1">IF($L51&lt;&gt;0,VLOOKUP($N51,'Allocation Factors-Union North'!$B$12:$Z$101,10,FALSE)*$L51,0)</f>
        <v>756.60591732358102</v>
      </c>
      <c r="V51" s="38"/>
      <c r="W51" s="38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</row>
    <row r="52" spans="1:45" x14ac:dyDescent="0.2">
      <c r="A52" s="2">
        <f t="shared" si="24"/>
        <v>34</v>
      </c>
      <c r="B52" s="31" t="s">
        <v>382</v>
      </c>
      <c r="D52" s="41"/>
      <c r="F52" s="41">
        <f ca="1">SUM(F37:F51)</f>
        <v>3791.3534236983542</v>
      </c>
      <c r="H52" s="41">
        <f>SUM(H37:H51)</f>
        <v>0</v>
      </c>
      <c r="L52" s="41">
        <f ca="1">SUM(L37:L51)</f>
        <v>3791.3534236983542</v>
      </c>
      <c r="P52" s="41">
        <f t="shared" ref="P52:U52" ca="1" si="25">SUM(P37:P51)</f>
        <v>0</v>
      </c>
      <c r="Q52" s="41">
        <f t="shared" ca="1" si="25"/>
        <v>1257.9361144404602</v>
      </c>
      <c r="R52" s="41">
        <f t="shared" ca="1" si="25"/>
        <v>397.98691785145854</v>
      </c>
      <c r="S52" s="41">
        <f t="shared" ca="1" si="25"/>
        <v>1093.1549948025499</v>
      </c>
      <c r="T52" s="41">
        <f t="shared" ca="1" si="25"/>
        <v>89.151676885526328</v>
      </c>
      <c r="U52" s="41">
        <f t="shared" ca="1" si="25"/>
        <v>953.12371971835898</v>
      </c>
      <c r="V52" s="50"/>
      <c r="W52" s="50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</row>
    <row r="53" spans="1:45" x14ac:dyDescent="0.2">
      <c r="D53" s="50"/>
      <c r="F53" s="50"/>
    </row>
    <row r="54" spans="1:45" ht="13.5" thickBot="1" x14ac:dyDescent="0.25">
      <c r="A54" s="2">
        <f>A52+1</f>
        <v>35</v>
      </c>
      <c r="B54" s="31" t="s">
        <v>149</v>
      </c>
      <c r="D54" s="83"/>
      <c r="F54" s="83">
        <f ca="1">F17+F24+F34+F52</f>
        <v>241136.87857723585</v>
      </c>
      <c r="H54" s="83">
        <f>H17+H24+H34+H52</f>
        <v>974.41487889010909</v>
      </c>
      <c r="L54" s="83">
        <f ca="1">L17+L24+L34+L52</f>
        <v>240162.46369834576</v>
      </c>
      <c r="P54" s="83">
        <f t="shared" ref="P54:U54" ca="1" si="26">P17+P24+P34+P52</f>
        <v>1970.8156487214321</v>
      </c>
      <c r="Q54" s="83">
        <f t="shared" ca="1" si="26"/>
        <v>189821.68309018092</v>
      </c>
      <c r="R54" s="83">
        <f t="shared" ca="1" si="26"/>
        <v>40311.806055476416</v>
      </c>
      <c r="S54" s="83">
        <f t="shared" ca="1" si="26"/>
        <v>7199.4431634925913</v>
      </c>
      <c r="T54" s="83">
        <f t="shared" ca="1" si="26"/>
        <v>880.00688742383397</v>
      </c>
      <c r="U54" s="83">
        <f t="shared" ca="1" si="26"/>
        <v>953.12371971835898</v>
      </c>
      <c r="V54" s="50"/>
      <c r="W54" s="50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</row>
    <row r="55" spans="1:45" ht="13.5" thickTop="1" x14ac:dyDescent="0.2">
      <c r="D55" s="50"/>
      <c r="F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</row>
    <row r="56" spans="1:45" x14ac:dyDescent="0.2">
      <c r="P56" s="79"/>
      <c r="Q56" s="79"/>
      <c r="R56" s="79"/>
      <c r="S56" s="79"/>
      <c r="T56" s="79"/>
      <c r="U56" s="79"/>
      <c r="V56" s="38"/>
      <c r="W56" s="38"/>
      <c r="X56" s="93"/>
      <c r="Y56" s="93"/>
      <c r="Z56" s="93"/>
      <c r="AA56" s="93"/>
      <c r="AB56" s="93"/>
      <c r="AC56" s="93"/>
      <c r="AD56" s="93"/>
      <c r="AE56" s="93"/>
      <c r="AF56" s="93"/>
      <c r="AG56" s="93"/>
      <c r="AH56" s="93"/>
      <c r="AI56" s="93"/>
      <c r="AJ56" s="93"/>
      <c r="AK56" s="93"/>
      <c r="AL56" s="93"/>
      <c r="AM56" s="93"/>
      <c r="AN56" s="93"/>
      <c r="AO56" s="93"/>
      <c r="AP56" s="93"/>
      <c r="AQ56" s="93"/>
      <c r="AR56" s="93"/>
      <c r="AS56" s="93"/>
    </row>
    <row r="58" spans="1:45" x14ac:dyDescent="0.2">
      <c r="U58" s="50"/>
    </row>
  </sheetData>
  <mergeCells count="4">
    <mergeCell ref="B2:N2"/>
    <mergeCell ref="B3:N3"/>
    <mergeCell ref="AW5:BB5"/>
    <mergeCell ref="BG5:BL5"/>
  </mergeCells>
  <pageMargins left="0.7" right="0.7" top="0.75" bottom="0.75" header="0.3" footer="0.3"/>
  <pageSetup orientation="portrait" r:id="rId1"/>
  <ignoredErrors>
    <ignoredError sqref="P49:U49" formula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7AAAC-6739-4F85-8795-B45F5DF86951}">
  <dimension ref="A2:BE217"/>
  <sheetViews>
    <sheetView topLeftCell="A69" zoomScale="80" zoomScaleNormal="80" workbookViewId="0">
      <selection activeCell="O104" sqref="O104"/>
    </sheetView>
  </sheetViews>
  <sheetFormatPr defaultColWidth="9.140625" defaultRowHeight="12.75" x14ac:dyDescent="0.2"/>
  <cols>
    <col min="1" max="1" width="9.140625" style="18"/>
    <col min="2" max="2" width="29.140625" style="1" customWidth="1"/>
    <col min="3" max="3" width="9" style="1" customWidth="1"/>
    <col min="4" max="4" width="15.28515625" style="1" bestFit="1" customWidth="1"/>
    <col min="5" max="5" width="2.85546875" style="1" customWidth="1"/>
    <col min="6" max="11" width="14.7109375" style="1" customWidth="1"/>
    <col min="12" max="12" width="2" style="1" customWidth="1"/>
    <col min="13" max="13" width="23.5703125" style="1" customWidth="1"/>
    <col min="14" max="14" width="9.28515625" style="1" bestFit="1" customWidth="1"/>
    <col min="15" max="15" width="11.140625" style="1" bestFit="1" customWidth="1"/>
    <col min="16" max="16" width="11.7109375" style="1" customWidth="1"/>
    <col min="17" max="19" width="9.42578125" style="1" bestFit="1" customWidth="1"/>
    <col min="20" max="20" width="9.140625" style="1"/>
    <col min="21" max="21" width="9.28515625" style="1" bestFit="1" customWidth="1"/>
    <col min="22" max="22" width="10.140625" style="1" bestFit="1" customWidth="1"/>
    <col min="23" max="26" width="9.28515625" style="1" bestFit="1" customWidth="1"/>
    <col min="27" max="27" width="1.7109375" style="1" customWidth="1"/>
    <col min="28" max="16384" width="9.140625" style="1"/>
  </cols>
  <sheetData>
    <row r="2" spans="1:57" x14ac:dyDescent="0.2">
      <c r="D2" s="8"/>
      <c r="F2" s="8"/>
      <c r="G2" s="8"/>
      <c r="H2" s="8"/>
      <c r="I2" s="8"/>
      <c r="J2" s="8"/>
      <c r="K2" s="8"/>
    </row>
    <row r="3" spans="1:57" x14ac:dyDescent="0.2">
      <c r="D3" s="8"/>
      <c r="F3" s="8"/>
      <c r="G3" s="8"/>
      <c r="H3" s="8"/>
      <c r="I3" s="8"/>
      <c r="J3" s="8"/>
      <c r="K3" s="8"/>
    </row>
    <row r="4" spans="1:57" x14ac:dyDescent="0.2">
      <c r="D4" s="8"/>
      <c r="F4" s="8"/>
      <c r="G4" s="8"/>
      <c r="H4" s="8"/>
      <c r="I4" s="8"/>
      <c r="J4" s="8"/>
      <c r="K4" s="8"/>
    </row>
    <row r="5" spans="1:57" ht="15" customHeight="1" x14ac:dyDescent="0.2">
      <c r="B5" s="157" t="s">
        <v>511</v>
      </c>
      <c r="C5" s="157"/>
      <c r="D5" s="157"/>
      <c r="E5" s="157"/>
      <c r="F5" s="157"/>
      <c r="G5" s="157"/>
      <c r="H5" s="157"/>
      <c r="I5" s="157"/>
      <c r="J5" s="157"/>
      <c r="K5" s="157"/>
    </row>
    <row r="6" spans="1:57" ht="15" customHeight="1" x14ac:dyDescent="0.2">
      <c r="B6" s="157" t="s">
        <v>520</v>
      </c>
      <c r="C6" s="157"/>
      <c r="D6" s="157"/>
      <c r="E6" s="157"/>
      <c r="F6" s="157"/>
      <c r="G6" s="157"/>
      <c r="H6" s="157"/>
      <c r="I6" s="157"/>
      <c r="J6" s="157"/>
      <c r="K6" s="157"/>
    </row>
    <row r="7" spans="1:57" ht="15" x14ac:dyDescent="0.25">
      <c r="H7"/>
      <c r="I7"/>
      <c r="J7"/>
      <c r="K7"/>
      <c r="N7" s="167" t="s">
        <v>489</v>
      </c>
      <c r="O7" s="168"/>
      <c r="P7" s="168"/>
      <c r="Q7" s="168"/>
      <c r="R7" s="168"/>
      <c r="S7" s="169"/>
      <c r="U7" s="167" t="s">
        <v>490</v>
      </c>
      <c r="V7" s="168"/>
      <c r="W7" s="168"/>
      <c r="X7" s="168"/>
      <c r="Y7" s="168"/>
      <c r="Z7" s="169"/>
    </row>
    <row r="8" spans="1:57" x14ac:dyDescent="0.2">
      <c r="A8" s="18" t="s">
        <v>2</v>
      </c>
      <c r="D8" s="18"/>
      <c r="F8" s="159" t="s">
        <v>488</v>
      </c>
      <c r="G8" s="159"/>
      <c r="H8" s="159"/>
      <c r="I8" s="159"/>
      <c r="J8" s="159"/>
      <c r="K8" s="159"/>
      <c r="M8" s="18"/>
      <c r="N8" s="139" t="s">
        <v>485</v>
      </c>
      <c r="O8" s="2" t="s">
        <v>80</v>
      </c>
      <c r="P8" s="2" t="s">
        <v>80</v>
      </c>
      <c r="Q8" s="2" t="s">
        <v>80</v>
      </c>
      <c r="R8" s="2" t="s">
        <v>80</v>
      </c>
      <c r="S8" s="140" t="s">
        <v>80</v>
      </c>
      <c r="U8" s="139" t="s">
        <v>485</v>
      </c>
      <c r="V8" s="2" t="s">
        <v>80</v>
      </c>
      <c r="W8" s="2" t="s">
        <v>80</v>
      </c>
      <c r="X8" s="2" t="s">
        <v>80</v>
      </c>
      <c r="Y8" s="2" t="s">
        <v>80</v>
      </c>
      <c r="Z8" s="140" t="s">
        <v>80</v>
      </c>
    </row>
    <row r="9" spans="1:57" x14ac:dyDescent="0.2">
      <c r="A9" s="4" t="s">
        <v>4</v>
      </c>
      <c r="B9" s="4" t="s">
        <v>405</v>
      </c>
      <c r="D9" s="4" t="s">
        <v>11</v>
      </c>
      <c r="E9" s="18"/>
      <c r="F9" s="4" t="s">
        <v>491</v>
      </c>
      <c r="G9" s="4" t="s">
        <v>492</v>
      </c>
      <c r="H9" s="4" t="s">
        <v>493</v>
      </c>
      <c r="I9" s="4" t="s">
        <v>494</v>
      </c>
      <c r="J9" s="4" t="s">
        <v>495</v>
      </c>
      <c r="K9" s="4" t="s">
        <v>462</v>
      </c>
      <c r="N9" s="142" t="s">
        <v>8</v>
      </c>
      <c r="O9" s="125" t="s">
        <v>487</v>
      </c>
      <c r="P9" s="33">
        <v>10</v>
      </c>
      <c r="Q9" s="33">
        <v>20</v>
      </c>
      <c r="R9" s="33">
        <v>25</v>
      </c>
      <c r="S9" s="143">
        <v>100</v>
      </c>
      <c r="U9" s="142" t="s">
        <v>8</v>
      </c>
      <c r="V9" s="125" t="s">
        <v>487</v>
      </c>
      <c r="W9" s="33">
        <v>10</v>
      </c>
      <c r="X9" s="33">
        <v>20</v>
      </c>
      <c r="Y9" s="33">
        <v>25</v>
      </c>
      <c r="Z9" s="143">
        <v>100</v>
      </c>
      <c r="AB9" s="158"/>
      <c r="AC9" s="158"/>
      <c r="AD9" s="158"/>
      <c r="AE9" s="158"/>
      <c r="AF9" s="158"/>
      <c r="AG9" s="18"/>
      <c r="AH9" s="158"/>
      <c r="AI9" s="158"/>
      <c r="AJ9" s="158"/>
      <c r="AK9" s="158"/>
      <c r="AL9" s="158"/>
      <c r="AM9" s="158"/>
      <c r="AN9" s="158"/>
      <c r="AO9" s="158"/>
      <c r="AP9" s="158"/>
      <c r="AQ9" s="158"/>
      <c r="AR9" s="158"/>
      <c r="AS9" s="158"/>
      <c r="AT9" s="158"/>
      <c r="AU9" s="158"/>
      <c r="AV9" s="18"/>
      <c r="AW9" s="158"/>
      <c r="AX9" s="158"/>
      <c r="AY9" s="158"/>
      <c r="AZ9" s="158"/>
      <c r="BA9" s="158"/>
      <c r="BB9" s="158"/>
      <c r="BC9" s="158"/>
      <c r="BD9" s="158"/>
      <c r="BE9" s="158"/>
    </row>
    <row r="10" spans="1:57" x14ac:dyDescent="0.2">
      <c r="D10" s="18" t="s">
        <v>12</v>
      </c>
      <c r="F10" s="18" t="s">
        <v>13</v>
      </c>
      <c r="G10" s="18" t="s">
        <v>14</v>
      </c>
      <c r="H10" s="18" t="s">
        <v>366</v>
      </c>
      <c r="I10" s="18" t="s">
        <v>15</v>
      </c>
      <c r="J10" s="18" t="s">
        <v>16</v>
      </c>
      <c r="K10" s="18" t="s">
        <v>59</v>
      </c>
      <c r="M10" s="18"/>
      <c r="N10" s="18"/>
      <c r="P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</row>
    <row r="11" spans="1:57" x14ac:dyDescent="0.2">
      <c r="M11" s="18"/>
      <c r="N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</row>
    <row r="12" spans="1:57" x14ac:dyDescent="0.2">
      <c r="A12" s="18">
        <v>1</v>
      </c>
      <c r="B12" s="18"/>
      <c r="C12" s="18" t="s">
        <v>368</v>
      </c>
      <c r="D12" s="8">
        <f>SUM(F12:K12)</f>
        <v>16558.840901818727</v>
      </c>
      <c r="F12" s="20">
        <v>0</v>
      </c>
      <c r="G12" s="20">
        <v>12915.882104498487</v>
      </c>
      <c r="H12" s="20">
        <v>3204.8190972565844</v>
      </c>
      <c r="I12" s="20">
        <v>438.13970006365651</v>
      </c>
      <c r="J12" s="20">
        <v>0</v>
      </c>
      <c r="K12" s="20">
        <v>0</v>
      </c>
      <c r="N12" s="130">
        <v>0</v>
      </c>
      <c r="O12" s="130">
        <v>3628.5368172449143</v>
      </c>
      <c r="P12" s="130">
        <v>745.09875297595829</v>
      </c>
      <c r="Q12" s="130">
        <v>118.05909489489868</v>
      </c>
      <c r="R12" s="130">
        <v>0</v>
      </c>
      <c r="S12" s="130">
        <v>0</v>
      </c>
      <c r="U12" s="130">
        <v>0</v>
      </c>
      <c r="V12" s="130">
        <v>9287.3452872535727</v>
      </c>
      <c r="W12" s="130">
        <v>2459.7203442806263</v>
      </c>
      <c r="X12" s="130">
        <v>320.08060516875781</v>
      </c>
      <c r="Y12" s="130">
        <v>0</v>
      </c>
      <c r="Z12" s="130">
        <v>0</v>
      </c>
    </row>
    <row r="13" spans="1:57" x14ac:dyDescent="0.2">
      <c r="A13" s="18">
        <v>2</v>
      </c>
      <c r="B13" s="18" t="s">
        <v>333</v>
      </c>
      <c r="D13" s="37">
        <f>SUM(F13:K13)</f>
        <v>1</v>
      </c>
      <c r="F13" s="37">
        <f t="shared" ref="F13:K13" si="0">F12/$D12</f>
        <v>0</v>
      </c>
      <c r="G13" s="37">
        <f t="shared" si="0"/>
        <v>0.77999916667354907</v>
      </c>
      <c r="H13" s="37">
        <f t="shared" si="0"/>
        <v>0.19354126996320048</v>
      </c>
      <c r="I13" s="37">
        <f t="shared" si="0"/>
        <v>2.6459563363250491E-2</v>
      </c>
      <c r="J13" s="37">
        <f t="shared" si="0"/>
        <v>0</v>
      </c>
      <c r="K13" s="37">
        <f t="shared" si="0"/>
        <v>0</v>
      </c>
      <c r="M13" s="18" t="s">
        <v>333</v>
      </c>
      <c r="N13" s="147">
        <f>N12/SUM($N$12:$S$12)</f>
        <v>0</v>
      </c>
      <c r="O13" s="147">
        <f t="shared" ref="O13:S13" si="1">O12/SUM($N$12:$S$12)</f>
        <v>0.8078324747729464</v>
      </c>
      <c r="P13" s="147">
        <f t="shared" si="1"/>
        <v>0.16588366051741715</v>
      </c>
      <c r="Q13" s="147">
        <f t="shared" si="1"/>
        <v>2.6283864709636437E-2</v>
      </c>
      <c r="R13" s="147">
        <f t="shared" si="1"/>
        <v>0</v>
      </c>
      <c r="S13" s="147">
        <f t="shared" si="1"/>
        <v>0</v>
      </c>
      <c r="T13" s="23"/>
      <c r="U13" s="69">
        <f>U12/SUM($U$12:$Z$12)</f>
        <v>0</v>
      </c>
      <c r="V13" s="69">
        <f t="shared" ref="V13:Z13" si="2">V12/SUM($U$12:$Z$12)</f>
        <v>0.76963891089722192</v>
      </c>
      <c r="W13" s="69">
        <f t="shared" si="2"/>
        <v>0.20383612629133788</v>
      </c>
      <c r="X13" s="69">
        <f t="shared" si="2"/>
        <v>2.652496281144031E-2</v>
      </c>
      <c r="Y13" s="69">
        <f t="shared" si="2"/>
        <v>0</v>
      </c>
      <c r="Z13" s="69">
        <f t="shared" si="2"/>
        <v>0</v>
      </c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</row>
    <row r="14" spans="1:57" x14ac:dyDescent="0.2">
      <c r="N14" s="18"/>
      <c r="P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</row>
    <row r="15" spans="1:57" x14ac:dyDescent="0.2">
      <c r="A15" s="18">
        <v>3</v>
      </c>
      <c r="B15" s="18"/>
      <c r="C15" s="18" t="s">
        <v>367</v>
      </c>
      <c r="D15" s="8">
        <f>SUM(F15:K15)</f>
        <v>1054.1803104527503</v>
      </c>
      <c r="F15" s="20">
        <v>0</v>
      </c>
      <c r="G15" s="20">
        <v>844.60564490054264</v>
      </c>
      <c r="H15" s="20">
        <v>5.0424399724086255</v>
      </c>
      <c r="I15" s="20">
        <v>162.57689725573772</v>
      </c>
      <c r="J15" s="20">
        <v>10.488832081015335</v>
      </c>
      <c r="K15" s="20">
        <v>31.466496243046006</v>
      </c>
      <c r="M15" s="18"/>
      <c r="N15" s="18"/>
    </row>
    <row r="16" spans="1:57" x14ac:dyDescent="0.2">
      <c r="A16" s="18">
        <v>4</v>
      </c>
      <c r="B16" s="18" t="s">
        <v>341</v>
      </c>
      <c r="D16" s="37">
        <f>SUM(F16:K16)</f>
        <v>1</v>
      </c>
      <c r="F16" s="37">
        <f t="shared" ref="F16:K16" si="3">F15/$D15</f>
        <v>0</v>
      </c>
      <c r="G16" s="37">
        <f t="shared" si="3"/>
        <v>0.80119656620962754</v>
      </c>
      <c r="H16" s="37">
        <f t="shared" si="3"/>
        <v>4.783280357648678E-3</v>
      </c>
      <c r="I16" s="37">
        <f t="shared" si="3"/>
        <v>0.15422114760037023</v>
      </c>
      <c r="J16" s="37">
        <f t="shared" si="3"/>
        <v>9.9497514580884003E-3</v>
      </c>
      <c r="K16" s="37">
        <f t="shared" si="3"/>
        <v>2.9849254374265201E-2</v>
      </c>
      <c r="M16" s="18" t="s">
        <v>341</v>
      </c>
      <c r="N16" s="18"/>
      <c r="P16" s="8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</row>
    <row r="17" spans="1:57" x14ac:dyDescent="0.2">
      <c r="N17" s="18"/>
      <c r="P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</row>
    <row r="18" spans="1:57" x14ac:dyDescent="0.2">
      <c r="A18" s="18">
        <v>5</v>
      </c>
      <c r="B18" s="18"/>
      <c r="C18" s="18" t="s">
        <v>367</v>
      </c>
      <c r="D18" s="8">
        <f>SUM(F18:K18)</f>
        <v>6952.6548668166733</v>
      </c>
      <c r="F18" s="20">
        <v>63.25017554117872</v>
      </c>
      <c r="G18" s="20">
        <v>4687.7644754994963</v>
      </c>
      <c r="H18" s="20">
        <v>1534.2936015710704</v>
      </c>
      <c r="I18" s="20">
        <v>640.36101473308054</v>
      </c>
      <c r="J18" s="20">
        <v>26.985599471848019</v>
      </c>
      <c r="K18" s="20">
        <v>0</v>
      </c>
      <c r="M18" s="18"/>
      <c r="N18" s="130">
        <v>6.4478105049741021</v>
      </c>
      <c r="O18" s="130">
        <v>1317.4841136564974</v>
      </c>
      <c r="P18" s="130">
        <v>350.64266134860668</v>
      </c>
      <c r="Q18" s="130">
        <v>165.63985734564812</v>
      </c>
      <c r="R18" s="130">
        <v>24.179238049945422</v>
      </c>
      <c r="S18" s="130">
        <v>0</v>
      </c>
      <c r="U18" s="130">
        <v>56.80236503620462</v>
      </c>
      <c r="V18" s="130">
        <v>3370.2803618429994</v>
      </c>
      <c r="W18" s="130">
        <v>1183.6509402224638</v>
      </c>
      <c r="X18" s="130">
        <v>474.72115738743236</v>
      </c>
      <c r="Y18" s="130">
        <v>2.8063614219025954</v>
      </c>
      <c r="Z18" s="130">
        <v>0</v>
      </c>
    </row>
    <row r="19" spans="1:57" x14ac:dyDescent="0.2">
      <c r="A19" s="18">
        <v>6</v>
      </c>
      <c r="B19" s="18" t="s">
        <v>251</v>
      </c>
      <c r="D19" s="37">
        <f>SUM(F19:K19)</f>
        <v>1</v>
      </c>
      <c r="F19" s="37">
        <f t="shared" ref="F19:K19" si="4">F18/$D18</f>
        <v>9.0972695686444022E-3</v>
      </c>
      <c r="G19" s="37">
        <f t="shared" si="4"/>
        <v>0.6742409288677701</v>
      </c>
      <c r="H19" s="37">
        <f t="shared" si="4"/>
        <v>0.22067737158849632</v>
      </c>
      <c r="I19" s="37">
        <f t="shared" si="4"/>
        <v>9.2103092559558439E-2</v>
      </c>
      <c r="J19" s="37">
        <f t="shared" si="4"/>
        <v>3.8813374155308219E-3</v>
      </c>
      <c r="K19" s="37">
        <f t="shared" si="4"/>
        <v>0</v>
      </c>
      <c r="M19" s="18" t="s">
        <v>251</v>
      </c>
      <c r="N19" s="147">
        <f>N18/SUM($N$18:$S$18)</f>
        <v>3.4583953866663673E-3</v>
      </c>
      <c r="O19" s="147">
        <f t="shared" ref="O19:S19" si="5">O18/SUM($N$18:$S$18)</f>
        <v>0.70665553479912002</v>
      </c>
      <c r="P19" s="147">
        <f t="shared" si="5"/>
        <v>0.18807329425096206</v>
      </c>
      <c r="Q19" s="147">
        <f t="shared" si="5"/>
        <v>8.8843820402343773E-2</v>
      </c>
      <c r="R19" s="147">
        <f t="shared" si="5"/>
        <v>1.2968955160907757E-2</v>
      </c>
      <c r="S19" s="147">
        <f t="shared" si="5"/>
        <v>0</v>
      </c>
      <c r="T19" s="22"/>
      <c r="U19" s="69">
        <f>U18/SUM($U$18:$Z$18)</f>
        <v>1.1163413779443149E-2</v>
      </c>
      <c r="V19" s="69">
        <f t="shared" ref="V19:Z19" si="6">V18/SUM($U$18:$Z$18)</f>
        <v>0.66236386826506521</v>
      </c>
      <c r="W19" s="69">
        <f t="shared" si="6"/>
        <v>0.23262385655435708</v>
      </c>
      <c r="X19" s="69">
        <f t="shared" si="6"/>
        <v>9.32973249686746E-2</v>
      </c>
      <c r="Y19" s="69">
        <f t="shared" si="6"/>
        <v>5.5153643246010856E-4</v>
      </c>
      <c r="Z19" s="69">
        <f t="shared" si="6"/>
        <v>0</v>
      </c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</row>
    <row r="20" spans="1:57" x14ac:dyDescent="0.2">
      <c r="N20" s="18"/>
      <c r="P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</row>
    <row r="21" spans="1:57" x14ac:dyDescent="0.2">
      <c r="A21" s="18">
        <v>7</v>
      </c>
      <c r="B21" s="18"/>
      <c r="C21" s="18" t="s">
        <v>367</v>
      </c>
      <c r="D21" s="8">
        <f>SUM(F21:K21)</f>
        <v>23171.995053027742</v>
      </c>
      <c r="F21" s="20">
        <v>218.0641594052459</v>
      </c>
      <c r="G21" s="20">
        <v>15689.082522940182</v>
      </c>
      <c r="H21" s="20">
        <v>5028.3672607880435</v>
      </c>
      <c r="I21" s="20">
        <v>2124.2017254398515</v>
      </c>
      <c r="J21" s="20">
        <v>112.27938445441814</v>
      </c>
      <c r="K21" s="20">
        <v>0</v>
      </c>
      <c r="M21" s="18"/>
      <c r="N21" s="130">
        <v>22.229762459016392</v>
      </c>
      <c r="O21" s="130">
        <v>5663.0110085306151</v>
      </c>
      <c r="P21" s="130">
        <v>1507.1857267156049</v>
      </c>
      <c r="Q21" s="130">
        <v>711.9784791912964</v>
      </c>
      <c r="R21" s="130">
        <v>103.93088602389312</v>
      </c>
      <c r="S21" s="130">
        <v>0</v>
      </c>
      <c r="T21" s="130"/>
      <c r="U21" s="130">
        <v>195.8343969462295</v>
      </c>
      <c r="V21" s="130">
        <v>10026.071514409567</v>
      </c>
      <c r="W21" s="130">
        <v>3521.1815340724384</v>
      </c>
      <c r="X21" s="130">
        <v>1412.2232462485554</v>
      </c>
      <c r="Y21" s="130">
        <v>8.3484984305250087</v>
      </c>
      <c r="Z21" s="130">
        <v>0</v>
      </c>
      <c r="AA21" s="130"/>
    </row>
    <row r="22" spans="1:57" x14ac:dyDescent="0.2">
      <c r="A22" s="18">
        <v>8</v>
      </c>
      <c r="B22" s="18" t="s">
        <v>410</v>
      </c>
      <c r="D22" s="37">
        <f>SUM(F22:K22)</f>
        <v>1</v>
      </c>
      <c r="F22" s="37">
        <f t="shared" ref="F22:K22" si="7">F21/$D21</f>
        <v>9.4106769359400839E-3</v>
      </c>
      <c r="G22" s="37">
        <f t="shared" si="7"/>
        <v>0.6770708558773918</v>
      </c>
      <c r="H22" s="37">
        <f t="shared" si="7"/>
        <v>0.21700191326991577</v>
      </c>
      <c r="I22" s="37">
        <f t="shared" si="7"/>
        <v>9.1671076252983028E-2</v>
      </c>
      <c r="J22" s="37">
        <f t="shared" si="7"/>
        <v>4.8454776637692782E-3</v>
      </c>
      <c r="K22" s="37">
        <f t="shared" si="7"/>
        <v>0</v>
      </c>
      <c r="M22" s="18" t="s">
        <v>410</v>
      </c>
      <c r="N22" s="147">
        <f>N21/SUM($N$21:$S$21)</f>
        <v>2.7758279422249147E-3</v>
      </c>
      <c r="O22" s="147">
        <f t="shared" ref="O22:S22" si="8">O21/SUM($N$21:$S$21)</f>
        <v>0.70713954877330365</v>
      </c>
      <c r="P22" s="147">
        <f t="shared" si="8"/>
        <v>0.18820211246309726</v>
      </c>
      <c r="Q22" s="147">
        <f t="shared" si="8"/>
        <v>8.890467275327997E-2</v>
      </c>
      <c r="R22" s="147">
        <f t="shared" si="8"/>
        <v>1.2977838068094251E-2</v>
      </c>
      <c r="S22" s="147">
        <f t="shared" si="8"/>
        <v>0</v>
      </c>
      <c r="T22" s="22"/>
      <c r="U22" s="69">
        <f>U21/SUM($U$21:$Z$21)</f>
        <v>1.2914718966645646E-2</v>
      </c>
      <c r="V22" s="69">
        <f t="shared" ref="V22:Z22" si="9">V21/SUM($U$21:$Z$21)</f>
        <v>0.66119077121902858</v>
      </c>
      <c r="W22" s="69">
        <f t="shared" si="9"/>
        <v>0.23221186192114085</v>
      </c>
      <c r="X22" s="69">
        <f t="shared" si="9"/>
        <v>9.3132088273909619E-2</v>
      </c>
      <c r="Y22" s="69">
        <f t="shared" si="9"/>
        <v>5.5055961927524203E-4</v>
      </c>
      <c r="Z22" s="69">
        <f t="shared" si="9"/>
        <v>0</v>
      </c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</row>
    <row r="23" spans="1:57" x14ac:dyDescent="0.2">
      <c r="B23" s="18"/>
      <c r="M23" s="18"/>
      <c r="N23" s="18"/>
      <c r="P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</row>
    <row r="24" spans="1:57" x14ac:dyDescent="0.2">
      <c r="A24" s="18">
        <v>9</v>
      </c>
      <c r="B24" s="18"/>
      <c r="C24" s="18" t="s">
        <v>367</v>
      </c>
      <c r="D24" s="8">
        <f>SUM(F24:K24)</f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M24" s="18"/>
      <c r="N24" s="18"/>
      <c r="P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</row>
    <row r="25" spans="1:57" x14ac:dyDescent="0.2">
      <c r="A25" s="18">
        <v>10</v>
      </c>
      <c r="B25" s="18" t="s">
        <v>332</v>
      </c>
      <c r="D25" s="37">
        <f>SUM(F25:K25)</f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M25" s="18" t="s">
        <v>332</v>
      </c>
      <c r="N25" s="18"/>
      <c r="P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</row>
    <row r="26" spans="1:57" x14ac:dyDescent="0.2">
      <c r="B26" s="18"/>
      <c r="M26" s="18"/>
      <c r="N26" s="18"/>
      <c r="P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</row>
    <row r="27" spans="1:57" x14ac:dyDescent="0.2">
      <c r="A27" s="18">
        <v>11</v>
      </c>
      <c r="B27" s="18"/>
      <c r="C27" s="18" t="s">
        <v>367</v>
      </c>
      <c r="D27" s="8">
        <f>SUM(F27:K27)</f>
        <v>1100.0870632823185</v>
      </c>
      <c r="F27" s="20">
        <v>0</v>
      </c>
      <c r="G27" s="20">
        <v>1001.0538404713946</v>
      </c>
      <c r="H27" s="20">
        <v>5.9680459927726091</v>
      </c>
      <c r="I27" s="20">
        <v>73.974884137504915</v>
      </c>
      <c r="J27" s="20">
        <v>4.7725731701616079</v>
      </c>
      <c r="K27" s="20">
        <v>14.317719510484823</v>
      </c>
      <c r="M27" s="18"/>
      <c r="N27" s="18"/>
    </row>
    <row r="28" spans="1:57" x14ac:dyDescent="0.2">
      <c r="A28" s="18">
        <v>12</v>
      </c>
      <c r="B28" s="18" t="s">
        <v>223</v>
      </c>
      <c r="D28" s="37">
        <f>SUM(F28:K28)</f>
        <v>1</v>
      </c>
      <c r="F28" s="37">
        <f t="shared" ref="F28:K28" si="10">F27/$D27</f>
        <v>0</v>
      </c>
      <c r="G28" s="37">
        <f t="shared" si="10"/>
        <v>0.9099769226306148</v>
      </c>
      <c r="H28" s="37">
        <f t="shared" si="10"/>
        <v>5.4250669714866126E-3</v>
      </c>
      <c r="I28" s="37">
        <f t="shared" si="10"/>
        <v>6.7244572367560443E-2</v>
      </c>
      <c r="J28" s="37">
        <f t="shared" si="10"/>
        <v>4.3383595075845455E-3</v>
      </c>
      <c r="K28" s="37">
        <f t="shared" si="10"/>
        <v>1.3015078522753635E-2</v>
      </c>
      <c r="M28" s="18" t="s">
        <v>223</v>
      </c>
      <c r="N28" s="18"/>
      <c r="P28" s="8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</row>
    <row r="29" spans="1:57" x14ac:dyDescent="0.2">
      <c r="C29" s="18"/>
      <c r="N29" s="18"/>
      <c r="P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</row>
    <row r="30" spans="1:57" x14ac:dyDescent="0.2">
      <c r="A30" s="18">
        <v>13</v>
      </c>
      <c r="B30" s="18"/>
      <c r="C30" s="18" t="s">
        <v>368</v>
      </c>
      <c r="D30" s="8">
        <f>SUM(F30:K30)</f>
        <v>78</v>
      </c>
      <c r="F30" s="20">
        <f>F90</f>
        <v>0</v>
      </c>
      <c r="G30" s="20">
        <v>0</v>
      </c>
      <c r="H30" s="20">
        <v>0</v>
      </c>
      <c r="I30" s="20">
        <f>I90</f>
        <v>62</v>
      </c>
      <c r="J30" s="20">
        <f>J90</f>
        <v>4</v>
      </c>
      <c r="K30" s="20">
        <f>K90</f>
        <v>12</v>
      </c>
      <c r="M30" s="18"/>
      <c r="N30" s="18"/>
    </row>
    <row r="31" spans="1:57" x14ac:dyDescent="0.2">
      <c r="A31" s="18">
        <v>14</v>
      </c>
      <c r="B31" s="18" t="s">
        <v>272</v>
      </c>
      <c r="C31" s="18"/>
      <c r="D31" s="37">
        <f>SUM(F31:K31)</f>
        <v>1</v>
      </c>
      <c r="F31" s="37">
        <f t="shared" ref="F31:K31" si="11">F30/$D30</f>
        <v>0</v>
      </c>
      <c r="G31" s="37">
        <f t="shared" si="11"/>
        <v>0</v>
      </c>
      <c r="H31" s="37">
        <f t="shared" si="11"/>
        <v>0</v>
      </c>
      <c r="I31" s="37">
        <f t="shared" si="11"/>
        <v>0.79487179487179482</v>
      </c>
      <c r="J31" s="37">
        <f t="shared" si="11"/>
        <v>5.128205128205128E-2</v>
      </c>
      <c r="K31" s="37">
        <f t="shared" si="11"/>
        <v>0.15384615384615385</v>
      </c>
      <c r="M31" s="18" t="s">
        <v>272</v>
      </c>
      <c r="N31" s="18"/>
      <c r="P31" s="8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</row>
    <row r="32" spans="1:57" x14ac:dyDescent="0.2">
      <c r="N32" s="18"/>
      <c r="P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</row>
    <row r="33" spans="1:57" x14ac:dyDescent="0.2">
      <c r="A33" s="18">
        <v>15</v>
      </c>
      <c r="B33" s="18"/>
      <c r="C33" s="18" t="s">
        <v>367</v>
      </c>
      <c r="D33" s="20">
        <f>SUM(F33:K33)</f>
        <v>10280.279565945733</v>
      </c>
      <c r="E33" s="20"/>
      <c r="F33" s="20">
        <v>229.33872410753884</v>
      </c>
      <c r="G33" s="20">
        <v>7362.7379762129749</v>
      </c>
      <c r="H33" s="20">
        <v>2171.0030542971094</v>
      </c>
      <c r="I33" s="20">
        <v>517.19981132810904</v>
      </c>
      <c r="J33" s="20">
        <v>0</v>
      </c>
      <c r="K33" s="20">
        <v>0</v>
      </c>
      <c r="M33" s="18"/>
      <c r="N33" s="130">
        <v>7.5071868644428408</v>
      </c>
      <c r="O33" s="130">
        <v>605.01199181258835</v>
      </c>
      <c r="P33" s="130">
        <v>178.39598344461211</v>
      </c>
      <c r="Q33" s="130">
        <v>32.533251389103967</v>
      </c>
      <c r="R33" s="130">
        <v>0</v>
      </c>
      <c r="S33" s="130">
        <v>0</v>
      </c>
      <c r="T33" s="22"/>
      <c r="U33" s="22">
        <v>221.83153724309599</v>
      </c>
      <c r="V33" s="22">
        <v>6757.7259844003866</v>
      </c>
      <c r="W33" s="22">
        <v>1992.6070708524971</v>
      </c>
      <c r="X33" s="22">
        <v>484.66655993900508</v>
      </c>
      <c r="Y33" s="22">
        <v>0</v>
      </c>
      <c r="Z33" s="22">
        <v>0</v>
      </c>
    </row>
    <row r="34" spans="1:57" x14ac:dyDescent="0.2">
      <c r="A34" s="18">
        <v>16</v>
      </c>
      <c r="B34" s="18" t="s">
        <v>533</v>
      </c>
      <c r="D34" s="37">
        <f>SUM(F34:K34)</f>
        <v>0.99999999999999989</v>
      </c>
      <c r="F34" s="37">
        <f t="shared" ref="F34:K34" si="12">F33/$D33</f>
        <v>2.2308607721840769E-2</v>
      </c>
      <c r="G34" s="37">
        <f t="shared" si="12"/>
        <v>0.71620017033414607</v>
      </c>
      <c r="H34" s="37">
        <f t="shared" si="12"/>
        <v>0.21118132443486601</v>
      </c>
      <c r="I34" s="37">
        <f t="shared" si="12"/>
        <v>5.0309897509147099E-2</v>
      </c>
      <c r="J34" s="37">
        <f t="shared" si="12"/>
        <v>0</v>
      </c>
      <c r="K34" s="37">
        <f t="shared" si="12"/>
        <v>0</v>
      </c>
      <c r="M34" s="18" t="s">
        <v>532</v>
      </c>
      <c r="N34" s="147">
        <f>N33/SUM($N$33:$S$33)</f>
        <v>9.1167664437365025E-3</v>
      </c>
      <c r="O34" s="147">
        <f t="shared" ref="O34:S34" si="13">O33/SUM($N$33:$S$33)</f>
        <v>0.73472968298419339</v>
      </c>
      <c r="P34" s="147">
        <f t="shared" si="13"/>
        <v>0.21664500230685521</v>
      </c>
      <c r="Q34" s="147">
        <f t="shared" si="13"/>
        <v>3.9508548265214861E-2</v>
      </c>
      <c r="R34" s="147">
        <f t="shared" si="13"/>
        <v>0</v>
      </c>
      <c r="S34" s="147">
        <f t="shared" si="13"/>
        <v>0</v>
      </c>
      <c r="T34" s="22"/>
      <c r="U34" s="69">
        <f>U33/SUM($U$33:$Z$33)</f>
        <v>2.3457280104443642E-2</v>
      </c>
      <c r="V34" s="69">
        <f t="shared" ref="V34:AA34" si="14">V33/SUM($U$33:$Z$33)</f>
        <v>0.71458672312874894</v>
      </c>
      <c r="W34" s="69">
        <f t="shared" si="14"/>
        <v>0.21070557766482192</v>
      </c>
      <c r="X34" s="69">
        <f t="shared" si="14"/>
        <v>5.125041910198546E-2</v>
      </c>
      <c r="Y34" s="69">
        <f t="shared" si="14"/>
        <v>0</v>
      </c>
      <c r="Z34" s="69">
        <f t="shared" si="14"/>
        <v>0</v>
      </c>
      <c r="AA34" s="69">
        <f t="shared" si="14"/>
        <v>0</v>
      </c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</row>
    <row r="35" spans="1:57" x14ac:dyDescent="0.2">
      <c r="N35" s="18"/>
      <c r="P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</row>
    <row r="36" spans="1:57" x14ac:dyDescent="0.2">
      <c r="A36" s="18">
        <v>17</v>
      </c>
      <c r="B36" s="18"/>
      <c r="C36" s="18" t="s">
        <v>367</v>
      </c>
      <c r="D36" s="8">
        <f>SUM(F36:K36)</f>
        <v>2089.8949331397471</v>
      </c>
      <c r="F36" s="20">
        <v>0</v>
      </c>
      <c r="G36" s="20">
        <v>599.91383153040704</v>
      </c>
      <c r="H36" s="20">
        <v>198.70055334992969</v>
      </c>
      <c r="I36" s="20">
        <v>562.64346199112197</v>
      </c>
      <c r="J36" s="20">
        <v>76.805953060991499</v>
      </c>
      <c r="K36" s="20">
        <v>651.83113320729672</v>
      </c>
      <c r="M36" s="18"/>
      <c r="N36" s="18"/>
    </row>
    <row r="37" spans="1:57" x14ac:dyDescent="0.2">
      <c r="A37" s="18">
        <v>18</v>
      </c>
      <c r="B37" s="18" t="s">
        <v>336</v>
      </c>
      <c r="D37" s="37">
        <f>SUM(F37:K37)</f>
        <v>1</v>
      </c>
      <c r="F37" s="37">
        <f t="shared" ref="F37:K37" si="15">F36/$D36</f>
        <v>0</v>
      </c>
      <c r="G37" s="37">
        <f t="shared" si="15"/>
        <v>0.28705454136353564</v>
      </c>
      <c r="H37" s="37">
        <f t="shared" si="15"/>
        <v>9.5076814723605532E-2</v>
      </c>
      <c r="I37" s="37">
        <f t="shared" si="15"/>
        <v>0.26922093214793164</v>
      </c>
      <c r="J37" s="37">
        <f t="shared" si="15"/>
        <v>3.6751107360982173E-2</v>
      </c>
      <c r="K37" s="37">
        <f t="shared" si="15"/>
        <v>0.31189660440394495</v>
      </c>
      <c r="M37" s="18" t="s">
        <v>336</v>
      </c>
      <c r="N37" s="18"/>
      <c r="P37" s="8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22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</row>
    <row r="38" spans="1:57" x14ac:dyDescent="0.2">
      <c r="N38" s="18"/>
      <c r="P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</row>
    <row r="39" spans="1:57" x14ac:dyDescent="0.2">
      <c r="A39" s="18">
        <v>19</v>
      </c>
      <c r="B39" s="18"/>
      <c r="C39" s="18" t="s">
        <v>367</v>
      </c>
      <c r="D39" s="8">
        <f>SUM(F39:K39)</f>
        <v>2353.5672038276157</v>
      </c>
      <c r="F39" s="20">
        <v>52.504807497179932</v>
      </c>
      <c r="G39" s="20">
        <v>1685.6252322741984</v>
      </c>
      <c r="H39" s="20">
        <v>497.02943925078011</v>
      </c>
      <c r="I39" s="20">
        <v>118.40772480545728</v>
      </c>
      <c r="J39" s="20">
        <v>0</v>
      </c>
      <c r="K39" s="20">
        <v>0</v>
      </c>
      <c r="M39" s="18"/>
      <c r="N39" s="22">
        <v>1.7186953607455437</v>
      </c>
      <c r="O39" s="22">
        <v>138.51144540557394</v>
      </c>
      <c r="P39" s="22">
        <v>40.841976449809493</v>
      </c>
      <c r="Q39" s="22">
        <v>7.4481625730214613</v>
      </c>
      <c r="R39" s="22">
        <v>0</v>
      </c>
      <c r="S39" s="22">
        <v>0</v>
      </c>
      <c r="T39" s="20"/>
      <c r="U39" s="22">
        <v>50.78611213643439</v>
      </c>
      <c r="V39" s="22">
        <v>1547.1137868686244</v>
      </c>
      <c r="W39" s="22">
        <v>456.18746280097065</v>
      </c>
      <c r="X39" s="22">
        <v>110.95956223243581</v>
      </c>
      <c r="Y39" s="22">
        <v>0</v>
      </c>
      <c r="Z39" s="22">
        <v>0</v>
      </c>
    </row>
    <row r="40" spans="1:57" x14ac:dyDescent="0.2">
      <c r="A40" s="18">
        <v>20</v>
      </c>
      <c r="B40" s="18" t="s">
        <v>222</v>
      </c>
      <c r="D40" s="37">
        <f>SUM(F40:K40)</f>
        <v>1</v>
      </c>
      <c r="F40" s="37">
        <f t="shared" ref="F40:K40" si="16">F39/$D39</f>
        <v>2.2308607721840769E-2</v>
      </c>
      <c r="G40" s="37">
        <f t="shared" si="16"/>
        <v>0.71620017033414618</v>
      </c>
      <c r="H40" s="37">
        <f t="shared" si="16"/>
        <v>0.21118132443486601</v>
      </c>
      <c r="I40" s="37">
        <f t="shared" si="16"/>
        <v>5.0309897509147106E-2</v>
      </c>
      <c r="J40" s="37">
        <f t="shared" si="16"/>
        <v>0</v>
      </c>
      <c r="K40" s="37">
        <f t="shared" si="16"/>
        <v>0</v>
      </c>
      <c r="M40" s="18" t="s">
        <v>222</v>
      </c>
      <c r="N40" s="147">
        <f>N39/SUM($N$39:$S$39)</f>
        <v>9.1167664437365042E-3</v>
      </c>
      <c r="O40" s="147">
        <f t="shared" ref="O40:S40" si="17">O39/SUM($N$39:$S$39)</f>
        <v>0.73472968298419339</v>
      </c>
      <c r="P40" s="147">
        <f t="shared" si="17"/>
        <v>0.21664500230685524</v>
      </c>
      <c r="Q40" s="147">
        <f t="shared" si="17"/>
        <v>3.9508548265214868E-2</v>
      </c>
      <c r="R40" s="147">
        <f t="shared" si="17"/>
        <v>0</v>
      </c>
      <c r="S40" s="147">
        <f t="shared" si="17"/>
        <v>0</v>
      </c>
      <c r="T40" s="8"/>
      <c r="U40" s="69">
        <f>U39/SUM($U$39:$Z$39)</f>
        <v>2.3457280104443638E-2</v>
      </c>
      <c r="V40" s="69">
        <f t="shared" ref="V40:Z40" si="18">V39/SUM($U$39:$Z$39)</f>
        <v>0.71458672312874894</v>
      </c>
      <c r="W40" s="69">
        <f t="shared" si="18"/>
        <v>0.2107055776648219</v>
      </c>
      <c r="X40" s="69">
        <f t="shared" si="18"/>
        <v>5.1250419101985453E-2</v>
      </c>
      <c r="Y40" s="69">
        <f t="shared" si="18"/>
        <v>0</v>
      </c>
      <c r="Z40" s="69">
        <f t="shared" si="18"/>
        <v>0</v>
      </c>
      <c r="AA40" s="8"/>
      <c r="AB40" s="8"/>
      <c r="AC40" s="8"/>
      <c r="AD40" s="22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</row>
    <row r="41" spans="1:57" x14ac:dyDescent="0.2">
      <c r="N41" s="18"/>
      <c r="P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</row>
    <row r="42" spans="1:57" x14ac:dyDescent="0.2">
      <c r="A42" s="18">
        <v>21</v>
      </c>
      <c r="B42" s="18"/>
      <c r="C42" s="18" t="s">
        <v>367</v>
      </c>
      <c r="D42" s="8">
        <f>SUM(F42:K42)</f>
        <v>1891.1610176724735</v>
      </c>
      <c r="F42" s="20">
        <v>0</v>
      </c>
      <c r="G42" s="20">
        <v>1040.9718140864657</v>
      </c>
      <c r="H42" s="20">
        <v>342.87723397416204</v>
      </c>
      <c r="I42" s="20">
        <v>339.5943621210107</v>
      </c>
      <c r="J42" s="20">
        <v>13.085246242125672</v>
      </c>
      <c r="K42" s="20">
        <v>154.63236124870937</v>
      </c>
      <c r="M42" s="18"/>
      <c r="N42" s="18"/>
    </row>
    <row r="43" spans="1:57" x14ac:dyDescent="0.2">
      <c r="A43" s="18">
        <v>22</v>
      </c>
      <c r="B43" s="18" t="s">
        <v>162</v>
      </c>
      <c r="D43" s="37">
        <f>SUM(F43:K43)</f>
        <v>0.99999999999999989</v>
      </c>
      <c r="F43" s="37">
        <f t="shared" ref="F43:K43" si="19">F42/$D42</f>
        <v>0</v>
      </c>
      <c r="G43" s="37">
        <f t="shared" si="19"/>
        <v>0.55044060466497491</v>
      </c>
      <c r="H43" s="37">
        <f t="shared" si="19"/>
        <v>0.18130515105274039</v>
      </c>
      <c r="I43" s="37">
        <f t="shared" si="19"/>
        <v>0.17956924817483966</v>
      </c>
      <c r="J43" s="37">
        <f t="shared" si="19"/>
        <v>6.9191603040920343E-3</v>
      </c>
      <c r="K43" s="37">
        <f t="shared" si="19"/>
        <v>8.1765835803352976E-2</v>
      </c>
      <c r="M43" s="18" t="s">
        <v>162</v>
      </c>
      <c r="N43" s="18"/>
      <c r="P43" s="8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</row>
    <row r="44" spans="1:57" x14ac:dyDescent="0.2">
      <c r="N44" s="18"/>
      <c r="P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</row>
    <row r="45" spans="1:57" x14ac:dyDescent="0.2">
      <c r="A45" s="18">
        <v>23</v>
      </c>
      <c r="B45" s="18"/>
      <c r="C45" s="18" t="s">
        <v>367</v>
      </c>
      <c r="D45" s="8">
        <f>SUM(F45:K45)</f>
        <v>8645.6703243885077</v>
      </c>
      <c r="F45" s="20">
        <v>0</v>
      </c>
      <c r="G45" s="20">
        <v>5543.3733161213358</v>
      </c>
      <c r="H45" s="20">
        <v>1310.7067199345292</v>
      </c>
      <c r="I45" s="20">
        <v>974.85319456500577</v>
      </c>
      <c r="J45" s="20">
        <v>65.912255493508766</v>
      </c>
      <c r="K45" s="20">
        <v>750.82483827412887</v>
      </c>
      <c r="M45" s="18"/>
      <c r="N45" s="18"/>
    </row>
    <row r="46" spans="1:57" x14ac:dyDescent="0.2">
      <c r="A46" s="18">
        <v>24</v>
      </c>
      <c r="B46" s="18" t="s">
        <v>161</v>
      </c>
      <c r="D46" s="37">
        <f>SUM(F46:K46)</f>
        <v>1.0000000000000002</v>
      </c>
      <c r="F46" s="37">
        <f t="shared" ref="F46:K46" si="20">F45/$D45</f>
        <v>0</v>
      </c>
      <c r="G46" s="37">
        <f t="shared" si="20"/>
        <v>0.64117333973330848</v>
      </c>
      <c r="H46" s="37">
        <f t="shared" si="20"/>
        <v>0.15160267171385963</v>
      </c>
      <c r="I46" s="37">
        <f t="shared" si="20"/>
        <v>0.11275623034283988</v>
      </c>
      <c r="J46" s="37">
        <f t="shared" si="20"/>
        <v>7.6237299157217884E-3</v>
      </c>
      <c r="K46" s="37">
        <f t="shared" si="20"/>
        <v>8.684402829427032E-2</v>
      </c>
      <c r="M46" s="18" t="s">
        <v>161</v>
      </c>
      <c r="N46" s="18"/>
      <c r="P46" s="8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</row>
    <row r="47" spans="1:57" x14ac:dyDescent="0.2">
      <c r="B47" s="18"/>
      <c r="M47" s="18"/>
      <c r="N47" s="18"/>
      <c r="P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</row>
    <row r="48" spans="1:57" x14ac:dyDescent="0.2">
      <c r="A48" s="18">
        <v>25</v>
      </c>
      <c r="B48" s="18"/>
      <c r="C48" s="18" t="s">
        <v>367</v>
      </c>
      <c r="D48" s="8">
        <f>SUM(F48:K48)</f>
        <v>13516.919918220205</v>
      </c>
      <c r="F48" s="20">
        <v>0</v>
      </c>
      <c r="G48" s="20">
        <v>9710.7899162215654</v>
      </c>
      <c r="H48" s="20">
        <v>2893.6908721646414</v>
      </c>
      <c r="I48" s="20">
        <v>780.99795223399815</v>
      </c>
      <c r="J48" s="20">
        <v>0</v>
      </c>
      <c r="K48" s="20">
        <v>131.44117760000017</v>
      </c>
      <c r="M48" s="18"/>
      <c r="N48" s="18"/>
    </row>
    <row r="49" spans="1:57" x14ac:dyDescent="0.2">
      <c r="A49" s="18">
        <v>26</v>
      </c>
      <c r="B49" s="18" t="s">
        <v>291</v>
      </c>
      <c r="D49" s="37">
        <f>SUM(F49:K49)</f>
        <v>1</v>
      </c>
      <c r="F49" s="37">
        <f t="shared" ref="F49:K49" si="21">F48/$D48</f>
        <v>0</v>
      </c>
      <c r="G49" s="37">
        <f t="shared" si="21"/>
        <v>0.71841735950006291</v>
      </c>
      <c r="H49" s="37">
        <f t="shared" si="21"/>
        <v>0.21407916076088276</v>
      </c>
      <c r="I49" s="37">
        <f t="shared" si="21"/>
        <v>5.7779283813115423E-2</v>
      </c>
      <c r="J49" s="37">
        <f t="shared" si="21"/>
        <v>0</v>
      </c>
      <c r="K49" s="37">
        <f t="shared" si="21"/>
        <v>9.7241959259389658E-3</v>
      </c>
      <c r="M49" s="18" t="s">
        <v>291</v>
      </c>
      <c r="N49" s="18"/>
      <c r="P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22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</row>
    <row r="50" spans="1:57" x14ac:dyDescent="0.2">
      <c r="B50" s="18"/>
      <c r="M50" s="18"/>
      <c r="N50" s="18"/>
      <c r="P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</row>
    <row r="51" spans="1:57" x14ac:dyDescent="0.2">
      <c r="A51" s="18">
        <v>27</v>
      </c>
      <c r="B51" s="18"/>
      <c r="C51" s="18" t="s">
        <v>367</v>
      </c>
      <c r="D51" s="8">
        <f>SUM(F51:K51)</f>
        <v>23612.097634911654</v>
      </c>
      <c r="F51" s="20">
        <v>0</v>
      </c>
      <c r="G51" s="20">
        <v>9710.7899162215654</v>
      </c>
      <c r="H51" s="20">
        <v>2893.6908721646414</v>
      </c>
      <c r="I51" s="20">
        <v>7609.5255049746966</v>
      </c>
      <c r="J51" s="20">
        <v>0</v>
      </c>
      <c r="K51" s="20">
        <v>3398.091341550748</v>
      </c>
      <c r="M51" s="18"/>
      <c r="N51" s="18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</row>
    <row r="52" spans="1:57" x14ac:dyDescent="0.2">
      <c r="A52" s="18">
        <v>28</v>
      </c>
      <c r="B52" s="18" t="s">
        <v>290</v>
      </c>
      <c r="D52" s="37">
        <f>SUM(F52:K52)</f>
        <v>1</v>
      </c>
      <c r="F52" s="37">
        <f t="shared" ref="F52:K52" si="22">F51/$D51</f>
        <v>0</v>
      </c>
      <c r="G52" s="37">
        <f t="shared" si="22"/>
        <v>0.41126333061844039</v>
      </c>
      <c r="H52" s="37">
        <f t="shared" si="22"/>
        <v>0.1225511988348793</v>
      </c>
      <c r="I52" s="37">
        <f t="shared" si="22"/>
        <v>0.322272320851479</v>
      </c>
      <c r="J52" s="37">
        <f t="shared" si="22"/>
        <v>0</v>
      </c>
      <c r="K52" s="37">
        <f t="shared" si="22"/>
        <v>0.14391314969520125</v>
      </c>
      <c r="M52" s="18" t="s">
        <v>290</v>
      </c>
      <c r="N52" s="18"/>
      <c r="P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22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</row>
    <row r="53" spans="1:57" x14ac:dyDescent="0.2">
      <c r="B53" s="18"/>
      <c r="M53" s="18"/>
      <c r="N53" s="18"/>
      <c r="P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</row>
    <row r="54" spans="1:57" x14ac:dyDescent="0.2">
      <c r="A54" s="18">
        <v>29</v>
      </c>
      <c r="B54" s="18"/>
      <c r="C54" s="18" t="s">
        <v>367</v>
      </c>
      <c r="D54" s="8">
        <f>SUM(F54:K54)</f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M54" s="18"/>
      <c r="N54" s="18"/>
      <c r="P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</row>
    <row r="55" spans="1:57" x14ac:dyDescent="0.2">
      <c r="A55" s="18">
        <v>30</v>
      </c>
      <c r="B55" s="18" t="s">
        <v>218</v>
      </c>
      <c r="D55" s="37">
        <f>SUM(F55:K55)</f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M55" s="18" t="s">
        <v>218</v>
      </c>
      <c r="N55" s="18"/>
      <c r="P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</row>
    <row r="56" spans="1:57" x14ac:dyDescent="0.2">
      <c r="B56" s="18"/>
      <c r="M56" s="18"/>
      <c r="N56" s="18"/>
      <c r="P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</row>
    <row r="57" spans="1:57" x14ac:dyDescent="0.2">
      <c r="A57" s="18">
        <v>31</v>
      </c>
      <c r="B57" s="18"/>
      <c r="C57" s="18" t="s">
        <v>367</v>
      </c>
      <c r="D57" s="8">
        <f>SUM(F57:K57)</f>
        <v>41527.447860529872</v>
      </c>
      <c r="F57" s="20">
        <v>1583.641180754754</v>
      </c>
      <c r="G57" s="20">
        <v>30209.765976293304</v>
      </c>
      <c r="H57" s="20">
        <v>8520.0917943205932</v>
      </c>
      <c r="I57" s="20">
        <v>1213.9489091612213</v>
      </c>
      <c r="J57" s="20">
        <v>0</v>
      </c>
      <c r="K57" s="20">
        <v>0</v>
      </c>
      <c r="M57" s="18"/>
      <c r="N57" s="130">
        <v>51.839000659034525</v>
      </c>
      <c r="O57" s="130">
        <v>7654.6593836004195</v>
      </c>
      <c r="P57" s="130">
        <v>2348.0655205870121</v>
      </c>
      <c r="Q57" s="130">
        <v>183.65306267925277</v>
      </c>
      <c r="R57" s="130">
        <v>0</v>
      </c>
      <c r="S57" s="130">
        <v>0</v>
      </c>
      <c r="T57" s="22"/>
      <c r="U57" s="22">
        <v>1531.8021800957195</v>
      </c>
      <c r="V57" s="22">
        <v>22555.106592692882</v>
      </c>
      <c r="W57" s="22">
        <v>6172.0262737335815</v>
      </c>
      <c r="X57" s="22">
        <v>1030.2958464819685</v>
      </c>
      <c r="Y57" s="22">
        <v>0</v>
      </c>
      <c r="Z57" s="22">
        <v>0</v>
      </c>
    </row>
    <row r="58" spans="1:57" x14ac:dyDescent="0.2">
      <c r="A58" s="18">
        <v>32</v>
      </c>
      <c r="B58" s="18" t="s">
        <v>263</v>
      </c>
      <c r="C58" s="18"/>
      <c r="D58" s="37">
        <f>SUM(F58:K58)</f>
        <v>1</v>
      </c>
      <c r="F58" s="37">
        <f t="shared" ref="F58:K58" si="23">F57/$D57</f>
        <v>3.8134806311079371E-2</v>
      </c>
      <c r="G58" s="37">
        <f t="shared" si="23"/>
        <v>0.72746502693237847</v>
      </c>
      <c r="H58" s="37">
        <f t="shared" si="23"/>
        <v>0.20516771998451147</v>
      </c>
      <c r="I58" s="37">
        <f t="shared" si="23"/>
        <v>2.923244677203074E-2</v>
      </c>
      <c r="J58" s="37">
        <f t="shared" si="23"/>
        <v>0</v>
      </c>
      <c r="K58" s="37">
        <f t="shared" si="23"/>
        <v>0</v>
      </c>
      <c r="M58" s="18" t="s">
        <v>263</v>
      </c>
      <c r="N58" s="147">
        <f>N57/SUM($N$57:$S$57)</f>
        <v>5.0632840487226478E-3</v>
      </c>
      <c r="O58" s="147">
        <f t="shared" ref="O58:S58" si="24">O57/SUM($N$57:$S$57)</f>
        <v>0.74765551539687003</v>
      </c>
      <c r="P58" s="147">
        <f t="shared" si="24"/>
        <v>0.22934320771231634</v>
      </c>
      <c r="Q58" s="147">
        <f t="shared" si="24"/>
        <v>1.7937992842091178E-2</v>
      </c>
      <c r="R58" s="147">
        <f t="shared" si="24"/>
        <v>0</v>
      </c>
      <c r="S58" s="147">
        <f t="shared" si="24"/>
        <v>0</v>
      </c>
      <c r="T58" s="22"/>
      <c r="U58" s="69">
        <f>U57/SUM($U$57:$Z$57)</f>
        <v>4.8956210695425238E-2</v>
      </c>
      <c r="V58" s="69">
        <f t="shared" ref="V58:Z58" si="25">V57/SUM($U$57:$Z$57)</f>
        <v>0.72085845349864131</v>
      </c>
      <c r="W58" s="69">
        <f t="shared" si="25"/>
        <v>0.19725720631610552</v>
      </c>
      <c r="X58" s="69">
        <f t="shared" si="25"/>
        <v>3.2928129489828047E-2</v>
      </c>
      <c r="Y58" s="69">
        <f t="shared" si="25"/>
        <v>0</v>
      </c>
      <c r="Z58" s="69">
        <f t="shared" si="25"/>
        <v>0</v>
      </c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</row>
    <row r="59" spans="1:57" x14ac:dyDescent="0.2">
      <c r="B59" s="18"/>
      <c r="M59" s="18"/>
      <c r="N59" s="18"/>
      <c r="P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</row>
    <row r="60" spans="1:57" x14ac:dyDescent="0.2">
      <c r="A60" s="18">
        <v>33</v>
      </c>
      <c r="B60" s="18"/>
      <c r="C60" s="18" t="s">
        <v>367</v>
      </c>
      <c r="D60" s="8">
        <f>SUM(F60:K60)</f>
        <v>13512.384005981921</v>
      </c>
      <c r="F60" s="20">
        <v>0</v>
      </c>
      <c r="G60" s="20">
        <v>9710.7899162215654</v>
      </c>
      <c r="H60" s="20">
        <v>2893.6908721646414</v>
      </c>
      <c r="I60" s="20">
        <v>105.09705491386967</v>
      </c>
      <c r="J60" s="20">
        <v>802.80616268184554</v>
      </c>
      <c r="K60" s="20">
        <v>0</v>
      </c>
      <c r="M60" s="18"/>
      <c r="N60" s="18"/>
    </row>
    <row r="61" spans="1:57" x14ac:dyDescent="0.2">
      <c r="A61" s="18">
        <v>34</v>
      </c>
      <c r="B61" s="18" t="s">
        <v>292</v>
      </c>
      <c r="D61" s="37">
        <f>SUM(F61:K61)</f>
        <v>1</v>
      </c>
      <c r="F61" s="37">
        <f t="shared" ref="F61:K61" si="26">F60/$D60</f>
        <v>0</v>
      </c>
      <c r="G61" s="37">
        <f t="shared" si="26"/>
        <v>0.71865852183616208</v>
      </c>
      <c r="H61" s="37">
        <f t="shared" si="26"/>
        <v>0.21415102404458064</v>
      </c>
      <c r="I61" s="37">
        <f t="shared" si="26"/>
        <v>7.7778321625068744E-3</v>
      </c>
      <c r="J61" s="37">
        <f t="shared" si="26"/>
        <v>5.9412621956750483E-2</v>
      </c>
      <c r="K61" s="37">
        <f t="shared" si="26"/>
        <v>0</v>
      </c>
      <c r="M61" s="18" t="s">
        <v>292</v>
      </c>
      <c r="N61" s="18"/>
      <c r="P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22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</row>
    <row r="62" spans="1:57" x14ac:dyDescent="0.2">
      <c r="A62" s="1"/>
      <c r="B62" s="18"/>
      <c r="M62" s="18"/>
      <c r="N62" s="18"/>
      <c r="P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9"/>
    </row>
    <row r="63" spans="1:57" x14ac:dyDescent="0.2">
      <c r="A63" s="18">
        <v>35</v>
      </c>
      <c r="B63" s="18"/>
      <c r="C63" s="18" t="s">
        <v>367</v>
      </c>
      <c r="D63" s="8">
        <f>SUM(F63:K63)</f>
        <v>127477497.31305775</v>
      </c>
      <c r="F63" s="20">
        <v>0</v>
      </c>
      <c r="G63" s="20">
        <v>117822595.46516477</v>
      </c>
      <c r="H63" s="20">
        <v>7377685.3578485474</v>
      </c>
      <c r="I63" s="20">
        <v>1357463.523244444</v>
      </c>
      <c r="J63" s="20">
        <v>53448.966800000002</v>
      </c>
      <c r="K63" s="20">
        <v>866304</v>
      </c>
      <c r="M63" s="18"/>
      <c r="N63" s="18"/>
    </row>
    <row r="64" spans="1:57" x14ac:dyDescent="0.2">
      <c r="A64" s="18">
        <v>36</v>
      </c>
      <c r="B64" s="18" t="s">
        <v>190</v>
      </c>
      <c r="D64" s="37">
        <f>SUM(F64:K64)</f>
        <v>1</v>
      </c>
      <c r="F64" s="37">
        <f t="shared" ref="F64:K64" si="27">F63/$D63</f>
        <v>0</v>
      </c>
      <c r="G64" s="37">
        <f t="shared" si="27"/>
        <v>0.92426191248340417</v>
      </c>
      <c r="H64" s="37">
        <f t="shared" si="27"/>
        <v>5.7874413236482937E-2</v>
      </c>
      <c r="I64" s="37">
        <f t="shared" si="27"/>
        <v>1.0648652129644505E-2</v>
      </c>
      <c r="J64" s="37">
        <f t="shared" si="27"/>
        <v>4.192815824485529E-4</v>
      </c>
      <c r="K64" s="37">
        <f t="shared" si="27"/>
        <v>6.7957405680199442E-3</v>
      </c>
      <c r="M64" s="18" t="s">
        <v>190</v>
      </c>
      <c r="N64" s="18"/>
      <c r="P64" s="8"/>
      <c r="R64" s="136"/>
      <c r="S64" s="136"/>
      <c r="T64" s="136"/>
      <c r="U64" s="136"/>
      <c r="V64" s="136"/>
      <c r="W64" s="136"/>
      <c r="X64" s="136"/>
      <c r="Y64" s="136"/>
      <c r="Z64" s="136"/>
      <c r="AA64" s="136"/>
      <c r="AB64" s="136"/>
      <c r="AC64" s="136"/>
      <c r="AD64" s="22"/>
      <c r="AE64" s="136"/>
      <c r="AF64" s="136"/>
      <c r="AG64" s="136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6"/>
      <c r="AV64" s="136"/>
      <c r="AW64" s="136"/>
      <c r="AX64" s="136"/>
      <c r="AY64" s="136"/>
      <c r="AZ64" s="136"/>
      <c r="BA64" s="136"/>
      <c r="BB64" s="136"/>
      <c r="BC64" s="136"/>
      <c r="BD64" s="136"/>
      <c r="BE64" s="136"/>
    </row>
    <row r="65" spans="1:57" x14ac:dyDescent="0.2">
      <c r="B65" s="18"/>
      <c r="M65" s="18"/>
      <c r="N65" s="18"/>
      <c r="P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/>
      <c r="BC65" s="69"/>
      <c r="BD65" s="69"/>
      <c r="BE65" s="69"/>
    </row>
    <row r="66" spans="1:57" x14ac:dyDescent="0.2">
      <c r="A66" s="18">
        <v>37</v>
      </c>
      <c r="B66" s="18"/>
      <c r="C66" s="18" t="s">
        <v>367</v>
      </c>
      <c r="D66" s="8">
        <f>SUM(F66:K66)</f>
        <v>373.73752694262458</v>
      </c>
      <c r="E66" s="20"/>
      <c r="F66" s="20">
        <v>11.792</v>
      </c>
      <c r="G66" s="20">
        <v>273.72047527047386</v>
      </c>
      <c r="H66" s="20">
        <v>77.279418460204496</v>
      </c>
      <c r="I66" s="20">
        <v>10.945633211946221</v>
      </c>
      <c r="J66" s="20">
        <v>0</v>
      </c>
      <c r="K66" s="20">
        <v>0</v>
      </c>
      <c r="M66" s="18"/>
      <c r="N66" s="130">
        <v>0.38600000000000001</v>
      </c>
      <c r="O66" s="130">
        <v>71.825413182699876</v>
      </c>
      <c r="P66" s="130">
        <v>22.032433808555364</v>
      </c>
      <c r="Q66" s="130">
        <v>1.7232585342028837</v>
      </c>
      <c r="R66" s="130">
        <v>0</v>
      </c>
      <c r="S66" s="130">
        <v>0</v>
      </c>
      <c r="T66" s="22"/>
      <c r="U66" s="22">
        <v>11.406000000000001</v>
      </c>
      <c r="V66" s="22">
        <v>201.89506208777397</v>
      </c>
      <c r="W66" s="22">
        <v>55.246984651649129</v>
      </c>
      <c r="X66" s="22">
        <v>9.2223746777433373</v>
      </c>
      <c r="Y66" s="22">
        <v>0</v>
      </c>
      <c r="Z66" s="22">
        <v>0</v>
      </c>
    </row>
    <row r="67" spans="1:57" x14ac:dyDescent="0.2">
      <c r="A67" s="18">
        <v>38</v>
      </c>
      <c r="B67" s="18" t="s">
        <v>156</v>
      </c>
      <c r="D67" s="37">
        <f>SUM(F67:K67)</f>
        <v>1</v>
      </c>
      <c r="F67" s="37">
        <f>F66/$D66</f>
        <v>3.1551554633715666E-2</v>
      </c>
      <c r="G67" s="37">
        <f t="shared" ref="G67:K67" si="28">G66/$D66</f>
        <v>0.73238691739000794</v>
      </c>
      <c r="H67" s="37">
        <f t="shared" si="28"/>
        <v>0.20677457544173314</v>
      </c>
      <c r="I67" s="37">
        <f t="shared" si="28"/>
        <v>2.9286952534543241E-2</v>
      </c>
      <c r="J67" s="37">
        <f t="shared" si="28"/>
        <v>0</v>
      </c>
      <c r="K67" s="37">
        <f t="shared" si="28"/>
        <v>0</v>
      </c>
      <c r="M67" s="18" t="s">
        <v>156</v>
      </c>
      <c r="N67" s="37">
        <f>N66/SUM($N$66:$S$66)</f>
        <v>4.0222115472431548E-3</v>
      </c>
      <c r="O67" s="37">
        <f t="shared" ref="O67:S67" si="29">O66/SUM($N$66:$S$66)</f>
        <v>0.74843784012685521</v>
      </c>
      <c r="P67" s="37">
        <f t="shared" si="29"/>
        <v>0.22958318569596337</v>
      </c>
      <c r="Q67" s="37">
        <f t="shared" si="29"/>
        <v>1.7956762629938214E-2</v>
      </c>
      <c r="R67" s="37">
        <f t="shared" si="29"/>
        <v>0</v>
      </c>
      <c r="S67" s="37">
        <f t="shared" si="29"/>
        <v>0</v>
      </c>
      <c r="T67" s="22"/>
      <c r="U67" s="37">
        <f>U66/SUM($U$66:$Z$66)</f>
        <v>4.1062687458971826E-2</v>
      </c>
      <c r="V67" s="37">
        <f t="shared" ref="V67:Z67" si="30">V66/SUM($U$66:$Z$66)</f>
        <v>0.72684147238470753</v>
      </c>
      <c r="W67" s="37">
        <f t="shared" si="30"/>
        <v>0.19889441204640379</v>
      </c>
      <c r="X67" s="37">
        <f t="shared" si="30"/>
        <v>3.3201428109916768E-2</v>
      </c>
      <c r="Y67" s="37">
        <f t="shared" si="30"/>
        <v>0</v>
      </c>
      <c r="Z67" s="37">
        <f t="shared" si="30"/>
        <v>0</v>
      </c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</row>
    <row r="68" spans="1:57" x14ac:dyDescent="0.2">
      <c r="B68" s="18"/>
      <c r="M68" s="18"/>
    </row>
    <row r="69" spans="1:57" x14ac:dyDescent="0.2">
      <c r="A69" s="18">
        <v>39</v>
      </c>
      <c r="B69" s="18"/>
      <c r="C69" s="18" t="s">
        <v>367</v>
      </c>
      <c r="D69" s="8">
        <f>SUM(F69:K69)</f>
        <v>31937.940636104824</v>
      </c>
      <c r="F69" s="20">
        <v>571.9022874551116</v>
      </c>
      <c r="G69" s="20">
        <v>22769.7043438781</v>
      </c>
      <c r="H69" s="20">
        <v>6420.7026699020826</v>
      </c>
      <c r="I69" s="20">
        <v>1136.8201894943468</v>
      </c>
      <c r="J69" s="20">
        <v>109.50153591488103</v>
      </c>
      <c r="K69" s="20">
        <v>929.30960946030359</v>
      </c>
      <c r="M69" s="18"/>
      <c r="N69" s="130">
        <v>18.71816340292407</v>
      </c>
      <c r="O69" s="130">
        <v>6122.3633234969693</v>
      </c>
      <c r="P69" s="130">
        <v>1426.0715775761</v>
      </c>
      <c r="Q69" s="130">
        <v>127.95732440096978</v>
      </c>
      <c r="R69" s="130">
        <v>64.640077208575889</v>
      </c>
      <c r="S69" s="130">
        <v>614.78165055772774</v>
      </c>
      <c r="T69" s="22"/>
      <c r="U69" s="22">
        <v>553.18412405218749</v>
      </c>
      <c r="V69" s="22">
        <v>16647.77488261028</v>
      </c>
      <c r="W69" s="22">
        <v>4992.9589427202527</v>
      </c>
      <c r="X69" s="22">
        <v>1008.5239754865854</v>
      </c>
      <c r="Y69" s="22">
        <v>44.86145870630515</v>
      </c>
      <c r="Z69" s="22">
        <v>314.52795890257562</v>
      </c>
    </row>
    <row r="70" spans="1:57" x14ac:dyDescent="0.2">
      <c r="A70" s="18">
        <v>40</v>
      </c>
      <c r="B70" s="18" t="s">
        <v>346</v>
      </c>
      <c r="D70" s="37">
        <f>SUM(F70:K70)</f>
        <v>1</v>
      </c>
      <c r="F70" s="37">
        <f t="shared" ref="F70:K70" si="31">F69/$D69</f>
        <v>1.790667388267966E-2</v>
      </c>
      <c r="G70" s="37">
        <f t="shared" si="31"/>
        <v>0.71293589662877876</v>
      </c>
      <c r="H70" s="37">
        <f t="shared" si="31"/>
        <v>0.20103684026025406</v>
      </c>
      <c r="I70" s="37">
        <f t="shared" si="31"/>
        <v>3.5594661610999667E-2</v>
      </c>
      <c r="J70" s="37">
        <f t="shared" si="31"/>
        <v>3.4285722164281635E-3</v>
      </c>
      <c r="K70" s="37">
        <f t="shared" si="31"/>
        <v>2.9097355400859774E-2</v>
      </c>
      <c r="M70" s="18" t="s">
        <v>346</v>
      </c>
      <c r="N70" s="37">
        <f>N69/SUM($N$69:$S$69)</f>
        <v>2.2351294546622148E-3</v>
      </c>
      <c r="O70" s="37">
        <f t="shared" ref="O70:S70" si="32">O69/SUM($N$69:$S$69)</f>
        <v>0.73106929894382844</v>
      </c>
      <c r="P70" s="37">
        <f t="shared" si="32"/>
        <v>0.17028671664438097</v>
      </c>
      <c r="Q70" s="37">
        <f t="shared" si="32"/>
        <v>1.5279340101481208E-2</v>
      </c>
      <c r="R70" s="37">
        <f t="shared" si="32"/>
        <v>7.7186493893924343E-3</v>
      </c>
      <c r="S70" s="37">
        <f t="shared" si="32"/>
        <v>7.3410865466254652E-2</v>
      </c>
      <c r="T70" s="22"/>
      <c r="U70" s="37">
        <f>U69/SUM($U$69:$Z$69)</f>
        <v>2.3477976563514639E-2</v>
      </c>
      <c r="V70" s="37">
        <f t="shared" ref="V70:Z70" si="33">V69/SUM($U$69:$Z$69)</f>
        <v>0.70655691574351542</v>
      </c>
      <c r="W70" s="37">
        <f t="shared" si="33"/>
        <v>0.21190878035523295</v>
      </c>
      <c r="X70" s="37">
        <f t="shared" si="33"/>
        <v>4.2803293208723517E-2</v>
      </c>
      <c r="Y70" s="37">
        <f t="shared" si="33"/>
        <v>1.9039886184664759E-3</v>
      </c>
      <c r="Z70" s="37">
        <f t="shared" si="33"/>
        <v>1.3349045510547069E-2</v>
      </c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</row>
    <row r="71" spans="1:57" x14ac:dyDescent="0.2">
      <c r="B71" s="18"/>
      <c r="M71" s="18"/>
      <c r="N71" s="18"/>
      <c r="P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69"/>
      <c r="BE71" s="69"/>
    </row>
    <row r="72" spans="1:57" x14ac:dyDescent="0.2">
      <c r="A72" s="18">
        <v>41</v>
      </c>
      <c r="B72" s="18"/>
      <c r="C72" s="18" t="s">
        <v>367</v>
      </c>
      <c r="D72" s="8">
        <f>SUM(F72:K72)</f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M72" s="18"/>
      <c r="N72" s="18"/>
      <c r="P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/>
      <c r="AV72" s="69"/>
      <c r="AW72" s="69"/>
      <c r="AX72" s="69"/>
      <c r="AY72" s="69"/>
      <c r="AZ72" s="69"/>
      <c r="BA72" s="69"/>
      <c r="BB72" s="69"/>
      <c r="BC72" s="69"/>
      <c r="BD72" s="69"/>
      <c r="BE72" s="69"/>
    </row>
    <row r="73" spans="1:57" x14ac:dyDescent="0.2">
      <c r="A73" s="18">
        <v>42</v>
      </c>
      <c r="B73" s="18" t="s">
        <v>229</v>
      </c>
      <c r="D73" s="37">
        <f>SUM(F73:K73)</f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M73" s="18" t="s">
        <v>229</v>
      </c>
      <c r="N73" s="18"/>
      <c r="P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69"/>
      <c r="AU73" s="69"/>
      <c r="AV73" s="69"/>
      <c r="AW73" s="69"/>
      <c r="AX73" s="69"/>
      <c r="AY73" s="69"/>
      <c r="AZ73" s="69"/>
      <c r="BA73" s="69"/>
      <c r="BB73" s="69"/>
      <c r="BC73" s="69"/>
      <c r="BD73" s="69"/>
      <c r="BE73" s="69"/>
    </row>
    <row r="74" spans="1:57" x14ac:dyDescent="0.2">
      <c r="B74" s="18"/>
      <c r="M74" s="18"/>
      <c r="N74" s="18"/>
      <c r="P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69"/>
      <c r="BB74" s="69"/>
      <c r="BC74" s="69"/>
      <c r="BD74" s="69"/>
      <c r="BE74" s="69"/>
    </row>
    <row r="75" spans="1:57" x14ac:dyDescent="0.2">
      <c r="A75" s="18">
        <v>43</v>
      </c>
      <c r="B75" s="18"/>
      <c r="C75" s="18" t="s">
        <v>367</v>
      </c>
      <c r="D75" s="20">
        <f>SUM(F75:K75)</f>
        <v>8.4166932307213322</v>
      </c>
      <c r="F75" s="61">
        <v>0.18776470759923483</v>
      </c>
      <c r="G75" s="61">
        <v>6.0280371254928724</v>
      </c>
      <c r="H75" s="61">
        <v>1.7774484238257025</v>
      </c>
      <c r="I75" s="61">
        <v>0.42344297380352242</v>
      </c>
      <c r="J75" s="61">
        <v>0</v>
      </c>
      <c r="K75" s="61">
        <v>0</v>
      </c>
      <c r="M75" s="18"/>
      <c r="N75" s="148">
        <v>6.1463006388487642E-3</v>
      </c>
      <c r="O75" s="148">
        <v>0.49533675648885778</v>
      </c>
      <c r="P75" s="148">
        <v>0.14605675425598322</v>
      </c>
      <c r="Q75" s="148">
        <v>2.6635695555117571E-2</v>
      </c>
      <c r="R75" s="148">
        <v>0</v>
      </c>
      <c r="S75" s="148">
        <v>0</v>
      </c>
      <c r="T75" s="61"/>
      <c r="U75" s="23">
        <v>0.18161840696038606</v>
      </c>
      <c r="V75" s="23">
        <v>5.5327003690040142</v>
      </c>
      <c r="W75" s="23">
        <v>1.6313916695697193</v>
      </c>
      <c r="X75" s="23">
        <v>0.39680727824840484</v>
      </c>
      <c r="Y75" s="23">
        <v>0</v>
      </c>
      <c r="Z75" s="23">
        <v>0</v>
      </c>
    </row>
    <row r="76" spans="1:57" x14ac:dyDescent="0.2">
      <c r="A76" s="18">
        <v>44</v>
      </c>
      <c r="B76" s="18" t="s">
        <v>230</v>
      </c>
      <c r="D76" s="37">
        <f>SUM(F76:K76)</f>
        <v>0.99999999999999989</v>
      </c>
      <c r="F76" s="37">
        <f t="shared" ref="F76:K76" si="34">F75/$D75</f>
        <v>2.2308607721840769E-2</v>
      </c>
      <c r="G76" s="37">
        <f t="shared" si="34"/>
        <v>0.71620017033414607</v>
      </c>
      <c r="H76" s="37">
        <f t="shared" si="34"/>
        <v>0.21118132443486604</v>
      </c>
      <c r="I76" s="37">
        <f t="shared" si="34"/>
        <v>5.0309897509147099E-2</v>
      </c>
      <c r="J76" s="37">
        <f t="shared" si="34"/>
        <v>0</v>
      </c>
      <c r="K76" s="37">
        <f t="shared" si="34"/>
        <v>0</v>
      </c>
      <c r="M76" s="18" t="s">
        <v>230</v>
      </c>
      <c r="N76" s="147">
        <f>N75/SUM($N$75:$S$75)</f>
        <v>9.1167664437365025E-3</v>
      </c>
      <c r="O76" s="147">
        <f t="shared" ref="O76:S76" si="35">O75/SUM($N$75:$S$75)</f>
        <v>0.73472968298419339</v>
      </c>
      <c r="P76" s="147">
        <f t="shared" si="35"/>
        <v>0.21664500230685524</v>
      </c>
      <c r="Q76" s="147">
        <f t="shared" si="35"/>
        <v>3.9508548265214868E-2</v>
      </c>
      <c r="R76" s="147">
        <f t="shared" si="35"/>
        <v>0</v>
      </c>
      <c r="S76" s="147">
        <f t="shared" si="35"/>
        <v>0</v>
      </c>
      <c r="T76" s="23"/>
      <c r="U76" s="69">
        <f>U75/SUM($U$75:$Z$75)</f>
        <v>2.3457280104443638E-2</v>
      </c>
      <c r="V76" s="69">
        <f t="shared" ref="V76:Z76" si="36">V75/SUM($U$75:$Z$75)</f>
        <v>0.71458672312874894</v>
      </c>
      <c r="W76" s="69">
        <f t="shared" si="36"/>
        <v>0.21070557766482198</v>
      </c>
      <c r="X76" s="69">
        <f t="shared" si="36"/>
        <v>5.125041910198546E-2</v>
      </c>
      <c r="Y76" s="69">
        <f t="shared" si="36"/>
        <v>0</v>
      </c>
      <c r="Z76" s="69">
        <f t="shared" si="36"/>
        <v>0</v>
      </c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</row>
    <row r="77" spans="1:57" x14ac:dyDescent="0.2">
      <c r="B77" s="18"/>
      <c r="M77" s="18"/>
      <c r="N77" s="18"/>
      <c r="P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69"/>
      <c r="BD77" s="69"/>
      <c r="BE77" s="69"/>
    </row>
    <row r="78" spans="1:57" x14ac:dyDescent="0.2">
      <c r="A78" s="18">
        <v>45</v>
      </c>
      <c r="B78" s="18"/>
      <c r="C78" s="18" t="s">
        <v>367</v>
      </c>
      <c r="D78" s="8">
        <f>SUM(F78:K78)</f>
        <v>51156319.9483933</v>
      </c>
      <c r="F78" s="20">
        <v>0</v>
      </c>
      <c r="G78" s="20">
        <v>16841753.947713818</v>
      </c>
      <c r="H78" s="20">
        <v>23992920.091208398</v>
      </c>
      <c r="I78" s="20">
        <v>7469541.1423621634</v>
      </c>
      <c r="J78" s="20">
        <v>98302.271137607226</v>
      </c>
      <c r="K78" s="20">
        <v>2753802.4959713109</v>
      </c>
      <c r="M78" s="18"/>
      <c r="N78" s="18"/>
    </row>
    <row r="79" spans="1:57" x14ac:dyDescent="0.2">
      <c r="A79" s="18">
        <v>46</v>
      </c>
      <c r="B79" s="18" t="s">
        <v>191</v>
      </c>
      <c r="D79" s="37">
        <f>SUM(F79:K79)</f>
        <v>0.99999999999999989</v>
      </c>
      <c r="F79" s="37">
        <f t="shared" ref="F79:K79" si="37">F78/$D78</f>
        <v>0</v>
      </c>
      <c r="G79" s="37">
        <f t="shared" si="37"/>
        <v>0.3292213741079078</v>
      </c>
      <c r="H79" s="37">
        <f t="shared" si="37"/>
        <v>0.46901184673589796</v>
      </c>
      <c r="I79" s="37">
        <f t="shared" si="37"/>
        <v>0.14601404381506461</v>
      </c>
      <c r="J79" s="37">
        <f t="shared" si="37"/>
        <v>1.9216056048749197E-3</v>
      </c>
      <c r="K79" s="37">
        <f t="shared" si="37"/>
        <v>5.3831129736254639E-2</v>
      </c>
      <c r="M79" s="18" t="s">
        <v>191</v>
      </c>
      <c r="N79" s="18"/>
      <c r="P79" s="8"/>
      <c r="R79" s="136"/>
      <c r="S79" s="136"/>
      <c r="T79" s="136"/>
      <c r="U79" s="136"/>
      <c r="V79" s="136"/>
      <c r="W79" s="136"/>
      <c r="X79" s="136"/>
      <c r="Y79" s="136"/>
      <c r="Z79" s="136"/>
      <c r="AA79" s="136"/>
      <c r="AB79" s="136"/>
      <c r="AC79" s="136"/>
      <c r="AD79" s="22"/>
      <c r="AE79" s="136"/>
      <c r="AF79" s="136"/>
      <c r="AG79" s="136"/>
      <c r="AH79" s="136"/>
      <c r="AI79" s="38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6"/>
      <c r="AV79" s="136"/>
      <c r="AW79" s="136"/>
      <c r="AX79" s="136"/>
      <c r="AY79" s="136"/>
      <c r="AZ79" s="136"/>
      <c r="BA79" s="136"/>
      <c r="BB79" s="136"/>
      <c r="BC79" s="136"/>
      <c r="BD79" s="136"/>
      <c r="BE79" s="136"/>
    </row>
    <row r="80" spans="1:57" x14ac:dyDescent="0.2">
      <c r="B80" s="18"/>
      <c r="M80" s="18"/>
      <c r="N80" s="18"/>
      <c r="P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69"/>
      <c r="BD80" s="69"/>
      <c r="BE80" s="69"/>
    </row>
    <row r="81" spans="1:57" x14ac:dyDescent="0.2">
      <c r="A81" s="18">
        <v>47</v>
      </c>
      <c r="B81" s="18"/>
      <c r="C81" s="18" t="s">
        <v>367</v>
      </c>
      <c r="D81" s="8">
        <f>SUM(F81:K81)</f>
        <v>17625.529423931468</v>
      </c>
      <c r="F81" s="20">
        <v>982.60599999999999</v>
      </c>
      <c r="G81" s="20">
        <v>12981.466401678237</v>
      </c>
      <c r="H81" s="20">
        <v>3221.0925353679936</v>
      </c>
      <c r="I81" s="20">
        <v>440.36448688524047</v>
      </c>
      <c r="J81" s="20">
        <v>0</v>
      </c>
      <c r="K81" s="20">
        <v>0</v>
      </c>
      <c r="M81" s="18"/>
      <c r="N81" s="130">
        <v>32.159999999999997</v>
      </c>
      <c r="O81" s="130">
        <v>3646.9618102128329</v>
      </c>
      <c r="P81" s="130">
        <v>748.88221721386856</v>
      </c>
      <c r="Q81" s="130">
        <v>118.65857565058492</v>
      </c>
      <c r="R81" s="130">
        <v>0</v>
      </c>
      <c r="S81" s="130">
        <v>0</v>
      </c>
      <c r="T81" s="22"/>
      <c r="U81" s="22">
        <v>950.44600000000003</v>
      </c>
      <c r="V81" s="22">
        <v>9334.5045914654038</v>
      </c>
      <c r="W81" s="22">
        <v>2472.2103181541252</v>
      </c>
      <c r="X81" s="22">
        <v>321.70591123465556</v>
      </c>
      <c r="Y81" s="22">
        <v>0</v>
      </c>
      <c r="Z81" s="22">
        <v>0</v>
      </c>
      <c r="AB81" s="8"/>
      <c r="AC81" s="8"/>
      <c r="AD81" s="8"/>
      <c r="AE81" s="8"/>
      <c r="AF81" s="8"/>
      <c r="AG81" s="8"/>
      <c r="AH81" s="8"/>
      <c r="AI81" s="8"/>
    </row>
    <row r="82" spans="1:57" x14ac:dyDescent="0.2">
      <c r="A82" s="18">
        <v>48</v>
      </c>
      <c r="B82" s="18" t="s">
        <v>157</v>
      </c>
      <c r="D82" s="37">
        <f>SUM(F82:K82)</f>
        <v>1.0000000000000002</v>
      </c>
      <c r="F82" s="37">
        <f t="shared" ref="F82:K82" si="38">F81/$D81</f>
        <v>5.5749020433158963E-2</v>
      </c>
      <c r="G82" s="37">
        <f t="shared" si="38"/>
        <v>0.73651497719281855</v>
      </c>
      <c r="H82" s="37">
        <f t="shared" si="38"/>
        <v>0.18275153374936251</v>
      </c>
      <c r="I82" s="37">
        <f t="shared" si="38"/>
        <v>2.4984468624660174E-2</v>
      </c>
      <c r="J82" s="37">
        <f t="shared" si="38"/>
        <v>0</v>
      </c>
      <c r="K82" s="37">
        <f t="shared" si="38"/>
        <v>0</v>
      </c>
      <c r="M82" s="18" t="s">
        <v>157</v>
      </c>
      <c r="N82" s="37">
        <f>N81/SUM($N$81:$S$81)</f>
        <v>7.0733201047804535E-3</v>
      </c>
      <c r="O82" s="37">
        <f t="shared" ref="O82:S82" si="39">O81/SUM($N$81:$S$81)</f>
        <v>0.80211841708784049</v>
      </c>
      <c r="P82" s="37">
        <f t="shared" si="39"/>
        <v>0.16471031228642474</v>
      </c>
      <c r="Q82" s="37">
        <f t="shared" si="39"/>
        <v>2.6097950520954441E-2</v>
      </c>
      <c r="R82" s="37">
        <f t="shared" si="39"/>
        <v>0</v>
      </c>
      <c r="S82" s="37">
        <f t="shared" si="39"/>
        <v>0</v>
      </c>
      <c r="T82" s="22"/>
      <c r="U82" s="37">
        <f>U81/SUM($U$81:$Z$81)</f>
        <v>7.2670363038219707E-2</v>
      </c>
      <c r="V82" s="37">
        <f t="shared" ref="V82:Z82" si="40">V81/SUM($U$81:$Z$81)</f>
        <v>0.71370897183398074</v>
      </c>
      <c r="W82" s="37">
        <f t="shared" si="40"/>
        <v>0.18902328099344196</v>
      </c>
      <c r="X82" s="37">
        <f t="shared" si="40"/>
        <v>2.4597384134357664E-2</v>
      </c>
      <c r="Y82" s="37">
        <f t="shared" si="40"/>
        <v>0</v>
      </c>
      <c r="Z82" s="37">
        <f t="shared" si="40"/>
        <v>0</v>
      </c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</row>
    <row r="83" spans="1:57" x14ac:dyDescent="0.2">
      <c r="B83" s="18"/>
      <c r="M83" s="18"/>
      <c r="N83" s="18"/>
      <c r="P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  <c r="BC83" s="69"/>
      <c r="BD83" s="69"/>
      <c r="BE83" s="69"/>
    </row>
    <row r="84" spans="1:57" x14ac:dyDescent="0.2">
      <c r="A84" s="18">
        <v>49</v>
      </c>
      <c r="B84" s="18"/>
      <c r="C84" s="18" t="s">
        <v>367</v>
      </c>
      <c r="D84" s="8">
        <f>SUM(F84:K84)</f>
        <v>863245.19642365794</v>
      </c>
      <c r="F84" s="20">
        <v>13366.402251791198</v>
      </c>
      <c r="G84" s="20">
        <v>578283.87187712535</v>
      </c>
      <c r="H84" s="20">
        <v>189270.86656124677</v>
      </c>
      <c r="I84" s="20">
        <v>78995.105008886545</v>
      </c>
      <c r="J84" s="20">
        <v>3328.950724607977</v>
      </c>
      <c r="K84" s="20">
        <v>0</v>
      </c>
      <c r="M84" s="18"/>
      <c r="N84" s="22">
        <v>0.82515466065706311</v>
      </c>
      <c r="O84" s="130">
        <v>98.258635545866042</v>
      </c>
      <c r="P84" s="22">
        <v>26.182970758596014</v>
      </c>
      <c r="Q84" s="22">
        <v>12.374009481820222</v>
      </c>
      <c r="R84" s="22">
        <v>1.8062930363479055</v>
      </c>
      <c r="S84" s="22">
        <v>0</v>
      </c>
      <c r="T84" s="22"/>
      <c r="U84" s="22">
        <v>7.2692484076276838</v>
      </c>
      <c r="V84" s="22">
        <v>251.35722421929918</v>
      </c>
      <c r="W84" s="22">
        <v>88.384846946555427</v>
      </c>
      <c r="X84" s="22">
        <v>35.463711418560493</v>
      </c>
      <c r="Y84" s="22">
        <v>0.20964726320612254</v>
      </c>
      <c r="Z84" s="22">
        <v>0</v>
      </c>
      <c r="AH84" s="63"/>
      <c r="AJ84" s="63"/>
      <c r="AL84" s="63"/>
      <c r="AN84" s="63"/>
      <c r="AP84" s="63"/>
      <c r="AQ84" s="63"/>
      <c r="AS84" s="63"/>
      <c r="AU84" s="63"/>
      <c r="AV84" s="63"/>
      <c r="AW84" s="63"/>
      <c r="AX84" s="63"/>
      <c r="AY84" s="63"/>
    </row>
    <row r="85" spans="1:57" x14ac:dyDescent="0.2">
      <c r="A85" s="18">
        <v>50</v>
      </c>
      <c r="B85" s="18" t="s">
        <v>334</v>
      </c>
      <c r="D85" s="37">
        <f>SUM(F85:K85)</f>
        <v>0.99999999999999989</v>
      </c>
      <c r="F85" s="37">
        <f t="shared" ref="F85:K85" si="41">F84/$D84</f>
        <v>1.5483899947740134E-2</v>
      </c>
      <c r="G85" s="37">
        <f t="shared" si="41"/>
        <v>0.66989526761677909</v>
      </c>
      <c r="H85" s="37">
        <f t="shared" si="41"/>
        <v>0.21925504751764369</v>
      </c>
      <c r="I85" s="37">
        <f t="shared" si="41"/>
        <v>9.150946374929822E-2</v>
      </c>
      <c r="J85" s="37">
        <f t="shared" si="41"/>
        <v>3.8563211685387891E-3</v>
      </c>
      <c r="K85" s="37">
        <f t="shared" si="41"/>
        <v>0</v>
      </c>
      <c r="L85" s="13"/>
      <c r="M85" s="18" t="s">
        <v>334</v>
      </c>
      <c r="N85" s="37">
        <f>N84/SUM($N$84:$S$84)</f>
        <v>5.9173326425476002E-3</v>
      </c>
      <c r="O85" s="37">
        <f t="shared" ref="O85:S85" si="42">O84/SUM($N$84:$S$84)</f>
        <v>0.70463036719050276</v>
      </c>
      <c r="P85" s="37">
        <f t="shared" si="42"/>
        <v>0.18776279761340436</v>
      </c>
      <c r="Q85" s="37">
        <f t="shared" si="42"/>
        <v>8.8736249962719713E-2</v>
      </c>
      <c r="R85" s="37">
        <f t="shared" si="42"/>
        <v>1.295325259082555E-2</v>
      </c>
      <c r="S85" s="37">
        <f t="shared" si="42"/>
        <v>0</v>
      </c>
      <c r="T85" s="22"/>
      <c r="U85" s="37">
        <f>U84/SUM($U$84:$Z$84)</f>
        <v>1.8995399661073258E-2</v>
      </c>
      <c r="V85" s="37">
        <f t="shared" ref="V85:Z85" si="43">V84/SUM($U$84:$Z$84)</f>
        <v>0.65682594183100551</v>
      </c>
      <c r="W85" s="37">
        <f t="shared" si="43"/>
        <v>0.23095998342427271</v>
      </c>
      <c r="X85" s="37">
        <f t="shared" si="43"/>
        <v>9.2670842167624917E-2</v>
      </c>
      <c r="Y85" s="37">
        <f t="shared" si="43"/>
        <v>5.4783291602359047E-4</v>
      </c>
      <c r="Z85" s="37">
        <f t="shared" si="43"/>
        <v>0</v>
      </c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</row>
    <row r="86" spans="1:57" x14ac:dyDescent="0.2">
      <c r="A86" s="1"/>
      <c r="B86" s="18"/>
      <c r="M86" s="18"/>
      <c r="N86" s="18"/>
      <c r="P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/>
      <c r="AT86" s="69"/>
      <c r="AU86" s="69"/>
      <c r="AV86" s="69"/>
      <c r="AW86" s="69"/>
      <c r="AX86" s="69"/>
      <c r="AY86" s="69"/>
      <c r="AZ86" s="69"/>
      <c r="BA86" s="69"/>
      <c r="BB86" s="69"/>
      <c r="BC86" s="69"/>
      <c r="BD86" s="69"/>
      <c r="BE86" s="69"/>
    </row>
    <row r="87" spans="1:57" x14ac:dyDescent="0.2">
      <c r="A87" s="18">
        <v>51</v>
      </c>
      <c r="B87" s="18"/>
      <c r="C87" s="18" t="s">
        <v>367</v>
      </c>
      <c r="D87" s="8">
        <f>SUM(F87:K87)</f>
        <v>1118921.5425099714</v>
      </c>
      <c r="F87" s="20">
        <v>0</v>
      </c>
      <c r="G87" s="20">
        <v>932854.65533311479</v>
      </c>
      <c r="H87" s="20">
        <v>164733.07127647655</v>
      </c>
      <c r="I87" s="20">
        <v>15631.058960020002</v>
      </c>
      <c r="J87" s="20">
        <v>5702.756940360001</v>
      </c>
      <c r="K87" s="20">
        <v>0</v>
      </c>
      <c r="M87" s="18"/>
      <c r="N87" s="18"/>
      <c r="O87" s="22">
        <v>265628.92992402165</v>
      </c>
      <c r="P87" s="22">
        <v>38768.213881485222</v>
      </c>
      <c r="Q87" s="22">
        <v>5777.0110000200002</v>
      </c>
      <c r="R87" s="38">
        <v>5109.7000003600006</v>
      </c>
      <c r="S87" s="38">
        <v>0</v>
      </c>
      <c r="T87" s="38"/>
      <c r="U87" s="38"/>
      <c r="V87" s="38">
        <v>667225.7254090932</v>
      </c>
      <c r="W87" s="38">
        <v>125964.85739499131</v>
      </c>
      <c r="X87" s="38">
        <v>9854.0479600000017</v>
      </c>
      <c r="Y87" s="38">
        <v>593.05693999999994</v>
      </c>
      <c r="Z87" s="38">
        <v>0</v>
      </c>
    </row>
    <row r="88" spans="1:57" x14ac:dyDescent="0.2">
      <c r="A88" s="18">
        <v>52</v>
      </c>
      <c r="B88" s="18" t="s">
        <v>221</v>
      </c>
      <c r="D88" s="37">
        <f>SUM(F88:K88)</f>
        <v>1</v>
      </c>
      <c r="F88" s="37">
        <f t="shared" ref="F88:K88" si="44">F87/$D87</f>
        <v>0</v>
      </c>
      <c r="G88" s="37">
        <f t="shared" si="44"/>
        <v>0.83370872745959446</v>
      </c>
      <c r="H88" s="37">
        <f t="shared" si="44"/>
        <v>0.14722486342245797</v>
      </c>
      <c r="I88" s="37">
        <f t="shared" si="44"/>
        <v>1.3969754237599464E-2</v>
      </c>
      <c r="J88" s="37">
        <f t="shared" si="44"/>
        <v>5.0966548803480383E-3</v>
      </c>
      <c r="K88" s="37">
        <f t="shared" si="44"/>
        <v>0</v>
      </c>
      <c r="M88" s="18" t="s">
        <v>221</v>
      </c>
      <c r="N88" s="37">
        <f>N87/SUM($N$87:$S$87)</f>
        <v>0</v>
      </c>
      <c r="O88" s="37">
        <f t="shared" ref="O88:S88" si="45">O87/SUM($N$87:$S$87)</f>
        <v>0.84250723871529454</v>
      </c>
      <c r="P88" s="37">
        <f t="shared" si="45"/>
        <v>0.12296288975962288</v>
      </c>
      <c r="Q88" s="37">
        <f t="shared" si="45"/>
        <v>1.8323205936367323E-2</v>
      </c>
      <c r="R88" s="37">
        <f t="shared" si="45"/>
        <v>1.6206665588715054E-2</v>
      </c>
      <c r="S88" s="37">
        <f t="shared" si="45"/>
        <v>0</v>
      </c>
      <c r="U88" s="37">
        <f>U87/SUM($U$87:$Z$87)</f>
        <v>0</v>
      </c>
      <c r="V88" s="37">
        <f t="shared" ref="V88:Z88" si="46">V87/SUM($U$87:$Z$87)</f>
        <v>0.8302568876719717</v>
      </c>
      <c r="W88" s="37">
        <f t="shared" si="46"/>
        <v>0.15674334258123307</v>
      </c>
      <c r="X88" s="37">
        <f t="shared" si="46"/>
        <v>1.2261804182121009E-2</v>
      </c>
      <c r="Y88" s="37">
        <f t="shared" si="46"/>
        <v>7.3796556467418354E-4</v>
      </c>
      <c r="Z88" s="37">
        <f t="shared" si="46"/>
        <v>0</v>
      </c>
      <c r="AA88" s="136"/>
      <c r="AB88" s="136"/>
      <c r="AC88" s="136"/>
      <c r="AD88" s="22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</row>
    <row r="89" spans="1:57" x14ac:dyDescent="0.2">
      <c r="B89" s="18"/>
      <c r="M89" s="18"/>
      <c r="N89" s="109"/>
      <c r="O89" s="109"/>
      <c r="P89" s="109"/>
      <c r="Q89" s="109"/>
      <c r="R89" s="109"/>
      <c r="S89" s="10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</row>
    <row r="90" spans="1:57" x14ac:dyDescent="0.2">
      <c r="A90" s="18">
        <v>53</v>
      </c>
      <c r="B90" s="18"/>
      <c r="C90" s="18" t="s">
        <v>367</v>
      </c>
      <c r="D90" s="8">
        <f>SUM(F90:K90)</f>
        <v>372154.08333333331</v>
      </c>
      <c r="F90" s="20">
        <v>0</v>
      </c>
      <c r="G90" s="20">
        <v>369871</v>
      </c>
      <c r="H90" s="20">
        <v>2205.083333333333</v>
      </c>
      <c r="I90" s="20">
        <v>62</v>
      </c>
      <c r="J90" s="20">
        <v>4</v>
      </c>
      <c r="K90" s="20">
        <v>12</v>
      </c>
      <c r="M90" s="18"/>
      <c r="N90" s="18"/>
    </row>
    <row r="91" spans="1:57" x14ac:dyDescent="0.2">
      <c r="A91" s="18">
        <v>54</v>
      </c>
      <c r="B91" s="18" t="s">
        <v>220</v>
      </c>
      <c r="D91" s="37">
        <f>SUM(F91:K91)</f>
        <v>1</v>
      </c>
      <c r="F91" s="37">
        <f t="shared" ref="F91:K91" si="47">F90/$D90</f>
        <v>0</v>
      </c>
      <c r="G91" s="37">
        <f t="shared" si="47"/>
        <v>0.99386522025263291</v>
      </c>
      <c r="H91" s="37">
        <f t="shared" si="47"/>
        <v>5.9251891409673723E-3</v>
      </c>
      <c r="I91" s="37">
        <f t="shared" si="47"/>
        <v>1.6659766149728755E-4</v>
      </c>
      <c r="J91" s="37">
        <f t="shared" si="47"/>
        <v>1.0748236225631454E-5</v>
      </c>
      <c r="K91" s="37">
        <f t="shared" si="47"/>
        <v>3.224470867689436E-5</v>
      </c>
      <c r="M91" s="18" t="s">
        <v>220</v>
      </c>
      <c r="N91" s="18"/>
      <c r="P91" s="8"/>
      <c r="R91" s="136"/>
      <c r="S91" s="136"/>
      <c r="T91" s="136"/>
      <c r="U91" s="136"/>
      <c r="V91" s="136"/>
      <c r="W91" s="136"/>
      <c r="X91" s="136"/>
      <c r="Y91" s="136"/>
      <c r="Z91" s="136"/>
      <c r="AA91" s="136"/>
      <c r="AB91" s="136"/>
      <c r="AC91" s="136"/>
      <c r="AD91" s="22"/>
      <c r="AE91" s="136"/>
      <c r="AF91" s="136"/>
      <c r="AG91" s="136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6"/>
      <c r="AV91" s="136"/>
      <c r="AW91" s="136"/>
      <c r="AX91" s="136"/>
      <c r="AY91" s="136"/>
      <c r="AZ91" s="136"/>
      <c r="BA91" s="136"/>
      <c r="BB91" s="136"/>
      <c r="BC91" s="136"/>
      <c r="BD91" s="136"/>
      <c r="BE91" s="136"/>
    </row>
    <row r="92" spans="1:57" x14ac:dyDescent="0.2">
      <c r="B92" s="18"/>
      <c r="M92" s="18"/>
    </row>
    <row r="93" spans="1:57" x14ac:dyDescent="0.2">
      <c r="A93" s="18">
        <v>55</v>
      </c>
      <c r="B93" s="18"/>
      <c r="C93" s="18" t="s">
        <v>367</v>
      </c>
      <c r="D93" s="8">
        <f>SUM(F93:K93)</f>
        <v>23171.995053027742</v>
      </c>
      <c r="F93" s="20">
        <v>218.0641594052459</v>
      </c>
      <c r="G93" s="20">
        <v>15689.082522940182</v>
      </c>
      <c r="H93" s="20">
        <v>5028.3672607880435</v>
      </c>
      <c r="I93" s="20">
        <v>2124.2017254398515</v>
      </c>
      <c r="J93" s="20">
        <v>112.27938445441814</v>
      </c>
      <c r="K93" s="20">
        <v>0</v>
      </c>
      <c r="M93" s="18"/>
      <c r="N93" s="130">
        <v>22.229762459016392</v>
      </c>
      <c r="O93" s="130">
        <v>5663.0110085306151</v>
      </c>
      <c r="P93" s="130">
        <v>1507.1857267156049</v>
      </c>
      <c r="Q93" s="130">
        <v>711.9784791912964</v>
      </c>
      <c r="R93" s="130">
        <v>103.93088602389312</v>
      </c>
      <c r="S93" s="130">
        <v>0</v>
      </c>
      <c r="T93" s="130"/>
      <c r="U93" s="130">
        <v>195.8343969462295</v>
      </c>
      <c r="V93" s="130">
        <v>10026.071514409567</v>
      </c>
      <c r="W93" s="130">
        <v>3521.1815340724384</v>
      </c>
      <c r="X93" s="130">
        <v>1412.2232462485554</v>
      </c>
      <c r="Y93" s="130">
        <v>8.3484984305250087</v>
      </c>
      <c r="Z93" s="130">
        <v>0</v>
      </c>
      <c r="AA93" s="137"/>
      <c r="AB93" s="137"/>
      <c r="AC93" s="137"/>
      <c r="AD93" s="137"/>
      <c r="AE93" s="137"/>
      <c r="AF93" s="137"/>
      <c r="AG93" s="137"/>
      <c r="AH93" s="137"/>
      <c r="AI93" s="137"/>
      <c r="AJ93" s="137"/>
      <c r="AK93" s="137"/>
      <c r="AL93" s="137"/>
      <c r="AM93" s="137"/>
      <c r="AN93" s="137"/>
      <c r="AO93" s="137"/>
      <c r="AP93" s="137"/>
      <c r="AQ93" s="137"/>
      <c r="AR93" s="137"/>
      <c r="AS93" s="137"/>
      <c r="AT93" s="137"/>
      <c r="AU93" s="137"/>
      <c r="AV93" s="137"/>
      <c r="AW93" s="137"/>
      <c r="AX93" s="137"/>
      <c r="AY93" s="137"/>
      <c r="AZ93" s="137"/>
      <c r="BA93" s="137"/>
      <c r="BB93" s="137"/>
      <c r="BC93" s="137"/>
      <c r="BD93" s="137"/>
      <c r="BE93" s="137"/>
    </row>
    <row r="94" spans="1:57" x14ac:dyDescent="0.2">
      <c r="A94" s="18">
        <v>56</v>
      </c>
      <c r="B94" s="18" t="s">
        <v>262</v>
      </c>
      <c r="D94" s="37">
        <f>SUM(F94:K94)</f>
        <v>1</v>
      </c>
      <c r="F94" s="37">
        <f t="shared" ref="F94:K94" si="48">F93/$D93</f>
        <v>9.4106769359400839E-3</v>
      </c>
      <c r="G94" s="37">
        <f t="shared" si="48"/>
        <v>0.6770708558773918</v>
      </c>
      <c r="H94" s="37">
        <f t="shared" si="48"/>
        <v>0.21700191326991577</v>
      </c>
      <c r="I94" s="37">
        <f t="shared" si="48"/>
        <v>9.1671076252983028E-2</v>
      </c>
      <c r="J94" s="37">
        <f t="shared" si="48"/>
        <v>4.8454776637692782E-3</v>
      </c>
      <c r="K94" s="37">
        <f t="shared" si="48"/>
        <v>0</v>
      </c>
      <c r="M94" s="18" t="s">
        <v>262</v>
      </c>
      <c r="N94" s="147">
        <f>N93/SUM($N$93:$S$93)</f>
        <v>2.7758279422249147E-3</v>
      </c>
      <c r="O94" s="147">
        <f t="shared" ref="O94:S94" si="49">O93/SUM($N$93:$S$93)</f>
        <v>0.70713954877330365</v>
      </c>
      <c r="P94" s="147">
        <f t="shared" si="49"/>
        <v>0.18820211246309726</v>
      </c>
      <c r="Q94" s="147">
        <f t="shared" si="49"/>
        <v>8.890467275327997E-2</v>
      </c>
      <c r="R94" s="147">
        <f t="shared" si="49"/>
        <v>1.2977838068094251E-2</v>
      </c>
      <c r="S94" s="147">
        <f t="shared" si="49"/>
        <v>0</v>
      </c>
      <c r="T94" s="22"/>
      <c r="U94" s="69">
        <f>U93/SUM($U$93:$Z$93)</f>
        <v>1.2914718966645646E-2</v>
      </c>
      <c r="V94" s="69">
        <f t="shared" ref="V94:Z94" si="50">V93/SUM($U$93:$Z$93)</f>
        <v>0.66119077121902858</v>
      </c>
      <c r="W94" s="69">
        <f t="shared" si="50"/>
        <v>0.23221186192114085</v>
      </c>
      <c r="X94" s="69">
        <f t="shared" si="50"/>
        <v>9.3132088273909619E-2</v>
      </c>
      <c r="Y94" s="69">
        <f t="shared" si="50"/>
        <v>5.5055961927524203E-4</v>
      </c>
      <c r="Z94" s="69">
        <f t="shared" si="50"/>
        <v>0</v>
      </c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</row>
    <row r="95" spans="1:57" x14ac:dyDescent="0.2">
      <c r="B95" s="18"/>
      <c r="M95" s="18"/>
      <c r="N95" s="18"/>
      <c r="P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  <c r="AN95" s="69"/>
      <c r="AO95" s="69"/>
      <c r="AP95" s="69"/>
      <c r="AQ95" s="69"/>
      <c r="AR95" s="69"/>
      <c r="AS95" s="69"/>
      <c r="AT95" s="69"/>
      <c r="AU95" s="69"/>
      <c r="AV95" s="69"/>
      <c r="AW95" s="69"/>
      <c r="AX95" s="69"/>
      <c r="AY95" s="69"/>
      <c r="AZ95" s="69"/>
      <c r="BA95" s="69"/>
      <c r="BB95" s="69"/>
      <c r="BC95" s="69"/>
      <c r="BD95" s="69"/>
      <c r="BE95" s="69"/>
    </row>
    <row r="96" spans="1:57" x14ac:dyDescent="0.2">
      <c r="A96" s="18">
        <v>57</v>
      </c>
      <c r="B96" s="18"/>
      <c r="C96" s="18" t="s">
        <v>367</v>
      </c>
      <c r="D96" s="8">
        <f>SUM(F96:K96)</f>
        <v>2811.1125265780593</v>
      </c>
      <c r="F96" s="20">
        <v>14.304023908463686</v>
      </c>
      <c r="G96" s="20">
        <v>1939.930432209248</v>
      </c>
      <c r="H96" s="20">
        <v>579.14392864186038</v>
      </c>
      <c r="I96" s="20">
        <v>255.0750855210872</v>
      </c>
      <c r="J96" s="20">
        <v>22.659056297399562</v>
      </c>
      <c r="K96" s="20">
        <v>0</v>
      </c>
      <c r="M96" s="18"/>
      <c r="N96" s="130">
        <v>1.4581720102950102</v>
      </c>
      <c r="O96" s="130">
        <v>1201.1319041342324</v>
      </c>
      <c r="P96" s="130">
        <v>319.67602730893833</v>
      </c>
      <c r="Q96" s="130">
        <v>151.01154935517792</v>
      </c>
      <c r="R96" s="130">
        <v>22.043874334729143</v>
      </c>
      <c r="S96" s="130">
        <v>0</v>
      </c>
      <c r="T96" s="22"/>
      <c r="U96" s="22">
        <v>12.845851898168675</v>
      </c>
      <c r="V96" s="22">
        <v>738.7985280750155</v>
      </c>
      <c r="W96" s="22">
        <v>259.46790133292211</v>
      </c>
      <c r="X96" s="22">
        <v>104.0635361659093</v>
      </c>
      <c r="Y96" s="22">
        <v>0.61518196267041858</v>
      </c>
      <c r="Z96" s="22">
        <v>0</v>
      </c>
    </row>
    <row r="97" spans="1:57" x14ac:dyDescent="0.2">
      <c r="A97" s="18">
        <v>58</v>
      </c>
      <c r="B97" s="18" t="s">
        <v>264</v>
      </c>
      <c r="D97" s="37">
        <f>SUM(F97:K97)</f>
        <v>0.99999999999999989</v>
      </c>
      <c r="F97" s="37">
        <f t="shared" ref="F97:K97" si="51">F96/$D96</f>
        <v>5.0883853894941157E-3</v>
      </c>
      <c r="G97" s="37">
        <f t="shared" si="51"/>
        <v>0.69009348215978639</v>
      </c>
      <c r="H97" s="37">
        <f t="shared" si="51"/>
        <v>0.20601947562264497</v>
      </c>
      <c r="I97" s="37">
        <f t="shared" si="51"/>
        <v>9.0738127026024004E-2</v>
      </c>
      <c r="J97" s="37">
        <f t="shared" si="51"/>
        <v>8.0605298020503709E-3</v>
      </c>
      <c r="K97" s="37">
        <f t="shared" si="51"/>
        <v>0</v>
      </c>
      <c r="M97" s="18" t="s">
        <v>264</v>
      </c>
      <c r="N97" s="147">
        <f>N96/SUM($N$96:$S$96)</f>
        <v>8.6011531556025192E-4</v>
      </c>
      <c r="O97" s="147">
        <f t="shared" ref="O97:S97" si="52">O96/SUM($N$96:$S$96)</f>
        <v>0.70849799575078065</v>
      </c>
      <c r="P97" s="147">
        <f t="shared" si="52"/>
        <v>0.18856365721232501</v>
      </c>
      <c r="Q97" s="147">
        <f t="shared" si="52"/>
        <v>8.9075462640784905E-2</v>
      </c>
      <c r="R97" s="147">
        <f t="shared" si="52"/>
        <v>1.3002769080549108E-2</v>
      </c>
      <c r="S97" s="147">
        <f t="shared" si="52"/>
        <v>0</v>
      </c>
      <c r="T97" s="22"/>
      <c r="U97" s="147">
        <f>U96/SUM($U$96:$Z$96)</f>
        <v>1.1512776052752718E-2</v>
      </c>
      <c r="V97" s="147">
        <f t="shared" ref="V97:Z97" si="53">V96/SUM($U$96:$Z$96)</f>
        <v>0.66212985088544962</v>
      </c>
      <c r="W97" s="147">
        <f t="shared" si="53"/>
        <v>0.23254166906202073</v>
      </c>
      <c r="X97" s="147">
        <f t="shared" si="53"/>
        <v>9.3264362428656392E-2</v>
      </c>
      <c r="Y97" s="147">
        <f t="shared" si="53"/>
        <v>5.5134157112048739E-4</v>
      </c>
      <c r="Z97" s="147">
        <f t="shared" si="53"/>
        <v>0</v>
      </c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</row>
    <row r="98" spans="1:57" x14ac:dyDescent="0.2">
      <c r="B98" s="18"/>
      <c r="M98" s="18"/>
      <c r="N98" s="18"/>
      <c r="P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</row>
    <row r="99" spans="1:57" x14ac:dyDescent="0.2">
      <c r="A99" s="18">
        <v>59</v>
      </c>
      <c r="B99" s="18"/>
      <c r="C99" s="18" t="s">
        <v>367</v>
      </c>
      <c r="D99" s="8">
        <f>SUM(F99:K99)</f>
        <v>25.864969761503481</v>
      </c>
      <c r="F99" s="20">
        <v>0.2353006023052332</v>
      </c>
      <c r="G99" s="20">
        <v>17.439221237132891</v>
      </c>
      <c r="H99" s="20">
        <v>5.7078135431845229</v>
      </c>
      <c r="I99" s="20">
        <v>2.3822437039939341</v>
      </c>
      <c r="J99" s="20">
        <v>0.10039067488689675</v>
      </c>
      <c r="K99" s="20">
        <v>0</v>
      </c>
      <c r="M99" s="18"/>
      <c r="N99" s="130">
        <v>2.3986869323116222E-2</v>
      </c>
      <c r="O99" s="130">
        <v>4.9012481438746853</v>
      </c>
      <c r="P99" s="130">
        <v>1.3044458565260686</v>
      </c>
      <c r="Q99" s="130">
        <v>0.61620632457864588</v>
      </c>
      <c r="R99" s="130">
        <v>8.9950568955017698E-2</v>
      </c>
      <c r="S99" s="130">
        <v>0</v>
      </c>
      <c r="T99" s="20"/>
      <c r="U99" s="22">
        <v>0.21131373298211698</v>
      </c>
      <c r="V99" s="22">
        <v>12.537973093258207</v>
      </c>
      <c r="W99" s="22">
        <v>4.4033676866584548</v>
      </c>
      <c r="X99" s="22">
        <v>1.7660373794152882</v>
      </c>
      <c r="Y99" s="22">
        <v>1.0440105931879053E-2</v>
      </c>
      <c r="Z99" s="22">
        <v>0</v>
      </c>
    </row>
    <row r="100" spans="1:57" x14ac:dyDescent="0.2">
      <c r="A100" s="18">
        <v>60</v>
      </c>
      <c r="B100" s="18" t="s">
        <v>335</v>
      </c>
      <c r="D100" s="37">
        <f>SUM(F100:K100)</f>
        <v>0.99999999999999989</v>
      </c>
      <c r="F100" s="37">
        <f t="shared" ref="F100:K100" si="54">F99/$D99</f>
        <v>9.0972695686443988E-3</v>
      </c>
      <c r="G100" s="37">
        <f t="shared" si="54"/>
        <v>0.67424092886776998</v>
      </c>
      <c r="H100" s="37">
        <f t="shared" si="54"/>
        <v>0.22067737158849626</v>
      </c>
      <c r="I100" s="37">
        <f t="shared" si="54"/>
        <v>9.2103092559558397E-2</v>
      </c>
      <c r="J100" s="37">
        <f t="shared" si="54"/>
        <v>3.8813374155308206E-3</v>
      </c>
      <c r="K100" s="37">
        <f t="shared" si="54"/>
        <v>0</v>
      </c>
      <c r="M100" s="18" t="s">
        <v>335</v>
      </c>
      <c r="N100" s="147">
        <f>N99/SUM($N$99:$S$99)</f>
        <v>3.4583953866663664E-3</v>
      </c>
      <c r="O100" s="147">
        <f t="shared" ref="O100:S100" si="55">O99/SUM($N$99:$S$99)</f>
        <v>0.70665553479912013</v>
      </c>
      <c r="P100" s="147">
        <f t="shared" si="55"/>
        <v>0.18807329425096206</v>
      </c>
      <c r="Q100" s="147">
        <f t="shared" si="55"/>
        <v>8.8843820402343759E-2</v>
      </c>
      <c r="R100" s="147">
        <f t="shared" si="55"/>
        <v>1.2968955160907757E-2</v>
      </c>
      <c r="S100" s="147">
        <f t="shared" si="55"/>
        <v>0</v>
      </c>
      <c r="T100" s="22"/>
      <c r="U100" s="69">
        <f>U99/SUM($U$99:$Z$99)</f>
        <v>1.1163413779443148E-2</v>
      </c>
      <c r="V100" s="69">
        <f t="shared" ref="V100:Z100" si="56">V99/SUM($U$99:$Z$99)</f>
        <v>0.66236386826506533</v>
      </c>
      <c r="W100" s="69">
        <f t="shared" si="56"/>
        <v>0.23262385655435708</v>
      </c>
      <c r="X100" s="69">
        <f t="shared" si="56"/>
        <v>9.3297324968674586E-2</v>
      </c>
      <c r="Y100" s="69">
        <f t="shared" si="56"/>
        <v>5.5153643246010856E-4</v>
      </c>
      <c r="Z100" s="69">
        <f t="shared" si="56"/>
        <v>0</v>
      </c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</row>
    <row r="101" spans="1:57" x14ac:dyDescent="0.2">
      <c r="A101" s="1"/>
      <c r="B101" s="18"/>
      <c r="M101" s="18"/>
      <c r="N101" s="18"/>
      <c r="P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</row>
    <row r="102" spans="1:57" x14ac:dyDescent="0.2">
      <c r="B102" s="18"/>
    </row>
    <row r="103" spans="1:57" x14ac:dyDescent="0.2">
      <c r="B103" s="18"/>
    </row>
    <row r="104" spans="1:57" x14ac:dyDescent="0.2">
      <c r="B104" s="18"/>
    </row>
    <row r="105" spans="1:57" x14ac:dyDescent="0.2">
      <c r="B105" s="18"/>
    </row>
    <row r="111" spans="1:57" x14ac:dyDescent="0.2">
      <c r="A111" s="56"/>
    </row>
    <row r="112" spans="1:57" x14ac:dyDescent="0.2">
      <c r="A112" s="56"/>
    </row>
    <row r="114" spans="1:11" x14ac:dyDescent="0.2">
      <c r="A114" s="56"/>
    </row>
    <row r="115" spans="1:11" x14ac:dyDescent="0.2">
      <c r="A115" s="56"/>
    </row>
    <row r="117" spans="1:11" x14ac:dyDescent="0.2">
      <c r="A117" s="56"/>
    </row>
    <row r="118" spans="1:11" x14ac:dyDescent="0.2">
      <c r="A118" s="56"/>
    </row>
    <row r="119" spans="1:11" x14ac:dyDescent="0.2">
      <c r="B119" s="18"/>
      <c r="D119" s="17"/>
    </row>
    <row r="120" spans="1:11" x14ac:dyDescent="0.2">
      <c r="A120" s="56"/>
    </row>
    <row r="121" spans="1:11" x14ac:dyDescent="0.2">
      <c r="A121" s="56"/>
    </row>
    <row r="122" spans="1:11" x14ac:dyDescent="0.2">
      <c r="B122" s="137"/>
      <c r="D122" s="137"/>
      <c r="G122" s="137"/>
      <c r="H122" s="137"/>
      <c r="I122" s="137"/>
      <c r="J122" s="137"/>
      <c r="K122" s="137"/>
    </row>
    <row r="123" spans="1:11" x14ac:dyDescent="0.2">
      <c r="A123" s="56"/>
    </row>
    <row r="124" spans="1:11" x14ac:dyDescent="0.2">
      <c r="A124" s="56"/>
    </row>
    <row r="125" spans="1:11" x14ac:dyDescent="0.2">
      <c r="B125" s="137"/>
      <c r="D125" s="137"/>
      <c r="G125" s="137"/>
      <c r="H125" s="137"/>
      <c r="I125" s="137"/>
      <c r="J125" s="137"/>
      <c r="K125" s="137"/>
    </row>
    <row r="126" spans="1:11" x14ac:dyDescent="0.2">
      <c r="A126" s="56"/>
    </row>
    <row r="127" spans="1:11" x14ac:dyDescent="0.2">
      <c r="A127" s="56"/>
    </row>
    <row r="128" spans="1:11" x14ac:dyDescent="0.2">
      <c r="B128" s="137"/>
      <c r="D128" s="137"/>
      <c r="G128" s="137"/>
      <c r="H128" s="137"/>
      <c r="I128" s="137"/>
      <c r="J128" s="137"/>
      <c r="K128" s="137"/>
    </row>
    <row r="129" spans="1:1" x14ac:dyDescent="0.2">
      <c r="A129" s="56"/>
    </row>
    <row r="130" spans="1:1" x14ac:dyDescent="0.2">
      <c r="A130" s="56"/>
    </row>
    <row r="132" spans="1:1" x14ac:dyDescent="0.2">
      <c r="A132" s="56"/>
    </row>
    <row r="133" spans="1:1" x14ac:dyDescent="0.2">
      <c r="A133" s="56"/>
    </row>
    <row r="135" spans="1:1" x14ac:dyDescent="0.2">
      <c r="A135" s="56"/>
    </row>
    <row r="136" spans="1:1" x14ac:dyDescent="0.2">
      <c r="A136" s="56"/>
    </row>
    <row r="138" spans="1:1" x14ac:dyDescent="0.2">
      <c r="A138" s="56"/>
    </row>
    <row r="139" spans="1:1" x14ac:dyDescent="0.2">
      <c r="A139" s="56"/>
    </row>
    <row r="141" spans="1:1" x14ac:dyDescent="0.2">
      <c r="A141" s="56"/>
    </row>
    <row r="142" spans="1:1" x14ac:dyDescent="0.2">
      <c r="A142" s="56"/>
    </row>
    <row r="144" spans="1:1" x14ac:dyDescent="0.2">
      <c r="A144" s="56"/>
    </row>
    <row r="145" spans="1:1" x14ac:dyDescent="0.2">
      <c r="A145" s="56"/>
    </row>
    <row r="147" spans="1:1" x14ac:dyDescent="0.2">
      <c r="A147" s="56"/>
    </row>
    <row r="148" spans="1:1" x14ac:dyDescent="0.2">
      <c r="A148" s="56"/>
    </row>
    <row r="150" spans="1:1" x14ac:dyDescent="0.2">
      <c r="A150" s="56"/>
    </row>
    <row r="151" spans="1:1" x14ac:dyDescent="0.2">
      <c r="A151" s="56"/>
    </row>
    <row r="153" spans="1:1" x14ac:dyDescent="0.2">
      <c r="A153" s="56"/>
    </row>
    <row r="154" spans="1:1" x14ac:dyDescent="0.2">
      <c r="A154" s="56"/>
    </row>
    <row r="156" spans="1:1" x14ac:dyDescent="0.2">
      <c r="A156" s="56"/>
    </row>
    <row r="157" spans="1:1" x14ac:dyDescent="0.2">
      <c r="A157" s="56"/>
    </row>
    <row r="159" spans="1:1" x14ac:dyDescent="0.2">
      <c r="A159" s="56"/>
    </row>
    <row r="160" spans="1:1" x14ac:dyDescent="0.2">
      <c r="A160" s="56"/>
    </row>
    <row r="162" spans="1:15" x14ac:dyDescent="0.2">
      <c r="A162" s="56"/>
      <c r="L162" s="40"/>
      <c r="M162" s="40"/>
      <c r="N162" s="40"/>
      <c r="O162" s="40"/>
    </row>
    <row r="163" spans="1:15" x14ac:dyDescent="0.2">
      <c r="A163" s="56"/>
    </row>
    <row r="165" spans="1:15" x14ac:dyDescent="0.2">
      <c r="A165" s="56"/>
    </row>
    <row r="166" spans="1:15" x14ac:dyDescent="0.2">
      <c r="A166" s="56"/>
    </row>
    <row r="167" spans="1:15" x14ac:dyDescent="0.2">
      <c r="F167" s="37"/>
      <c r="G167" s="37"/>
      <c r="H167" s="37"/>
      <c r="I167" s="37"/>
      <c r="J167" s="37"/>
      <c r="K167" s="37"/>
    </row>
    <row r="168" spans="1:15" x14ac:dyDescent="0.2">
      <c r="A168" s="56"/>
    </row>
    <row r="169" spans="1:15" x14ac:dyDescent="0.2">
      <c r="A169" s="56"/>
    </row>
    <row r="170" spans="1:15" x14ac:dyDescent="0.2">
      <c r="F170" s="37"/>
      <c r="G170" s="37"/>
      <c r="H170" s="37"/>
      <c r="I170" s="37"/>
      <c r="J170" s="37"/>
      <c r="K170" s="37"/>
    </row>
    <row r="171" spans="1:15" x14ac:dyDescent="0.2">
      <c r="A171" s="56"/>
    </row>
    <row r="172" spans="1:15" x14ac:dyDescent="0.2">
      <c r="A172" s="56"/>
    </row>
    <row r="174" spans="1:15" x14ac:dyDescent="0.2">
      <c r="A174" s="56"/>
    </row>
    <row r="175" spans="1:15" x14ac:dyDescent="0.2">
      <c r="A175" s="56"/>
    </row>
    <row r="177" spans="1:1" x14ac:dyDescent="0.2">
      <c r="A177" s="56"/>
    </row>
    <row r="178" spans="1:1" x14ac:dyDescent="0.2">
      <c r="A178" s="56"/>
    </row>
    <row r="180" spans="1:1" x14ac:dyDescent="0.2">
      <c r="A180" s="56"/>
    </row>
    <row r="181" spans="1:1" x14ac:dyDescent="0.2">
      <c r="A181" s="56"/>
    </row>
    <row r="183" spans="1:1" x14ac:dyDescent="0.2">
      <c r="A183" s="56"/>
    </row>
    <row r="184" spans="1:1" x14ac:dyDescent="0.2">
      <c r="A184" s="56"/>
    </row>
    <row r="186" spans="1:1" x14ac:dyDescent="0.2">
      <c r="A186" s="56"/>
    </row>
    <row r="187" spans="1:1" x14ac:dyDescent="0.2">
      <c r="A187" s="56"/>
    </row>
    <row r="189" spans="1:1" x14ac:dyDescent="0.2">
      <c r="A189" s="56"/>
    </row>
    <row r="190" spans="1:1" x14ac:dyDescent="0.2">
      <c r="A190" s="56"/>
    </row>
    <row r="192" spans="1:1" x14ac:dyDescent="0.2">
      <c r="A192" s="56"/>
    </row>
    <row r="193" spans="1:1" x14ac:dyDescent="0.2">
      <c r="A193" s="56"/>
    </row>
    <row r="195" spans="1:1" x14ac:dyDescent="0.2">
      <c r="A195" s="56"/>
    </row>
    <row r="196" spans="1:1" x14ac:dyDescent="0.2">
      <c r="A196" s="56"/>
    </row>
    <row r="198" spans="1:1" x14ac:dyDescent="0.2">
      <c r="A198" s="56"/>
    </row>
    <row r="199" spans="1:1" x14ac:dyDescent="0.2">
      <c r="A199" s="56"/>
    </row>
    <row r="201" spans="1:1" x14ac:dyDescent="0.2">
      <c r="A201" s="56"/>
    </row>
    <row r="202" spans="1:1" x14ac:dyDescent="0.2">
      <c r="A202" s="56"/>
    </row>
    <row r="204" spans="1:1" x14ac:dyDescent="0.2">
      <c r="A204" s="3"/>
    </row>
    <row r="205" spans="1:1" x14ac:dyDescent="0.2">
      <c r="A205" s="3"/>
    </row>
    <row r="207" spans="1:1" x14ac:dyDescent="0.2">
      <c r="A207" s="2"/>
    </row>
    <row r="208" spans="1:1" x14ac:dyDescent="0.2">
      <c r="A208" s="2"/>
    </row>
    <row r="210" spans="1:1" x14ac:dyDescent="0.2">
      <c r="A210" s="1"/>
    </row>
    <row r="211" spans="1:1" x14ac:dyDescent="0.2">
      <c r="A211" s="1"/>
    </row>
    <row r="213" spans="1:1" x14ac:dyDescent="0.2">
      <c r="A213" s="1"/>
    </row>
    <row r="214" spans="1:1" x14ac:dyDescent="0.2">
      <c r="A214" s="1"/>
    </row>
    <row r="216" spans="1:1" x14ac:dyDescent="0.2">
      <c r="A216" s="1"/>
    </row>
    <row r="217" spans="1:1" x14ac:dyDescent="0.2">
      <c r="A217" s="1"/>
    </row>
  </sheetData>
  <mergeCells count="9">
    <mergeCell ref="B5:K5"/>
    <mergeCell ref="B6:K6"/>
    <mergeCell ref="N7:S7"/>
    <mergeCell ref="AW9:BE9"/>
    <mergeCell ref="U7:Z7"/>
    <mergeCell ref="F8:K8"/>
    <mergeCell ref="AB9:AF9"/>
    <mergeCell ref="AH9:AP9"/>
    <mergeCell ref="AQ9:AU9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188AC-D0ED-49F2-9D99-260C7888CC22}">
  <sheetPr>
    <tabColor theme="0" tint="-0.249977111117893"/>
  </sheetPr>
  <dimension ref="A2:AA57"/>
  <sheetViews>
    <sheetView zoomScale="80" zoomScaleNormal="80" workbookViewId="0">
      <selection activeCell="W9" sqref="W9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21.42578125" style="2" customWidth="1"/>
    <col min="9" max="9" width="1.7109375" style="31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31" customWidth="1"/>
    <col min="14" max="14" width="13.85546875" style="31" bestFit="1" customWidth="1"/>
    <col min="15" max="19" width="11.5703125" style="31" customWidth="1"/>
    <col min="20" max="20" width="11.28515625" style="31" customWidth="1"/>
    <col min="21" max="27" width="10.7109375" style="31" customWidth="1"/>
    <col min="28" max="16384" width="9.140625" style="31"/>
  </cols>
  <sheetData>
    <row r="2" spans="1:27" x14ac:dyDescent="0.2">
      <c r="B2" s="161" t="s">
        <v>511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</row>
    <row r="3" spans="1:27" x14ac:dyDescent="0.2">
      <c r="B3" s="161" t="s">
        <v>521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</row>
    <row r="5" spans="1:27" x14ac:dyDescent="0.2">
      <c r="D5" s="2" t="s">
        <v>150</v>
      </c>
    </row>
    <row r="6" spans="1:27" x14ac:dyDescent="0.2">
      <c r="A6" s="2" t="s">
        <v>2</v>
      </c>
      <c r="D6" s="2" t="s">
        <v>5</v>
      </c>
      <c r="F6" s="2" t="s">
        <v>167</v>
      </c>
      <c r="H6" s="2" t="s">
        <v>168</v>
      </c>
      <c r="I6" s="2"/>
      <c r="J6" s="2" t="s">
        <v>169</v>
      </c>
      <c r="L6" s="2" t="s">
        <v>104</v>
      </c>
      <c r="N6" s="2" t="s">
        <v>80</v>
      </c>
      <c r="O6" s="2" t="s">
        <v>80</v>
      </c>
      <c r="P6" s="2" t="s">
        <v>80</v>
      </c>
      <c r="Q6" s="2" t="s">
        <v>80</v>
      </c>
      <c r="R6" s="2" t="s">
        <v>80</v>
      </c>
      <c r="S6" s="2" t="s">
        <v>80</v>
      </c>
      <c r="T6" s="2" t="s">
        <v>80</v>
      </c>
      <c r="U6" s="2" t="s">
        <v>80</v>
      </c>
      <c r="V6" s="2" t="s">
        <v>80</v>
      </c>
      <c r="W6" s="2" t="s">
        <v>80</v>
      </c>
      <c r="X6" s="2" t="s">
        <v>80</v>
      </c>
      <c r="Y6" s="2" t="s">
        <v>80</v>
      </c>
      <c r="Z6" s="2" t="s">
        <v>80</v>
      </c>
      <c r="AA6" s="2" t="s">
        <v>80</v>
      </c>
    </row>
    <row r="7" spans="1:27" x14ac:dyDescent="0.2">
      <c r="A7" s="33" t="s">
        <v>4</v>
      </c>
      <c r="B7" s="80" t="s">
        <v>374</v>
      </c>
      <c r="D7" s="33" t="s">
        <v>152</v>
      </c>
      <c r="F7" s="33" t="s">
        <v>131</v>
      </c>
      <c r="H7" s="33" t="s">
        <v>6</v>
      </c>
      <c r="I7" s="2"/>
      <c r="J7" s="33" t="s">
        <v>170</v>
      </c>
      <c r="L7" s="33" t="s">
        <v>6</v>
      </c>
      <c r="N7" s="4" t="s">
        <v>471</v>
      </c>
      <c r="O7" s="4" t="s">
        <v>472</v>
      </c>
      <c r="P7" s="4" t="s">
        <v>473</v>
      </c>
      <c r="Q7" s="4" t="s">
        <v>474</v>
      </c>
      <c r="R7" s="4" t="s">
        <v>475</v>
      </c>
      <c r="S7" s="4" t="s">
        <v>476</v>
      </c>
      <c r="T7" s="4" t="s">
        <v>477</v>
      </c>
      <c r="U7" s="4" t="s">
        <v>478</v>
      </c>
      <c r="V7" s="4" t="s">
        <v>479</v>
      </c>
      <c r="W7" s="4" t="s">
        <v>480</v>
      </c>
      <c r="X7" s="4" t="s">
        <v>481</v>
      </c>
      <c r="Y7" s="4" t="s">
        <v>482</v>
      </c>
      <c r="Z7" s="4" t="s">
        <v>483</v>
      </c>
      <c r="AA7" s="4" t="s">
        <v>484</v>
      </c>
    </row>
    <row r="8" spans="1:27" x14ac:dyDescent="0.2">
      <c r="D8" s="120" t="s">
        <v>12</v>
      </c>
      <c r="F8" s="120" t="s">
        <v>13</v>
      </c>
      <c r="H8" s="120" t="s">
        <v>14</v>
      </c>
      <c r="J8" s="120" t="s">
        <v>366</v>
      </c>
      <c r="K8" s="74"/>
      <c r="L8" s="120" t="s">
        <v>15</v>
      </c>
      <c r="M8" s="40"/>
      <c r="N8" s="120" t="s">
        <v>16</v>
      </c>
      <c r="O8" s="120" t="s">
        <v>59</v>
      </c>
      <c r="P8" s="120" t="s">
        <v>61</v>
      </c>
      <c r="Q8" s="120" t="s">
        <v>62</v>
      </c>
      <c r="R8" s="120" t="s">
        <v>82</v>
      </c>
      <c r="S8" s="120" t="s">
        <v>143</v>
      </c>
      <c r="T8" s="120" t="s">
        <v>144</v>
      </c>
      <c r="U8" s="120" t="s">
        <v>145</v>
      </c>
      <c r="V8" s="120" t="s">
        <v>184</v>
      </c>
      <c r="W8" s="120" t="s">
        <v>193</v>
      </c>
      <c r="X8" s="120" t="s">
        <v>369</v>
      </c>
      <c r="Y8" s="120" t="s">
        <v>370</v>
      </c>
      <c r="Z8" s="120" t="s">
        <v>371</v>
      </c>
      <c r="AA8" s="120" t="s">
        <v>372</v>
      </c>
    </row>
    <row r="10" spans="1:27" x14ac:dyDescent="0.2">
      <c r="B10" s="77" t="s">
        <v>384</v>
      </c>
    </row>
    <row r="11" spans="1:27" x14ac:dyDescent="0.2">
      <c r="A11" s="2">
        <v>1</v>
      </c>
      <c r="B11" s="31" t="s">
        <v>132</v>
      </c>
      <c r="D11" s="79">
        <f ca="1">'Total Allocation Current RZ'!S11</f>
        <v>611891.81566697138</v>
      </c>
      <c r="J11" s="79">
        <f ca="1">D11-F11</f>
        <v>611891.81566697138</v>
      </c>
      <c r="L11" s="2" t="s">
        <v>221</v>
      </c>
      <c r="N11" s="79">
        <f ca="1">IF($J11&lt;&gt;0,VLOOKUP($L11,'Allocation Factors-Union South'!$B$12:$T$116,5,FALSE)*$J11,0)+IF($F11&lt;&gt;0,VLOOKUP($H11,'Allocation Factors-Union South'!$B$12:$T$116,5,FALSE)*$F11,0)</f>
        <v>485345.30977189832</v>
      </c>
      <c r="O11" s="79">
        <f ca="1">IF($J11&lt;&gt;0,VLOOKUP($L11,'Allocation Factors-Union South'!$B$12:$T$116,6,FALSE)*$J11,0)+IF($F11&lt;&gt;0,VLOOKUP($H11,'Allocation Factors-Union South'!$B$12:$T$116,6,FALSE)*$F11,0)</f>
        <v>108743.32522762477</v>
      </c>
      <c r="P11" s="79">
        <f ca="1">IF($J11&lt;&gt;0,VLOOKUP($L11,'Allocation Factors-Union South'!$B$12:$T$116,7,FALSE)*$J11,0)+IF($F11&lt;&gt;0,VLOOKUP($H11,'Allocation Factors-Union South'!$B$12:$T$116,7,FALSE)*$F11,0)</f>
        <v>9357.4367874859236</v>
      </c>
      <c r="Q11" s="79">
        <f ca="1">IF($J11&lt;&gt;0,VLOOKUP($L11,'Allocation Factors-Union South'!$B$12:$T$116,8,FALSE)*$J11,0)+IF($F11&lt;&gt;0,VLOOKUP($H11,'Allocation Factors-Union South'!$B$12:$T$116,8,FALSE)*$F11,0)</f>
        <v>0</v>
      </c>
      <c r="R11" s="79">
        <f ca="1">IF($J11&lt;&gt;0,VLOOKUP($L11,'Allocation Factors-Union South'!$B$12:$T$116,9,FALSE)*$J11,0)+IF($F11&lt;&gt;0,VLOOKUP($H11,'Allocation Factors-Union South'!$B$12:$T$116,9,FALSE)*$F11,0)</f>
        <v>47.880603648362523</v>
      </c>
      <c r="S11" s="79">
        <f ca="1">IF($J11&lt;&gt;0,VLOOKUP($L11,'Allocation Factors-Union South'!$B$12:$T$116,10,FALSE)*$J11,0)+IF($F11&lt;&gt;0,VLOOKUP($H11,'Allocation Factors-Union South'!$B$12:$T$116,10,FALSE)*$F11,0)</f>
        <v>293.2353536817597</v>
      </c>
      <c r="T11" s="79">
        <f ca="1">IF($J11&lt;&gt;0,VLOOKUP($L11,'Allocation Factors-Union South'!$B$12:$T$116,11,FALSE)*$J11,0)+IF($F11&lt;&gt;0,VLOOKUP($H11,'Allocation Factors-Union South'!$B$12:$T$116,11,FALSE)*$F11,0)</f>
        <v>5272.0376210196946</v>
      </c>
      <c r="U11" s="79">
        <f ca="1">IF($J11&lt;&gt;0,VLOOKUP($L11,'Allocation Factors-Union South'!$B$12:$T$116,12,FALSE)*$J11,0)+IF($F11&lt;&gt;0,VLOOKUP($H11,'Allocation Factors-Union South'!$B$12:$T$116,12,FALSE)*$F11,0)</f>
        <v>342.70065823462335</v>
      </c>
      <c r="V11" s="79">
        <f ca="1">IF($J11&lt;&gt;0,VLOOKUP($L11,'Allocation Factors-Union South'!$B$12:$T$116,13,FALSE)*$J11,0)+IF($F11&lt;&gt;0,VLOOKUP($H11,'Allocation Factors-Union South'!$B$12:$T$116,13,FALSE)*$F11,0)</f>
        <v>2489.8896433778154</v>
      </c>
      <c r="W11" s="79">
        <f ca="1">IF($J11&lt;&gt;0,VLOOKUP($L11,'Allocation Factors-Union South'!$B$12:$T$116,14,FALSE)*$J11,0)+IF($F11&lt;&gt;0,VLOOKUP($H11,'Allocation Factors-Union South'!$B$12:$T$116,14,FALSE)*$F11,0)</f>
        <v>0</v>
      </c>
      <c r="X11" s="79">
        <f ca="1">IF($J11&lt;&gt;0,VLOOKUP($L11,'Allocation Factors-Union South'!$B$12:$T$116,15,FALSE)*$J11,0)+IF($F11&lt;&gt;0,VLOOKUP($H11,'Allocation Factors-Union South'!$B$12:$T$116,15,FALSE)*$F11,0)</f>
        <v>0</v>
      </c>
      <c r="Y11" s="79">
        <f ca="1">IF($J11&lt;&gt;0,VLOOKUP($L11,'Allocation Factors-Union South'!$B$12:$T$116,16,FALSE)*$J11,0)+IF($F11&lt;&gt;0,VLOOKUP($H11,'Allocation Factors-Union South'!$B$12:$T$116,16,FALSE)*$F11,0)</f>
        <v>0</v>
      </c>
      <c r="Z11" s="79">
        <f ca="1">IF($J11&lt;&gt;0,VLOOKUP($L11,'Allocation Factors-Union South'!$B$12:$T$116,17,FALSE)*$J11,0)+IF($F11&lt;&gt;0,VLOOKUP($H11,'Allocation Factors-Union South'!$B$12:$T$116,17,FALSE)*$F11,0)</f>
        <v>0</v>
      </c>
      <c r="AA11" s="79">
        <f ca="1">IF($J11&lt;&gt;0,VLOOKUP($L11,'Allocation Factors-Union South'!$B$12:$T$116,18,FALSE)*$J11,0)+IF($F11&lt;&gt;0,VLOOKUP($H11,'Allocation Factors-Union South'!$B$12:$T$116,18,FALSE)*$F11,0)</f>
        <v>0</v>
      </c>
    </row>
    <row r="12" spans="1:27" x14ac:dyDescent="0.2">
      <c r="A12" s="2">
        <f>A11+1</f>
        <v>2</v>
      </c>
      <c r="B12" s="31" t="s">
        <v>385</v>
      </c>
      <c r="D12" s="79">
        <f ca="1">'Total Allocation Current RZ'!S12</f>
        <v>0</v>
      </c>
      <c r="F12" s="50"/>
      <c r="J12" s="79">
        <f t="shared" ref="J12:J16" ca="1" si="0">D12-F12</f>
        <v>0</v>
      </c>
      <c r="L12" s="2" t="s">
        <v>263</v>
      </c>
      <c r="N12" s="79">
        <f ca="1">IF($J12&lt;&gt;0,VLOOKUP($L12,'Allocation Factors-Union South'!$B$12:$T$116,5,FALSE)*$J12,0)+IF($F12&lt;&gt;0,VLOOKUP($H12,'Allocation Factors-Union South'!$B$12:$T$116,5,FALSE)*$F12,0)</f>
        <v>0</v>
      </c>
      <c r="O12" s="79">
        <f ca="1">IF($J12&lt;&gt;0,VLOOKUP($L12,'Allocation Factors-Union South'!$B$12:$T$116,6,FALSE)*$J12,0)+IF($F12&lt;&gt;0,VLOOKUP($H12,'Allocation Factors-Union South'!$B$12:$T$116,6,FALSE)*$F12,0)</f>
        <v>0</v>
      </c>
      <c r="P12" s="79">
        <f ca="1">IF($J12&lt;&gt;0,VLOOKUP($L12,'Allocation Factors-Union South'!$B$12:$T$116,7,FALSE)*$J12,0)+IF($F12&lt;&gt;0,VLOOKUP($H12,'Allocation Factors-Union South'!$B$12:$T$116,7,FALSE)*$F12,0)</f>
        <v>0</v>
      </c>
      <c r="Q12" s="79">
        <f ca="1">IF($J12&lt;&gt;0,VLOOKUP($L12,'Allocation Factors-Union South'!$B$12:$T$116,8,FALSE)*$J12,0)+IF($F12&lt;&gt;0,VLOOKUP($H12,'Allocation Factors-Union South'!$B$12:$T$116,8,FALSE)*$F12,0)</f>
        <v>0</v>
      </c>
      <c r="R12" s="79">
        <f ca="1">IF($J12&lt;&gt;0,VLOOKUP($L12,'Allocation Factors-Union South'!$B$12:$T$116,9,FALSE)*$J12,0)+IF($F12&lt;&gt;0,VLOOKUP($H12,'Allocation Factors-Union South'!$B$12:$T$116,9,FALSE)*$F12,0)</f>
        <v>0</v>
      </c>
      <c r="S12" s="79">
        <f ca="1">IF($J12&lt;&gt;0,VLOOKUP($L12,'Allocation Factors-Union South'!$B$12:$T$116,10,FALSE)*$J12,0)+IF($F12&lt;&gt;0,VLOOKUP($H12,'Allocation Factors-Union South'!$B$12:$T$116,10,FALSE)*$F12,0)</f>
        <v>0</v>
      </c>
      <c r="T12" s="79">
        <f ca="1">IF($J12&lt;&gt;0,VLOOKUP($L12,'Allocation Factors-Union South'!$B$12:$T$116,11,FALSE)*$J12,0)+IF($F12&lt;&gt;0,VLOOKUP($H12,'Allocation Factors-Union South'!$B$12:$T$116,11,FALSE)*$F12,0)</f>
        <v>0</v>
      </c>
      <c r="U12" s="79">
        <f ca="1">IF($J12&lt;&gt;0,VLOOKUP($L12,'Allocation Factors-Union South'!$B$12:$T$116,12,FALSE)*$J12,0)+IF($F12&lt;&gt;0,VLOOKUP($H12,'Allocation Factors-Union South'!$B$12:$T$116,12,FALSE)*$F12,0)</f>
        <v>0</v>
      </c>
      <c r="V12" s="79">
        <f ca="1">IF($J12&lt;&gt;0,VLOOKUP($L12,'Allocation Factors-Union South'!$B$12:$T$116,13,FALSE)*$J12,0)+IF($F12&lt;&gt;0,VLOOKUP($H12,'Allocation Factors-Union South'!$B$12:$T$116,13,FALSE)*$F12,0)</f>
        <v>0</v>
      </c>
      <c r="W12" s="79">
        <f ca="1">IF($J12&lt;&gt;0,VLOOKUP($L12,'Allocation Factors-Union South'!$B$12:$T$116,14,FALSE)*$J12,0)+IF($F12&lt;&gt;0,VLOOKUP($H12,'Allocation Factors-Union South'!$B$12:$T$116,14,FALSE)*$F12,0)</f>
        <v>0</v>
      </c>
      <c r="X12" s="79">
        <f ca="1">IF($J12&lt;&gt;0,VLOOKUP($L12,'Allocation Factors-Union South'!$B$12:$T$116,15,FALSE)*$J12,0)+IF($F12&lt;&gt;0,VLOOKUP($H12,'Allocation Factors-Union South'!$B$12:$T$116,15,FALSE)*$F12,0)</f>
        <v>0</v>
      </c>
      <c r="Y12" s="79">
        <f ca="1">IF($J12&lt;&gt;0,VLOOKUP($L12,'Allocation Factors-Union South'!$B$12:$T$116,16,FALSE)*$J12,0)+IF($F12&lt;&gt;0,VLOOKUP($H12,'Allocation Factors-Union South'!$B$12:$T$116,16,FALSE)*$F12,0)</f>
        <v>0</v>
      </c>
      <c r="Z12" s="79">
        <f ca="1">IF($J12&lt;&gt;0,VLOOKUP($L12,'Allocation Factors-Union South'!$B$12:$T$116,17,FALSE)*$J12,0)+IF($F12&lt;&gt;0,VLOOKUP($H12,'Allocation Factors-Union South'!$B$12:$T$116,17,FALSE)*$F12,0)</f>
        <v>0</v>
      </c>
      <c r="AA12" s="79">
        <f ca="1">IF($J12&lt;&gt;0,VLOOKUP($L12,'Allocation Factors-Union South'!$B$12:$T$116,18,FALSE)*$J12,0)+IF($F12&lt;&gt;0,VLOOKUP($H12,'Allocation Factors-Union South'!$B$12:$T$116,18,FALSE)*$F12,0)</f>
        <v>0</v>
      </c>
    </row>
    <row r="13" spans="1:27" x14ac:dyDescent="0.2">
      <c r="A13" s="2">
        <f t="shared" ref="A13:A17" si="1">A12+1</f>
        <v>3</v>
      </c>
      <c r="B13" s="31" t="s">
        <v>386</v>
      </c>
      <c r="D13" s="79">
        <f ca="1">'Total Allocation Current RZ'!S13</f>
        <v>13768.135913821732</v>
      </c>
      <c r="J13" s="79">
        <f t="shared" ca="1" si="0"/>
        <v>13768.135913821732</v>
      </c>
      <c r="L13" s="2" t="s">
        <v>156</v>
      </c>
      <c r="N13" s="79">
        <f ca="1">IF($J13&lt;&gt;0,VLOOKUP($L13,'Allocation Factors-Union South'!$B$12:$T$116,5,FALSE)*$J13,0)+IF($F13&lt;&gt;0,VLOOKUP($H13,'Allocation Factors-Union South'!$B$12:$T$116,5,FALSE)*$F13,0)</f>
        <v>6846.6072742215192</v>
      </c>
      <c r="O13" s="79">
        <f ca="1">IF($J13&lt;&gt;0,VLOOKUP($L13,'Allocation Factors-Union South'!$B$12:$T$116,6,FALSE)*$J13,0)+IF($F13&lt;&gt;0,VLOOKUP($H13,'Allocation Factors-Union South'!$B$12:$T$116,6,FALSE)*$F13,0)</f>
        <v>2439.6200482069385</v>
      </c>
      <c r="P13" s="79">
        <f ca="1">IF($J13&lt;&gt;0,VLOOKUP($L13,'Allocation Factors-Union South'!$B$12:$T$116,7,FALSE)*$J13,0)+IF($F13&lt;&gt;0,VLOOKUP($H13,'Allocation Factors-Union South'!$B$12:$T$116,7,FALSE)*$F13,0)</f>
        <v>764.74211673861646</v>
      </c>
      <c r="Q13" s="79">
        <f ca="1">IF($J13&lt;&gt;0,VLOOKUP($L13,'Allocation Factors-Union South'!$B$12:$T$116,8,FALSE)*$J13,0)+IF($F13&lt;&gt;0,VLOOKUP($H13,'Allocation Factors-Union South'!$B$12:$T$116,8,FALSE)*$F13,0)</f>
        <v>0</v>
      </c>
      <c r="R13" s="79">
        <f ca="1">IF($J13&lt;&gt;0,VLOOKUP($L13,'Allocation Factors-Union South'!$B$12:$T$116,9,FALSE)*$J13,0)+IF($F13&lt;&gt;0,VLOOKUP($H13,'Allocation Factors-Union South'!$B$12:$T$116,9,FALSE)*$F13,0)</f>
        <v>7.4012466108219641</v>
      </c>
      <c r="S13" s="79">
        <f ca="1">IF($J13&lt;&gt;0,VLOOKUP($L13,'Allocation Factors-Union South'!$B$12:$T$116,10,FALSE)*$J13,0)+IF($F13&lt;&gt;0,VLOOKUP($H13,'Allocation Factors-Union South'!$B$12:$T$116,10,FALSE)*$F13,0)</f>
        <v>0</v>
      </c>
      <c r="T13" s="79">
        <f ca="1">IF($J13&lt;&gt;0,VLOOKUP($L13,'Allocation Factors-Union South'!$B$12:$T$116,11,FALSE)*$J13,0)+IF($F13&lt;&gt;0,VLOOKUP($H13,'Allocation Factors-Union South'!$B$12:$T$116,11,FALSE)*$F13,0)</f>
        <v>1269.9679285216212</v>
      </c>
      <c r="U13" s="79">
        <f ca="1">IF($J13&lt;&gt;0,VLOOKUP($L13,'Allocation Factors-Union South'!$B$12:$T$116,12,FALSE)*$J13,0)+IF($F13&lt;&gt;0,VLOOKUP($H13,'Allocation Factors-Union South'!$B$12:$T$116,12,FALSE)*$F13,0)</f>
        <v>0</v>
      </c>
      <c r="V13" s="79">
        <f ca="1">IF($J13&lt;&gt;0,VLOOKUP($L13,'Allocation Factors-Union South'!$B$12:$T$116,13,FALSE)*$J13,0)+IF($F13&lt;&gt;0,VLOOKUP($H13,'Allocation Factors-Union South'!$B$12:$T$116,13,FALSE)*$F13,0)</f>
        <v>76.825542983791195</v>
      </c>
      <c r="W13" s="79">
        <f ca="1">IF($J13&lt;&gt;0,VLOOKUP($L13,'Allocation Factors-Union South'!$B$12:$T$116,14,FALSE)*$J13,0)+IF($F13&lt;&gt;0,VLOOKUP($H13,'Allocation Factors-Union South'!$B$12:$T$116,14,FALSE)*$F13,0)</f>
        <v>267.32377066792333</v>
      </c>
      <c r="X13" s="79">
        <f ca="1">IF($J13&lt;&gt;0,VLOOKUP($L13,'Allocation Factors-Union South'!$B$12:$T$116,15,FALSE)*$J13,0)+IF($F13&lt;&gt;0,VLOOKUP($H13,'Allocation Factors-Union South'!$B$12:$T$116,15,FALSE)*$F13,0)</f>
        <v>0</v>
      </c>
      <c r="Y13" s="79">
        <f ca="1">IF($J13&lt;&gt;0,VLOOKUP($L13,'Allocation Factors-Union South'!$B$12:$T$116,16,FALSE)*$J13,0)+IF($F13&lt;&gt;0,VLOOKUP($H13,'Allocation Factors-Union South'!$B$12:$T$116,16,FALSE)*$F13,0)</f>
        <v>1667.611294190224</v>
      </c>
      <c r="Z13" s="79">
        <f ca="1">IF($J13&lt;&gt;0,VLOOKUP($L13,'Allocation Factors-Union South'!$B$12:$T$116,17,FALSE)*$J13,0)+IF($F13&lt;&gt;0,VLOOKUP($H13,'Allocation Factors-Union South'!$B$12:$T$116,17,FALSE)*$F13,0)</f>
        <v>0</v>
      </c>
      <c r="AA13" s="79">
        <f ca="1">IF($J13&lt;&gt;0,VLOOKUP($L13,'Allocation Factors-Union South'!$B$12:$T$116,18,FALSE)*$J13,0)+IF($F13&lt;&gt;0,VLOOKUP($H13,'Allocation Factors-Union South'!$B$12:$T$116,18,FALSE)*$F13,0)</f>
        <v>428.03669168027881</v>
      </c>
    </row>
    <row r="14" spans="1:27" x14ac:dyDescent="0.2">
      <c r="A14" s="2">
        <f t="shared" si="1"/>
        <v>4</v>
      </c>
      <c r="B14" s="31" t="s">
        <v>115</v>
      </c>
      <c r="D14" s="79">
        <f ca="1">'Total Allocation Current RZ'!S14</f>
        <v>1143.5864065573767</v>
      </c>
      <c r="F14" s="50"/>
      <c r="H14" s="2" t="s">
        <v>410</v>
      </c>
      <c r="J14" s="79">
        <f t="shared" ca="1" si="0"/>
        <v>1143.5864065573767</v>
      </c>
      <c r="L14" s="2" t="s">
        <v>262</v>
      </c>
      <c r="N14" s="79">
        <f ca="1">IF($J14&lt;&gt;0,VLOOKUP($L14,'Allocation Factors-Union South'!$B$12:$T$116,5,FALSE)*$J14,0)+IF($F14&lt;&gt;0,VLOOKUP($H14,'Allocation Factors-Union South'!$B$12:$T$116,5,FALSE)*$F14,0)</f>
        <v>315.98948893156694</v>
      </c>
      <c r="O14" s="79">
        <f ca="1">IF($J14&lt;&gt;0,VLOOKUP($L14,'Allocation Factors-Union South'!$B$12:$T$116,6,FALSE)*$J14,0)+IF($F14&lt;&gt;0,VLOOKUP($H14,'Allocation Factors-Union South'!$B$12:$T$116,6,FALSE)*$F14,0)</f>
        <v>127.9978403323812</v>
      </c>
      <c r="P14" s="79">
        <f ca="1">IF($J14&lt;&gt;0,VLOOKUP($L14,'Allocation Factors-Union South'!$B$12:$T$116,7,FALSE)*$J14,0)+IF($F14&lt;&gt;0,VLOOKUP($H14,'Allocation Factors-Union South'!$B$12:$T$116,7,FALSE)*$F14,0)</f>
        <v>57.529527840901075</v>
      </c>
      <c r="Q14" s="79">
        <f ca="1">IF($J14&lt;&gt;0,VLOOKUP($L14,'Allocation Factors-Union South'!$B$12:$T$116,8,FALSE)*$J14,0)+IF($F14&lt;&gt;0,VLOOKUP($H14,'Allocation Factors-Union South'!$B$12:$T$116,8,FALSE)*$F14,0)</f>
        <v>2.3064633581733648E-2</v>
      </c>
      <c r="R14" s="79">
        <f ca="1">IF($J14&lt;&gt;0,VLOOKUP($L14,'Allocation Factors-Union South'!$B$12:$T$116,9,FALSE)*$J14,0)+IF($F14&lt;&gt;0,VLOOKUP($H14,'Allocation Factors-Union South'!$B$12:$T$116,9,FALSE)*$F14,0)</f>
        <v>0.4269572965614673</v>
      </c>
      <c r="S14" s="79">
        <f ca="1">IF($J14&lt;&gt;0,VLOOKUP($L14,'Allocation Factors-Union South'!$B$12:$T$116,10,FALSE)*$J14,0)+IF($F14&lt;&gt;0,VLOOKUP($H14,'Allocation Factors-Union South'!$B$12:$T$116,10,FALSE)*$F14,0)</f>
        <v>5.3382796217103596</v>
      </c>
      <c r="T14" s="79">
        <f ca="1">IF($J14&lt;&gt;0,VLOOKUP($L14,'Allocation Factors-Union South'!$B$12:$T$116,11,FALSE)*$J14,0)+IF($F14&lt;&gt;0,VLOOKUP($H14,'Allocation Factors-Union South'!$B$12:$T$116,11,FALSE)*$F14,0)</f>
        <v>69.165674559382126</v>
      </c>
      <c r="U14" s="79">
        <f ca="1">IF($J14&lt;&gt;0,VLOOKUP($L14,'Allocation Factors-Union South'!$B$12:$T$116,12,FALSE)*$J14,0)+IF($F14&lt;&gt;0,VLOOKUP($H14,'Allocation Factors-Union South'!$B$12:$T$116,12,FALSE)*$F14,0)</f>
        <v>7.3647841716260674</v>
      </c>
      <c r="V14" s="79">
        <f ca="1">IF($J14&lt;&gt;0,VLOOKUP($L14,'Allocation Factors-Union South'!$B$12:$T$116,13,FALSE)*$J14,0)+IF($F14&lt;&gt;0,VLOOKUP($H14,'Allocation Factors-Union South'!$B$12:$T$116,13,FALSE)*$F14,0)</f>
        <v>8.7286824244953873</v>
      </c>
      <c r="W14" s="79">
        <f ca="1">IF($J14&lt;&gt;0,VLOOKUP($L14,'Allocation Factors-Union South'!$B$12:$T$116,14,FALSE)*$J14,0)+IF($F14&lt;&gt;0,VLOOKUP($H14,'Allocation Factors-Union South'!$B$12:$T$116,14,FALSE)*$F14,0)</f>
        <v>38.157242354217622</v>
      </c>
      <c r="X14" s="79">
        <f ca="1">IF($J14&lt;&gt;0,VLOOKUP($L14,'Allocation Factors-Union South'!$B$12:$T$116,15,FALSE)*$J14,0)+IF($F14&lt;&gt;0,VLOOKUP($H14,'Allocation Factors-Union South'!$B$12:$T$116,15,FALSE)*$F14,0)</f>
        <v>3.6374265164997732</v>
      </c>
      <c r="Y14" s="79">
        <f ca="1">IF($J14&lt;&gt;0,VLOOKUP($L14,'Allocation Factors-Union South'!$B$12:$T$116,16,FALSE)*$J14,0)+IF($F14&lt;&gt;0,VLOOKUP($H14,'Allocation Factors-Union South'!$B$12:$T$116,16,FALSE)*$F14,0)</f>
        <v>481.03135132490092</v>
      </c>
      <c r="Z14" s="79">
        <f ca="1">IF($J14&lt;&gt;0,VLOOKUP($L14,'Allocation Factors-Union South'!$B$12:$T$116,17,FALSE)*$J14,0)+IF($F14&lt;&gt;0,VLOOKUP($H14,'Allocation Factors-Union South'!$B$12:$T$116,17,FALSE)*$F14,0)</f>
        <v>4.0470224873559362</v>
      </c>
      <c r="AA14" s="79">
        <f ca="1">IF($J14&lt;&gt;0,VLOOKUP($L14,'Allocation Factors-Union South'!$B$12:$T$116,18,FALSE)*$J14,0)+IF($F14&lt;&gt;0,VLOOKUP($H14,'Allocation Factors-Union South'!$B$12:$T$116,18,FALSE)*$F14,0)</f>
        <v>24.149064062196274</v>
      </c>
    </row>
    <row r="15" spans="1:27" x14ac:dyDescent="0.2">
      <c r="A15" s="2">
        <f t="shared" si="1"/>
        <v>5</v>
      </c>
      <c r="B15" s="31" t="s">
        <v>133</v>
      </c>
      <c r="D15" s="79">
        <f ca="1">'Total Allocation Current RZ'!S15</f>
        <v>121.83135768851581</v>
      </c>
      <c r="J15" s="79">
        <f t="shared" ca="1" si="0"/>
        <v>121.83135768851581</v>
      </c>
      <c r="L15" s="2" t="s">
        <v>264</v>
      </c>
      <c r="N15" s="79">
        <f ca="1">IF($J15&lt;&gt;0,VLOOKUP($L15,'Allocation Factors-Union South'!$B$12:$T$116,5,FALSE)*$J15,0)+IF($F15&lt;&gt;0,VLOOKUP($H15,'Allocation Factors-Union South'!$B$12:$T$116,5,FALSE)*$F15,0)</f>
        <v>33.663768851297121</v>
      </c>
      <c r="O15" s="79">
        <f ca="1">IF($J15&lt;&gt;0,VLOOKUP($L15,'Allocation Factors-Union South'!$B$12:$T$116,6,FALSE)*$J15,0)+IF($F15&lt;&gt;0,VLOOKUP($H15,'Allocation Factors-Union South'!$B$12:$T$116,6,FALSE)*$F15,0)</f>
        <v>13.636180510256411</v>
      </c>
      <c r="P15" s="79">
        <f ca="1">IF($J15&lt;&gt;0,VLOOKUP($L15,'Allocation Factors-Union South'!$B$12:$T$116,7,FALSE)*$J15,0)+IF($F15&lt;&gt;0,VLOOKUP($H15,'Allocation Factors-Union South'!$B$12:$T$116,7,FALSE)*$F15,0)</f>
        <v>6.1288770519191997</v>
      </c>
      <c r="Q15" s="79">
        <f ca="1">IF($J15&lt;&gt;0,VLOOKUP($L15,'Allocation Factors-Union South'!$B$12:$T$116,8,FALSE)*$J15,0)+IF($F15&lt;&gt;0,VLOOKUP($H15,'Allocation Factors-Union South'!$B$12:$T$116,8,FALSE)*$F15,0)</f>
        <v>2.4571782313414204E-3</v>
      </c>
      <c r="R15" s="79">
        <f ca="1">IF($J15&lt;&gt;0,VLOOKUP($L15,'Allocation Factors-Union South'!$B$12:$T$116,9,FALSE)*$J15,0)+IF($F15&lt;&gt;0,VLOOKUP($H15,'Allocation Factors-Union South'!$B$12:$T$116,9,FALSE)*$F15,0)</f>
        <v>4.548566406249252E-2</v>
      </c>
      <c r="S15" s="79">
        <f ca="1">IF($J15&lt;&gt;0,VLOOKUP($L15,'Allocation Factors-Union South'!$B$12:$T$116,10,FALSE)*$J15,0)+IF($F15&lt;&gt;0,VLOOKUP($H15,'Allocation Factors-Union South'!$B$12:$T$116,10,FALSE)*$F15,0)</f>
        <v>0.56871072470314366</v>
      </c>
      <c r="T15" s="79">
        <f ca="1">IF($J15&lt;&gt;0,VLOOKUP($L15,'Allocation Factors-Union South'!$B$12:$T$116,11,FALSE)*$J15,0)+IF($F15&lt;&gt;0,VLOOKUP($H15,'Allocation Factors-Union South'!$B$12:$T$116,11,FALSE)*$F15,0)</f>
        <v>7.3685276326243017</v>
      </c>
      <c r="U15" s="79">
        <f ca="1">IF($J15&lt;&gt;0,VLOOKUP($L15,'Allocation Factors-Union South'!$B$12:$T$116,12,FALSE)*$J15,0)+IF($F15&lt;&gt;0,VLOOKUP($H15,'Allocation Factors-Union South'!$B$12:$T$116,12,FALSE)*$F15,0)</f>
        <v>0.7846032880131798</v>
      </c>
      <c r="V15" s="79">
        <f ca="1">IF($J15&lt;&gt;0,VLOOKUP($L15,'Allocation Factors-Union South'!$B$12:$T$116,13,FALSE)*$J15,0)+IF($F15&lt;&gt;0,VLOOKUP($H15,'Allocation Factors-Union South'!$B$12:$T$116,13,FALSE)*$F15,0)</f>
        <v>0.92990544877974968</v>
      </c>
      <c r="W15" s="79">
        <f ca="1">IF($J15&lt;&gt;0,VLOOKUP($L15,'Allocation Factors-Union South'!$B$12:$T$116,14,FALSE)*$J15,0)+IF($F15&lt;&gt;0,VLOOKUP($H15,'Allocation Factors-Union South'!$B$12:$T$116,14,FALSE)*$F15,0)</f>
        <v>4.0650611226295927</v>
      </c>
      <c r="X15" s="79">
        <f ca="1">IF($J15&lt;&gt;0,VLOOKUP($L15,'Allocation Factors-Union South'!$B$12:$T$116,15,FALSE)*$J15,0)+IF($F15&lt;&gt;0,VLOOKUP($H15,'Allocation Factors-Union South'!$B$12:$T$116,15,FALSE)*$F15,0)</f>
        <v>0.38751126146333892</v>
      </c>
      <c r="Y15" s="79">
        <f ca="1">IF($J15&lt;&gt;0,VLOOKUP($L15,'Allocation Factors-Union South'!$B$12:$T$116,16,FALSE)*$J15,0)+IF($F15&lt;&gt;0,VLOOKUP($H15,'Allocation Factors-Union South'!$B$12:$T$116,16,FALSE)*$F15,0)</f>
        <v>51.246414163907559</v>
      </c>
      <c r="Z15" s="79">
        <f ca="1">IF($J15&lt;&gt;0,VLOOKUP($L15,'Allocation Factors-Union South'!$B$12:$T$116,17,FALSE)*$J15,0)+IF($F15&lt;&gt;0,VLOOKUP($H15,'Allocation Factors-Union South'!$B$12:$T$116,17,FALSE)*$F15,0)</f>
        <v>0.43114734610636529</v>
      </c>
      <c r="AA15" s="79">
        <f ca="1">IF($J15&lt;&gt;0,VLOOKUP($L15,'Allocation Factors-Union South'!$B$12:$T$116,18,FALSE)*$J15,0)+IF($F15&lt;&gt;0,VLOOKUP($H15,'Allocation Factors-Union South'!$B$12:$T$116,18,FALSE)*$F15,0)</f>
        <v>2.5727074445219911</v>
      </c>
    </row>
    <row r="16" spans="1:27" x14ac:dyDescent="0.2">
      <c r="A16" s="2">
        <f t="shared" si="1"/>
        <v>6</v>
      </c>
      <c r="B16" s="31" t="s">
        <v>135</v>
      </c>
      <c r="D16" s="79">
        <f ca="1">'Total Allocation Current RZ'!S16</f>
        <v>4565.7843354255938</v>
      </c>
      <c r="J16" s="79">
        <f t="shared" ca="1" si="0"/>
        <v>4565.7843354255938</v>
      </c>
      <c r="L16" s="2" t="s">
        <v>221</v>
      </c>
      <c r="N16" s="79">
        <f ca="1">IF($J16&lt;&gt;0,VLOOKUP($L16,'Allocation Factors-Union South'!$B$12:$T$116,5,FALSE)*$J16,0)+IF($F16&lt;&gt;0,VLOOKUP($H16,'Allocation Factors-Union South'!$B$12:$T$116,5,FALSE)*$F16,0)</f>
        <v>3621.5258251384876</v>
      </c>
      <c r="O16" s="79">
        <f ca="1">IF($J16&lt;&gt;0,VLOOKUP($L16,'Allocation Factors-Union South'!$B$12:$T$116,6,FALSE)*$J16,0)+IF($F16&lt;&gt;0,VLOOKUP($H16,'Allocation Factors-Union South'!$B$12:$T$116,6,FALSE)*$F16,0)</f>
        <v>811.41561007020323</v>
      </c>
      <c r="P16" s="79">
        <f ca="1">IF($J16&lt;&gt;0,VLOOKUP($L16,'Allocation Factors-Union South'!$B$12:$T$116,7,FALSE)*$J16,0)+IF($F16&lt;&gt;0,VLOOKUP($H16,'Allocation Factors-Union South'!$B$12:$T$116,7,FALSE)*$F16,0)</f>
        <v>69.822862816801305</v>
      </c>
      <c r="Q16" s="79">
        <f ca="1">IF($J16&lt;&gt;0,VLOOKUP($L16,'Allocation Factors-Union South'!$B$12:$T$116,8,FALSE)*$J16,0)+IF($F16&lt;&gt;0,VLOOKUP($H16,'Allocation Factors-Union South'!$B$12:$T$116,8,FALSE)*$F16,0)</f>
        <v>0</v>
      </c>
      <c r="R16" s="79">
        <f ca="1">IF($J16&lt;&gt;0,VLOOKUP($L16,'Allocation Factors-Union South'!$B$12:$T$116,9,FALSE)*$J16,0)+IF($F16&lt;&gt;0,VLOOKUP($H16,'Allocation Factors-Union South'!$B$12:$T$116,9,FALSE)*$F16,0)</f>
        <v>0.35727313964826313</v>
      </c>
      <c r="S16" s="79">
        <f ca="1">IF($J16&lt;&gt;0,VLOOKUP($L16,'Allocation Factors-Union South'!$B$12:$T$116,10,FALSE)*$J16,0)+IF($F16&lt;&gt;0,VLOOKUP($H16,'Allocation Factors-Union South'!$B$12:$T$116,10,FALSE)*$F16,0)</f>
        <v>2.1880491782257225</v>
      </c>
      <c r="T16" s="79">
        <f ca="1">IF($J16&lt;&gt;0,VLOOKUP($L16,'Allocation Factors-Union South'!$B$12:$T$116,11,FALSE)*$J16,0)+IF($F16&lt;&gt;0,VLOOKUP($H16,'Allocation Factors-Union South'!$B$12:$T$116,11,FALSE)*$F16,0)</f>
        <v>39.33863171480467</v>
      </c>
      <c r="U16" s="79">
        <f ca="1">IF($J16&lt;&gt;0,VLOOKUP($L16,'Allocation Factors-Union South'!$B$12:$T$116,12,FALSE)*$J16,0)+IF($F16&lt;&gt;0,VLOOKUP($H16,'Allocation Factors-Union South'!$B$12:$T$116,12,FALSE)*$F16,0)</f>
        <v>2.5571469613499236</v>
      </c>
      <c r="V16" s="79">
        <f ca="1">IF($J16&lt;&gt;0,VLOOKUP($L16,'Allocation Factors-Union South'!$B$12:$T$116,13,FALSE)*$J16,0)+IF($F16&lt;&gt;0,VLOOKUP($H16,'Allocation Factors-Union South'!$B$12:$T$116,13,FALSE)*$F16,0)</f>
        <v>18.578936406072419</v>
      </c>
      <c r="W16" s="79">
        <f ca="1">IF($J16&lt;&gt;0,VLOOKUP($L16,'Allocation Factors-Union South'!$B$12:$T$116,14,FALSE)*$J16,0)+IF($F16&lt;&gt;0,VLOOKUP($H16,'Allocation Factors-Union South'!$B$12:$T$116,14,FALSE)*$F16,0)</f>
        <v>0</v>
      </c>
      <c r="X16" s="79">
        <f ca="1">IF($J16&lt;&gt;0,VLOOKUP($L16,'Allocation Factors-Union South'!$B$12:$T$116,15,FALSE)*$J16,0)+IF($F16&lt;&gt;0,VLOOKUP($H16,'Allocation Factors-Union South'!$B$12:$T$116,15,FALSE)*$F16,0)</f>
        <v>0</v>
      </c>
      <c r="Y16" s="79">
        <f ca="1">IF($J16&lt;&gt;0,VLOOKUP($L16,'Allocation Factors-Union South'!$B$12:$T$116,16,FALSE)*$J16,0)+IF($F16&lt;&gt;0,VLOOKUP($H16,'Allocation Factors-Union South'!$B$12:$T$116,16,FALSE)*$F16,0)</f>
        <v>0</v>
      </c>
      <c r="Z16" s="79">
        <f ca="1">IF($J16&lt;&gt;0,VLOOKUP($L16,'Allocation Factors-Union South'!$B$12:$T$116,17,FALSE)*$J16,0)+IF($F16&lt;&gt;0,VLOOKUP($H16,'Allocation Factors-Union South'!$B$12:$T$116,17,FALSE)*$F16,0)</f>
        <v>0</v>
      </c>
      <c r="AA16" s="79">
        <f ca="1">IF($J16&lt;&gt;0,VLOOKUP($L16,'Allocation Factors-Union South'!$B$12:$T$116,18,FALSE)*$J16,0)+IF($F16&lt;&gt;0,VLOOKUP($H16,'Allocation Factors-Union South'!$B$12:$T$116,18,FALSE)*$F16,0)</f>
        <v>0</v>
      </c>
    </row>
    <row r="17" spans="1:27" x14ac:dyDescent="0.2">
      <c r="A17" s="2">
        <f t="shared" si="1"/>
        <v>7</v>
      </c>
      <c r="B17" s="31" t="s">
        <v>383</v>
      </c>
      <c r="D17" s="41">
        <f ca="1">SUM(D11:D16)</f>
        <v>631491.1536804646</v>
      </c>
      <c r="F17" s="81">
        <f>SUM(F11:F16)</f>
        <v>0</v>
      </c>
      <c r="J17" s="41">
        <f ca="1">SUM(J11:J16)</f>
        <v>631491.1536804646</v>
      </c>
      <c r="N17" s="41">
        <f t="shared" ref="N17:V17" ca="1" si="2">SUM(N11:N16)</f>
        <v>496163.09612904122</v>
      </c>
      <c r="O17" s="41">
        <f t="shared" ca="1" si="2"/>
        <v>112135.99490674454</v>
      </c>
      <c r="P17" s="41">
        <f t="shared" ca="1" si="2"/>
        <v>10255.660171934162</v>
      </c>
      <c r="Q17" s="41">
        <f t="shared" ca="1" si="2"/>
        <v>2.5521811813075067E-2</v>
      </c>
      <c r="R17" s="41">
        <f t="shared" ca="1" si="2"/>
        <v>56.11156635945671</v>
      </c>
      <c r="S17" s="41">
        <f t="shared" ca="1" si="2"/>
        <v>301.33039320639887</v>
      </c>
      <c r="T17" s="41">
        <f t="shared" ca="1" si="2"/>
        <v>6657.8783834481264</v>
      </c>
      <c r="U17" s="41">
        <f t="shared" ca="1" si="2"/>
        <v>353.4071926556125</v>
      </c>
      <c r="V17" s="41">
        <f t="shared" ca="1" si="2"/>
        <v>2594.9527106409541</v>
      </c>
      <c r="W17" s="41">
        <f ca="1">SUM(W11:W16)</f>
        <v>309.5460741447705</v>
      </c>
      <c r="X17" s="41">
        <f ca="1">SUM(X11:X16)</f>
        <v>4.0249377779631121</v>
      </c>
      <c r="Y17" s="41">
        <f ca="1">SUM(Y11:Y16)</f>
        <v>2199.8890596790325</v>
      </c>
      <c r="Z17" s="41">
        <f ca="1">SUM(Z11:Z16)</f>
        <v>4.4781698334623012</v>
      </c>
      <c r="AA17" s="41">
        <f ca="1">SUM(AA11:AA16)</f>
        <v>454.75846318699706</v>
      </c>
    </row>
    <row r="18" spans="1:27" x14ac:dyDescent="0.2"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</row>
    <row r="19" spans="1:27" x14ac:dyDescent="0.2">
      <c r="B19" s="77" t="s">
        <v>97</v>
      </c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</row>
    <row r="20" spans="1:27" x14ac:dyDescent="0.2">
      <c r="A20" s="2">
        <f>A17+1</f>
        <v>8</v>
      </c>
      <c r="B20" s="31" t="s">
        <v>89</v>
      </c>
      <c r="D20" s="79">
        <f ca="1">'Total Allocation Current RZ'!S20</f>
        <v>36278.984431003031</v>
      </c>
      <c r="J20" s="79">
        <f t="shared" ref="J20:J23" ca="1" si="3">D20-F20</f>
        <v>36278.984431003031</v>
      </c>
      <c r="L20" s="2" t="s">
        <v>156</v>
      </c>
      <c r="N20" s="79">
        <f ca="1">IF($J20&lt;&gt;0,VLOOKUP($L20,'Allocation Factors-Union South'!$B$12:$T$116,5,FALSE)*$J20,0)+IF($F20&lt;&gt;0,VLOOKUP($H20,'Allocation Factors-Union South'!$B$12:$T$116,5,FALSE)*$F20,0)</f>
        <v>18040.783462728585</v>
      </c>
      <c r="O20" s="79">
        <f ca="1">IF($J20&lt;&gt;0,VLOOKUP($L20,'Allocation Factors-Union South'!$B$12:$T$116,6,FALSE)*$J20,0)+IF($F20&lt;&gt;0,VLOOKUP($H20,'Allocation Factors-Union South'!$B$12:$T$116,6,FALSE)*$F20,0)</f>
        <v>6428.3893114107705</v>
      </c>
      <c r="P20" s="79">
        <f ca="1">IF($J20&lt;&gt;0,VLOOKUP($L20,'Allocation Factors-Union South'!$B$12:$T$116,7,FALSE)*$J20,0)+IF($F20&lt;&gt;0,VLOOKUP($H20,'Allocation Factors-Union South'!$B$12:$T$116,7,FALSE)*$F20,0)</f>
        <v>2015.0924947683368</v>
      </c>
      <c r="Q20" s="79">
        <f ca="1">IF($J20&lt;&gt;0,VLOOKUP($L20,'Allocation Factors-Union South'!$B$12:$T$116,8,FALSE)*$J20,0)+IF($F20&lt;&gt;0,VLOOKUP($H20,'Allocation Factors-Union South'!$B$12:$T$116,8,FALSE)*$F20,0)</f>
        <v>0</v>
      </c>
      <c r="R20" s="79">
        <f ca="1">IF($J20&lt;&gt;0,VLOOKUP($L20,'Allocation Factors-Union South'!$B$12:$T$116,9,FALSE)*$J20,0)+IF($F20&lt;&gt;0,VLOOKUP($H20,'Allocation Factors-Union South'!$B$12:$T$116,9,FALSE)*$F20,0)</f>
        <v>19.502255951328099</v>
      </c>
      <c r="S20" s="79">
        <f ca="1">IF($J20&lt;&gt;0,VLOOKUP($L20,'Allocation Factors-Union South'!$B$12:$T$116,10,FALSE)*$J20,0)+IF($F20&lt;&gt;0,VLOOKUP($H20,'Allocation Factors-Union South'!$B$12:$T$116,10,FALSE)*$F20,0)</f>
        <v>0</v>
      </c>
      <c r="T20" s="79">
        <f ca="1">IF($J20&lt;&gt;0,VLOOKUP($L20,'Allocation Factors-Union South'!$B$12:$T$116,11,FALSE)*$J20,0)+IF($F20&lt;&gt;0,VLOOKUP($H20,'Allocation Factors-Union South'!$B$12:$T$116,11,FALSE)*$F20,0)</f>
        <v>3346.3605382088485</v>
      </c>
      <c r="U20" s="79">
        <f ca="1">IF($J20&lt;&gt;0,VLOOKUP($L20,'Allocation Factors-Union South'!$B$12:$T$116,12,FALSE)*$J20,0)+IF($F20&lt;&gt;0,VLOOKUP($H20,'Allocation Factors-Union South'!$B$12:$T$116,12,FALSE)*$F20,0)</f>
        <v>0</v>
      </c>
      <c r="V20" s="79">
        <f ca="1">IF($J20&lt;&gt;0,VLOOKUP($L20,'Allocation Factors-Union South'!$B$12:$T$116,13,FALSE)*$J20,0)+IF($F20&lt;&gt;0,VLOOKUP($H20,'Allocation Factors-Union South'!$B$12:$T$116,13,FALSE)*$F20,0)</f>
        <v>202.43500610814803</v>
      </c>
      <c r="W20" s="79">
        <f ca="1">IF($J20&lt;&gt;0,VLOOKUP($L20,'Allocation Factors-Union South'!$B$12:$T$116,14,FALSE)*$J20,0)+IF($F20&lt;&gt;0,VLOOKUP($H20,'Allocation Factors-Union South'!$B$12:$T$116,14,FALSE)*$F20,0)</f>
        <v>704.39709302714152</v>
      </c>
      <c r="X20" s="79">
        <f ca="1">IF($J20&lt;&gt;0,VLOOKUP($L20,'Allocation Factors-Union South'!$B$12:$T$116,15,FALSE)*$J20,0)+IF($F20&lt;&gt;0,VLOOKUP($H20,'Allocation Factors-Union South'!$B$12:$T$116,15,FALSE)*$F20,0)</f>
        <v>0</v>
      </c>
      <c r="Y20" s="79">
        <f ca="1">IF($J20&lt;&gt;0,VLOOKUP($L20,'Allocation Factors-Union South'!$B$12:$T$116,16,FALSE)*$J20,0)+IF($F20&lt;&gt;0,VLOOKUP($H20,'Allocation Factors-Union South'!$B$12:$T$116,16,FALSE)*$F20,0)</f>
        <v>4394.1492557577967</v>
      </c>
      <c r="Z20" s="79">
        <f ca="1">IF($J20&lt;&gt;0,VLOOKUP($L20,'Allocation Factors-Union South'!$B$12:$T$116,17,FALSE)*$J20,0)+IF($F20&lt;&gt;0,VLOOKUP($H20,'Allocation Factors-Union South'!$B$12:$T$116,17,FALSE)*$F20,0)</f>
        <v>0</v>
      </c>
      <c r="AA20" s="79">
        <f ca="1">IF($J20&lt;&gt;0,VLOOKUP($L20,'Allocation Factors-Union South'!$B$12:$T$116,18,FALSE)*$J20,0)+IF($F20&lt;&gt;0,VLOOKUP($H20,'Allocation Factors-Union South'!$B$12:$T$116,18,FALSE)*$F20,0)</f>
        <v>1127.8750130420844</v>
      </c>
    </row>
    <row r="21" spans="1:27" x14ac:dyDescent="0.2">
      <c r="A21" s="2">
        <f>A20+1</f>
        <v>9</v>
      </c>
      <c r="B21" s="31" t="s">
        <v>90</v>
      </c>
      <c r="D21" s="79">
        <f ca="1">'Total Allocation Current RZ'!S21</f>
        <v>21717.927351344169</v>
      </c>
      <c r="F21" s="79">
        <v>8392.1488871965394</v>
      </c>
      <c r="H21" s="2" t="s">
        <v>333</v>
      </c>
      <c r="J21" s="79">
        <f t="shared" ca="1" si="3"/>
        <v>13325.77846414763</v>
      </c>
      <c r="L21" s="2" t="s">
        <v>157</v>
      </c>
      <c r="N21" s="79">
        <f ca="1">IF($J21&lt;&gt;0,VLOOKUP($L21,'Allocation Factors-Union South'!$B$12:$T$116,5,FALSE)*$J21,0)+IF($F21&lt;&gt;0,VLOOKUP($H21,'Allocation Factors-Union South'!$B$12:$T$116,5,FALSE)*$F21,0)</f>
        <v>13097.202120815455</v>
      </c>
      <c r="O21" s="79">
        <f ca="1">IF($J21&lt;&gt;0,VLOOKUP($L21,'Allocation Factors-Union South'!$B$12:$T$116,6,FALSE)*$J21,0)+IF($F21&lt;&gt;0,VLOOKUP($H21,'Allocation Factors-Union South'!$B$12:$T$116,6,FALSE)*$F21,0)</f>
        <v>3939.5532069846549</v>
      </c>
      <c r="P21" s="79">
        <f ca="1">IF($J21&lt;&gt;0,VLOOKUP($L21,'Allocation Factors-Union South'!$B$12:$T$116,7,FALSE)*$J21,0)+IF($F21&lt;&gt;0,VLOOKUP($H21,'Allocation Factors-Union South'!$B$12:$T$116,7,FALSE)*$F21,0)</f>
        <v>808.89211812824647</v>
      </c>
      <c r="Q21" s="79">
        <f ca="1">IF($J21&lt;&gt;0,VLOOKUP($L21,'Allocation Factors-Union South'!$B$12:$T$116,8,FALSE)*$J21,0)+IF($F21&lt;&gt;0,VLOOKUP($H21,'Allocation Factors-Union South'!$B$12:$T$116,8,FALSE)*$F21,0)</f>
        <v>1.7423891159257394</v>
      </c>
      <c r="R21" s="79">
        <f ca="1">IF($J21&lt;&gt;0,VLOOKUP($L21,'Allocation Factors-Union South'!$B$12:$T$116,9,FALSE)*$J21,0)+IF($F21&lt;&gt;0,VLOOKUP($H21,'Allocation Factors-Union South'!$B$12:$T$116,9,FALSE)*$F21,0)</f>
        <v>3.2091845323308776</v>
      </c>
      <c r="S21" s="79">
        <f ca="1">IF($J21&lt;&gt;0,VLOOKUP($L21,'Allocation Factors-Union South'!$B$12:$T$116,10,FALSE)*$J21,0)+IF($F21&lt;&gt;0,VLOOKUP($H21,'Allocation Factors-Union South'!$B$12:$T$116,10,FALSE)*$F21,0)</f>
        <v>0</v>
      </c>
      <c r="T21" s="79">
        <f ca="1">IF($J21&lt;&gt;0,VLOOKUP($L21,'Allocation Factors-Union South'!$B$12:$T$116,11,FALSE)*$J21,0)+IF($F21&lt;&gt;0,VLOOKUP($H21,'Allocation Factors-Union South'!$B$12:$T$116,11,FALSE)*$F21,0)</f>
        <v>1111.3908807196026</v>
      </c>
      <c r="U21" s="79">
        <f ca="1">IF($J21&lt;&gt;0,VLOOKUP($L21,'Allocation Factors-Union South'!$B$12:$T$116,12,FALSE)*$J21,0)+IF($F21&lt;&gt;0,VLOOKUP($H21,'Allocation Factors-Union South'!$B$12:$T$116,12,FALSE)*$F21,0)</f>
        <v>115.47217669309057</v>
      </c>
      <c r="V21" s="79">
        <f ca="1">IF($J21&lt;&gt;0,VLOOKUP($L21,'Allocation Factors-Union South'!$B$12:$T$116,13,FALSE)*$J21,0)+IF($F21&lt;&gt;0,VLOOKUP($H21,'Allocation Factors-Union South'!$B$12:$T$116,13,FALSE)*$F21,0)</f>
        <v>112.58136900390795</v>
      </c>
      <c r="W21" s="79">
        <f ca="1">IF($J21&lt;&gt;0,VLOOKUP($L21,'Allocation Factors-Union South'!$B$12:$T$116,14,FALSE)*$J21,0)+IF($F21&lt;&gt;0,VLOOKUP($H21,'Allocation Factors-Union South'!$B$12:$T$116,14,FALSE)*$F21,0)</f>
        <v>266.27931326605318</v>
      </c>
      <c r="X21" s="79">
        <f ca="1">IF($J21&lt;&gt;0,VLOOKUP($L21,'Allocation Factors-Union South'!$B$12:$T$116,15,FALSE)*$J21,0)+IF($F21&lt;&gt;0,VLOOKUP($H21,'Allocation Factors-Union South'!$B$12:$T$116,15,FALSE)*$F21,0)</f>
        <v>0</v>
      </c>
      <c r="Y21" s="79">
        <f ca="1">IF($J21&lt;&gt;0,VLOOKUP($L21,'Allocation Factors-Union South'!$B$12:$T$116,16,FALSE)*$J21,0)+IF($F21&lt;&gt;0,VLOOKUP($H21,'Allocation Factors-Union South'!$B$12:$T$116,16,FALSE)*$F21,0)</f>
        <v>1686.571067861244</v>
      </c>
      <c r="Z21" s="79">
        <f ca="1">IF($J21&lt;&gt;0,VLOOKUP($L21,'Allocation Factors-Union South'!$B$12:$T$116,17,FALSE)*$J21,0)+IF($F21&lt;&gt;0,VLOOKUP($H21,'Allocation Factors-Union South'!$B$12:$T$116,17,FALSE)*$F21,0)</f>
        <v>0</v>
      </c>
      <c r="AA21" s="79">
        <f ca="1">IF($J21&lt;&gt;0,VLOOKUP($L21,'Allocation Factors-Union South'!$B$12:$T$116,18,FALSE)*$J21,0)+IF($F21&lt;&gt;0,VLOOKUP($H21,'Allocation Factors-Union South'!$B$12:$T$116,18,FALSE)*$F21,0)</f>
        <v>575.03352422366163</v>
      </c>
    </row>
    <row r="22" spans="1:27" x14ac:dyDescent="0.2">
      <c r="A22" s="2">
        <f t="shared" ref="A22:A24" si="4">A21+1</f>
        <v>10</v>
      </c>
      <c r="B22" s="31" t="s">
        <v>345</v>
      </c>
      <c r="D22" s="79">
        <f ca="1">'Total Allocation Current RZ'!S22</f>
        <v>1682.6449750057097</v>
      </c>
      <c r="J22" s="79">
        <f t="shared" ca="1" si="3"/>
        <v>1682.6449750057097</v>
      </c>
      <c r="L22" s="2" t="s">
        <v>346</v>
      </c>
      <c r="N22" s="79">
        <f ca="1">IF($J22&lt;&gt;0,VLOOKUP($L22,'Allocation Factors-Union South'!$B$12:$T$116,5,FALSE)*$J22,0)+IF($F22&lt;&gt;0,VLOOKUP($H22,'Allocation Factors-Union South'!$B$12:$T$116,5,FALSE)*$F22,0)</f>
        <v>1029.1608900131475</v>
      </c>
      <c r="O22" s="79">
        <f ca="1">IF($J22&lt;&gt;0,VLOOKUP($L22,'Allocation Factors-Union South'!$B$12:$T$116,6,FALSE)*$J22,0)+IF($F22&lt;&gt;0,VLOOKUP($H22,'Allocation Factors-Union South'!$B$12:$T$116,6,FALSE)*$F22,0)</f>
        <v>353.54388906781759</v>
      </c>
      <c r="P22" s="79">
        <f ca="1">IF($J22&lt;&gt;0,VLOOKUP($L22,'Allocation Factors-Union South'!$B$12:$T$116,7,FALSE)*$J22,0)+IF($F22&lt;&gt;0,VLOOKUP($H22,'Allocation Factors-Union South'!$B$12:$T$116,7,FALSE)*$F22,0)</f>
        <v>31.842459512776227</v>
      </c>
      <c r="Q22" s="79">
        <f ca="1">IF($J22&lt;&gt;0,VLOOKUP($L22,'Allocation Factors-Union South'!$B$12:$T$116,8,FALSE)*$J22,0)+IF($F22&lt;&gt;0,VLOOKUP($H22,'Allocation Factors-Union South'!$B$12:$T$116,8,FALSE)*$F22,0)</f>
        <v>4.5476832882082006E-2</v>
      </c>
      <c r="R22" s="79">
        <f ca="1">IF($J22&lt;&gt;0,VLOOKUP($L22,'Allocation Factors-Union South'!$B$12:$T$116,9,FALSE)*$J22,0)+IF($F22&lt;&gt;0,VLOOKUP($H22,'Allocation Factors-Union South'!$B$12:$T$116,9,FALSE)*$F22,0)</f>
        <v>0.17456601708302005</v>
      </c>
      <c r="S22" s="79">
        <f ca="1">IF($J22&lt;&gt;0,VLOOKUP($L22,'Allocation Factors-Union South'!$B$12:$T$116,10,FALSE)*$J22,0)+IF($F22&lt;&gt;0,VLOOKUP($H22,'Allocation Factors-Union South'!$B$12:$T$116,10,FALSE)*$F22,0)</f>
        <v>0.68734429035650757</v>
      </c>
      <c r="T22" s="79">
        <f ca="1">IF($J22&lt;&gt;0,VLOOKUP($L22,'Allocation Factors-Union South'!$B$12:$T$116,11,FALSE)*$J22,0)+IF($F22&lt;&gt;0,VLOOKUP($H22,'Allocation Factors-Union South'!$B$12:$T$116,11,FALSE)*$F22,0)</f>
        <v>42.973254570061151</v>
      </c>
      <c r="U22" s="79">
        <f ca="1">IF($J22&lt;&gt;0,VLOOKUP($L22,'Allocation Factors-Union South'!$B$12:$T$116,12,FALSE)*$J22,0)+IF($F22&lt;&gt;0,VLOOKUP($H22,'Allocation Factors-Union South'!$B$12:$T$116,12,FALSE)*$F22,0)</f>
        <v>3.76531556607544</v>
      </c>
      <c r="V22" s="79">
        <f ca="1">IF($J22&lt;&gt;0,VLOOKUP($L22,'Allocation Factors-Union South'!$B$12:$T$116,13,FALSE)*$J22,0)+IF($F22&lt;&gt;0,VLOOKUP($H22,'Allocation Factors-Union South'!$B$12:$T$116,13,FALSE)*$F22,0)</f>
        <v>4.4381319310841096</v>
      </c>
      <c r="W22" s="79">
        <f ca="1">IF($J22&lt;&gt;0,VLOOKUP($L22,'Allocation Factors-Union South'!$B$12:$T$116,14,FALSE)*$J22,0)+IF($F22&lt;&gt;0,VLOOKUP($H22,'Allocation Factors-Union South'!$B$12:$T$116,14,FALSE)*$F22,0)</f>
        <v>19.309149656981869</v>
      </c>
      <c r="X22" s="79">
        <f ca="1">IF($J22&lt;&gt;0,VLOOKUP($L22,'Allocation Factors-Union South'!$B$12:$T$116,15,FALSE)*$J22,0)+IF($F22&lt;&gt;0,VLOOKUP($H22,'Allocation Factors-Union South'!$B$12:$T$116,15,FALSE)*$F22,0)</f>
        <v>0</v>
      </c>
      <c r="Y22" s="79">
        <f ca="1">IF($J22&lt;&gt;0,VLOOKUP($L22,'Allocation Factors-Union South'!$B$12:$T$116,16,FALSE)*$J22,0)+IF($F22&lt;&gt;0,VLOOKUP($H22,'Allocation Factors-Union South'!$B$12:$T$116,16,FALSE)*$F22,0)</f>
        <v>165.67873265451124</v>
      </c>
      <c r="Z22" s="79">
        <f ca="1">IF($J22&lt;&gt;0,VLOOKUP($L22,'Allocation Factors-Union South'!$B$12:$T$116,17,FALSE)*$J22,0)+IF($F22&lt;&gt;0,VLOOKUP($H22,'Allocation Factors-Union South'!$B$12:$T$116,17,FALSE)*$F22,0)</f>
        <v>0</v>
      </c>
      <c r="AA22" s="79">
        <f ca="1">IF($J22&lt;&gt;0,VLOOKUP($L22,'Allocation Factors-Union South'!$B$12:$T$116,18,FALSE)*$J22,0)+IF($F22&lt;&gt;0,VLOOKUP($H22,'Allocation Factors-Union South'!$B$12:$T$116,18,FALSE)*$F22,0)</f>
        <v>31.02576489293304</v>
      </c>
    </row>
    <row r="23" spans="1:27" x14ac:dyDescent="0.2">
      <c r="A23" s="2">
        <f t="shared" si="4"/>
        <v>11</v>
      </c>
      <c r="B23" s="31" t="s">
        <v>91</v>
      </c>
      <c r="D23" s="79">
        <f ca="1">'Total Allocation Current RZ'!S23</f>
        <v>5254.2287199364273</v>
      </c>
      <c r="J23" s="79">
        <f t="shared" ca="1" si="3"/>
        <v>5254.2287199364273</v>
      </c>
      <c r="L23" s="2" t="s">
        <v>334</v>
      </c>
      <c r="N23" s="79">
        <f ca="1">IF($J23&lt;&gt;0,VLOOKUP($L23,'Allocation Factors-Union South'!$B$12:$T$116,5,FALSE)*$J23,0)+IF($F23&lt;&gt;0,VLOOKUP($H23,'Allocation Factors-Union South'!$B$12:$T$116,5,FALSE)*$F23,0)</f>
        <v>2169.9622353559271</v>
      </c>
      <c r="O23" s="79">
        <f ca="1">IF($J23&lt;&gt;0,VLOOKUP($L23,'Allocation Factors-Union South'!$B$12:$T$116,6,FALSE)*$J23,0)+IF($F23&lt;&gt;0,VLOOKUP($H23,'Allocation Factors-Union South'!$B$12:$T$116,6,FALSE)*$F23,0)</f>
        <v>878.98645194662379</v>
      </c>
      <c r="P23" s="79">
        <f ca="1">IF($J23&lt;&gt;0,VLOOKUP($L23,'Allocation Factors-Union South'!$B$12:$T$116,7,FALSE)*$J23,0)+IF($F23&lt;&gt;0,VLOOKUP($H23,'Allocation Factors-Union South'!$B$12:$T$116,7,FALSE)*$F23,0)</f>
        <v>395.06663102850359</v>
      </c>
      <c r="Q23" s="79">
        <f ca="1">IF($J23&lt;&gt;0,VLOOKUP($L23,'Allocation Factors-Union South'!$B$12:$T$116,8,FALSE)*$J23,0)+IF($F23&lt;&gt;0,VLOOKUP($H23,'Allocation Factors-Union South'!$B$12:$T$116,8,FALSE)*$F23,0)</f>
        <v>0.15838939457737222</v>
      </c>
      <c r="R23" s="79">
        <f ca="1">IF($J23&lt;&gt;0,VLOOKUP($L23,'Allocation Factors-Union South'!$B$12:$T$116,9,FALSE)*$J23,0)+IF($F23&lt;&gt;0,VLOOKUP($H23,'Allocation Factors-Union South'!$B$12:$T$116,9,FALSE)*$F23,0)</f>
        <v>2.9320000889291955</v>
      </c>
      <c r="S23" s="79">
        <f ca="1">IF($J23&lt;&gt;0,VLOOKUP($L23,'Allocation Factors-Union South'!$B$12:$T$116,10,FALSE)*$J23,0)+IF($F23&lt;&gt;0,VLOOKUP($H23,'Allocation Factors-Union South'!$B$12:$T$116,10,FALSE)*$F23,0)</f>
        <v>36.659020589733274</v>
      </c>
      <c r="T23" s="79">
        <f ca="1">IF($J23&lt;&gt;0,VLOOKUP($L23,'Allocation Factors-Union South'!$B$12:$T$116,11,FALSE)*$J23,0)+IF($F23&lt;&gt;0,VLOOKUP($H23,'Allocation Factors-Union South'!$B$12:$T$116,11,FALSE)*$F23,0)</f>
        <v>474.97434893880705</v>
      </c>
      <c r="U23" s="79">
        <f ca="1">IF($J23&lt;&gt;0,VLOOKUP($L23,'Allocation Factors-Union South'!$B$12:$T$116,12,FALSE)*$J23,0)+IF($F23&lt;&gt;0,VLOOKUP($H23,'Allocation Factors-Union South'!$B$12:$T$116,12,FALSE)*$F23,0)</f>
        <v>50.575427613152939</v>
      </c>
      <c r="V23" s="79">
        <f ca="1">IF($J23&lt;&gt;0,VLOOKUP($L23,'Allocation Factors-Union South'!$B$12:$T$116,13,FALSE)*$J23,0)+IF($F23&lt;&gt;0,VLOOKUP($H23,'Allocation Factors-Union South'!$B$12:$T$116,13,FALSE)*$F23,0)</f>
        <v>59.941586315461244</v>
      </c>
      <c r="W23" s="79">
        <f ca="1">IF($J23&lt;&gt;0,VLOOKUP($L23,'Allocation Factors-Union South'!$B$12:$T$116,14,FALSE)*$J23,0)+IF($F23&lt;&gt;0,VLOOKUP($H23,'Allocation Factors-Union South'!$B$12:$T$116,14,FALSE)*$F23,0)</f>
        <v>87.213189076900605</v>
      </c>
      <c r="X23" s="79">
        <f ca="1">IF($J23&lt;&gt;0,VLOOKUP($L23,'Allocation Factors-Union South'!$B$12:$T$116,15,FALSE)*$J23,0)+IF($F23&lt;&gt;0,VLOOKUP($H23,'Allocation Factors-Union South'!$B$12:$T$116,15,FALSE)*$F23,0)</f>
        <v>0</v>
      </c>
      <c r="Y23" s="79">
        <f ca="1">IF($J23&lt;&gt;0,VLOOKUP($L23,'Allocation Factors-Union South'!$B$12:$T$116,16,FALSE)*$J23,0)+IF($F23&lt;&gt;0,VLOOKUP($H23,'Allocation Factors-Union South'!$B$12:$T$116,16,FALSE)*$F23,0)</f>
        <v>910.09303431914532</v>
      </c>
      <c r="Z23" s="79">
        <f ca="1">IF($J23&lt;&gt;0,VLOOKUP($L23,'Allocation Factors-Union South'!$B$12:$T$116,17,FALSE)*$J23,0)+IF($F23&lt;&gt;0,VLOOKUP($H23,'Allocation Factors-Union South'!$B$12:$T$116,17,FALSE)*$F23,0)</f>
        <v>0</v>
      </c>
      <c r="AA23" s="79">
        <f ca="1">IF($J23&lt;&gt;0,VLOOKUP($L23,'Allocation Factors-Union South'!$B$12:$T$116,18,FALSE)*$J23,0)+IF($F23&lt;&gt;0,VLOOKUP($H23,'Allocation Factors-Union South'!$B$12:$T$116,18,FALSE)*$F23,0)</f>
        <v>187.66640526866527</v>
      </c>
    </row>
    <row r="24" spans="1:27" x14ac:dyDescent="0.2">
      <c r="A24" s="2">
        <f t="shared" si="4"/>
        <v>12</v>
      </c>
      <c r="B24" s="31" t="s">
        <v>96</v>
      </c>
      <c r="D24" s="41">
        <f ca="1">SUM(D20:D23)</f>
        <v>64933.785477289341</v>
      </c>
      <c r="F24" s="41">
        <f>SUM(F20:F23)</f>
        <v>8392.1488871965394</v>
      </c>
      <c r="H24" s="122"/>
      <c r="J24" s="41">
        <f ca="1">SUM(J20:J23)</f>
        <v>56541.636590092799</v>
      </c>
      <c r="N24" s="41">
        <f t="shared" ref="N24:V24" ca="1" si="5">SUM(N20:N23)</f>
        <v>34337.108708913111</v>
      </c>
      <c r="O24" s="41">
        <f t="shared" ca="1" si="5"/>
        <v>11600.472859409869</v>
      </c>
      <c r="P24" s="41">
        <f t="shared" ca="1" si="5"/>
        <v>3250.8937034378632</v>
      </c>
      <c r="Q24" s="41">
        <f t="shared" ca="1" si="5"/>
        <v>1.9462553433851937</v>
      </c>
      <c r="R24" s="41">
        <f t="shared" ca="1" si="5"/>
        <v>25.818006589671192</v>
      </c>
      <c r="S24" s="41">
        <f t="shared" ca="1" si="5"/>
        <v>37.34636488008978</v>
      </c>
      <c r="T24" s="41">
        <f t="shared" ca="1" si="5"/>
        <v>4975.6990224373194</v>
      </c>
      <c r="U24" s="41">
        <f t="shared" ca="1" si="5"/>
        <v>169.81291987231896</v>
      </c>
      <c r="V24" s="41">
        <f t="shared" ca="1" si="5"/>
        <v>379.39609335860132</v>
      </c>
      <c r="W24" s="41">
        <f ca="1">SUM(W20:W23)</f>
        <v>1077.1987450270772</v>
      </c>
      <c r="X24" s="41">
        <f ca="1">SUM(X20:X23)</f>
        <v>0</v>
      </c>
      <c r="Y24" s="41">
        <f ca="1">SUM(Y20:Y23)</f>
        <v>7156.4920905926974</v>
      </c>
      <c r="Z24" s="41">
        <f ca="1">SUM(Z20:Z23)</f>
        <v>0</v>
      </c>
      <c r="AA24" s="41">
        <f ca="1">SUM(AA20:AA23)</f>
        <v>1921.6007074273443</v>
      </c>
    </row>
    <row r="25" spans="1:27" x14ac:dyDescent="0.2"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</row>
    <row r="26" spans="1:27" x14ac:dyDescent="0.2">
      <c r="B26" s="77" t="s">
        <v>98</v>
      </c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</row>
    <row r="27" spans="1:27" x14ac:dyDescent="0.2">
      <c r="A27" s="2">
        <f>A24+1</f>
        <v>13</v>
      </c>
      <c r="B27" s="31" t="s">
        <v>92</v>
      </c>
      <c r="D27" s="79">
        <f ca="1">'Total Allocation Current RZ'!S27</f>
        <v>2801.1189262642133</v>
      </c>
      <c r="J27" s="79">
        <f t="shared" ref="J27:J33" ca="1" si="6">D27-F27</f>
        <v>2801.1189262642133</v>
      </c>
      <c r="L27" s="2" t="s">
        <v>533</v>
      </c>
      <c r="N27" s="79">
        <f ca="1">IF($J27&lt;&gt;0,VLOOKUP($L27,'Allocation Factors-Union South'!$B$12:$T$116,5,FALSE)*$J27,0)+IF($F27&lt;&gt;0,VLOOKUP($H27,'Allocation Factors-Union South'!$B$12:$T$116,5,FALSE)*$F27,0)</f>
        <v>1389.9058088681438</v>
      </c>
      <c r="O27" s="79">
        <f ca="1">IF($J27&lt;&gt;0,VLOOKUP($L27,'Allocation Factors-Union South'!$B$12:$T$116,6,FALSE)*$J27,0)+IF($F27&lt;&gt;0,VLOOKUP($H27,'Allocation Factors-Union South'!$B$12:$T$116,6,FALSE)*$F27,0)</f>
        <v>505.82572772262353</v>
      </c>
      <c r="P27" s="79">
        <f ca="1">IF($J27&lt;&gt;0,VLOOKUP($L27,'Allocation Factors-Union South'!$B$12:$T$116,7,FALSE)*$J27,0)+IF($F27&lt;&gt;0,VLOOKUP($H27,'Allocation Factors-Union South'!$B$12:$T$116,7,FALSE)*$F27,0)</f>
        <v>117.66708308880581</v>
      </c>
      <c r="Q27" s="79">
        <f ca="1">IF($J27&lt;&gt;0,VLOOKUP($L27,'Allocation Factors-Union South'!$B$12:$T$116,8,FALSE)*$J27,0)+IF($F27&lt;&gt;0,VLOOKUP($H27,'Allocation Factors-Union South'!$B$12:$T$116,8,FALSE)*$F27,0)</f>
        <v>0</v>
      </c>
      <c r="R27" s="79">
        <f ca="1">IF($J27&lt;&gt;0,VLOOKUP($L27,'Allocation Factors-Union South'!$B$12:$T$116,9,FALSE)*$J27,0)+IF($F27&lt;&gt;0,VLOOKUP($H27,'Allocation Factors-Union South'!$B$12:$T$116,9,FALSE)*$F27,0)</f>
        <v>0.48531212098932291</v>
      </c>
      <c r="S27" s="79">
        <f ca="1">IF($J27&lt;&gt;0,VLOOKUP($L27,'Allocation Factors-Union South'!$B$12:$T$116,10,FALSE)*$J27,0)+IF($F27&lt;&gt;0,VLOOKUP($H27,'Allocation Factors-Union South'!$B$12:$T$116,10,FALSE)*$F27,0)</f>
        <v>0</v>
      </c>
      <c r="T27" s="79">
        <f ca="1">IF($J27&lt;&gt;0,VLOOKUP($L27,'Allocation Factors-Union South'!$B$12:$T$116,11,FALSE)*$J27,0)+IF($F27&lt;&gt;0,VLOOKUP($H27,'Allocation Factors-Union South'!$B$12:$T$116,11,FALSE)*$F27,0)</f>
        <v>91.231658825503359</v>
      </c>
      <c r="U27" s="79">
        <f ca="1">IF($J27&lt;&gt;0,VLOOKUP($L27,'Allocation Factors-Union South'!$B$12:$T$116,12,FALSE)*$J27,0)+IF($F27&lt;&gt;0,VLOOKUP($H27,'Allocation Factors-Union South'!$B$12:$T$116,12,FALSE)*$F27,0)</f>
        <v>0</v>
      </c>
      <c r="V27" s="79">
        <f ca="1">IF($J27&lt;&gt;0,VLOOKUP($L27,'Allocation Factors-Union South'!$B$12:$T$116,13,FALSE)*$J27,0)+IF($F27&lt;&gt;0,VLOOKUP($H27,'Allocation Factors-Union South'!$B$12:$T$116,13,FALSE)*$F27,0)</f>
        <v>28.247882651754189</v>
      </c>
      <c r="W27" s="79">
        <f ca="1">IF($J27&lt;&gt;0,VLOOKUP($L27,'Allocation Factors-Union South'!$B$12:$T$116,14,FALSE)*$J27,0)+IF($F27&lt;&gt;0,VLOOKUP($H27,'Allocation Factors-Union South'!$B$12:$T$116,14,FALSE)*$F27,0)</f>
        <v>69.301140205149807</v>
      </c>
      <c r="X27" s="79">
        <f ca="1">IF($J27&lt;&gt;0,VLOOKUP($L27,'Allocation Factors-Union South'!$B$12:$T$116,15,FALSE)*$J27,0)+IF($F27&lt;&gt;0,VLOOKUP($H27,'Allocation Factors-Union South'!$B$12:$T$116,15,FALSE)*$F27,0)</f>
        <v>0</v>
      </c>
      <c r="Y27" s="79">
        <f ca="1">IF($J27&lt;&gt;0,VLOOKUP($L27,'Allocation Factors-Union South'!$B$12:$T$116,16,FALSE)*$J27,0)+IF($F27&lt;&gt;0,VLOOKUP($H27,'Allocation Factors-Union South'!$B$12:$T$116,16,FALSE)*$F27,0)</f>
        <v>449.93184281203332</v>
      </c>
      <c r="Z27" s="79">
        <f ca="1">IF($J27&lt;&gt;0,VLOOKUP($L27,'Allocation Factors-Union South'!$B$12:$T$116,17,FALSE)*$J27,0)+IF($F27&lt;&gt;0,VLOOKUP($H27,'Allocation Factors-Union South'!$B$12:$T$116,17,FALSE)*$F27,0)</f>
        <v>0</v>
      </c>
      <c r="AA27" s="79">
        <f ca="1">IF($J27&lt;&gt;0,VLOOKUP($L27,'Allocation Factors-Union South'!$B$12:$T$116,18,FALSE)*$J27,0)+IF($F27&lt;&gt;0,VLOOKUP($H27,'Allocation Factors-Union South'!$B$12:$T$116,18,FALSE)*$F27,0)</f>
        <v>148.52246996920982</v>
      </c>
    </row>
    <row r="28" spans="1:27" x14ac:dyDescent="0.2">
      <c r="A28" s="2">
        <f>A27+1</f>
        <v>14</v>
      </c>
      <c r="B28" s="31" t="s">
        <v>93</v>
      </c>
      <c r="D28" s="79">
        <f ca="1">'Total Allocation Current RZ'!S28</f>
        <v>286.05282800224472</v>
      </c>
      <c r="J28" s="79">
        <f t="shared" ca="1" si="6"/>
        <v>286.05282800224472</v>
      </c>
      <c r="L28" s="2" t="s">
        <v>218</v>
      </c>
      <c r="N28" s="79">
        <f ca="1">IF($J28&lt;&gt;0,VLOOKUP($L28,'Allocation Factors-Union South'!$B$12:$T$116,5,FALSE)*$J28,0)+IF($F28&lt;&gt;0,VLOOKUP($H28,'Allocation Factors-Union South'!$B$12:$T$116,5,FALSE)*$F28,0)</f>
        <v>141.93845307872445</v>
      </c>
      <c r="O28" s="79">
        <f ca="1">IF($J28&lt;&gt;0,VLOOKUP($L28,'Allocation Factors-Union South'!$B$12:$T$116,6,FALSE)*$J28,0)+IF($F28&lt;&gt;0,VLOOKUP($H28,'Allocation Factors-Union South'!$B$12:$T$116,6,FALSE)*$F28,0)</f>
        <v>51.655386186806233</v>
      </c>
      <c r="P28" s="79">
        <f ca="1">IF($J28&lt;&gt;0,VLOOKUP($L28,'Allocation Factors-Union South'!$B$12:$T$116,7,FALSE)*$J28,0)+IF($F28&lt;&gt;0,VLOOKUP($H28,'Allocation Factors-Union South'!$B$12:$T$116,7,FALSE)*$F28,0)</f>
        <v>12.016270200001195</v>
      </c>
      <c r="Q28" s="79">
        <f ca="1">IF($J28&lt;&gt;0,VLOOKUP($L28,'Allocation Factors-Union South'!$B$12:$T$116,8,FALSE)*$J28,0)+IF($F28&lt;&gt;0,VLOOKUP($H28,'Allocation Factors-Union South'!$B$12:$T$116,8,FALSE)*$F28,0)</f>
        <v>0</v>
      </c>
      <c r="R28" s="79">
        <f ca="1">IF($J28&lt;&gt;0,VLOOKUP($L28,'Allocation Factors-Union South'!$B$12:$T$116,9,FALSE)*$J28,0)+IF($F28&lt;&gt;0,VLOOKUP($H28,'Allocation Factors-Union South'!$B$12:$T$116,9,FALSE)*$F28,0)</f>
        <v>4.9560517895579304E-2</v>
      </c>
      <c r="S28" s="79">
        <f ca="1">IF($J28&lt;&gt;0,VLOOKUP($L28,'Allocation Factors-Union South'!$B$12:$T$116,10,FALSE)*$J28,0)+IF($F28&lt;&gt;0,VLOOKUP($H28,'Allocation Factors-Union South'!$B$12:$T$116,10,FALSE)*$F28,0)</f>
        <v>0</v>
      </c>
      <c r="T28" s="79">
        <f ca="1">IF($J28&lt;&gt;0,VLOOKUP($L28,'Allocation Factors-Union South'!$B$12:$T$116,11,FALSE)*$J28,0)+IF($F28&lt;&gt;0,VLOOKUP($H28,'Allocation Factors-Union South'!$B$12:$T$116,11,FALSE)*$F28,0)</f>
        <v>9.3166604836647355</v>
      </c>
      <c r="U28" s="79">
        <f ca="1">IF($J28&lt;&gt;0,VLOOKUP($L28,'Allocation Factors-Union South'!$B$12:$T$116,12,FALSE)*$J28,0)+IF($F28&lt;&gt;0,VLOOKUP($H28,'Allocation Factors-Union South'!$B$12:$T$116,12,FALSE)*$F28,0)</f>
        <v>0</v>
      </c>
      <c r="V28" s="79">
        <f ca="1">IF($J28&lt;&gt;0,VLOOKUP($L28,'Allocation Factors-Union South'!$B$12:$T$116,13,FALSE)*$J28,0)+IF($F28&lt;&gt;0,VLOOKUP($H28,'Allocation Factors-Union South'!$B$12:$T$116,13,FALSE)*$F28,0)</f>
        <v>2.8846996255123156</v>
      </c>
      <c r="W28" s="79">
        <f ca="1">IF($J28&lt;&gt;0,VLOOKUP($L28,'Allocation Factors-Union South'!$B$12:$T$116,14,FALSE)*$J28,0)+IF($F28&lt;&gt;0,VLOOKUP($H28,'Allocation Factors-Union South'!$B$12:$T$116,14,FALSE)*$F28,0)</f>
        <v>7.077095853942085</v>
      </c>
      <c r="X28" s="79">
        <f ca="1">IF($J28&lt;&gt;0,VLOOKUP($L28,'Allocation Factors-Union South'!$B$12:$T$116,15,FALSE)*$J28,0)+IF($F28&lt;&gt;0,VLOOKUP($H28,'Allocation Factors-Union South'!$B$12:$T$116,15,FALSE)*$F28,0)</f>
        <v>0</v>
      </c>
      <c r="Y28" s="79">
        <f ca="1">IF($J28&lt;&gt;0,VLOOKUP($L28,'Allocation Factors-Union South'!$B$12:$T$116,16,FALSE)*$J28,0)+IF($F28&lt;&gt;0,VLOOKUP($H28,'Allocation Factors-Union South'!$B$12:$T$116,16,FALSE)*$F28,0)</f>
        <v>45.947451512276018</v>
      </c>
      <c r="Z28" s="79">
        <f ca="1">IF($J28&lt;&gt;0,VLOOKUP($L28,'Allocation Factors-Union South'!$B$12:$T$116,17,FALSE)*$J28,0)+IF($F28&lt;&gt;0,VLOOKUP($H28,'Allocation Factors-Union South'!$B$12:$T$116,17,FALSE)*$F28,0)</f>
        <v>0</v>
      </c>
      <c r="AA28" s="79">
        <f ca="1">IF($J28&lt;&gt;0,VLOOKUP($L28,'Allocation Factors-Union South'!$B$12:$T$116,18,FALSE)*$J28,0)+IF($F28&lt;&gt;0,VLOOKUP($H28,'Allocation Factors-Union South'!$B$12:$T$116,18,FALSE)*$F28,0)</f>
        <v>15.167250543422147</v>
      </c>
    </row>
    <row r="29" spans="1:27" x14ac:dyDescent="0.2">
      <c r="A29" s="2">
        <f t="shared" ref="A29:A34" si="7">A28+1</f>
        <v>15</v>
      </c>
      <c r="B29" s="31" t="s">
        <v>94</v>
      </c>
      <c r="D29" s="79">
        <f ca="1">'Total Allocation Current RZ'!S29</f>
        <v>0</v>
      </c>
      <c r="J29" s="79">
        <f t="shared" ca="1" si="6"/>
        <v>0</v>
      </c>
      <c r="L29" s="2" t="s">
        <v>230</v>
      </c>
      <c r="N29" s="79">
        <f ca="1">IF($J29&lt;&gt;0,VLOOKUP($L29,'Allocation Factors-Union South'!$B$12:$T$116,5,FALSE)*$J29,0)+IF($F29&lt;&gt;0,VLOOKUP($H29,'Allocation Factors-Union South'!$B$12:$T$116,5,FALSE)*$F29,0)</f>
        <v>0</v>
      </c>
      <c r="O29" s="79">
        <f ca="1">IF($J29&lt;&gt;0,VLOOKUP($L29,'Allocation Factors-Union South'!$B$12:$T$116,6,FALSE)*$J29,0)+IF($F29&lt;&gt;0,VLOOKUP($H29,'Allocation Factors-Union South'!$B$12:$T$116,6,FALSE)*$F29,0)</f>
        <v>0</v>
      </c>
      <c r="P29" s="79">
        <f ca="1">IF($J29&lt;&gt;0,VLOOKUP($L29,'Allocation Factors-Union South'!$B$12:$T$116,7,FALSE)*$J29,0)+IF($F29&lt;&gt;0,VLOOKUP($H29,'Allocation Factors-Union South'!$B$12:$T$116,7,FALSE)*$F29,0)</f>
        <v>0</v>
      </c>
      <c r="Q29" s="79">
        <f ca="1">IF($J29&lt;&gt;0,VLOOKUP($L29,'Allocation Factors-Union South'!$B$12:$T$116,8,FALSE)*$J29,0)+IF($F29&lt;&gt;0,VLOOKUP($H29,'Allocation Factors-Union South'!$B$12:$T$116,8,FALSE)*$F29,0)</f>
        <v>0</v>
      </c>
      <c r="R29" s="79">
        <f ca="1">IF($J29&lt;&gt;0,VLOOKUP($L29,'Allocation Factors-Union South'!$B$12:$T$116,9,FALSE)*$J29,0)+IF($F29&lt;&gt;0,VLOOKUP($H29,'Allocation Factors-Union South'!$B$12:$T$116,9,FALSE)*$F29,0)</f>
        <v>0</v>
      </c>
      <c r="S29" s="79">
        <f ca="1">IF($J29&lt;&gt;0,VLOOKUP($L29,'Allocation Factors-Union South'!$B$12:$T$116,10,FALSE)*$J29,0)+IF($F29&lt;&gt;0,VLOOKUP($H29,'Allocation Factors-Union South'!$B$12:$T$116,10,FALSE)*$F29,0)</f>
        <v>0</v>
      </c>
      <c r="T29" s="79">
        <f ca="1">IF($J29&lt;&gt;0,VLOOKUP($L29,'Allocation Factors-Union South'!$B$12:$T$116,11,FALSE)*$J29,0)+IF($F29&lt;&gt;0,VLOOKUP($H29,'Allocation Factors-Union South'!$B$12:$T$116,11,FALSE)*$F29,0)</f>
        <v>0</v>
      </c>
      <c r="U29" s="79">
        <f ca="1">IF($J29&lt;&gt;0,VLOOKUP($L29,'Allocation Factors-Union South'!$B$12:$T$116,12,FALSE)*$J29,0)+IF($F29&lt;&gt;0,VLOOKUP($H29,'Allocation Factors-Union South'!$B$12:$T$116,12,FALSE)*$F29,0)</f>
        <v>0</v>
      </c>
      <c r="V29" s="79">
        <f ca="1">IF($J29&lt;&gt;0,VLOOKUP($L29,'Allocation Factors-Union South'!$B$12:$T$116,13,FALSE)*$J29,0)+IF($F29&lt;&gt;0,VLOOKUP($H29,'Allocation Factors-Union South'!$B$12:$T$116,13,FALSE)*$F29,0)</f>
        <v>0</v>
      </c>
      <c r="W29" s="79">
        <f ca="1">IF($J29&lt;&gt;0,VLOOKUP($L29,'Allocation Factors-Union South'!$B$12:$T$116,14,FALSE)*$J29,0)+IF($F29&lt;&gt;0,VLOOKUP($H29,'Allocation Factors-Union South'!$B$12:$T$116,14,FALSE)*$F29,0)</f>
        <v>0</v>
      </c>
      <c r="X29" s="79">
        <f ca="1">IF($J29&lt;&gt;0,VLOOKUP($L29,'Allocation Factors-Union South'!$B$12:$T$116,15,FALSE)*$J29,0)+IF($F29&lt;&gt;0,VLOOKUP($H29,'Allocation Factors-Union South'!$B$12:$T$116,15,FALSE)*$F29,0)</f>
        <v>0</v>
      </c>
      <c r="Y29" s="79">
        <f ca="1">IF($J29&lt;&gt;0,VLOOKUP($L29,'Allocation Factors-Union South'!$B$12:$T$116,16,FALSE)*$J29,0)+IF($F29&lt;&gt;0,VLOOKUP($H29,'Allocation Factors-Union South'!$B$12:$T$116,16,FALSE)*$F29,0)</f>
        <v>0</v>
      </c>
      <c r="Z29" s="79">
        <f ca="1">IF($J29&lt;&gt;0,VLOOKUP($L29,'Allocation Factors-Union South'!$B$12:$T$116,17,FALSE)*$J29,0)+IF($F29&lt;&gt;0,VLOOKUP($H29,'Allocation Factors-Union South'!$B$12:$T$116,17,FALSE)*$F29,0)</f>
        <v>0</v>
      </c>
      <c r="AA29" s="79">
        <f ca="1">IF($J29&lt;&gt;0,VLOOKUP($L29,'Allocation Factors-Union South'!$B$12:$T$116,18,FALSE)*$J29,0)+IF($F29&lt;&gt;0,VLOOKUP($H29,'Allocation Factors-Union South'!$B$12:$T$116,18,FALSE)*$F29,0)</f>
        <v>0</v>
      </c>
    </row>
    <row r="30" spans="1:27" x14ac:dyDescent="0.2">
      <c r="A30" s="2">
        <f t="shared" si="7"/>
        <v>16</v>
      </c>
      <c r="B30" s="31" t="s">
        <v>330</v>
      </c>
      <c r="D30" s="79">
        <f ca="1">'Total Allocation Current RZ'!S30</f>
        <v>45205.240605894047</v>
      </c>
      <c r="J30" s="79">
        <f t="shared" ca="1" si="6"/>
        <v>45205.240605894047</v>
      </c>
      <c r="L30" s="2" t="s">
        <v>222</v>
      </c>
      <c r="N30" s="79">
        <f ca="1">IF($J30&lt;&gt;0,VLOOKUP($L30,'Allocation Factors-Union South'!$B$12:$T$116,5,FALSE)*$J30,0)+IF($F30&lt;&gt;0,VLOOKUP($H30,'Allocation Factors-Union South'!$B$12:$T$116,5,FALSE)*$F30,0)</f>
        <v>22430.688650985088</v>
      </c>
      <c r="O30" s="79">
        <f ca="1">IF($J30&lt;&gt;0,VLOOKUP($L30,'Allocation Factors-Union South'!$B$12:$T$116,6,FALSE)*$J30,0)+IF($F30&lt;&gt;0,VLOOKUP($H30,'Allocation Factors-Union South'!$B$12:$T$116,6,FALSE)*$F30,0)</f>
        <v>8163.1570555443941</v>
      </c>
      <c r="P30" s="79">
        <f ca="1">IF($J30&lt;&gt;0,VLOOKUP($L30,'Allocation Factors-Union South'!$B$12:$T$116,7,FALSE)*$J30,0)+IF($F30&lt;&gt;0,VLOOKUP($H30,'Allocation Factors-Union South'!$B$12:$T$116,7,FALSE)*$F30,0)</f>
        <v>1898.9442942064741</v>
      </c>
      <c r="Q30" s="79">
        <f ca="1">IF($J30&lt;&gt;0,VLOOKUP($L30,'Allocation Factors-Union South'!$B$12:$T$116,8,FALSE)*$J30,0)+IF($F30&lt;&gt;0,VLOOKUP($H30,'Allocation Factors-Union South'!$B$12:$T$116,8,FALSE)*$F30,0)</f>
        <v>0</v>
      </c>
      <c r="R30" s="79">
        <f ca="1">IF($J30&lt;&gt;0,VLOOKUP($L30,'Allocation Factors-Union South'!$B$12:$T$116,9,FALSE)*$J30,0)+IF($F30&lt;&gt;0,VLOOKUP($H30,'Allocation Factors-Union South'!$B$12:$T$116,9,FALSE)*$F30,0)</f>
        <v>7.8321027331524871</v>
      </c>
      <c r="S30" s="79">
        <f ca="1">IF($J30&lt;&gt;0,VLOOKUP($L30,'Allocation Factors-Union South'!$B$12:$T$116,10,FALSE)*$J30,0)+IF($F30&lt;&gt;0,VLOOKUP($H30,'Allocation Factors-Union South'!$B$12:$T$116,10,FALSE)*$F30,0)</f>
        <v>0</v>
      </c>
      <c r="T30" s="79">
        <f ca="1">IF($J30&lt;&gt;0,VLOOKUP($L30,'Allocation Factors-Union South'!$B$12:$T$116,11,FALSE)*$J30,0)+IF($F30&lt;&gt;0,VLOOKUP($H30,'Allocation Factors-Union South'!$B$12:$T$116,11,FALSE)*$F30,0)</f>
        <v>1472.3220243925871</v>
      </c>
      <c r="U30" s="79">
        <f ca="1">IF($J30&lt;&gt;0,VLOOKUP($L30,'Allocation Factors-Union South'!$B$12:$T$116,12,FALSE)*$J30,0)+IF($F30&lt;&gt;0,VLOOKUP($H30,'Allocation Factors-Union South'!$B$12:$T$116,12,FALSE)*$F30,0)</f>
        <v>0</v>
      </c>
      <c r="V30" s="79">
        <f ca="1">IF($J30&lt;&gt;0,VLOOKUP($L30,'Allocation Factors-Union South'!$B$12:$T$116,13,FALSE)*$J30,0)+IF($F30&lt;&gt;0,VLOOKUP($H30,'Allocation Factors-Union South'!$B$12:$T$116,13,FALSE)*$F30,0)</f>
        <v>455.87223016719605</v>
      </c>
      <c r="W30" s="79">
        <f ca="1">IF($J30&lt;&gt;0,VLOOKUP($L30,'Allocation Factors-Union South'!$B$12:$T$116,14,FALSE)*$J30,0)+IF($F30&lt;&gt;0,VLOOKUP($H30,'Allocation Factors-Union South'!$B$12:$T$116,14,FALSE)*$F30,0)</f>
        <v>1118.4011817073053</v>
      </c>
      <c r="X30" s="79">
        <f ca="1">IF($J30&lt;&gt;0,VLOOKUP($L30,'Allocation Factors-Union South'!$B$12:$T$116,15,FALSE)*$J30,0)+IF($F30&lt;&gt;0,VLOOKUP($H30,'Allocation Factors-Union South'!$B$12:$T$116,15,FALSE)*$F30,0)</f>
        <v>0</v>
      </c>
      <c r="Y30" s="79">
        <f ca="1">IF($J30&lt;&gt;0,VLOOKUP($L30,'Allocation Factors-Union South'!$B$12:$T$116,16,FALSE)*$J30,0)+IF($F30&lt;&gt;0,VLOOKUP($H30,'Allocation Factors-Union South'!$B$12:$T$116,16,FALSE)*$F30,0)</f>
        <v>7261.1259093155631</v>
      </c>
      <c r="Z30" s="79">
        <f ca="1">IF($J30&lt;&gt;0,VLOOKUP($L30,'Allocation Factors-Union South'!$B$12:$T$116,17,FALSE)*$J30,0)+IF($F30&lt;&gt;0,VLOOKUP($H30,'Allocation Factors-Union South'!$B$12:$T$116,17,FALSE)*$F30,0)</f>
        <v>0</v>
      </c>
      <c r="AA30" s="79">
        <f ca="1">IF($J30&lt;&gt;0,VLOOKUP($L30,'Allocation Factors-Union South'!$B$12:$T$116,18,FALSE)*$J30,0)+IF($F30&lt;&gt;0,VLOOKUP($H30,'Allocation Factors-Union South'!$B$12:$T$116,18,FALSE)*$F30,0)</f>
        <v>2396.8971568422839</v>
      </c>
    </row>
    <row r="31" spans="1:27" x14ac:dyDescent="0.2">
      <c r="A31" s="2">
        <f t="shared" si="7"/>
        <v>17</v>
      </c>
      <c r="B31" s="31" t="s">
        <v>331</v>
      </c>
      <c r="D31" s="79">
        <f ca="1">'Total Allocation Current RZ'!S31</f>
        <v>0</v>
      </c>
      <c r="J31" s="79">
        <f t="shared" ca="1" si="6"/>
        <v>0</v>
      </c>
      <c r="L31" s="2" t="s">
        <v>332</v>
      </c>
      <c r="N31" s="79">
        <f ca="1">IF($J31&lt;&gt;0,VLOOKUP($L31,'Allocation Factors-Union South'!$B$12:$T$116,5,FALSE)*$J31,0)+IF($F31&lt;&gt;0,VLOOKUP($H31,'Allocation Factors-Union South'!$B$12:$T$116,5,FALSE)*$F31,0)</f>
        <v>0</v>
      </c>
      <c r="O31" s="79">
        <f ca="1">IF($J31&lt;&gt;0,VLOOKUP($L31,'Allocation Factors-Union South'!$B$12:$T$116,6,FALSE)*$J31,0)+IF($F31&lt;&gt;0,VLOOKUP($H31,'Allocation Factors-Union South'!$B$12:$T$116,6,FALSE)*$F31,0)</f>
        <v>0</v>
      </c>
      <c r="P31" s="79">
        <f ca="1">IF($J31&lt;&gt;0,VLOOKUP($L31,'Allocation Factors-Union South'!$B$12:$T$116,7,FALSE)*$J31,0)+IF($F31&lt;&gt;0,VLOOKUP($H31,'Allocation Factors-Union South'!$B$12:$T$116,7,FALSE)*$F31,0)</f>
        <v>0</v>
      </c>
      <c r="Q31" s="79">
        <f ca="1">IF($J31&lt;&gt;0,VLOOKUP($L31,'Allocation Factors-Union South'!$B$12:$T$116,8,FALSE)*$J31,0)+IF($F31&lt;&gt;0,VLOOKUP($H31,'Allocation Factors-Union South'!$B$12:$T$116,8,FALSE)*$F31,0)</f>
        <v>0</v>
      </c>
      <c r="R31" s="79">
        <f ca="1">IF($J31&lt;&gt;0,VLOOKUP($L31,'Allocation Factors-Union South'!$B$12:$T$116,9,FALSE)*$J31,0)+IF($F31&lt;&gt;0,VLOOKUP($H31,'Allocation Factors-Union South'!$B$12:$T$116,9,FALSE)*$F31,0)</f>
        <v>0</v>
      </c>
      <c r="S31" s="79">
        <f ca="1">IF($J31&lt;&gt;0,VLOOKUP($L31,'Allocation Factors-Union South'!$B$12:$T$116,10,FALSE)*$J31,0)+IF($F31&lt;&gt;0,VLOOKUP($H31,'Allocation Factors-Union South'!$B$12:$T$116,10,FALSE)*$F31,0)</f>
        <v>0</v>
      </c>
      <c r="T31" s="79">
        <f ca="1">IF($J31&lt;&gt;0,VLOOKUP($L31,'Allocation Factors-Union South'!$B$12:$T$116,11,FALSE)*$J31,0)+IF($F31&lt;&gt;0,VLOOKUP($H31,'Allocation Factors-Union South'!$B$12:$T$116,11,FALSE)*$F31,0)</f>
        <v>0</v>
      </c>
      <c r="U31" s="79">
        <f ca="1">IF($J31&lt;&gt;0,VLOOKUP($L31,'Allocation Factors-Union South'!$B$12:$T$116,12,FALSE)*$J31,0)+IF($F31&lt;&gt;0,VLOOKUP($H31,'Allocation Factors-Union South'!$B$12:$T$116,12,FALSE)*$F31,0)</f>
        <v>0</v>
      </c>
      <c r="V31" s="79">
        <f ca="1">IF($J31&lt;&gt;0,VLOOKUP($L31,'Allocation Factors-Union South'!$B$12:$T$116,13,FALSE)*$J31,0)+IF($F31&lt;&gt;0,VLOOKUP($H31,'Allocation Factors-Union South'!$B$12:$T$116,13,FALSE)*$F31,0)</f>
        <v>0</v>
      </c>
      <c r="W31" s="79">
        <f ca="1">IF($J31&lt;&gt;0,VLOOKUP($L31,'Allocation Factors-Union South'!$B$12:$T$116,14,FALSE)*$J31,0)+IF($F31&lt;&gt;0,VLOOKUP($H31,'Allocation Factors-Union South'!$B$12:$T$116,14,FALSE)*$F31,0)</f>
        <v>0</v>
      </c>
      <c r="X31" s="79">
        <f ca="1">IF($J31&lt;&gt;0,VLOOKUP($L31,'Allocation Factors-Union South'!$B$12:$T$116,15,FALSE)*$J31,0)+IF($F31&lt;&gt;0,VLOOKUP($H31,'Allocation Factors-Union South'!$B$12:$T$116,15,FALSE)*$F31,0)</f>
        <v>0</v>
      </c>
      <c r="Y31" s="79">
        <f ca="1">IF($J31&lt;&gt;0,VLOOKUP($L31,'Allocation Factors-Union South'!$B$12:$T$116,16,FALSE)*$J31,0)+IF($F31&lt;&gt;0,VLOOKUP($H31,'Allocation Factors-Union South'!$B$12:$T$116,16,FALSE)*$F31,0)</f>
        <v>0</v>
      </c>
      <c r="Z31" s="79">
        <f ca="1">IF($J31&lt;&gt;0,VLOOKUP($L31,'Allocation Factors-Union South'!$B$12:$T$116,17,FALSE)*$J31,0)+IF($F31&lt;&gt;0,VLOOKUP($H31,'Allocation Factors-Union South'!$B$12:$T$116,17,FALSE)*$F31,0)</f>
        <v>0</v>
      </c>
      <c r="AA31" s="79">
        <f ca="1">IF($J31&lt;&gt;0,VLOOKUP($L31,'Allocation Factors-Union South'!$B$12:$T$116,18,FALSE)*$J31,0)+IF($F31&lt;&gt;0,VLOOKUP($H31,'Allocation Factors-Union South'!$B$12:$T$116,18,FALSE)*$F31,0)</f>
        <v>0</v>
      </c>
    </row>
    <row r="32" spans="1:27" x14ac:dyDescent="0.2">
      <c r="A32" s="2">
        <f t="shared" si="7"/>
        <v>18</v>
      </c>
      <c r="B32" s="31" t="s">
        <v>146</v>
      </c>
      <c r="D32" s="79">
        <f ca="1">'Total Allocation Current RZ'!S32</f>
        <v>53148.309605428803</v>
      </c>
      <c r="J32" s="79">
        <f t="shared" ca="1" si="6"/>
        <v>53148.309605428803</v>
      </c>
      <c r="L32" s="2" t="s">
        <v>229</v>
      </c>
      <c r="N32" s="79">
        <f ca="1">IF($J32&lt;&gt;0,VLOOKUP($L32,'Allocation Factors-Union South'!$B$12:$T$116,5,FALSE)*$J32,0)+IF($F32&lt;&gt;0,VLOOKUP($H32,'Allocation Factors-Union South'!$B$12:$T$116,5,FALSE)*$F32,0)</f>
        <v>9930.5114993892548</v>
      </c>
      <c r="O32" s="79">
        <f ca="1">IF($J32&lt;&gt;0,VLOOKUP($L32,'Allocation Factors-Union South'!$B$12:$T$116,6,FALSE)*$J32,0)+IF($F32&lt;&gt;0,VLOOKUP($H32,'Allocation Factors-Union South'!$B$12:$T$116,6,FALSE)*$F32,0)</f>
        <v>3916.264356628134</v>
      </c>
      <c r="P32" s="79">
        <f ca="1">IF($J32&lt;&gt;0,VLOOKUP($L32,'Allocation Factors-Union South'!$B$12:$T$116,7,FALSE)*$J32,0)+IF($F32&lt;&gt;0,VLOOKUP($H32,'Allocation Factors-Union South'!$B$12:$T$116,7,FALSE)*$F32,0)</f>
        <v>3233.7000313466197</v>
      </c>
      <c r="Q32" s="79">
        <f ca="1">IF($J32&lt;&gt;0,VLOOKUP($L32,'Allocation Factors-Union South'!$B$12:$T$116,8,FALSE)*$J32,0)+IF($F32&lt;&gt;0,VLOOKUP($H32,'Allocation Factors-Union South'!$B$12:$T$116,8,FALSE)*$F32,0)</f>
        <v>0</v>
      </c>
      <c r="R32" s="79">
        <f ca="1">IF($J32&lt;&gt;0,VLOOKUP($L32,'Allocation Factors-Union South'!$B$12:$T$116,9,FALSE)*$J32,0)+IF($F32&lt;&gt;0,VLOOKUP($H32,'Allocation Factors-Union South'!$B$12:$T$116,9,FALSE)*$F32,0)</f>
        <v>41.781432517694981</v>
      </c>
      <c r="S32" s="79">
        <f ca="1">IF($J32&lt;&gt;0,VLOOKUP($L32,'Allocation Factors-Union South'!$B$12:$T$116,10,FALSE)*$J32,0)+IF($F32&lt;&gt;0,VLOOKUP($H32,'Allocation Factors-Union South'!$B$12:$T$116,10,FALSE)*$F32,0)</f>
        <v>0</v>
      </c>
      <c r="T32" s="79">
        <f ca="1">IF($J32&lt;&gt;0,VLOOKUP($L32,'Allocation Factors-Union South'!$B$12:$T$116,11,FALSE)*$J32,0)+IF($F32&lt;&gt;0,VLOOKUP($H32,'Allocation Factors-Union South'!$B$12:$T$116,11,FALSE)*$F32,0)</f>
        <v>7019.1379475594031</v>
      </c>
      <c r="U32" s="79">
        <f ca="1">IF($J32&lt;&gt;0,VLOOKUP($L32,'Allocation Factors-Union South'!$B$12:$T$116,12,FALSE)*$J32,0)+IF($F32&lt;&gt;0,VLOOKUP($H32,'Allocation Factors-Union South'!$B$12:$T$116,12,FALSE)*$F32,0)</f>
        <v>0</v>
      </c>
      <c r="V32" s="79">
        <f ca="1">IF($J32&lt;&gt;0,VLOOKUP($L32,'Allocation Factors-Union South'!$B$12:$T$116,13,FALSE)*$J32,0)+IF($F32&lt;&gt;0,VLOOKUP($H32,'Allocation Factors-Union South'!$B$12:$T$116,13,FALSE)*$F32,0)</f>
        <v>0</v>
      </c>
      <c r="W32" s="79">
        <f ca="1">IF($J32&lt;&gt;0,VLOOKUP($L32,'Allocation Factors-Union South'!$B$12:$T$116,14,FALSE)*$J32,0)+IF($F32&lt;&gt;0,VLOOKUP($H32,'Allocation Factors-Union South'!$B$12:$T$116,14,FALSE)*$F32,0)</f>
        <v>1189.2089381188136</v>
      </c>
      <c r="X32" s="79">
        <f ca="1">IF($J32&lt;&gt;0,VLOOKUP($L32,'Allocation Factors-Union South'!$B$12:$T$116,15,FALSE)*$J32,0)+IF($F32&lt;&gt;0,VLOOKUP($H32,'Allocation Factors-Union South'!$B$12:$T$116,15,FALSE)*$F32,0)</f>
        <v>0</v>
      </c>
      <c r="Y32" s="79">
        <f ca="1">IF($J32&lt;&gt;0,VLOOKUP($L32,'Allocation Factors-Union South'!$B$12:$T$116,16,FALSE)*$J32,0)+IF($F32&lt;&gt;0,VLOOKUP($H32,'Allocation Factors-Union South'!$B$12:$T$116,16,FALSE)*$F32,0)</f>
        <v>27817.705399868879</v>
      </c>
      <c r="Z32" s="79">
        <f ca="1">IF($J32&lt;&gt;0,VLOOKUP($L32,'Allocation Factors-Union South'!$B$12:$T$116,17,FALSE)*$J32,0)+IF($F32&lt;&gt;0,VLOOKUP($H32,'Allocation Factors-Union South'!$B$12:$T$116,17,FALSE)*$F32,0)</f>
        <v>0</v>
      </c>
      <c r="AA32" s="79">
        <f ca="1">IF($J32&lt;&gt;0,VLOOKUP($L32,'Allocation Factors-Union South'!$B$12:$T$116,18,FALSE)*$J32,0)+IF($F32&lt;&gt;0,VLOOKUP($H32,'Allocation Factors-Union South'!$B$12:$T$116,18,FALSE)*$F32,0)</f>
        <v>0</v>
      </c>
    </row>
    <row r="33" spans="1:27" x14ac:dyDescent="0.2">
      <c r="A33" s="2">
        <f t="shared" si="7"/>
        <v>19</v>
      </c>
      <c r="B33" s="31" t="s">
        <v>95</v>
      </c>
      <c r="D33" s="79">
        <f ca="1">'Total Allocation Current RZ'!S33</f>
        <v>4680.2587595675095</v>
      </c>
      <c r="F33" s="79">
        <v>4472.5161039693821</v>
      </c>
      <c r="H33" s="2" t="s">
        <v>251</v>
      </c>
      <c r="J33" s="79">
        <f t="shared" ca="1" si="6"/>
        <v>207.74265559812739</v>
      </c>
      <c r="L33" s="2" t="s">
        <v>335</v>
      </c>
      <c r="N33" s="79">
        <f ca="1">IF($J33&lt;&gt;0,VLOOKUP($L33,'Allocation Factors-Union South'!$B$12:$T$116,5,FALSE)*$J33,0)+IF($F33&lt;&gt;0,VLOOKUP($H33,'Allocation Factors-Union South'!$B$12:$T$116,5,FALSE)*$F33,0)</f>
        <v>1293.2232886147251</v>
      </c>
      <c r="O33" s="79">
        <f ca="1">IF($J33&lt;&gt;0,VLOOKUP($L33,'Allocation Factors-Union South'!$B$12:$T$116,6,FALSE)*$J33,0)+IF($F33&lt;&gt;0,VLOOKUP($H33,'Allocation Factors-Union South'!$B$12:$T$116,6,FALSE)*$F33,0)</f>
        <v>523.84586768983593</v>
      </c>
      <c r="P33" s="79">
        <f ca="1">IF($J33&lt;&gt;0,VLOOKUP($L33,'Allocation Factors-Union South'!$B$12:$T$116,7,FALSE)*$J33,0)+IF($F33&lt;&gt;0,VLOOKUP($H33,'Allocation Factors-Union South'!$B$12:$T$116,7,FALSE)*$F33,0)</f>
        <v>235.44620246205332</v>
      </c>
      <c r="Q33" s="79">
        <f ca="1">IF($J33&lt;&gt;0,VLOOKUP($L33,'Allocation Factors-Union South'!$B$12:$T$116,8,FALSE)*$J33,0)+IF($F33&lt;&gt;0,VLOOKUP($H33,'Allocation Factors-Union South'!$B$12:$T$116,8,FALSE)*$F33,0)</f>
        <v>9.4394662911470861E-2</v>
      </c>
      <c r="R33" s="79">
        <f ca="1">IF($J33&lt;&gt;0,VLOOKUP($L33,'Allocation Factors-Union South'!$B$12:$T$116,9,FALSE)*$J33,0)+IF($F33&lt;&gt;0,VLOOKUP($H33,'Allocation Factors-Union South'!$B$12:$T$116,9,FALSE)*$F33,0)</f>
        <v>1.7473717908283053</v>
      </c>
      <c r="S33" s="79">
        <f ca="1">IF($J33&lt;&gt;0,VLOOKUP($L33,'Allocation Factors-Union South'!$B$12:$T$116,10,FALSE)*$J33,0)+IF($F33&lt;&gt;0,VLOOKUP($H33,'Allocation Factors-Union South'!$B$12:$T$116,10,FALSE)*$F33,0)</f>
        <v>21.847522685883813</v>
      </c>
      <c r="T33" s="79">
        <f ca="1">IF($J33&lt;&gt;0,VLOOKUP($L33,'Allocation Factors-Union South'!$B$12:$T$116,11,FALSE)*$J33,0)+IF($F33&lt;&gt;0,VLOOKUP($H33,'Allocation Factors-Union South'!$B$12:$T$116,11,FALSE)*$F33,0)</f>
        <v>283.06846982594158</v>
      </c>
      <c r="U33" s="79">
        <f ca="1">IF($J33&lt;&gt;0,VLOOKUP($L33,'Allocation Factors-Union South'!$B$12:$T$116,12,FALSE)*$J33,0)+IF($F33&lt;&gt;0,VLOOKUP($H33,'Allocation Factors-Union South'!$B$12:$T$116,12,FALSE)*$F33,0)</f>
        <v>30.141225388767893</v>
      </c>
      <c r="V33" s="79">
        <f ca="1">IF($J33&lt;&gt;0,VLOOKUP($L33,'Allocation Factors-Union South'!$B$12:$T$116,13,FALSE)*$J33,0)+IF($F33&lt;&gt;0,VLOOKUP($H33,'Allocation Factors-Union South'!$B$12:$T$116,13,FALSE)*$F33,0)</f>
        <v>35.723135691782829</v>
      </c>
      <c r="W33" s="79">
        <f ca="1">IF($J33&lt;&gt;0,VLOOKUP($L33,'Allocation Factors-Union South'!$B$12:$T$116,14,FALSE)*$J33,0)+IF($F33&lt;&gt;0,VLOOKUP($H33,'Allocation Factors-Union South'!$B$12:$T$116,14,FALSE)*$F33,0)</f>
        <v>156.16289835665097</v>
      </c>
      <c r="X33" s="79">
        <f ca="1">IF($J33&lt;&gt;0,VLOOKUP($L33,'Allocation Factors-Union South'!$B$12:$T$116,15,FALSE)*$J33,0)+IF($F33&lt;&gt;0,VLOOKUP($H33,'Allocation Factors-Union South'!$B$12:$T$116,15,FALSE)*$F33,0)</f>
        <v>14.886585935714384</v>
      </c>
      <c r="Y33" s="79">
        <f ca="1">IF($J33&lt;&gt;0,VLOOKUP($L33,'Allocation Factors-Union South'!$B$12:$T$116,16,FALSE)*$J33,0)+IF($F33&lt;&gt;0,VLOOKUP($H33,'Allocation Factors-Union South'!$B$12:$T$116,16,FALSE)*$F33,0)</f>
        <v>1968.6760727091655</v>
      </c>
      <c r="Z33" s="79">
        <f ca="1">IF($J33&lt;&gt;0,VLOOKUP($L33,'Allocation Factors-Union South'!$B$12:$T$116,17,FALSE)*$J33,0)+IF($F33&lt;&gt;0,VLOOKUP($H33,'Allocation Factors-Union South'!$B$12:$T$116,17,FALSE)*$F33,0)</f>
        <v>16.562904506388936</v>
      </c>
      <c r="AA33" s="79">
        <f ca="1">IF($J33&lt;&gt;0,VLOOKUP($L33,'Allocation Factors-Union South'!$B$12:$T$116,18,FALSE)*$J33,0)+IF($F33&lt;&gt;0,VLOOKUP($H33,'Allocation Factors-Union South'!$B$12:$T$116,18,FALSE)*$F33,0)</f>
        <v>98.832819246859714</v>
      </c>
    </row>
    <row r="34" spans="1:27" x14ac:dyDescent="0.2">
      <c r="A34" s="2">
        <f t="shared" si="7"/>
        <v>20</v>
      </c>
      <c r="B34" s="31" t="s">
        <v>99</v>
      </c>
      <c r="D34" s="41">
        <f ca="1">SUM(D27:D33)</f>
        <v>106120.98072515681</v>
      </c>
      <c r="F34" s="41">
        <f>SUM(F27:F33)</f>
        <v>4472.5161039693821</v>
      </c>
      <c r="J34" s="41">
        <f ca="1">SUM(J27:J33)</f>
        <v>101648.46462118742</v>
      </c>
      <c r="N34" s="41">
        <f t="shared" ref="N34:V34" ca="1" si="8">SUM(N27:N33)</f>
        <v>35186.26770093594</v>
      </c>
      <c r="O34" s="41">
        <f t="shared" ca="1" si="8"/>
        <v>13160.748393771793</v>
      </c>
      <c r="P34" s="41">
        <f t="shared" ca="1" si="8"/>
        <v>5497.7738813039541</v>
      </c>
      <c r="Q34" s="41">
        <f t="shared" ca="1" si="8"/>
        <v>9.4394662911470861E-2</v>
      </c>
      <c r="R34" s="41">
        <f t="shared" ca="1" si="8"/>
        <v>51.895779680560672</v>
      </c>
      <c r="S34" s="41">
        <f t="shared" ca="1" si="8"/>
        <v>21.847522685883813</v>
      </c>
      <c r="T34" s="41">
        <f t="shared" ca="1" si="8"/>
        <v>8875.0767610870989</v>
      </c>
      <c r="U34" s="41">
        <f t="shared" ca="1" si="8"/>
        <v>30.141225388767893</v>
      </c>
      <c r="V34" s="41">
        <f t="shared" ca="1" si="8"/>
        <v>522.72794813624546</v>
      </c>
      <c r="W34" s="41">
        <f ca="1">SUM(W27:W33)</f>
        <v>2540.1512542418618</v>
      </c>
      <c r="X34" s="41">
        <f ca="1">SUM(X27:X33)</f>
        <v>14.886585935714384</v>
      </c>
      <c r="Y34" s="41">
        <f ca="1">SUM(Y27:Y33)</f>
        <v>37543.386676217917</v>
      </c>
      <c r="Z34" s="41">
        <f ca="1">SUM(Z27:Z33)</f>
        <v>16.562904506388936</v>
      </c>
      <c r="AA34" s="41">
        <f ca="1">SUM(AA27:AA33)</f>
        <v>2659.4196966017757</v>
      </c>
    </row>
    <row r="35" spans="1:27" x14ac:dyDescent="0.2"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</row>
    <row r="36" spans="1:27" x14ac:dyDescent="0.2">
      <c r="B36" s="77" t="s">
        <v>100</v>
      </c>
      <c r="H36" s="31"/>
      <c r="J36" s="2"/>
      <c r="L36" s="31"/>
      <c r="N36" s="2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</row>
    <row r="37" spans="1:27" x14ac:dyDescent="0.2">
      <c r="A37" s="2">
        <f>A34+1</f>
        <v>21</v>
      </c>
      <c r="B37" s="31" t="s">
        <v>287</v>
      </c>
      <c r="D37" s="79">
        <f ca="1">'Total Allocation Current RZ'!S37</f>
        <v>107268.71860021992</v>
      </c>
      <c r="E37" s="79"/>
      <c r="F37" s="79"/>
      <c r="G37" s="79"/>
      <c r="H37" s="79"/>
      <c r="I37" s="79"/>
      <c r="J37" s="79">
        <f t="shared" ref="J37:J39" ca="1" si="9">D37-F37</f>
        <v>107268.71860021992</v>
      </c>
      <c r="K37" s="79"/>
      <c r="L37" s="2" t="s">
        <v>290</v>
      </c>
      <c r="N37" s="79">
        <f ca="1">IF($J37&lt;&gt;0,VLOOKUP($L37,'Allocation Factors-Union South'!$B$12:$T$116,5,FALSE)*$J37,0)+IF($F37&lt;&gt;0,VLOOKUP($H37,'Allocation Factors-Union South'!$B$12:$T$116,5,FALSE)*$F37,0)</f>
        <v>39595.416842811508</v>
      </c>
      <c r="O37" s="79">
        <f ca="1">IF($J37&lt;&gt;0,VLOOKUP($L37,'Allocation Factors-Union South'!$B$12:$T$116,6,FALSE)*$J37,0)+IF($F37&lt;&gt;0,VLOOKUP($H37,'Allocation Factors-Union South'!$B$12:$T$116,6,FALSE)*$F37,0)</f>
        <v>14662.322606524254</v>
      </c>
      <c r="P37" s="79">
        <f ca="1">IF($J37&lt;&gt;0,VLOOKUP($L37,'Allocation Factors-Union South'!$B$12:$T$116,7,FALSE)*$J37,0)+IF($F37&lt;&gt;0,VLOOKUP($H37,'Allocation Factors-Union South'!$B$12:$T$116,7,FALSE)*$F37,0)</f>
        <v>5221.6296276676694</v>
      </c>
      <c r="Q37" s="79">
        <f ca="1">IF($J37&lt;&gt;0,VLOOKUP($L37,'Allocation Factors-Union South'!$B$12:$T$116,8,FALSE)*$J37,0)+IF($F37&lt;&gt;0,VLOOKUP($H37,'Allocation Factors-Union South'!$B$12:$T$116,8,FALSE)*$F37,0)</f>
        <v>0</v>
      </c>
      <c r="R37" s="79">
        <f ca="1">IF($J37&lt;&gt;0,VLOOKUP($L37,'Allocation Factors-Union South'!$B$12:$T$116,9,FALSE)*$J37,0)+IF($F37&lt;&gt;0,VLOOKUP($H37,'Allocation Factors-Union South'!$B$12:$T$116,9,FALSE)*$F37,0)</f>
        <v>45.870620510380427</v>
      </c>
      <c r="S37" s="79">
        <f ca="1">IF($J37&lt;&gt;0,VLOOKUP($L37,'Allocation Factors-Union South'!$B$12:$T$116,10,FALSE)*$J37,0)+IF($F37&lt;&gt;0,VLOOKUP($H37,'Allocation Factors-Union South'!$B$12:$T$116,10,FALSE)*$F37,0)</f>
        <v>0</v>
      </c>
      <c r="T37" s="79">
        <f ca="1">IF($J37&lt;&gt;0,VLOOKUP($L37,'Allocation Factors-Union South'!$B$12:$T$116,11,FALSE)*$J37,0)+IF($F37&lt;&gt;0,VLOOKUP($H37,'Allocation Factors-Union South'!$B$12:$T$116,11,FALSE)*$F37,0)</f>
        <v>7723.71069140912</v>
      </c>
      <c r="U37" s="79">
        <f ca="1">IF($J37&lt;&gt;0,VLOOKUP($L37,'Allocation Factors-Union South'!$B$12:$T$116,12,FALSE)*$J37,0)+IF($F37&lt;&gt;0,VLOOKUP($H37,'Allocation Factors-Union South'!$B$12:$T$116,12,FALSE)*$F37,0)</f>
        <v>0</v>
      </c>
      <c r="V37" s="79">
        <f ca="1">IF($J37&lt;&gt;0,VLOOKUP($L37,'Allocation Factors-Union South'!$B$12:$T$116,13,FALSE)*$J37,0)+IF($F37&lt;&gt;0,VLOOKUP($H37,'Allocation Factors-Union South'!$B$12:$T$116,13,FALSE)*$F37,0)</f>
        <v>630.53953589773209</v>
      </c>
      <c r="W37" s="79">
        <f ca="1">IF($J37&lt;&gt;0,VLOOKUP($L37,'Allocation Factors-Union South'!$B$12:$T$116,14,FALSE)*$J37,0)+IF($F37&lt;&gt;0,VLOOKUP($H37,'Allocation Factors-Union South'!$B$12:$T$116,14,FALSE)*$F37,0)</f>
        <v>2646.4911592295166</v>
      </c>
      <c r="X37" s="79">
        <f ca="1">IF($J37&lt;&gt;0,VLOOKUP($L37,'Allocation Factors-Union South'!$B$12:$T$116,15,FALSE)*$J37,0)+IF($F37&lt;&gt;0,VLOOKUP($H37,'Allocation Factors-Union South'!$B$12:$T$116,15,FALSE)*$F37,0)</f>
        <v>0</v>
      </c>
      <c r="Y37" s="79">
        <f ca="1">IF($J37&lt;&gt;0,VLOOKUP($L37,'Allocation Factors-Union South'!$B$12:$T$116,16,FALSE)*$J37,0)+IF($F37&lt;&gt;0,VLOOKUP($H37,'Allocation Factors-Union South'!$B$12:$T$116,16,FALSE)*$F37,0)</f>
        <v>33427.469945877878</v>
      </c>
      <c r="Z37" s="79">
        <f ca="1">IF($J37&lt;&gt;0,VLOOKUP($L37,'Allocation Factors-Union South'!$B$12:$T$116,17,FALSE)*$J37,0)+IF($F37&lt;&gt;0,VLOOKUP($H37,'Allocation Factors-Union South'!$B$12:$T$116,17,FALSE)*$F37,0)</f>
        <v>0</v>
      </c>
      <c r="AA37" s="79">
        <f ca="1">IF($J37&lt;&gt;0,VLOOKUP($L37,'Allocation Factors-Union South'!$B$12:$T$116,18,FALSE)*$J37,0)+IF($F37&lt;&gt;0,VLOOKUP($H37,'Allocation Factors-Union South'!$B$12:$T$116,18,FALSE)*$F37,0)</f>
        <v>3315.2675702918505</v>
      </c>
    </row>
    <row r="38" spans="1:27" x14ac:dyDescent="0.2">
      <c r="A38" s="2">
        <f>A37+1</f>
        <v>22</v>
      </c>
      <c r="B38" s="31" t="s">
        <v>288</v>
      </c>
      <c r="D38" s="79">
        <f ca="1">'Total Allocation Current RZ'!S38</f>
        <v>18528.287764951758</v>
      </c>
      <c r="E38" s="79"/>
      <c r="F38" s="79"/>
      <c r="G38" s="79"/>
      <c r="H38" s="79"/>
      <c r="I38" s="79"/>
      <c r="J38" s="79">
        <f t="shared" ca="1" si="9"/>
        <v>18528.287764951758</v>
      </c>
      <c r="K38" s="79"/>
      <c r="L38" s="2" t="s">
        <v>291</v>
      </c>
      <c r="N38" s="79">
        <f ca="1">IF($J38&lt;&gt;0,VLOOKUP($L38,'Allocation Factors-Union South'!$B$12:$T$116,5,FALSE)*$J38,0)+IF($F38&lt;&gt;0,VLOOKUP($H38,'Allocation Factors-Union South'!$B$12:$T$116,5,FALSE)*$F38,0)</f>
        <v>11264.45044325301</v>
      </c>
      <c r="O38" s="79">
        <f ca="1">IF($J38&lt;&gt;0,VLOOKUP($L38,'Allocation Factors-Union South'!$B$12:$T$116,6,FALSE)*$J38,0)+IF($F38&lt;&gt;0,VLOOKUP($H38,'Allocation Factors-Union South'!$B$12:$T$116,6,FALSE)*$F38,0)</f>
        <v>4171.2657563337634</v>
      </c>
      <c r="P38" s="79">
        <f ca="1">IF($J38&lt;&gt;0,VLOOKUP($L38,'Allocation Factors-Union South'!$B$12:$T$116,7,FALSE)*$J38,0)+IF($F38&lt;&gt;0,VLOOKUP($H38,'Allocation Factors-Union South'!$B$12:$T$116,7,FALSE)*$F38,0)</f>
        <v>1177.6333803986058</v>
      </c>
      <c r="Q38" s="79">
        <f ca="1">IF($J38&lt;&gt;0,VLOOKUP($L38,'Allocation Factors-Union South'!$B$12:$T$116,8,FALSE)*$J38,0)+IF($F38&lt;&gt;0,VLOOKUP($H38,'Allocation Factors-Union South'!$B$12:$T$116,8,FALSE)*$F38,0)</f>
        <v>0</v>
      </c>
      <c r="R38" s="79">
        <f ca="1">IF($J38&lt;&gt;0,VLOOKUP($L38,'Allocation Factors-Union South'!$B$12:$T$116,9,FALSE)*$J38,0)+IF($F38&lt;&gt;0,VLOOKUP($H38,'Allocation Factors-Union South'!$B$12:$T$116,9,FALSE)*$F38,0)</f>
        <v>13.049675258924644</v>
      </c>
      <c r="S38" s="79">
        <f ca="1">IF($J38&lt;&gt;0,VLOOKUP($L38,'Allocation Factors-Union South'!$B$12:$T$116,10,FALSE)*$J38,0)+IF($F38&lt;&gt;0,VLOOKUP($H38,'Allocation Factors-Union South'!$B$12:$T$116,10,FALSE)*$F38,0)</f>
        <v>0</v>
      </c>
      <c r="T38" s="79">
        <f ca="1">IF($J38&lt;&gt;0,VLOOKUP($L38,'Allocation Factors-Union South'!$B$12:$T$116,11,FALSE)*$J38,0)+IF($F38&lt;&gt;0,VLOOKUP($H38,'Allocation Factors-Union South'!$B$12:$T$116,11,FALSE)*$F38,0)</f>
        <v>1144.0218217327217</v>
      </c>
      <c r="U38" s="79">
        <f ca="1">IF($J38&lt;&gt;0,VLOOKUP($L38,'Allocation Factors-Union South'!$B$12:$T$116,12,FALSE)*$J38,0)+IF($F38&lt;&gt;0,VLOOKUP($H38,'Allocation Factors-Union South'!$B$12:$T$116,12,FALSE)*$F38,0)</f>
        <v>0</v>
      </c>
      <c r="V38" s="79">
        <f ca="1">IF($J38&lt;&gt;0,VLOOKUP($L38,'Allocation Factors-Union South'!$B$12:$T$116,13,FALSE)*$J38,0)+IF($F38&lt;&gt;0,VLOOKUP($H38,'Allocation Factors-Union South'!$B$12:$T$116,13,FALSE)*$F38,0)</f>
        <v>78.189581294156312</v>
      </c>
      <c r="W38" s="79">
        <f ca="1">IF($J38&lt;&gt;0,VLOOKUP($L38,'Allocation Factors-Union South'!$B$12:$T$116,14,FALSE)*$J38,0)+IF($F38&lt;&gt;0,VLOOKUP($H38,'Allocation Factors-Union South'!$B$12:$T$116,14,FALSE)*$F38,0)</f>
        <v>517.16507799493343</v>
      </c>
      <c r="X38" s="79">
        <f ca="1">IF($J38&lt;&gt;0,VLOOKUP($L38,'Allocation Factors-Union South'!$B$12:$T$116,15,FALSE)*$J38,0)+IF($F38&lt;&gt;0,VLOOKUP($H38,'Allocation Factors-Union South'!$B$12:$T$116,15,FALSE)*$F38,0)</f>
        <v>0</v>
      </c>
      <c r="Y38" s="79">
        <f ca="1">IF($J38&lt;&gt;0,VLOOKUP($L38,'Allocation Factors-Union South'!$B$12:$T$116,16,FALSE)*$J38,0)+IF($F38&lt;&gt;0,VLOOKUP($H38,'Allocation Factors-Union South'!$B$12:$T$116,16,FALSE)*$F38,0)</f>
        <v>162.51202868564047</v>
      </c>
      <c r="Z38" s="79">
        <f ca="1">IF($J38&lt;&gt;0,VLOOKUP($L38,'Allocation Factors-Union South'!$B$12:$T$116,17,FALSE)*$J38,0)+IF($F38&lt;&gt;0,VLOOKUP($H38,'Allocation Factors-Union South'!$B$12:$T$116,17,FALSE)*$F38,0)</f>
        <v>0</v>
      </c>
      <c r="AA38" s="79">
        <f ca="1">IF($J38&lt;&gt;0,VLOOKUP($L38,'Allocation Factors-Union South'!$B$12:$T$116,18,FALSE)*$J38,0)+IF($F38&lt;&gt;0,VLOOKUP($H38,'Allocation Factors-Union South'!$B$12:$T$116,18,FALSE)*$F38,0)</f>
        <v>0</v>
      </c>
    </row>
    <row r="39" spans="1:27" x14ac:dyDescent="0.2">
      <c r="A39" s="2">
        <f t="shared" ref="A39:A52" si="10">A38+1</f>
        <v>23</v>
      </c>
      <c r="B39" s="31" t="s">
        <v>289</v>
      </c>
      <c r="D39" s="79">
        <f ca="1">'Total Allocation Current RZ'!S39</f>
        <v>98571.899629841122</v>
      </c>
      <c r="E39" s="79"/>
      <c r="F39" s="79"/>
      <c r="G39" s="79"/>
      <c r="H39" s="79"/>
      <c r="I39" s="79"/>
      <c r="J39" s="79">
        <f t="shared" ca="1" si="9"/>
        <v>98571.899629841122</v>
      </c>
      <c r="K39" s="79"/>
      <c r="L39" s="2" t="s">
        <v>292</v>
      </c>
      <c r="N39" s="79">
        <f ca="1">IF($J39&lt;&gt;0,VLOOKUP($L39,'Allocation Factors-Union South'!$B$12:$T$116,5,FALSE)*$J39,0)+IF($F39&lt;&gt;0,VLOOKUP($H39,'Allocation Factors-Union South'!$B$12:$T$116,5,FALSE)*$F39,0)</f>
        <v>63015.150444081359</v>
      </c>
      <c r="O39" s="79">
        <f ca="1">IF($J39&lt;&gt;0,VLOOKUP($L39,'Allocation Factors-Union South'!$B$12:$T$116,6,FALSE)*$J39,0)+IF($F39&lt;&gt;0,VLOOKUP($H39,'Allocation Factors-Union South'!$B$12:$T$116,6,FALSE)*$F39,0)</f>
        <v>23334.732617609065</v>
      </c>
      <c r="P39" s="79">
        <f ca="1">IF($J39&lt;&gt;0,VLOOKUP($L39,'Allocation Factors-Union South'!$B$12:$T$116,7,FALSE)*$J39,0)+IF($F39&lt;&gt;0,VLOOKUP($H39,'Allocation Factors-Union South'!$B$12:$T$116,7,FALSE)*$F39,0)</f>
        <v>5147.823178390955</v>
      </c>
      <c r="Q39" s="79">
        <f ca="1">IF($J39&lt;&gt;0,VLOOKUP($L39,'Allocation Factors-Union South'!$B$12:$T$116,8,FALSE)*$J39,0)+IF($F39&lt;&gt;0,VLOOKUP($H39,'Allocation Factors-Union South'!$B$12:$T$116,8,FALSE)*$F39,0)</f>
        <v>2.087177972744207</v>
      </c>
      <c r="R39" s="79">
        <f ca="1">IF($J39&lt;&gt;0,VLOOKUP($L39,'Allocation Factors-Union South'!$B$12:$T$116,9,FALSE)*$J39,0)+IF($F39&lt;&gt;0,VLOOKUP($H39,'Allocation Factors-Union South'!$B$12:$T$116,9,FALSE)*$F39,0)</f>
        <v>56.775716339709213</v>
      </c>
      <c r="S39" s="79">
        <f ca="1">IF($J39&lt;&gt;0,VLOOKUP($L39,'Allocation Factors-Union South'!$B$12:$T$116,10,FALSE)*$J39,0)+IF($F39&lt;&gt;0,VLOOKUP($H39,'Allocation Factors-Union South'!$B$12:$T$116,10,FALSE)*$F39,0)</f>
        <v>39.153977534173571</v>
      </c>
      <c r="T39" s="79">
        <f ca="1">IF($J39&lt;&gt;0,VLOOKUP($L39,'Allocation Factors-Union South'!$B$12:$T$116,11,FALSE)*$J39,0)+IF($F39&lt;&gt;0,VLOOKUP($H39,'Allocation Factors-Union South'!$B$12:$T$116,11,FALSE)*$F39,0)</f>
        <v>4281.7316270525935</v>
      </c>
      <c r="U39" s="79">
        <f ca="1">IF($J39&lt;&gt;0,VLOOKUP($L39,'Allocation Factors-Union South'!$B$12:$T$116,12,FALSE)*$J39,0)+IF($F39&lt;&gt;0,VLOOKUP($H39,'Allocation Factors-Union South'!$B$12:$T$116,12,FALSE)*$F39,0)</f>
        <v>73.778273021838956</v>
      </c>
      <c r="V39" s="79">
        <f ca="1">IF($J39&lt;&gt;0,VLOOKUP($L39,'Allocation Factors-Union South'!$B$12:$T$116,13,FALSE)*$J39,0)+IF($F39&lt;&gt;0,VLOOKUP($H39,'Allocation Factors-Union South'!$B$12:$T$116,13,FALSE)*$F39,0)</f>
        <v>0</v>
      </c>
      <c r="W39" s="79">
        <f ca="1">IF($J39&lt;&gt;0,VLOOKUP($L39,'Allocation Factors-Union South'!$B$12:$T$116,14,FALSE)*$J39,0)+IF($F39&lt;&gt;0,VLOOKUP($H39,'Allocation Factors-Union South'!$B$12:$T$116,14,FALSE)*$F39,0)</f>
        <v>1637.4102867635561</v>
      </c>
      <c r="X39" s="79">
        <f ca="1">IF($J39&lt;&gt;0,VLOOKUP($L39,'Allocation Factors-Union South'!$B$12:$T$116,15,FALSE)*$J39,0)+IF($F39&lt;&gt;0,VLOOKUP($H39,'Allocation Factors-Union South'!$B$12:$T$116,15,FALSE)*$F39,0)</f>
        <v>14.012578206698869</v>
      </c>
      <c r="Y39" s="79">
        <f ca="1">IF($J39&lt;&gt;0,VLOOKUP($L39,'Allocation Factors-Union South'!$B$12:$T$116,16,FALSE)*$J39,0)+IF($F39&lt;&gt;0,VLOOKUP($H39,'Allocation Factors-Union South'!$B$12:$T$116,16,FALSE)*$F39,0)</f>
        <v>534.36865773771319</v>
      </c>
      <c r="Z39" s="79">
        <f ca="1">IF($J39&lt;&gt;0,VLOOKUP($L39,'Allocation Factors-Union South'!$B$12:$T$116,17,FALSE)*$J39,0)+IF($F39&lt;&gt;0,VLOOKUP($H39,'Allocation Factors-Union South'!$B$12:$T$116,17,FALSE)*$F39,0)</f>
        <v>434.87509513072098</v>
      </c>
      <c r="AA39" s="79">
        <f ca="1">IF($J39&lt;&gt;0,VLOOKUP($L39,'Allocation Factors-Union South'!$B$12:$T$116,18,FALSE)*$J39,0)+IF($F39&lt;&gt;0,VLOOKUP($H39,'Allocation Factors-Union South'!$B$12:$T$116,18,FALSE)*$F39,0)</f>
        <v>0</v>
      </c>
    </row>
    <row r="40" spans="1:27" x14ac:dyDescent="0.2">
      <c r="B40" s="31" t="s">
        <v>163</v>
      </c>
      <c r="D40" s="79"/>
      <c r="E40" s="79"/>
      <c r="F40" s="79"/>
      <c r="G40" s="79"/>
      <c r="H40" s="79"/>
      <c r="I40" s="79"/>
      <c r="J40" s="123"/>
      <c r="K40" s="79"/>
      <c r="N40" s="2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</row>
    <row r="41" spans="1:27" x14ac:dyDescent="0.2">
      <c r="A41" s="2">
        <f>A39+1</f>
        <v>24</v>
      </c>
      <c r="B41" s="82" t="s">
        <v>165</v>
      </c>
      <c r="D41" s="79">
        <f ca="1">'Total Allocation Current RZ'!S41</f>
        <v>54477.153079505384</v>
      </c>
      <c r="E41" s="79"/>
      <c r="F41" s="79"/>
      <c r="G41" s="79"/>
      <c r="H41" s="79"/>
      <c r="I41" s="79"/>
      <c r="J41" s="79">
        <f t="shared" ref="J41:J46" ca="1" si="11">D41-F41</f>
        <v>54477.153079505384</v>
      </c>
      <c r="K41" s="79"/>
      <c r="L41" s="2" t="s">
        <v>161</v>
      </c>
      <c r="N41" s="79">
        <f ca="1">IF($J41&lt;&gt;0,VLOOKUP($L41,'Allocation Factors-Union South'!$B$12:$T$116,5,FALSE)*$J41,0)+IF($F41&lt;&gt;0,VLOOKUP($H41,'Allocation Factors-Union South'!$B$12:$T$116,5,FALSE)*$F41,0)</f>
        <v>37980.18707034838</v>
      </c>
      <c r="O41" s="79">
        <f ca="1">IF($J41&lt;&gt;0,VLOOKUP($L41,'Allocation Factors-Union South'!$B$12:$T$116,6,FALSE)*$J41,0)+IF($F41&lt;&gt;0,VLOOKUP($H41,'Allocation Factors-Union South'!$B$12:$T$116,6,FALSE)*$F41,0)</f>
        <v>5442.3469846328044</v>
      </c>
      <c r="P41" s="79">
        <f ca="1">IF($J41&lt;&gt;0,VLOOKUP($L41,'Allocation Factors-Union South'!$B$12:$T$116,7,FALSE)*$J41,0)+IF($F41&lt;&gt;0,VLOOKUP($H41,'Allocation Factors-Union South'!$B$12:$T$116,7,FALSE)*$F41,0)</f>
        <v>3971.9828445065555</v>
      </c>
      <c r="Q41" s="79">
        <f ca="1">IF($J41&lt;&gt;0,VLOOKUP($L41,'Allocation Factors-Union South'!$B$12:$T$116,8,FALSE)*$J41,0)+IF($F41&lt;&gt;0,VLOOKUP($H41,'Allocation Factors-Union South'!$B$12:$T$116,8,FALSE)*$F41,0)</f>
        <v>1.5924401318716079</v>
      </c>
      <c r="R41" s="79">
        <f ca="1">IF($J41&lt;&gt;0,VLOOKUP($L41,'Allocation Factors-Union South'!$B$12:$T$116,9,FALSE)*$J41,0)+IF($F41&lt;&gt;0,VLOOKUP($H41,'Allocation Factors-Union South'!$B$12:$T$116,9,FALSE)*$F41,0)</f>
        <v>22.681114251268536</v>
      </c>
      <c r="S41" s="79">
        <f ca="1">IF($J41&lt;&gt;0,VLOOKUP($L41,'Allocation Factors-Union South'!$B$12:$T$116,10,FALSE)*$J41,0)+IF($F41&lt;&gt;0,VLOOKUP($H41,'Allocation Factors-Union South'!$B$12:$T$116,10,FALSE)*$F41,0)</f>
        <v>283.58370024436408</v>
      </c>
      <c r="T41" s="79">
        <f ca="1">IF($J41&lt;&gt;0,VLOOKUP($L41,'Allocation Factors-Union South'!$B$12:$T$116,11,FALSE)*$J41,0)+IF($F41&lt;&gt;0,VLOOKUP($H41,'Allocation Factors-Union South'!$B$12:$T$116,11,FALSE)*$F41,0)</f>
        <v>2724.3383032579277</v>
      </c>
      <c r="U41" s="79">
        <f ca="1">IF($J41&lt;&gt;0,VLOOKUP($L41,'Allocation Factors-Union South'!$B$12:$T$116,12,FALSE)*$J41,0)+IF($F41&lt;&gt;0,VLOOKUP($H41,'Allocation Factors-Union South'!$B$12:$T$116,12,FALSE)*$F41,0)</f>
        <v>290.08845416179003</v>
      </c>
      <c r="V41" s="79">
        <f ca="1">IF($J41&lt;&gt;0,VLOOKUP($L41,'Allocation Factors-Union South'!$B$12:$T$116,13,FALSE)*$J41,0)+IF($F41&lt;&gt;0,VLOOKUP($H41,'Allocation Factors-Union South'!$B$12:$T$116,13,FALSE)*$F41,0)</f>
        <v>14.78534843925838</v>
      </c>
      <c r="W41" s="79">
        <f ca="1">IF($J41&lt;&gt;0,VLOOKUP($L41,'Allocation Factors-Union South'!$B$12:$T$116,14,FALSE)*$J41,0)+IF($F41&lt;&gt;0,VLOOKUP($H41,'Allocation Factors-Union South'!$B$12:$T$116,14,FALSE)*$F41,0)</f>
        <v>657.32907360575211</v>
      </c>
      <c r="X41" s="79">
        <f ca="1">IF($J41&lt;&gt;0,VLOOKUP($L41,'Allocation Factors-Union South'!$B$12:$T$116,15,FALSE)*$J41,0)+IF($F41&lt;&gt;0,VLOOKUP($H41,'Allocation Factors-Union South'!$B$12:$T$116,15,FALSE)*$F41,0)</f>
        <v>62.661399380071082</v>
      </c>
      <c r="Y41" s="79">
        <f ca="1">IF($J41&lt;&gt;0,VLOOKUP($L41,'Allocation Factors-Union South'!$B$12:$T$116,16,FALSE)*$J41,0)+IF($F41&lt;&gt;0,VLOOKUP($H41,'Allocation Factors-Union South'!$B$12:$T$116,16,FALSE)*$F41,0)</f>
        <v>2908.07585430992</v>
      </c>
      <c r="Z41" s="79">
        <f ca="1">IF($J41&lt;&gt;0,VLOOKUP($L41,'Allocation Factors-Union South'!$B$12:$T$116,17,FALSE)*$J41,0)+IF($F41&lt;&gt;0,VLOOKUP($H41,'Allocation Factors-Union South'!$B$12:$T$116,17,FALSE)*$F41,0)</f>
        <v>24.466281345100835</v>
      </c>
      <c r="AA41" s="79">
        <f ca="1">IF($J41&lt;&gt;0,VLOOKUP($L41,'Allocation Factors-Union South'!$B$12:$T$116,18,FALSE)*$J41,0)+IF($F41&lt;&gt;0,VLOOKUP($H41,'Allocation Factors-Union South'!$B$12:$T$116,18,FALSE)*$F41,0)</f>
        <v>93.034210890312892</v>
      </c>
    </row>
    <row r="42" spans="1:27" x14ac:dyDescent="0.2">
      <c r="A42" s="2">
        <f t="shared" si="10"/>
        <v>25</v>
      </c>
      <c r="B42" s="82" t="s">
        <v>166</v>
      </c>
      <c r="D42" s="79">
        <f ca="1">'Total Allocation Current RZ'!S42</f>
        <v>24291.591004587637</v>
      </c>
      <c r="E42" s="79"/>
      <c r="F42" s="79"/>
      <c r="G42" s="79"/>
      <c r="H42" s="79"/>
      <c r="I42" s="79"/>
      <c r="J42" s="79">
        <f t="shared" ca="1" si="11"/>
        <v>24291.591004587637</v>
      </c>
      <c r="K42" s="79"/>
      <c r="L42" s="2" t="s">
        <v>162</v>
      </c>
      <c r="N42" s="79">
        <f ca="1">IF($J42&lt;&gt;0,VLOOKUP($L42,'Allocation Factors-Union South'!$B$12:$T$116,5,FALSE)*$J42,0)+IF($F42&lt;&gt;0,VLOOKUP($H42,'Allocation Factors-Union South'!$B$12:$T$116,5,FALSE)*$F42,0)</f>
        <v>13221.478169382253</v>
      </c>
      <c r="O42" s="79">
        <f ca="1">IF($J42&lt;&gt;0,VLOOKUP($L42,'Allocation Factors-Union South'!$B$12:$T$116,6,FALSE)*$J42,0)+IF($F42&lt;&gt;0,VLOOKUP($H42,'Allocation Factors-Union South'!$B$12:$T$116,6,FALSE)*$F42,0)</f>
        <v>3366.3997844823944</v>
      </c>
      <c r="P42" s="79">
        <f ca="1">IF($J42&lt;&gt;0,VLOOKUP($L42,'Allocation Factors-Union South'!$B$12:$T$116,7,FALSE)*$J42,0)+IF($F42&lt;&gt;0,VLOOKUP($H42,'Allocation Factors-Union South'!$B$12:$T$116,7,FALSE)*$F42,0)</f>
        <v>3231.2015108037863</v>
      </c>
      <c r="Q42" s="79">
        <f ca="1">IF($J42&lt;&gt;0,VLOOKUP($L42,'Allocation Factors-Union South'!$B$12:$T$116,8,FALSE)*$J42,0)+IF($F42&lt;&gt;0,VLOOKUP($H42,'Allocation Factors-Union South'!$B$12:$T$116,8,FALSE)*$F42,0)</f>
        <v>1.2954474279979806</v>
      </c>
      <c r="R42" s="79">
        <f ca="1">IF($J42&lt;&gt;0,VLOOKUP($L42,'Allocation Factors-Union South'!$B$12:$T$116,9,FALSE)*$J42,0)+IF($F42&lt;&gt;0,VLOOKUP($H42,'Allocation Factors-Union South'!$B$12:$T$116,9,FALSE)*$F42,0)</f>
        <v>14.831409860966685</v>
      </c>
      <c r="S42" s="79">
        <f ca="1">IF($J42&lt;&gt;0,VLOOKUP($L42,'Allocation Factors-Union South'!$B$12:$T$116,10,FALSE)*$J42,0)+IF($F42&lt;&gt;0,VLOOKUP($H42,'Allocation Factors-Union South'!$B$12:$T$116,10,FALSE)*$F42,0)</f>
        <v>185.43824794579692</v>
      </c>
      <c r="T42" s="79">
        <f ca="1">IF($J42&lt;&gt;0,VLOOKUP($L42,'Allocation Factors-Union South'!$B$12:$T$116,11,FALSE)*$J42,0)+IF($F42&lt;&gt;0,VLOOKUP($H42,'Allocation Factors-Union South'!$B$12:$T$116,11,FALSE)*$F42,0)</f>
        <v>2215.2177546860453</v>
      </c>
      <c r="U42" s="79">
        <f ca="1">IF($J42&lt;&gt;0,VLOOKUP($L42,'Allocation Factors-Union South'!$B$12:$T$116,12,FALSE)*$J42,0)+IF($F42&lt;&gt;0,VLOOKUP($H42,'Allocation Factors-Union South'!$B$12:$T$116,12,FALSE)*$F42,0)</f>
        <v>235.87712778554541</v>
      </c>
      <c r="V42" s="79">
        <f ca="1">IF($J42&lt;&gt;0,VLOOKUP($L42,'Allocation Factors-Union South'!$B$12:$T$116,13,FALSE)*$J42,0)+IF($F42&lt;&gt;0,VLOOKUP($H42,'Allocation Factors-Union South'!$B$12:$T$116,13,FALSE)*$F42,0)</f>
        <v>6.1280536807532968</v>
      </c>
      <c r="W42" s="79">
        <f ca="1">IF($J42&lt;&gt;0,VLOOKUP($L42,'Allocation Factors-Union South'!$B$12:$T$116,14,FALSE)*$J42,0)+IF($F42&lt;&gt;0,VLOOKUP($H42,'Allocation Factors-Union South'!$B$12:$T$116,14,FALSE)*$F42,0)</f>
        <v>467.29557464141214</v>
      </c>
      <c r="X42" s="79">
        <f ca="1">IF($J42&lt;&gt;0,VLOOKUP($L42,'Allocation Factors-Union South'!$B$12:$T$116,15,FALSE)*$J42,0)+IF($F42&lt;&gt;0,VLOOKUP($H42,'Allocation Factors-Union South'!$B$12:$T$116,15,FALSE)*$F42,0)</f>
        <v>44.546020869765329</v>
      </c>
      <c r="Y42" s="79">
        <f ca="1">IF($J42&lt;&gt;0,VLOOKUP($L42,'Allocation Factors-Union South'!$B$12:$T$116,16,FALSE)*$J42,0)+IF($F42&lt;&gt;0,VLOOKUP($H42,'Allocation Factors-Union South'!$B$12:$T$116,16,FALSE)*$F42,0)</f>
        <v>1252.78226785688</v>
      </c>
      <c r="Z42" s="79">
        <f ca="1">IF($J42&lt;&gt;0,VLOOKUP($L42,'Allocation Factors-Union South'!$B$12:$T$116,17,FALSE)*$J42,0)+IF($F42&lt;&gt;0,VLOOKUP($H42,'Allocation Factors-Union South'!$B$12:$T$116,17,FALSE)*$F42,0)</f>
        <v>10.539932575731692</v>
      </c>
      <c r="AA42" s="79">
        <f ca="1">IF($J42&lt;&gt;0,VLOOKUP($L42,'Allocation Factors-Union South'!$B$12:$T$116,18,FALSE)*$J42,0)+IF($F42&lt;&gt;0,VLOOKUP($H42,'Allocation Factors-Union South'!$B$12:$T$116,18,FALSE)*$F42,0)</f>
        <v>38.559702588311609</v>
      </c>
    </row>
    <row r="43" spans="1:27" x14ac:dyDescent="0.2">
      <c r="A43" s="2">
        <f t="shared" si="10"/>
        <v>26</v>
      </c>
      <c r="B43" s="31" t="s">
        <v>101</v>
      </c>
      <c r="D43" s="79">
        <f ca="1">'Total Allocation Current RZ'!S43</f>
        <v>123373.05234926387</v>
      </c>
      <c r="E43" s="79"/>
      <c r="F43" s="79"/>
      <c r="G43" s="79"/>
      <c r="H43" s="79"/>
      <c r="I43" s="79"/>
      <c r="J43" s="79">
        <f t="shared" ca="1" si="11"/>
        <v>123373.05234926387</v>
      </c>
      <c r="K43" s="79"/>
      <c r="L43" s="2" t="s">
        <v>220</v>
      </c>
      <c r="N43" s="79">
        <f ca="1">IF($J43&lt;&gt;0,VLOOKUP($L43,'Allocation Factors-Union South'!$B$12:$T$116,5,FALSE)*$J43,0)+IF($F43&lt;&gt;0,VLOOKUP($H43,'Allocation Factors-Union South'!$B$12:$T$116,5,FALSE)*$F43,0)</f>
        <v>122509.83072182689</v>
      </c>
      <c r="O43" s="79">
        <f ca="1">IF($J43&lt;&gt;0,VLOOKUP($L43,'Allocation Factors-Union South'!$B$12:$T$116,6,FALSE)*$J43,0)+IF($F43&lt;&gt;0,VLOOKUP($H43,'Allocation Factors-Union South'!$B$12:$T$116,6,FALSE)*$F43,0)</f>
        <v>821.03639717481894</v>
      </c>
      <c r="P43" s="79">
        <f ca="1">IF($J43&lt;&gt;0,VLOOKUP($L43,'Allocation Factors-Union South'!$B$12:$T$116,7,FALSE)*$J43,0)+IF($F43&lt;&gt;0,VLOOKUP($H43,'Allocation Factors-Union South'!$B$12:$T$116,7,FALSE)*$F43,0)</f>
        <v>22.871510383104404</v>
      </c>
      <c r="Q43" s="79">
        <f ca="1">IF($J43&lt;&gt;0,VLOOKUP($L43,'Allocation Factors-Union South'!$B$12:$T$116,8,FALSE)*$J43,0)+IF($F43&lt;&gt;0,VLOOKUP($H43,'Allocation Factors-Union South'!$B$12:$T$116,8,FALSE)*$F43,0)</f>
        <v>0</v>
      </c>
      <c r="R43" s="79">
        <f ca="1">IF($J43&lt;&gt;0,VLOOKUP($L43,'Allocation Factors-Union South'!$B$12:$T$116,9,FALSE)*$J43,0)+IF($F43&lt;&gt;0,VLOOKUP($H43,'Allocation Factors-Union South'!$B$12:$T$116,9,FALSE)*$F43,0)</f>
        <v>0.71155810080769255</v>
      </c>
      <c r="S43" s="79">
        <f ca="1">IF($J43&lt;&gt;0,VLOOKUP($L43,'Allocation Factors-Union South'!$B$12:$T$116,10,FALSE)*$J43,0)+IF($F43&lt;&gt;0,VLOOKUP($H43,'Allocation Factors-Union South'!$B$12:$T$116,10,FALSE)*$F43,0)</f>
        <v>3.049534717747254</v>
      </c>
      <c r="T43" s="79">
        <f ca="1">IF($J43&lt;&gt;0,VLOOKUP($L43,'Allocation Factors-Union South'!$B$12:$T$116,11,FALSE)*$J43,0)+IF($F43&lt;&gt;0,VLOOKUP($H43,'Allocation Factors-Union South'!$B$12:$T$116,11,FALSE)*$F43,0)</f>
        <v>5.7941159637197819</v>
      </c>
      <c r="U43" s="79">
        <f ca="1">IF($J43&lt;&gt;0,VLOOKUP($L43,'Allocation Factors-Union South'!$B$12:$T$116,12,FALSE)*$J43,0)+IF($F43&lt;&gt;0,VLOOKUP($H43,'Allocation Factors-Union South'!$B$12:$T$116,12,FALSE)*$F43,0)</f>
        <v>0.40660462903296718</v>
      </c>
      <c r="V43" s="79">
        <f ca="1">IF($J43&lt;&gt;0,VLOOKUP($L43,'Allocation Factors-Union South'!$B$12:$T$116,13,FALSE)*$J43,0)+IF($F43&lt;&gt;0,VLOOKUP($H43,'Allocation Factors-Union South'!$B$12:$T$116,13,FALSE)*$F43,0)</f>
        <v>0.40660462903296718</v>
      </c>
      <c r="W43" s="79">
        <f ca="1">IF($J43&lt;&gt;0,VLOOKUP($L43,'Allocation Factors-Union South'!$B$12:$T$116,14,FALSE)*$J43,0)+IF($F43&lt;&gt;0,VLOOKUP($H43,'Allocation Factors-Union South'!$B$12:$T$116,14,FALSE)*$F43,0)</f>
        <v>4.675953233879123</v>
      </c>
      <c r="X43" s="79">
        <f ca="1">IF($J43&lt;&gt;0,VLOOKUP($L43,'Allocation Factors-Union South'!$B$12:$T$116,15,FALSE)*$J43,0)+IF($F43&lt;&gt;0,VLOOKUP($H43,'Allocation Factors-Union South'!$B$12:$T$116,15,FALSE)*$F43,0)</f>
        <v>0</v>
      </c>
      <c r="Y43" s="79">
        <f ca="1">IF($J43&lt;&gt;0,VLOOKUP($L43,'Allocation Factors-Union South'!$B$12:$T$116,16,FALSE)*$J43,0)+IF($F43&lt;&gt;0,VLOOKUP($H43,'Allocation Factors-Union South'!$B$12:$T$116,16,FALSE)*$F43,0)</f>
        <v>4.1676974475879129</v>
      </c>
      <c r="Z43" s="79">
        <f ca="1">IF($J43&lt;&gt;0,VLOOKUP($L43,'Allocation Factors-Union South'!$B$12:$T$116,17,FALSE)*$J43,0)+IF($F43&lt;&gt;0,VLOOKUP($H43,'Allocation Factors-Union South'!$B$12:$T$116,17,FALSE)*$F43,0)</f>
        <v>0</v>
      </c>
      <c r="AA43" s="79">
        <f ca="1">IF($J43&lt;&gt;0,VLOOKUP($L43,'Allocation Factors-Union South'!$B$12:$T$116,18,FALSE)*$J43,0)+IF($F43&lt;&gt;0,VLOOKUP($H43,'Allocation Factors-Union South'!$B$12:$T$116,18,FALSE)*$F43,0)</f>
        <v>0.10165115725824179</v>
      </c>
    </row>
    <row r="44" spans="1:27" x14ac:dyDescent="0.2">
      <c r="A44" s="2">
        <f t="shared" si="10"/>
        <v>27</v>
      </c>
      <c r="B44" s="31" t="s">
        <v>102</v>
      </c>
      <c r="D44" s="79">
        <f ca="1">'Total Allocation Current RZ'!S44</f>
        <v>136892.12301976632</v>
      </c>
      <c r="E44" s="79"/>
      <c r="F44" s="79"/>
      <c r="G44" s="79"/>
      <c r="H44" s="79"/>
      <c r="I44" s="79"/>
      <c r="J44" s="79">
        <f t="shared" ca="1" si="11"/>
        <v>136892.12301976632</v>
      </c>
      <c r="K44" s="79"/>
      <c r="L44" s="2" t="s">
        <v>220</v>
      </c>
      <c r="N44" s="79">
        <f ca="1">IF($J44&lt;&gt;0,VLOOKUP($L44,'Allocation Factors-Union South'!$B$12:$T$116,5,FALSE)*$J44,0)+IF($F44&lt;&gt;0,VLOOKUP($H44,'Allocation Factors-Union South'!$B$12:$T$116,5,FALSE)*$F44,0)</f>
        <v>135934.31060476747</v>
      </c>
      <c r="O44" s="79">
        <f ca="1">IF($J44&lt;&gt;0,VLOOKUP($L44,'Allocation Factors-Union South'!$B$12:$T$116,6,FALSE)*$J44,0)+IF($F44&lt;&gt;0,VLOOKUP($H44,'Allocation Factors-Union South'!$B$12:$T$116,6,FALSE)*$F44,0)</f>
        <v>911.00457794932436</v>
      </c>
      <c r="P44" s="79">
        <f ca="1">IF($J44&lt;&gt;0,VLOOKUP($L44,'Allocation Factors-Union South'!$B$12:$T$116,7,FALSE)*$J44,0)+IF($F44&lt;&gt;0,VLOOKUP($H44,'Allocation Factors-Union South'!$B$12:$T$116,7,FALSE)*$F44,0)</f>
        <v>25.377742978655192</v>
      </c>
      <c r="Q44" s="79">
        <f ca="1">IF($J44&lt;&gt;0,VLOOKUP($L44,'Allocation Factors-Union South'!$B$12:$T$116,8,FALSE)*$J44,0)+IF($F44&lt;&gt;0,VLOOKUP($H44,'Allocation Factors-Union South'!$B$12:$T$116,8,FALSE)*$F44,0)</f>
        <v>0</v>
      </c>
      <c r="R44" s="79">
        <f ca="1">IF($J44&lt;&gt;0,VLOOKUP($L44,'Allocation Factors-Union South'!$B$12:$T$116,9,FALSE)*$J44,0)+IF($F44&lt;&gt;0,VLOOKUP($H44,'Allocation Factors-Union South'!$B$12:$T$116,9,FALSE)*$F44,0)</f>
        <v>0.78952978155816156</v>
      </c>
      <c r="S44" s="79">
        <f ca="1">IF($J44&lt;&gt;0,VLOOKUP($L44,'Allocation Factors-Union South'!$B$12:$T$116,10,FALSE)*$J44,0)+IF($F44&lt;&gt;0,VLOOKUP($H44,'Allocation Factors-Union South'!$B$12:$T$116,10,FALSE)*$F44,0)</f>
        <v>3.3836990638206923</v>
      </c>
      <c r="T44" s="79">
        <f ca="1">IF($J44&lt;&gt;0,VLOOKUP($L44,'Allocation Factors-Union South'!$B$12:$T$116,11,FALSE)*$J44,0)+IF($F44&lt;&gt;0,VLOOKUP($H44,'Allocation Factors-Union South'!$B$12:$T$116,11,FALSE)*$F44,0)</f>
        <v>6.4290282212593155</v>
      </c>
      <c r="U44" s="79">
        <f ca="1">IF($J44&lt;&gt;0,VLOOKUP($L44,'Allocation Factors-Union South'!$B$12:$T$116,12,FALSE)*$J44,0)+IF($F44&lt;&gt;0,VLOOKUP($H44,'Allocation Factors-Union South'!$B$12:$T$116,12,FALSE)*$F44,0)</f>
        <v>0.4511598751760923</v>
      </c>
      <c r="V44" s="79">
        <f ca="1">IF($J44&lt;&gt;0,VLOOKUP($L44,'Allocation Factors-Union South'!$B$12:$T$116,13,FALSE)*$J44,0)+IF($F44&lt;&gt;0,VLOOKUP($H44,'Allocation Factors-Union South'!$B$12:$T$116,13,FALSE)*$F44,0)</f>
        <v>0.4511598751760923</v>
      </c>
      <c r="W44" s="79">
        <f ca="1">IF($J44&lt;&gt;0,VLOOKUP($L44,'Allocation Factors-Union South'!$B$12:$T$116,14,FALSE)*$J44,0)+IF($F44&lt;&gt;0,VLOOKUP($H44,'Allocation Factors-Union South'!$B$12:$T$116,14,FALSE)*$F44,0)</f>
        <v>5.1883385645250621</v>
      </c>
      <c r="X44" s="79">
        <f ca="1">IF($J44&lt;&gt;0,VLOOKUP($L44,'Allocation Factors-Union South'!$B$12:$T$116,15,FALSE)*$J44,0)+IF($F44&lt;&gt;0,VLOOKUP($H44,'Allocation Factors-Union South'!$B$12:$T$116,15,FALSE)*$F44,0)</f>
        <v>0</v>
      </c>
      <c r="Y44" s="79">
        <f ca="1">IF($J44&lt;&gt;0,VLOOKUP($L44,'Allocation Factors-Union South'!$B$12:$T$116,16,FALSE)*$J44,0)+IF($F44&lt;&gt;0,VLOOKUP($H44,'Allocation Factors-Union South'!$B$12:$T$116,16,FALSE)*$F44,0)</f>
        <v>4.6243887205549461</v>
      </c>
      <c r="Z44" s="79">
        <f ca="1">IF($J44&lt;&gt;0,VLOOKUP($L44,'Allocation Factors-Union South'!$B$12:$T$116,17,FALSE)*$J44,0)+IF($F44&lt;&gt;0,VLOOKUP($H44,'Allocation Factors-Union South'!$B$12:$T$116,17,FALSE)*$F44,0)</f>
        <v>0</v>
      </c>
      <c r="AA44" s="79">
        <f ca="1">IF($J44&lt;&gt;0,VLOOKUP($L44,'Allocation Factors-Union South'!$B$12:$T$116,18,FALSE)*$J44,0)+IF($F44&lt;&gt;0,VLOOKUP($H44,'Allocation Factors-Union South'!$B$12:$T$116,18,FALSE)*$F44,0)</f>
        <v>0.11278996879402307</v>
      </c>
    </row>
    <row r="45" spans="1:27" x14ac:dyDescent="0.2">
      <c r="A45" s="2">
        <f t="shared" si="10"/>
        <v>28</v>
      </c>
      <c r="B45" s="31" t="s">
        <v>103</v>
      </c>
      <c r="D45" s="79">
        <f ca="1">'Total Allocation Current RZ'!S45</f>
        <v>109207.23164977792</v>
      </c>
      <c r="E45" s="79"/>
      <c r="F45" s="79"/>
      <c r="G45" s="79"/>
      <c r="H45" s="79"/>
      <c r="I45" s="79"/>
      <c r="J45" s="79">
        <f t="shared" ca="1" si="11"/>
        <v>109207.23164977792</v>
      </c>
      <c r="K45" s="79"/>
      <c r="L45" s="2" t="s">
        <v>190</v>
      </c>
      <c r="N45" s="79">
        <f ca="1">IF($J45&lt;&gt;0,VLOOKUP($L45,'Allocation Factors-Union South'!$B$12:$T$116,5,FALSE)*$J45,0)+IF($F45&lt;&gt;0,VLOOKUP($H45,'Allocation Factors-Union South'!$B$12:$T$116,5,FALSE)*$F45,0)</f>
        <v>97235.587810649609</v>
      </c>
      <c r="O45" s="79">
        <f ca="1">IF($J45&lt;&gt;0,VLOOKUP($L45,'Allocation Factors-Union South'!$B$12:$T$116,6,FALSE)*$J45,0)+IF($F45&lt;&gt;0,VLOOKUP($H45,'Allocation Factors-Union South'!$B$12:$T$116,6,FALSE)*$F45,0)</f>
        <v>8446.9077345944188</v>
      </c>
      <c r="P45" s="79">
        <f ca="1">IF($J45&lt;&gt;0,VLOOKUP($L45,'Allocation Factors-Union South'!$B$12:$T$116,7,FALSE)*$J45,0)+IF($F45&lt;&gt;0,VLOOKUP($H45,'Allocation Factors-Union South'!$B$12:$T$116,7,FALSE)*$F45,0)</f>
        <v>1134.680322900979</v>
      </c>
      <c r="Q45" s="79">
        <f ca="1">IF($J45&lt;&gt;0,VLOOKUP($L45,'Allocation Factors-Union South'!$B$12:$T$116,8,FALSE)*$J45,0)+IF($F45&lt;&gt;0,VLOOKUP($H45,'Allocation Factors-Union South'!$B$12:$T$116,8,FALSE)*$F45,0)</f>
        <v>0</v>
      </c>
      <c r="R45" s="79">
        <f ca="1">IF($J45&lt;&gt;0,VLOOKUP($L45,'Allocation Factors-Union South'!$B$12:$T$116,9,FALSE)*$J45,0)+IF($F45&lt;&gt;0,VLOOKUP($H45,'Allocation Factors-Union South'!$B$12:$T$116,9,FALSE)*$F45,0)</f>
        <v>46.017839910402159</v>
      </c>
      <c r="S45" s="79">
        <f ca="1">IF($J45&lt;&gt;0,VLOOKUP($L45,'Allocation Factors-Union South'!$B$12:$T$116,10,FALSE)*$J45,0)+IF($F45&lt;&gt;0,VLOOKUP($H45,'Allocation Factors-Union South'!$B$12:$T$116,10,FALSE)*$F45,0)</f>
        <v>197.21931390172352</v>
      </c>
      <c r="T45" s="79">
        <f ca="1">IF($J45&lt;&gt;0,VLOOKUP($L45,'Allocation Factors-Union South'!$B$12:$T$116,11,FALSE)*$J45,0)+IF($F45&lt;&gt;0,VLOOKUP($H45,'Allocation Factors-Union South'!$B$12:$T$116,11,FALSE)*$F45,0)</f>
        <v>698.73810332733785</v>
      </c>
      <c r="U45" s="79">
        <f ca="1">IF($J45&lt;&gt;0,VLOOKUP($L45,'Allocation Factors-Union South'!$B$12:$T$116,12,FALSE)*$J45,0)+IF($F45&lt;&gt;0,VLOOKUP($H45,'Allocation Factors-Union South'!$B$12:$T$116,12,FALSE)*$F45,0)</f>
        <v>49.03425286507634</v>
      </c>
      <c r="V45" s="79">
        <f ca="1">IF($J45&lt;&gt;0,VLOOKUP($L45,'Allocation Factors-Union South'!$B$12:$T$116,13,FALSE)*$J45,0)+IF($F45&lt;&gt;0,VLOOKUP($H45,'Allocation Factors-Union South'!$B$12:$T$116,13,FALSE)*$F45,0)</f>
        <v>27.051667782506303</v>
      </c>
      <c r="W45" s="79">
        <f ca="1">IF($J45&lt;&gt;0,VLOOKUP($L45,'Allocation Factors-Union South'!$B$12:$T$116,14,FALSE)*$J45,0)+IF($F45&lt;&gt;0,VLOOKUP($H45,'Allocation Factors-Union South'!$B$12:$T$116,14,FALSE)*$F45,0)</f>
        <v>455.82570273372005</v>
      </c>
      <c r="X45" s="79">
        <f ca="1">IF($J45&lt;&gt;0,VLOOKUP($L45,'Allocation Factors-Union South'!$B$12:$T$116,15,FALSE)*$J45,0)+IF($F45&lt;&gt;0,VLOOKUP($H45,'Allocation Factors-Union South'!$B$12:$T$116,15,FALSE)*$F45,0)</f>
        <v>0</v>
      </c>
      <c r="Y45" s="79">
        <f ca="1">IF($J45&lt;&gt;0,VLOOKUP($L45,'Allocation Factors-Union South'!$B$12:$T$116,16,FALSE)*$J45,0)+IF($F45&lt;&gt;0,VLOOKUP($H45,'Allocation Factors-Union South'!$B$12:$T$116,16,FALSE)*$F45,0)</f>
        <v>889.93994148734771</v>
      </c>
      <c r="Z45" s="79">
        <f ca="1">IF($J45&lt;&gt;0,VLOOKUP($L45,'Allocation Factors-Union South'!$B$12:$T$116,17,FALSE)*$J45,0)+IF($F45&lt;&gt;0,VLOOKUP($H45,'Allocation Factors-Union South'!$B$12:$T$116,17,FALSE)*$F45,0)</f>
        <v>0</v>
      </c>
      <c r="AA45" s="79">
        <f ca="1">IF($J45&lt;&gt;0,VLOOKUP($L45,'Allocation Factors-Union South'!$B$12:$T$116,18,FALSE)*$J45,0)+IF($F45&lt;&gt;0,VLOOKUP($H45,'Allocation Factors-Union South'!$B$12:$T$116,18,FALSE)*$F45,0)</f>
        <v>26.228959624819478</v>
      </c>
    </row>
    <row r="46" spans="1:27" x14ac:dyDescent="0.2">
      <c r="A46" s="2">
        <f t="shared" si="10"/>
        <v>29</v>
      </c>
      <c r="B46" s="31" t="s">
        <v>186</v>
      </c>
      <c r="D46" s="79">
        <f ca="1">'Total Allocation Current RZ'!S46</f>
        <v>12548.403613879787</v>
      </c>
      <c r="E46" s="79"/>
      <c r="F46" s="79"/>
      <c r="G46" s="79"/>
      <c r="H46" s="79"/>
      <c r="I46" s="79"/>
      <c r="J46" s="79">
        <f t="shared" ca="1" si="11"/>
        <v>12548.403613879787</v>
      </c>
      <c r="K46" s="79"/>
      <c r="L46" s="2" t="s">
        <v>191</v>
      </c>
      <c r="N46" s="79">
        <f ca="1">IF($J46&lt;&gt;0,VLOOKUP($L46,'Allocation Factors-Union South'!$B$12:$T$116,5,FALSE)*$J46,0)+IF($F46&lt;&gt;0,VLOOKUP($H46,'Allocation Factors-Union South'!$B$12:$T$116,5,FALSE)*$F46,0)</f>
        <v>4030.8899747548253</v>
      </c>
      <c r="O46" s="79">
        <f ca="1">IF($J46&lt;&gt;0,VLOOKUP($L46,'Allocation Factors-Union South'!$B$12:$T$116,6,FALSE)*$J46,0)+IF($F46&lt;&gt;0,VLOOKUP($H46,'Allocation Factors-Union South'!$B$12:$T$116,6,FALSE)*$F46,0)</f>
        <v>5140.3795719116861</v>
      </c>
      <c r="P46" s="79">
        <f ca="1">IF($J46&lt;&gt;0,VLOOKUP($L46,'Allocation Factors-Union South'!$B$12:$T$116,7,FALSE)*$J46,0)+IF($F46&lt;&gt;0,VLOOKUP($H46,'Allocation Factors-Union South'!$B$12:$T$116,7,FALSE)*$F46,0)</f>
        <v>330.77707210637078</v>
      </c>
      <c r="Q46" s="79">
        <f ca="1">IF($J46&lt;&gt;0,VLOOKUP($L46,'Allocation Factors-Union South'!$B$12:$T$116,8,FALSE)*$J46,0)+IF($F46&lt;&gt;0,VLOOKUP($H46,'Allocation Factors-Union South'!$B$12:$T$116,8,FALSE)*$F46,0)</f>
        <v>0</v>
      </c>
      <c r="R46" s="79">
        <f ca="1">IF($J46&lt;&gt;0,VLOOKUP($L46,'Allocation Factors-Union South'!$B$12:$T$116,9,FALSE)*$J46,0)+IF($F46&lt;&gt;0,VLOOKUP($H46,'Allocation Factors-Union South'!$B$12:$T$116,9,FALSE)*$F46,0)</f>
        <v>16.586875548334014</v>
      </c>
      <c r="S46" s="79">
        <f ca="1">IF($J46&lt;&gt;0,VLOOKUP($L46,'Allocation Factors-Union South'!$B$12:$T$116,10,FALSE)*$J46,0)+IF($F46&lt;&gt;0,VLOOKUP($H46,'Allocation Factors-Union South'!$B$12:$T$116,10,FALSE)*$F46,0)</f>
        <v>71.086609492860049</v>
      </c>
      <c r="T46" s="79">
        <f ca="1">IF($J46&lt;&gt;0,VLOOKUP($L46,'Allocation Factors-Union South'!$B$12:$T$116,11,FALSE)*$J46,0)+IF($F46&lt;&gt;0,VLOOKUP($H46,'Allocation Factors-Union South'!$B$12:$T$116,11,FALSE)*$F46,0)</f>
        <v>808.39862372536663</v>
      </c>
      <c r="U46" s="79">
        <f ca="1">IF($J46&lt;&gt;0,VLOOKUP($L46,'Allocation Factors-Union South'!$B$12:$T$116,12,FALSE)*$J46,0)+IF($F46&lt;&gt;0,VLOOKUP($H46,'Allocation Factors-Union South'!$B$12:$T$116,12,FALSE)*$F46,0)</f>
        <v>56.729727980727475</v>
      </c>
      <c r="V46" s="79">
        <f ca="1">IF($J46&lt;&gt;0,VLOOKUP($L46,'Allocation Factors-Union South'!$B$12:$T$116,13,FALSE)*$J46,0)+IF($F46&lt;&gt;0,VLOOKUP($H46,'Allocation Factors-Union South'!$B$12:$T$116,13,FALSE)*$F46,0)</f>
        <v>32.055951600733245</v>
      </c>
      <c r="W46" s="79">
        <f ca="1">IF($J46&lt;&gt;0,VLOOKUP($L46,'Allocation Factors-Union South'!$B$12:$T$116,14,FALSE)*$J46,0)+IF($F46&lt;&gt;0,VLOOKUP($H46,'Allocation Factors-Union South'!$B$12:$T$116,14,FALSE)*$F46,0)</f>
        <v>225.23711310648093</v>
      </c>
      <c r="X46" s="79">
        <f ca="1">IF($J46&lt;&gt;0,VLOOKUP($L46,'Allocation Factors-Union South'!$B$12:$T$116,15,FALSE)*$J46,0)+IF($F46&lt;&gt;0,VLOOKUP($H46,'Allocation Factors-Union South'!$B$12:$T$116,15,FALSE)*$F46,0)</f>
        <v>0</v>
      </c>
      <c r="Y46" s="79">
        <f ca="1">IF($J46&lt;&gt;0,VLOOKUP($L46,'Allocation Factors-Union South'!$B$12:$T$116,16,FALSE)*$J46,0)+IF($F46&lt;&gt;0,VLOOKUP($H46,'Allocation Factors-Union South'!$B$12:$T$116,16,FALSE)*$F46,0)</f>
        <v>1690.600892895327</v>
      </c>
      <c r="Z46" s="79">
        <f ca="1">IF($J46&lt;&gt;0,VLOOKUP($L46,'Allocation Factors-Union South'!$B$12:$T$116,17,FALSE)*$J46,0)+IF($F46&lt;&gt;0,VLOOKUP($H46,'Allocation Factors-Union South'!$B$12:$T$116,17,FALSE)*$F46,0)</f>
        <v>0</v>
      </c>
      <c r="AA46" s="79">
        <f ca="1">IF($J46&lt;&gt;0,VLOOKUP($L46,'Allocation Factors-Union South'!$B$12:$T$116,18,FALSE)*$J46,0)+IF($F46&lt;&gt;0,VLOOKUP($H46,'Allocation Factors-Union South'!$B$12:$T$116,18,FALSE)*$F46,0)</f>
        <v>145.66120075707798</v>
      </c>
    </row>
    <row r="47" spans="1:27" x14ac:dyDescent="0.2">
      <c r="B47" s="31" t="s">
        <v>164</v>
      </c>
      <c r="D47" s="79"/>
      <c r="E47" s="79"/>
      <c r="F47" s="79"/>
      <c r="G47" s="79"/>
      <c r="H47" s="79"/>
      <c r="I47" s="79"/>
      <c r="J47" s="123"/>
      <c r="K47" s="79"/>
      <c r="N47" s="2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</row>
    <row r="48" spans="1:27" x14ac:dyDescent="0.2">
      <c r="A48" s="2">
        <f>A46+1</f>
        <v>30</v>
      </c>
      <c r="B48" s="82" t="s">
        <v>176</v>
      </c>
      <c r="D48" s="79">
        <f ca="1">'Total Allocation Current RZ'!S48</f>
        <v>3893.3888802730116</v>
      </c>
      <c r="F48" s="79"/>
      <c r="H48" s="31"/>
      <c r="J48" s="79">
        <f t="shared" ref="J48:J51" ca="1" si="12">D48-F48</f>
        <v>3893.3888802730116</v>
      </c>
      <c r="L48" s="2" t="s">
        <v>223</v>
      </c>
      <c r="N48" s="79">
        <f ca="1">IF($J48&lt;&gt;0,VLOOKUP($L48,'Allocation Factors-Union South'!$B$12:$T$116,5,FALSE)*$J48,0)+IF($F48&lt;&gt;0,VLOOKUP($H48,'Allocation Factors-Union South'!$B$12:$T$116,5,FALSE)*$F48,0)</f>
        <v>3360.7070488726035</v>
      </c>
      <c r="O48" s="79">
        <f ca="1">IF($J48&lt;&gt;0,VLOOKUP($L48,'Allocation Factors-Union South'!$B$12:$T$116,6,FALSE)*$J48,0)+IF($F48&lt;&gt;0,VLOOKUP($H48,'Allocation Factors-Union South'!$B$12:$T$116,6,FALSE)*$F48,0)</f>
        <v>22.522786874398797</v>
      </c>
      <c r="P48" s="79">
        <f ca="1">IF($J48&lt;&gt;0,VLOOKUP($L48,'Allocation Factors-Union South'!$B$12:$T$116,7,FALSE)*$J48,0)+IF($F48&lt;&gt;0,VLOOKUP($H48,'Allocation Factors-Union South'!$B$12:$T$116,7,FALSE)*$F48,0)</f>
        <v>276.59225305627007</v>
      </c>
      <c r="Q48" s="79">
        <f ca="1">IF($J48&lt;&gt;0,VLOOKUP($L48,'Allocation Factors-Union South'!$B$12:$T$116,8,FALSE)*$J48,0)+IF($F48&lt;&gt;0,VLOOKUP($H48,'Allocation Factors-Union South'!$B$12:$T$116,8,FALSE)*$F48,0)</f>
        <v>0</v>
      </c>
      <c r="R48" s="79">
        <f ca="1">IF($J48&lt;&gt;0,VLOOKUP($L48,'Allocation Factors-Union South'!$B$12:$T$116,9,FALSE)*$J48,0)+IF($F48&lt;&gt;0,VLOOKUP($H48,'Allocation Factors-Union South'!$B$12:$T$116,9,FALSE)*$F48,0)</f>
        <v>8.6050923173061786</v>
      </c>
      <c r="S48" s="79">
        <f ca="1">IF($J48&lt;&gt;0,VLOOKUP($L48,'Allocation Factors-Union South'!$B$12:$T$116,10,FALSE)*$J48,0)+IF($F48&lt;&gt;0,VLOOKUP($H48,'Allocation Factors-Union South'!$B$12:$T$116,10,FALSE)*$F48,0)</f>
        <v>36.878967074169346</v>
      </c>
      <c r="T48" s="79">
        <f ca="1">IF($J48&lt;&gt;0,VLOOKUP($L48,'Allocation Factors-Union South'!$B$12:$T$116,11,FALSE)*$J48,0)+IF($F48&lt;&gt;0,VLOOKUP($H48,'Allocation Factors-Union South'!$B$12:$T$116,11,FALSE)*$F48,0)</f>
        <v>70.070037440921752</v>
      </c>
      <c r="U48" s="79">
        <f ca="1">IF($J48&lt;&gt;0,VLOOKUP($L48,'Allocation Factors-Union South'!$B$12:$T$116,12,FALSE)*$J48,0)+IF($F48&lt;&gt;0,VLOOKUP($H48,'Allocation Factors-Union South'!$B$12:$T$116,12,FALSE)*$F48,0)</f>
        <v>4.9171956098892462</v>
      </c>
      <c r="V48" s="79">
        <f ca="1">IF($J48&lt;&gt;0,VLOOKUP($L48,'Allocation Factors-Union South'!$B$12:$T$116,13,FALSE)*$J48,0)+IF($F48&lt;&gt;0,VLOOKUP($H48,'Allocation Factors-Union South'!$B$12:$T$116,13,FALSE)*$F48,0)</f>
        <v>4.9171956098892462</v>
      </c>
      <c r="W48" s="79">
        <f ca="1">IF($J48&lt;&gt;0,VLOOKUP($L48,'Allocation Factors-Union South'!$B$12:$T$116,14,FALSE)*$J48,0)+IF($F48&lt;&gt;0,VLOOKUP($H48,'Allocation Factors-Union South'!$B$12:$T$116,14,FALSE)*$F48,0)</f>
        <v>56.54774951372633</v>
      </c>
      <c r="X48" s="79">
        <f ca="1">IF($J48&lt;&gt;0,VLOOKUP($L48,'Allocation Factors-Union South'!$B$12:$T$116,15,FALSE)*$J48,0)+IF($F48&lt;&gt;0,VLOOKUP($H48,'Allocation Factors-Union South'!$B$12:$T$116,15,FALSE)*$F48,0)</f>
        <v>0</v>
      </c>
      <c r="Y48" s="79">
        <f ca="1">IF($J48&lt;&gt;0,VLOOKUP($L48,'Allocation Factors-Union South'!$B$12:$T$116,16,FALSE)*$J48,0)+IF($F48&lt;&gt;0,VLOOKUP($H48,'Allocation Factors-Union South'!$B$12:$T$116,16,FALSE)*$F48,0)</f>
        <v>50.401255001364774</v>
      </c>
      <c r="Z48" s="79">
        <f ca="1">IF($J48&lt;&gt;0,VLOOKUP($L48,'Allocation Factors-Union South'!$B$12:$T$116,17,FALSE)*$J48,0)+IF($F48&lt;&gt;0,VLOOKUP($H48,'Allocation Factors-Union South'!$B$12:$T$116,17,FALSE)*$F48,0)</f>
        <v>0</v>
      </c>
      <c r="AA48" s="79">
        <f ca="1">IF($J48&lt;&gt;0,VLOOKUP($L48,'Allocation Factors-Union South'!$B$12:$T$116,18,FALSE)*$J48,0)+IF($F48&lt;&gt;0,VLOOKUP($H48,'Allocation Factors-Union South'!$B$12:$T$116,18,FALSE)*$F48,0)</f>
        <v>1.2292989024723115</v>
      </c>
    </row>
    <row r="49" spans="1:27" x14ac:dyDescent="0.2">
      <c r="A49" s="2">
        <f t="shared" si="10"/>
        <v>31</v>
      </c>
      <c r="B49" s="82" t="s">
        <v>72</v>
      </c>
      <c r="D49" s="79">
        <f ca="1">'Total Allocation Current RZ'!S49</f>
        <v>42055.109152126061</v>
      </c>
      <c r="F49" s="79">
        <v>3858.7118360375543</v>
      </c>
      <c r="H49" s="2" t="s">
        <v>341</v>
      </c>
      <c r="J49" s="79">
        <f t="shared" ca="1" si="12"/>
        <v>38196.397316088507</v>
      </c>
      <c r="L49" s="2" t="s">
        <v>220</v>
      </c>
      <c r="N49" s="79">
        <f ca="1">IF($J49&lt;&gt;0,VLOOKUP($L49,'Allocation Factors-Union South'!$B$12:$T$116,5,FALSE)*$J49,0)+IF($F49&lt;&gt;0,VLOOKUP($H49,'Allocation Factors-Union South'!$B$12:$T$116,5,FALSE)*$F49,0)</f>
        <v>40681.177976376908</v>
      </c>
      <c r="O49" s="79">
        <f ca="1">IF($J49&lt;&gt;0,VLOOKUP($L49,'Allocation Factors-Union South'!$B$12:$T$116,6,FALSE)*$J49,0)+IF($F49&lt;&gt;0,VLOOKUP($H49,'Allocation Factors-Union South'!$B$12:$T$116,6,FALSE)*$F49,0)</f>
        <v>272.65426575584041</v>
      </c>
      <c r="P49" s="79">
        <f ca="1">IF($J49&lt;&gt;0,VLOOKUP($L49,'Allocation Factors-Union South'!$B$12:$T$116,7,FALSE)*$J49,0)+IF($F49&lt;&gt;0,VLOOKUP($H49,'Allocation Factors-Union South'!$B$12:$T$116,7,FALSE)*$F49,0)</f>
        <v>597.07784276745815</v>
      </c>
      <c r="Q49" s="79">
        <f ca="1">IF($J49&lt;&gt;0,VLOOKUP($L49,'Allocation Factors-Union South'!$B$12:$T$116,8,FALSE)*$J49,0)+IF($F49&lt;&gt;0,VLOOKUP($H49,'Allocation Factors-Union South'!$B$12:$T$116,8,FALSE)*$F49,0)</f>
        <v>0</v>
      </c>
      <c r="R49" s="79">
        <f ca="1">IF($J49&lt;&gt;0,VLOOKUP($L49,'Allocation Factors-Union South'!$B$12:$T$116,9,FALSE)*$J49,0)+IF($F49&lt;&gt;0,VLOOKUP($H49,'Allocation Factors-Union South'!$B$12:$T$116,9,FALSE)*$F49,0)</f>
        <v>18.575755108320919</v>
      </c>
      <c r="S49" s="79">
        <f ca="1">IF($J49&lt;&gt;0,VLOOKUP($L49,'Allocation Factors-Union South'!$B$12:$T$116,10,FALSE)*$J49,0)+IF($F49&lt;&gt;0,VLOOKUP($H49,'Allocation Factors-Union South'!$B$12:$T$116,10,FALSE)*$F49,0)</f>
        <v>79.610379035661097</v>
      </c>
      <c r="T49" s="79">
        <f ca="1">IF($J49&lt;&gt;0,VLOOKUP($L49,'Allocation Factors-Union South'!$B$12:$T$116,11,FALSE)*$J49,0)+IF($F49&lt;&gt;0,VLOOKUP($H49,'Allocation Factors-Union South'!$B$12:$T$116,11,FALSE)*$F49,0)</f>
        <v>151.25972016775606</v>
      </c>
      <c r="U49" s="79">
        <f ca="1">IF($J49&lt;&gt;0,VLOOKUP($L49,'Allocation Factors-Union South'!$B$12:$T$116,12,FALSE)*$J49,0)+IF($F49&lt;&gt;0,VLOOKUP($H49,'Allocation Factors-Union South'!$B$12:$T$116,12,FALSE)*$F49,0)</f>
        <v>10.614717204754811</v>
      </c>
      <c r="V49" s="79">
        <f ca="1">IF($J49&lt;&gt;0,VLOOKUP($L49,'Allocation Factors-Union South'!$B$12:$T$116,13,FALSE)*$J49,0)+IF($F49&lt;&gt;0,VLOOKUP($H49,'Allocation Factors-Union South'!$B$12:$T$116,13,FALSE)*$F49,0)</f>
        <v>10.614717204754811</v>
      </c>
      <c r="W49" s="79">
        <f ca="1">IF($J49&lt;&gt;0,VLOOKUP($L49,'Allocation Factors-Union South'!$B$12:$T$116,14,FALSE)*$J49,0)+IF($F49&lt;&gt;0,VLOOKUP($H49,'Allocation Factors-Union South'!$B$12:$T$116,14,FALSE)*$F49,0)</f>
        <v>122.06924785468033</v>
      </c>
      <c r="X49" s="79">
        <f ca="1">IF($J49&lt;&gt;0,VLOOKUP($L49,'Allocation Factors-Union South'!$B$12:$T$116,15,FALSE)*$J49,0)+IF($F49&lt;&gt;0,VLOOKUP($H49,'Allocation Factors-Union South'!$B$12:$T$116,15,FALSE)*$F49,0)</f>
        <v>0</v>
      </c>
      <c r="Y49" s="79">
        <f ca="1">IF($J49&lt;&gt;0,VLOOKUP($L49,'Allocation Factors-Union South'!$B$12:$T$116,16,FALSE)*$J49,0)+IF($F49&lt;&gt;0,VLOOKUP($H49,'Allocation Factors-Union South'!$B$12:$T$116,16,FALSE)*$F49,0)</f>
        <v>108.8008513487368</v>
      </c>
      <c r="Z49" s="79">
        <f ca="1">IF($J49&lt;&gt;0,VLOOKUP($L49,'Allocation Factors-Union South'!$B$12:$T$116,17,FALSE)*$J49,0)+IF($F49&lt;&gt;0,VLOOKUP($H49,'Allocation Factors-Union South'!$B$12:$T$116,17,FALSE)*$F49,0)</f>
        <v>0</v>
      </c>
      <c r="AA49" s="79">
        <f ca="1">IF($J49&lt;&gt;0,VLOOKUP($L49,'Allocation Factors-Union South'!$B$12:$T$116,18,FALSE)*$J49,0)+IF($F49&lt;&gt;0,VLOOKUP($H49,'Allocation Factors-Union South'!$B$12:$T$116,18,FALSE)*$F49,0)</f>
        <v>2.6536793011887028</v>
      </c>
    </row>
    <row r="50" spans="1:27" x14ac:dyDescent="0.2">
      <c r="A50" s="2">
        <f t="shared" si="10"/>
        <v>32</v>
      </c>
      <c r="B50" s="82" t="s">
        <v>174</v>
      </c>
      <c r="D50" s="79">
        <f ca="1">'Total Allocation Current RZ'!S50</f>
        <v>7420.9228572625634</v>
      </c>
      <c r="F50" s="79"/>
      <c r="H50" s="31"/>
      <c r="J50" s="79">
        <f t="shared" ca="1" si="12"/>
        <v>7420.9228572625634</v>
      </c>
      <c r="L50" s="2" t="s">
        <v>272</v>
      </c>
      <c r="N50" s="79">
        <f ca="1">IF($J50&lt;&gt;0,VLOOKUP($L50,'Allocation Factors-Union South'!$B$12:$T$116,5,FALSE)*$J50,0)+IF($F50&lt;&gt;0,VLOOKUP($H50,'Allocation Factors-Union South'!$B$12:$T$116,5,FALSE)*$F50,0)</f>
        <v>0</v>
      </c>
      <c r="O50" s="79">
        <f ca="1">IF($J50&lt;&gt;0,VLOOKUP($L50,'Allocation Factors-Union South'!$B$12:$T$116,6,FALSE)*$J50,0)+IF($F50&lt;&gt;0,VLOOKUP($H50,'Allocation Factors-Union South'!$B$12:$T$116,6,FALSE)*$F50,0)</f>
        <v>0</v>
      </c>
      <c r="P50" s="79">
        <f ca="1">IF($J50&lt;&gt;0,VLOOKUP($L50,'Allocation Factors-Union South'!$B$12:$T$116,7,FALSE)*$J50,0)+IF($F50&lt;&gt;0,VLOOKUP($H50,'Allocation Factors-Union South'!$B$12:$T$116,7,FALSE)*$F50,0)</f>
        <v>4023.3919105640402</v>
      </c>
      <c r="Q50" s="79">
        <f ca="1">IF($J50&lt;&gt;0,VLOOKUP($L50,'Allocation Factors-Union South'!$B$12:$T$116,8,FALSE)*$J50,0)+IF($F50&lt;&gt;0,VLOOKUP($H50,'Allocation Factors-Union South'!$B$12:$T$116,8,FALSE)*$F50,0)</f>
        <v>0</v>
      </c>
      <c r="R50" s="79">
        <f ca="1">IF($J50&lt;&gt;0,VLOOKUP($L50,'Allocation Factors-Union South'!$B$12:$T$116,9,FALSE)*$J50,0)+IF($F50&lt;&gt;0,VLOOKUP($H50,'Allocation Factors-Union South'!$B$12:$T$116,9,FALSE)*$F50,0)</f>
        <v>125.17219277310348</v>
      </c>
      <c r="S50" s="79">
        <f ca="1">IF($J50&lt;&gt;0,VLOOKUP($L50,'Allocation Factors-Union South'!$B$12:$T$116,10,FALSE)*$J50,0)+IF($F50&lt;&gt;0,VLOOKUP($H50,'Allocation Factors-Union South'!$B$12:$T$116,10,FALSE)*$F50,0)</f>
        <v>536.45225474187203</v>
      </c>
      <c r="T50" s="79">
        <f ca="1">IF($J50&lt;&gt;0,VLOOKUP($L50,'Allocation Factors-Union South'!$B$12:$T$116,11,FALSE)*$J50,0)+IF($F50&lt;&gt;0,VLOOKUP($H50,'Allocation Factors-Union South'!$B$12:$T$116,11,FALSE)*$F50,0)</f>
        <v>1019.2592840095568</v>
      </c>
      <c r="U50" s="79">
        <f ca="1">IF($J50&lt;&gt;0,VLOOKUP($L50,'Allocation Factors-Union South'!$B$12:$T$116,12,FALSE)*$J50,0)+IF($F50&lt;&gt;0,VLOOKUP($H50,'Allocation Factors-Union South'!$B$12:$T$116,12,FALSE)*$F50,0)</f>
        <v>71.526967298916276</v>
      </c>
      <c r="V50" s="79">
        <f ca="1">IF($J50&lt;&gt;0,VLOOKUP($L50,'Allocation Factors-Union South'!$B$12:$T$116,13,FALSE)*$J50,0)+IF($F50&lt;&gt;0,VLOOKUP($H50,'Allocation Factors-Union South'!$B$12:$T$116,13,FALSE)*$F50,0)</f>
        <v>71.526967298916276</v>
      </c>
      <c r="W50" s="79">
        <f ca="1">IF($J50&lt;&gt;0,VLOOKUP($L50,'Allocation Factors-Union South'!$B$12:$T$116,14,FALSE)*$J50,0)+IF($F50&lt;&gt;0,VLOOKUP($H50,'Allocation Factors-Union South'!$B$12:$T$116,14,FALSE)*$F50,0)</f>
        <v>822.56012393753713</v>
      </c>
      <c r="X50" s="79">
        <f ca="1">IF($J50&lt;&gt;0,VLOOKUP($L50,'Allocation Factors-Union South'!$B$12:$T$116,15,FALSE)*$J50,0)+IF($F50&lt;&gt;0,VLOOKUP($H50,'Allocation Factors-Union South'!$B$12:$T$116,15,FALSE)*$F50,0)</f>
        <v>0</v>
      </c>
      <c r="Y50" s="79">
        <f ca="1">IF($J50&lt;&gt;0,VLOOKUP($L50,'Allocation Factors-Union South'!$B$12:$T$116,16,FALSE)*$J50,0)+IF($F50&lt;&gt;0,VLOOKUP($H50,'Allocation Factors-Union South'!$B$12:$T$116,16,FALSE)*$F50,0)</f>
        <v>733.15141481389173</v>
      </c>
      <c r="Z50" s="79">
        <f ca="1">IF($J50&lt;&gt;0,VLOOKUP($L50,'Allocation Factors-Union South'!$B$12:$T$116,17,FALSE)*$J50,0)+IF($F50&lt;&gt;0,VLOOKUP($H50,'Allocation Factors-Union South'!$B$12:$T$116,17,FALSE)*$F50,0)</f>
        <v>0</v>
      </c>
      <c r="AA50" s="79">
        <f ca="1">IF($J50&lt;&gt;0,VLOOKUP($L50,'Allocation Factors-Union South'!$B$12:$T$116,18,FALSE)*$J50,0)+IF($F50&lt;&gt;0,VLOOKUP($H50,'Allocation Factors-Union South'!$B$12:$T$116,18,FALSE)*$F50,0)</f>
        <v>17.881741824729069</v>
      </c>
    </row>
    <row r="51" spans="1:27" x14ac:dyDescent="0.2">
      <c r="A51" s="2">
        <f t="shared" si="10"/>
        <v>33</v>
      </c>
      <c r="B51" s="31" t="s">
        <v>249</v>
      </c>
      <c r="D51" s="79">
        <f ca="1">'Total Allocation Current RZ'!S51</f>
        <v>8295.1053507044253</v>
      </c>
      <c r="F51" s="79"/>
      <c r="H51" s="79"/>
      <c r="J51" s="79">
        <f t="shared" ca="1" si="12"/>
        <v>8295.1053507044253</v>
      </c>
      <c r="L51" s="2" t="s">
        <v>336</v>
      </c>
      <c r="N51" s="79">
        <f ca="1">IF($J51&lt;&gt;0,VLOOKUP($L51,'Allocation Factors-Union South'!$B$12:$T$116,5,FALSE)*$J51,0)+IF($F51&lt;&gt;0,VLOOKUP($H51,'Allocation Factors-Union South'!$B$12:$T$116,5,FALSE)*$F51,0)</f>
        <v>2292.0577626427798</v>
      </c>
      <c r="O51" s="79">
        <f ca="1">IF($J51&lt;&gt;0,VLOOKUP($L51,'Allocation Factors-Union South'!$B$12:$T$116,6,FALSE)*$J51,0)+IF($F51&lt;&gt;0,VLOOKUP($H51,'Allocation Factors-Union South'!$B$12:$T$116,6,FALSE)*$F51,0)</f>
        <v>928.44367870376107</v>
      </c>
      <c r="P51" s="79">
        <f ca="1">IF($J51&lt;&gt;0,VLOOKUP($L51,'Allocation Factors-Union South'!$B$12:$T$116,7,FALSE)*$J51,0)+IF($F51&lt;&gt;0,VLOOKUP($H51,'Allocation Factors-Union South'!$B$12:$T$116,7,FALSE)*$F51,0)</f>
        <v>417.29552876826244</v>
      </c>
      <c r="Q51" s="79">
        <f ca="1">IF($J51&lt;&gt;0,VLOOKUP($L51,'Allocation Factors-Union South'!$B$12:$T$116,8,FALSE)*$J51,0)+IF($F51&lt;&gt;0,VLOOKUP($H51,'Allocation Factors-Union South'!$B$12:$T$116,8,FALSE)*$F51,0)</f>
        <v>0.16730136379622709</v>
      </c>
      <c r="R51" s="79">
        <f ca="1">IF($J51&lt;&gt;0,VLOOKUP($L51,'Allocation Factors-Union South'!$B$12:$T$116,9,FALSE)*$J51,0)+IF($F51&lt;&gt;0,VLOOKUP($H51,'Allocation Factors-Union South'!$B$12:$T$116,9,FALSE)*$F51,0)</f>
        <v>3.0969725898465619</v>
      </c>
      <c r="S51" s="79">
        <f ca="1">IF($J51&lt;&gt;0,VLOOKUP($L51,'Allocation Factors-Union South'!$B$12:$T$116,10,FALSE)*$J51,0)+IF($F51&lt;&gt;0,VLOOKUP($H51,'Allocation Factors-Union South'!$B$12:$T$116,10,FALSE)*$F51,0)</f>
        <v>38.721684342952415</v>
      </c>
      <c r="T51" s="79">
        <f ca="1">IF($J51&lt;&gt;0,VLOOKUP($L51,'Allocation Factors-Union South'!$B$12:$T$116,11,FALSE)*$J51,0)+IF($F51&lt;&gt;0,VLOOKUP($H51,'Allocation Factors-Union South'!$B$12:$T$116,11,FALSE)*$F51,0)</f>
        <v>501.69935024828885</v>
      </c>
      <c r="U51" s="79">
        <f ca="1">IF($J51&lt;&gt;0,VLOOKUP($L51,'Allocation Factors-Union South'!$B$12:$T$116,12,FALSE)*$J51,0)+IF($F51&lt;&gt;0,VLOOKUP($H51,'Allocation Factors-Union South'!$B$12:$T$116,12,FALSE)*$F51,0)</f>
        <v>53.421114695432081</v>
      </c>
      <c r="V51" s="79">
        <f ca="1">IF($J51&lt;&gt;0,VLOOKUP($L51,'Allocation Factors-Union South'!$B$12:$T$116,13,FALSE)*$J51,0)+IF($F51&lt;&gt;0,VLOOKUP($H51,'Allocation Factors-Union South'!$B$12:$T$116,13,FALSE)*$F51,0)</f>
        <v>63.314271548573693</v>
      </c>
      <c r="W51" s="79">
        <f ca="1">IF($J51&lt;&gt;0,VLOOKUP($L51,'Allocation Factors-Union South'!$B$12:$T$116,14,FALSE)*$J51,0)+IF($F51&lt;&gt;0,VLOOKUP($H51,'Allocation Factors-Union South'!$B$12:$T$116,14,FALSE)*$F51,0)</f>
        <v>276.77693911510789</v>
      </c>
      <c r="X51" s="79">
        <f ca="1">IF($J51&lt;&gt;0,VLOOKUP($L51,'Allocation Factors-Union South'!$B$12:$T$116,15,FALSE)*$J51,0)+IF($F51&lt;&gt;0,VLOOKUP($H51,'Allocation Factors-Union South'!$B$12:$T$116,15,FALSE)*$F51,0)</f>
        <v>26.384395605613182</v>
      </c>
      <c r="Y51" s="79">
        <f ca="1">IF($J51&lt;&gt;0,VLOOKUP($L51,'Allocation Factors-Union South'!$B$12:$T$116,16,FALSE)*$J51,0)+IF($F51&lt;&gt;0,VLOOKUP($H51,'Allocation Factors-Union South'!$B$12:$T$116,16,FALSE)*$F51,0)</f>
        <v>3489.2035384049186</v>
      </c>
      <c r="Z51" s="79">
        <f ca="1">IF($J51&lt;&gt;0,VLOOKUP($L51,'Allocation Factors-Union South'!$B$12:$T$116,17,FALSE)*$J51,0)+IF($F51&lt;&gt;0,VLOOKUP($H51,'Allocation Factors-Union South'!$B$12:$T$116,17,FALSE)*$F51,0)</f>
        <v>29.355436280802827</v>
      </c>
      <c r="AA51" s="79">
        <f ca="1">IF($J51&lt;&gt;0,VLOOKUP($L51,'Allocation Factors-Union South'!$B$12:$T$116,18,FALSE)*$J51,0)+IF($F51&lt;&gt;0,VLOOKUP($H51,'Allocation Factors-Union South'!$B$12:$T$116,18,FALSE)*$F51,0)</f>
        <v>175.16737639428882</v>
      </c>
    </row>
    <row r="52" spans="1:27" x14ac:dyDescent="0.2">
      <c r="A52" s="2">
        <f t="shared" si="10"/>
        <v>34</v>
      </c>
      <c r="B52" s="31" t="s">
        <v>382</v>
      </c>
      <c r="D52" s="41">
        <f ca="1">SUM(D37:D51)</f>
        <v>746822.98695215967</v>
      </c>
      <c r="F52" s="41">
        <f>SUM(F37:F51)</f>
        <v>3858.7118360375543</v>
      </c>
      <c r="H52" s="50"/>
      <c r="J52" s="41">
        <f ca="1">SUM(J37:J51)</f>
        <v>742964.27511612221</v>
      </c>
      <c r="L52" s="50"/>
      <c r="N52" s="41">
        <f t="shared" ref="N52:V52" ca="1" si="13">SUM(N37:N51)</f>
        <v>571121.24486976757</v>
      </c>
      <c r="O52" s="41">
        <f t="shared" ca="1" si="13"/>
        <v>67520.016762546526</v>
      </c>
      <c r="P52" s="41">
        <f t="shared" ca="1" si="13"/>
        <v>25578.33472529272</v>
      </c>
      <c r="Q52" s="41">
        <f t="shared" ca="1" si="13"/>
        <v>5.1423668964100226</v>
      </c>
      <c r="R52" s="41">
        <f t="shared" ca="1" si="13"/>
        <v>372.76435235092868</v>
      </c>
      <c r="S52" s="41">
        <f t="shared" ca="1" si="13"/>
        <v>1474.5783680951408</v>
      </c>
      <c r="T52" s="41">
        <f t="shared" ca="1" si="13"/>
        <v>21350.668461242614</v>
      </c>
      <c r="U52" s="41">
        <f t="shared" ca="1" si="13"/>
        <v>846.84559512817975</v>
      </c>
      <c r="V52" s="41">
        <f t="shared" ca="1" si="13"/>
        <v>939.9810548614829</v>
      </c>
      <c r="W52" s="41">
        <f ca="1">SUM(W37:W51)</f>
        <v>7894.5723402948279</v>
      </c>
      <c r="X52" s="41">
        <f ca="1">SUM(X37:X51)</f>
        <v>147.60439406214846</v>
      </c>
      <c r="Y52" s="41">
        <f ca="1">SUM(Y37:Y51)</f>
        <v>45256.098734587751</v>
      </c>
      <c r="Z52" s="41">
        <f ca="1">SUM(Z37:Z51)</f>
        <v>499.23674533235635</v>
      </c>
      <c r="AA52" s="41">
        <f ca="1">SUM(AA37:AA51)</f>
        <v>3815.8981817011036</v>
      </c>
    </row>
    <row r="53" spans="1:27" x14ac:dyDescent="0.2">
      <c r="D53" s="50"/>
      <c r="F53" s="50"/>
      <c r="H53" s="31"/>
      <c r="J53" s="2"/>
      <c r="L53" s="31"/>
      <c r="N53" s="2"/>
    </row>
    <row r="54" spans="1:27" ht="13.5" thickBot="1" x14ac:dyDescent="0.25">
      <c r="A54" s="2">
        <f>A52+1</f>
        <v>35</v>
      </c>
      <c r="B54" s="31" t="s">
        <v>149</v>
      </c>
      <c r="D54" s="83">
        <f ca="1">D52+D34+D24+D17</f>
        <v>1549368.9068350703</v>
      </c>
      <c r="F54" s="83">
        <f>F17+F24+F34+F52</f>
        <v>16723.376827203476</v>
      </c>
      <c r="H54" s="50"/>
      <c r="J54" s="83">
        <f ca="1">J17+J24+J34+J52</f>
        <v>1532645.5300078671</v>
      </c>
      <c r="L54" s="50"/>
      <c r="N54" s="83">
        <f t="shared" ref="N54:V54" ca="1" si="14">N17+N24+N34+N52</f>
        <v>1136807.717408658</v>
      </c>
      <c r="O54" s="83">
        <f t="shared" ca="1" si="14"/>
        <v>204417.23292247273</v>
      </c>
      <c r="P54" s="83">
        <f t="shared" ca="1" si="14"/>
        <v>44582.662481968699</v>
      </c>
      <c r="Q54" s="83">
        <f t="shared" ca="1" si="14"/>
        <v>7.2085387145197624</v>
      </c>
      <c r="R54" s="83">
        <f t="shared" ca="1" si="14"/>
        <v>506.58970498061728</v>
      </c>
      <c r="S54" s="83">
        <f t="shared" ca="1" si="14"/>
        <v>1835.1026488675134</v>
      </c>
      <c r="T54" s="83">
        <f t="shared" ca="1" si="14"/>
        <v>41859.322628215159</v>
      </c>
      <c r="U54" s="83">
        <f t="shared" ca="1" si="14"/>
        <v>1400.206933044879</v>
      </c>
      <c r="V54" s="83">
        <f t="shared" ca="1" si="14"/>
        <v>4437.0578069972844</v>
      </c>
      <c r="W54" s="83">
        <f ca="1">W17+W24+W34+W52</f>
        <v>11821.468413708537</v>
      </c>
      <c r="X54" s="83">
        <f ca="1">X17+X24+X34+X52</f>
        <v>166.51591777582595</v>
      </c>
      <c r="Y54" s="83">
        <f ca="1">Y17+Y24+Y34+Y52</f>
        <v>92155.86656107739</v>
      </c>
      <c r="Z54" s="83">
        <f ca="1">Z17+Z24+Z34+Z52</f>
        <v>520.27781967220756</v>
      </c>
      <c r="AA54" s="83">
        <f ca="1">AA17+AA24+AA34+AA52</f>
        <v>8851.6770489172195</v>
      </c>
    </row>
    <row r="55" spans="1:27" ht="13.5" thickTop="1" x14ac:dyDescent="0.2"/>
    <row r="57" spans="1:27" x14ac:dyDescent="0.2">
      <c r="D57" s="96"/>
      <c r="E57" s="96"/>
      <c r="F57" s="96"/>
      <c r="G57" s="96"/>
      <c r="H57" s="156"/>
      <c r="I57" s="96"/>
      <c r="J57" s="96"/>
      <c r="K57" s="96"/>
      <c r="L57" s="15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</row>
  </sheetData>
  <mergeCells count="2">
    <mergeCell ref="B2:L2"/>
    <mergeCell ref="B3:L3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F1501-8CCB-4542-84ED-8A0AF77FDFD9}">
  <sheetPr>
    <tabColor theme="0" tint="-0.249977111117893"/>
  </sheetPr>
  <dimension ref="A2:AA57"/>
  <sheetViews>
    <sheetView topLeftCell="A17" zoomScale="80" zoomScaleNormal="80" workbookViewId="0">
      <selection activeCell="AC17" sqref="AC17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21.42578125" style="2" customWidth="1"/>
    <col min="9" max="9" width="1.7109375" style="31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31" customWidth="1"/>
    <col min="14" max="14" width="10.7109375" style="31" customWidth="1"/>
    <col min="15" max="19" width="11.5703125" style="31" customWidth="1"/>
    <col min="20" max="20" width="11.28515625" style="31" customWidth="1"/>
    <col min="21" max="27" width="10.7109375" style="31" customWidth="1"/>
    <col min="28" max="16384" width="9.140625" style="31"/>
  </cols>
  <sheetData>
    <row r="2" spans="1:27" x14ac:dyDescent="0.2">
      <c r="B2" s="161" t="s">
        <v>363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</row>
    <row r="3" spans="1:27" x14ac:dyDescent="0.2">
      <c r="B3" s="161" t="s">
        <v>523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</row>
    <row r="5" spans="1:27" x14ac:dyDescent="0.2">
      <c r="D5" s="2" t="s">
        <v>150</v>
      </c>
    </row>
    <row r="6" spans="1:27" x14ac:dyDescent="0.2">
      <c r="A6" s="2" t="s">
        <v>2</v>
      </c>
      <c r="D6" s="2" t="s">
        <v>5</v>
      </c>
      <c r="F6" s="2" t="s">
        <v>167</v>
      </c>
      <c r="H6" s="2" t="s">
        <v>168</v>
      </c>
      <c r="I6" s="2"/>
      <c r="J6" s="2" t="s">
        <v>169</v>
      </c>
      <c r="L6" s="2" t="s">
        <v>104</v>
      </c>
      <c r="N6" s="2" t="s">
        <v>80</v>
      </c>
      <c r="O6" s="2" t="s">
        <v>80</v>
      </c>
      <c r="P6" s="2" t="s">
        <v>80</v>
      </c>
      <c r="Q6" s="2" t="s">
        <v>80</v>
      </c>
      <c r="R6" s="2" t="s">
        <v>80</v>
      </c>
      <c r="S6" s="2" t="s">
        <v>80</v>
      </c>
      <c r="T6" s="2" t="s">
        <v>80</v>
      </c>
      <c r="U6" s="2" t="s">
        <v>80</v>
      </c>
      <c r="V6" s="2" t="s">
        <v>80</v>
      </c>
      <c r="W6" s="2" t="s">
        <v>80</v>
      </c>
      <c r="X6" s="2" t="s">
        <v>80</v>
      </c>
      <c r="Y6" s="2" t="s">
        <v>80</v>
      </c>
      <c r="Z6" s="2" t="s">
        <v>80</v>
      </c>
      <c r="AA6" s="2" t="s">
        <v>80</v>
      </c>
    </row>
    <row r="7" spans="1:27" x14ac:dyDescent="0.2">
      <c r="A7" s="33" t="s">
        <v>4</v>
      </c>
      <c r="B7" s="80" t="s">
        <v>374</v>
      </c>
      <c r="D7" s="33" t="s">
        <v>152</v>
      </c>
      <c r="F7" s="33" t="s">
        <v>131</v>
      </c>
      <c r="H7" s="33" t="s">
        <v>6</v>
      </c>
      <c r="I7" s="2"/>
      <c r="J7" s="33" t="s">
        <v>170</v>
      </c>
      <c r="L7" s="33" t="s">
        <v>6</v>
      </c>
      <c r="N7" s="4" t="s">
        <v>471</v>
      </c>
      <c r="O7" s="4" t="s">
        <v>472</v>
      </c>
      <c r="P7" s="4" t="s">
        <v>473</v>
      </c>
      <c r="Q7" s="4" t="s">
        <v>474</v>
      </c>
      <c r="R7" s="4" t="s">
        <v>475</v>
      </c>
      <c r="S7" s="4" t="s">
        <v>476</v>
      </c>
      <c r="T7" s="4" t="s">
        <v>477</v>
      </c>
      <c r="U7" s="4" t="s">
        <v>478</v>
      </c>
      <c r="V7" s="4" t="s">
        <v>479</v>
      </c>
      <c r="W7" s="4" t="s">
        <v>480</v>
      </c>
      <c r="X7" s="4" t="s">
        <v>481</v>
      </c>
      <c r="Y7" s="4" t="s">
        <v>482</v>
      </c>
      <c r="Z7" s="4" t="s">
        <v>483</v>
      </c>
      <c r="AA7" s="4" t="s">
        <v>484</v>
      </c>
    </row>
    <row r="8" spans="1:27" x14ac:dyDescent="0.2">
      <c r="D8" s="120" t="s">
        <v>12</v>
      </c>
      <c r="F8" s="120" t="s">
        <v>13</v>
      </c>
      <c r="H8" s="120" t="s">
        <v>14</v>
      </c>
      <c r="J8" s="120" t="s">
        <v>366</v>
      </c>
      <c r="K8" s="74"/>
      <c r="L8" s="120" t="s">
        <v>15</v>
      </c>
      <c r="M8" s="40"/>
      <c r="N8" s="120" t="s">
        <v>16</v>
      </c>
      <c r="O8" s="120" t="s">
        <v>59</v>
      </c>
      <c r="P8" s="120" t="s">
        <v>61</v>
      </c>
      <c r="Q8" s="120" t="s">
        <v>62</v>
      </c>
      <c r="R8" s="120" t="s">
        <v>82</v>
      </c>
      <c r="S8" s="120" t="s">
        <v>143</v>
      </c>
      <c r="T8" s="120" t="s">
        <v>144</v>
      </c>
      <c r="U8" s="120" t="s">
        <v>145</v>
      </c>
      <c r="V8" s="120" t="s">
        <v>184</v>
      </c>
      <c r="W8" s="2" t="s">
        <v>193</v>
      </c>
      <c r="X8" s="120" t="s">
        <v>369</v>
      </c>
      <c r="Y8" s="120" t="s">
        <v>370</v>
      </c>
      <c r="Z8" s="120" t="s">
        <v>371</v>
      </c>
      <c r="AA8" s="120" t="s">
        <v>372</v>
      </c>
    </row>
    <row r="10" spans="1:27" x14ac:dyDescent="0.2">
      <c r="B10" s="77" t="s">
        <v>384</v>
      </c>
    </row>
    <row r="11" spans="1:27" x14ac:dyDescent="0.2">
      <c r="A11" s="2">
        <v>1</v>
      </c>
      <c r="B11" s="31" t="s">
        <v>132</v>
      </c>
      <c r="D11" s="79">
        <f ca="1">'Total Allocation - Union South'!D11-'Total Allo -  Gas Union South'!D11</f>
        <v>0</v>
      </c>
      <c r="J11" s="79">
        <f ca="1">D11-F11</f>
        <v>0</v>
      </c>
      <c r="L11" s="2" t="s">
        <v>221</v>
      </c>
      <c r="N11" s="79">
        <f ca="1">'Total Allocation - Union South'!N11-'Total Allo -  Gas Union South'!N11</f>
        <v>0</v>
      </c>
      <c r="O11" s="79">
        <f ca="1">'Total Allocation - Union South'!O11-'Total Allo -  Gas Union South'!O11</f>
        <v>0</v>
      </c>
      <c r="P11" s="79">
        <f ca="1">'Total Allocation - Union South'!P11-'Total Allo -  Gas Union South'!P11</f>
        <v>0</v>
      </c>
      <c r="Q11" s="79">
        <f ca="1">'Total Allocation - Union South'!Q11-'Total Allo -  Gas Union South'!Q11</f>
        <v>0</v>
      </c>
      <c r="R11" s="79">
        <f ca="1">'Total Allocation - Union South'!R11-'Total Allo -  Gas Union South'!R11</f>
        <v>0</v>
      </c>
      <c r="S11" s="79">
        <f ca="1">'Total Allocation - Union South'!S11-'Total Allo -  Gas Union South'!S11</f>
        <v>0</v>
      </c>
      <c r="T11" s="79">
        <f ca="1">'Total Allocation - Union South'!T11-'Total Allo -  Gas Union South'!T11</f>
        <v>0</v>
      </c>
      <c r="U11" s="79">
        <f ca="1">'Total Allocation - Union South'!U11-'Total Allo -  Gas Union South'!U11</f>
        <v>0</v>
      </c>
      <c r="V11" s="79">
        <f ca="1">'Total Allocation - Union South'!V11-'Total Allo -  Gas Union South'!V11</f>
        <v>0</v>
      </c>
      <c r="W11" s="79">
        <f ca="1">'Total Allocation - Union South'!W11-'Total Allo -  Gas Union South'!W11</f>
        <v>0</v>
      </c>
      <c r="X11" s="79">
        <f ca="1">'Total Allocation - Union South'!X11-'Total Allo -  Gas Union South'!X11</f>
        <v>0</v>
      </c>
      <c r="Y11" s="79">
        <f ca="1">'Total Allocation - Union South'!Y11-'Total Allo -  Gas Union South'!Y11</f>
        <v>0</v>
      </c>
      <c r="Z11" s="79">
        <f ca="1">'Total Allocation - Union South'!Z11-'Total Allo -  Gas Union South'!Z11</f>
        <v>0</v>
      </c>
      <c r="AA11" s="79">
        <f ca="1">'Total Allocation - Union South'!AA11-'Total Allo -  Gas Union South'!AA11</f>
        <v>0</v>
      </c>
    </row>
    <row r="12" spans="1:27" x14ac:dyDescent="0.2">
      <c r="A12" s="2">
        <f>A11+1</f>
        <v>2</v>
      </c>
      <c r="B12" s="31" t="s">
        <v>385</v>
      </c>
      <c r="D12" s="79">
        <f ca="1">'Total Allocation - Union South'!D12-'Total Allo -  Gas Union South'!D12</f>
        <v>0</v>
      </c>
      <c r="F12" s="50"/>
      <c r="J12" s="79">
        <f t="shared" ref="J12:J16" ca="1" si="0">D12-F12</f>
        <v>0</v>
      </c>
      <c r="L12" s="2" t="s">
        <v>263</v>
      </c>
      <c r="N12" s="79">
        <f ca="1">'Total Allocation - Union South'!N12-'Total Allo -  Gas Union South'!N12</f>
        <v>0</v>
      </c>
      <c r="O12" s="79">
        <f ca="1">'Total Allocation - Union South'!O12-'Total Allo -  Gas Union South'!O12</f>
        <v>0</v>
      </c>
      <c r="P12" s="79">
        <f ca="1">'Total Allocation - Union South'!P12-'Total Allo -  Gas Union South'!P12</f>
        <v>0</v>
      </c>
      <c r="Q12" s="79">
        <f ca="1">'Total Allocation - Union South'!Q12-'Total Allo -  Gas Union South'!Q12</f>
        <v>0</v>
      </c>
      <c r="R12" s="79">
        <f ca="1">'Total Allocation - Union South'!R12-'Total Allo -  Gas Union South'!R12</f>
        <v>0</v>
      </c>
      <c r="S12" s="79">
        <f ca="1">'Total Allocation - Union South'!S12-'Total Allo -  Gas Union South'!S12</f>
        <v>0</v>
      </c>
      <c r="T12" s="79">
        <f ca="1">'Total Allocation - Union South'!T12-'Total Allo -  Gas Union South'!T12</f>
        <v>0</v>
      </c>
      <c r="U12" s="79">
        <f ca="1">'Total Allocation - Union South'!U12-'Total Allo -  Gas Union South'!U12</f>
        <v>0</v>
      </c>
      <c r="V12" s="79">
        <f ca="1">'Total Allocation - Union South'!V12-'Total Allo -  Gas Union South'!V12</f>
        <v>0</v>
      </c>
      <c r="W12" s="79">
        <f ca="1">'Total Allocation - Union South'!W12-'Total Allo -  Gas Union South'!W12</f>
        <v>0</v>
      </c>
      <c r="X12" s="79">
        <f ca="1">'Total Allocation - Union South'!X12-'Total Allo -  Gas Union South'!X12</f>
        <v>0</v>
      </c>
      <c r="Y12" s="79">
        <f ca="1">'Total Allocation - Union South'!Y12-'Total Allo -  Gas Union South'!Y12</f>
        <v>0</v>
      </c>
      <c r="Z12" s="79">
        <f ca="1">'Total Allocation - Union South'!Z12-'Total Allo -  Gas Union South'!Z12</f>
        <v>0</v>
      </c>
      <c r="AA12" s="79">
        <f ca="1">'Total Allocation - Union South'!AA12-'Total Allo -  Gas Union South'!AA12</f>
        <v>0</v>
      </c>
    </row>
    <row r="13" spans="1:27" x14ac:dyDescent="0.2">
      <c r="A13" s="2">
        <f t="shared" ref="A13:A17" si="1">A12+1</f>
        <v>3</v>
      </c>
      <c r="B13" s="31" t="s">
        <v>386</v>
      </c>
      <c r="D13" s="79">
        <f ca="1">'Total Allocation - Union South'!D13-'Total Allo -  Gas Union South'!D13</f>
        <v>0</v>
      </c>
      <c r="J13" s="79">
        <f t="shared" ca="1" si="0"/>
        <v>0</v>
      </c>
      <c r="L13" s="2" t="s">
        <v>156</v>
      </c>
      <c r="N13" s="79">
        <f ca="1">'Total Allocation - Union South'!N13-'Total Allo -  Gas Union South'!N13</f>
        <v>0</v>
      </c>
      <c r="O13" s="79">
        <f ca="1">'Total Allocation - Union South'!O13-'Total Allo -  Gas Union South'!O13</f>
        <v>0</v>
      </c>
      <c r="P13" s="79">
        <f ca="1">'Total Allocation - Union South'!P13-'Total Allo -  Gas Union South'!P13</f>
        <v>0</v>
      </c>
      <c r="Q13" s="79">
        <f ca="1">'Total Allocation - Union South'!Q13-'Total Allo -  Gas Union South'!Q13</f>
        <v>0</v>
      </c>
      <c r="R13" s="79">
        <f ca="1">'Total Allocation - Union South'!R13-'Total Allo -  Gas Union South'!R13</f>
        <v>0</v>
      </c>
      <c r="S13" s="79">
        <f ca="1">'Total Allocation - Union South'!S13-'Total Allo -  Gas Union South'!S13</f>
        <v>0</v>
      </c>
      <c r="T13" s="79">
        <f ca="1">'Total Allocation - Union South'!T13-'Total Allo -  Gas Union South'!T13</f>
        <v>0</v>
      </c>
      <c r="U13" s="79">
        <f ca="1">'Total Allocation - Union South'!U13-'Total Allo -  Gas Union South'!U13</f>
        <v>0</v>
      </c>
      <c r="V13" s="79">
        <f ca="1">'Total Allocation - Union South'!V13-'Total Allo -  Gas Union South'!V13</f>
        <v>0</v>
      </c>
      <c r="W13" s="79">
        <f ca="1">'Total Allocation - Union South'!W13-'Total Allo -  Gas Union South'!W13</f>
        <v>0</v>
      </c>
      <c r="X13" s="79">
        <f ca="1">'Total Allocation - Union South'!X13-'Total Allo -  Gas Union South'!X13</f>
        <v>0</v>
      </c>
      <c r="Y13" s="79">
        <f ca="1">'Total Allocation - Union South'!Y13-'Total Allo -  Gas Union South'!Y13</f>
        <v>0</v>
      </c>
      <c r="Z13" s="79">
        <f ca="1">'Total Allocation - Union South'!Z13-'Total Allo -  Gas Union South'!Z13</f>
        <v>0</v>
      </c>
      <c r="AA13" s="79">
        <f ca="1">'Total Allocation - Union South'!AA13-'Total Allo -  Gas Union South'!AA13</f>
        <v>0</v>
      </c>
    </row>
    <row r="14" spans="1:27" x14ac:dyDescent="0.2">
      <c r="A14" s="2">
        <f t="shared" si="1"/>
        <v>4</v>
      </c>
      <c r="B14" s="31" t="s">
        <v>115</v>
      </c>
      <c r="D14" s="79">
        <f ca="1">'Total Allocation - Union South'!D14-'Total Allo -  Gas Union South'!D14</f>
        <v>0</v>
      </c>
      <c r="F14" s="79">
        <f>'Total Allocation - Union South'!F14-'Total Allo -  Gas Union South'!F14</f>
        <v>0</v>
      </c>
      <c r="H14" s="2" t="s">
        <v>410</v>
      </c>
      <c r="J14" s="79">
        <f t="shared" ca="1" si="0"/>
        <v>0</v>
      </c>
      <c r="L14" s="2" t="s">
        <v>262</v>
      </c>
      <c r="N14" s="79">
        <f ca="1">'Total Allocation - Union South'!N14-'Total Allo -  Gas Union South'!N14</f>
        <v>0</v>
      </c>
      <c r="O14" s="79">
        <f ca="1">'Total Allocation - Union South'!O14-'Total Allo -  Gas Union South'!O14</f>
        <v>0</v>
      </c>
      <c r="P14" s="79">
        <f ca="1">'Total Allocation - Union South'!P14-'Total Allo -  Gas Union South'!P14</f>
        <v>0</v>
      </c>
      <c r="Q14" s="79">
        <f ca="1">'Total Allocation - Union South'!Q14-'Total Allo -  Gas Union South'!Q14</f>
        <v>0</v>
      </c>
      <c r="R14" s="79">
        <f ca="1">'Total Allocation - Union South'!R14-'Total Allo -  Gas Union South'!R14</f>
        <v>0</v>
      </c>
      <c r="S14" s="79">
        <f ca="1">'Total Allocation - Union South'!S14-'Total Allo -  Gas Union South'!S14</f>
        <v>0</v>
      </c>
      <c r="T14" s="79">
        <f ca="1">'Total Allocation - Union South'!T14-'Total Allo -  Gas Union South'!T14</f>
        <v>0</v>
      </c>
      <c r="U14" s="79">
        <f ca="1">'Total Allocation - Union South'!U14-'Total Allo -  Gas Union South'!U14</f>
        <v>0</v>
      </c>
      <c r="V14" s="79">
        <f ca="1">'Total Allocation - Union South'!V14-'Total Allo -  Gas Union South'!V14</f>
        <v>0</v>
      </c>
      <c r="W14" s="79">
        <f ca="1">'Total Allocation - Union South'!W14-'Total Allo -  Gas Union South'!W14</f>
        <v>0</v>
      </c>
      <c r="X14" s="79">
        <f ca="1">'Total Allocation - Union South'!X14-'Total Allo -  Gas Union South'!X14</f>
        <v>0</v>
      </c>
      <c r="Y14" s="79">
        <f ca="1">'Total Allocation - Union South'!Y14-'Total Allo -  Gas Union South'!Y14</f>
        <v>0</v>
      </c>
      <c r="Z14" s="79">
        <f ca="1">'Total Allocation - Union South'!Z14-'Total Allo -  Gas Union South'!Z14</f>
        <v>0</v>
      </c>
      <c r="AA14" s="79">
        <f ca="1">'Total Allocation - Union South'!AA14-'Total Allo -  Gas Union South'!AA14</f>
        <v>0</v>
      </c>
    </row>
    <row r="15" spans="1:27" x14ac:dyDescent="0.2">
      <c r="A15" s="2">
        <f t="shared" si="1"/>
        <v>5</v>
      </c>
      <c r="B15" s="31" t="s">
        <v>133</v>
      </c>
      <c r="D15" s="79">
        <f ca="1">'Total Allocation - Union South'!D15-'Total Allo -  Gas Union South'!D15</f>
        <v>0</v>
      </c>
      <c r="J15" s="79">
        <f t="shared" ca="1" si="0"/>
        <v>0</v>
      </c>
      <c r="L15" s="2" t="s">
        <v>264</v>
      </c>
      <c r="N15" s="79">
        <f ca="1">'Total Allocation - Union South'!N15-'Total Allo -  Gas Union South'!N15</f>
        <v>0</v>
      </c>
      <c r="O15" s="79">
        <f ca="1">'Total Allocation - Union South'!O15-'Total Allo -  Gas Union South'!O15</f>
        <v>0</v>
      </c>
      <c r="P15" s="79">
        <f ca="1">'Total Allocation - Union South'!P15-'Total Allo -  Gas Union South'!P15</f>
        <v>0</v>
      </c>
      <c r="Q15" s="79">
        <f ca="1">'Total Allocation - Union South'!Q15-'Total Allo -  Gas Union South'!Q15</f>
        <v>0</v>
      </c>
      <c r="R15" s="79">
        <f ca="1">'Total Allocation - Union South'!R15-'Total Allo -  Gas Union South'!R15</f>
        <v>0</v>
      </c>
      <c r="S15" s="79">
        <f ca="1">'Total Allocation - Union South'!S15-'Total Allo -  Gas Union South'!S15</f>
        <v>0</v>
      </c>
      <c r="T15" s="79">
        <f ca="1">'Total Allocation - Union South'!T15-'Total Allo -  Gas Union South'!T15</f>
        <v>0</v>
      </c>
      <c r="U15" s="79">
        <f ca="1">'Total Allocation - Union South'!U15-'Total Allo -  Gas Union South'!U15</f>
        <v>0</v>
      </c>
      <c r="V15" s="79">
        <f ca="1">'Total Allocation - Union South'!V15-'Total Allo -  Gas Union South'!V15</f>
        <v>0</v>
      </c>
      <c r="W15" s="79">
        <f ca="1">'Total Allocation - Union South'!W15-'Total Allo -  Gas Union South'!W15</f>
        <v>0</v>
      </c>
      <c r="X15" s="79">
        <f ca="1">'Total Allocation - Union South'!X15-'Total Allo -  Gas Union South'!X15</f>
        <v>0</v>
      </c>
      <c r="Y15" s="79">
        <f ca="1">'Total Allocation - Union South'!Y15-'Total Allo -  Gas Union South'!Y15</f>
        <v>0</v>
      </c>
      <c r="Z15" s="79">
        <f ca="1">'Total Allocation - Union South'!Z15-'Total Allo -  Gas Union South'!Z15</f>
        <v>0</v>
      </c>
      <c r="AA15" s="79">
        <f ca="1">'Total Allocation - Union South'!AA15-'Total Allo -  Gas Union South'!AA15</f>
        <v>0</v>
      </c>
    </row>
    <row r="16" spans="1:27" x14ac:dyDescent="0.2">
      <c r="A16" s="2">
        <f t="shared" si="1"/>
        <v>6</v>
      </c>
      <c r="B16" s="31" t="s">
        <v>135</v>
      </c>
      <c r="D16" s="79">
        <f ca="1">'Total Allocation - Union South'!D16-'Total Allo -  Gas Union South'!D16</f>
        <v>4565.7843354255938</v>
      </c>
      <c r="J16" s="79">
        <f t="shared" ca="1" si="0"/>
        <v>4565.7843354255938</v>
      </c>
      <c r="L16" s="2" t="s">
        <v>221</v>
      </c>
      <c r="N16" s="79">
        <f ca="1">'Total Allocation - Union South'!N16-'Total Allo -  Gas Union South'!N16</f>
        <v>3621.5258251384876</v>
      </c>
      <c r="O16" s="79">
        <f ca="1">'Total Allocation - Union South'!O16-'Total Allo -  Gas Union South'!O16</f>
        <v>811.41561007020323</v>
      </c>
      <c r="P16" s="79">
        <f ca="1">'Total Allocation - Union South'!P16-'Total Allo -  Gas Union South'!P16</f>
        <v>69.822862816801305</v>
      </c>
      <c r="Q16" s="79">
        <f ca="1">'Total Allocation - Union South'!Q16-'Total Allo -  Gas Union South'!Q16</f>
        <v>0</v>
      </c>
      <c r="R16" s="79">
        <f ca="1">'Total Allocation - Union South'!R16-'Total Allo -  Gas Union South'!R16</f>
        <v>0.35727313964826313</v>
      </c>
      <c r="S16" s="79">
        <f ca="1">'Total Allocation - Union South'!S16-'Total Allo -  Gas Union South'!S16</f>
        <v>2.1880491782257225</v>
      </c>
      <c r="T16" s="79">
        <f ca="1">'Total Allocation - Union South'!T16-'Total Allo -  Gas Union South'!T16</f>
        <v>39.33863171480467</v>
      </c>
      <c r="U16" s="79">
        <f ca="1">'Total Allocation - Union South'!U16-'Total Allo -  Gas Union South'!U16</f>
        <v>2.5571469613499236</v>
      </c>
      <c r="V16" s="79">
        <f ca="1">'Total Allocation - Union South'!V16-'Total Allo -  Gas Union South'!V16</f>
        <v>18.578936406072419</v>
      </c>
      <c r="W16" s="79">
        <f ca="1">'Total Allocation - Union South'!W16-'Total Allo -  Gas Union South'!W16</f>
        <v>0</v>
      </c>
      <c r="X16" s="79">
        <f ca="1">'Total Allocation - Union South'!X16-'Total Allo -  Gas Union South'!X16</f>
        <v>0</v>
      </c>
      <c r="Y16" s="79">
        <f ca="1">'Total Allocation - Union South'!Y16-'Total Allo -  Gas Union South'!Y16</f>
        <v>0</v>
      </c>
      <c r="Z16" s="79">
        <f ca="1">'Total Allocation - Union South'!Z16-'Total Allo -  Gas Union South'!Z16</f>
        <v>0</v>
      </c>
      <c r="AA16" s="79">
        <f ca="1">'Total Allocation - Union South'!AA16-'Total Allo -  Gas Union South'!AA16</f>
        <v>0</v>
      </c>
    </row>
    <row r="17" spans="1:27" x14ac:dyDescent="0.2">
      <c r="A17" s="2">
        <f t="shared" si="1"/>
        <v>7</v>
      </c>
      <c r="B17" s="31" t="s">
        <v>383</v>
      </c>
      <c r="D17" s="41">
        <f ca="1">SUM(D11:D16)</f>
        <v>4565.7843354255938</v>
      </c>
      <c r="F17" s="81">
        <f>SUM(F11:F16)</f>
        <v>0</v>
      </c>
      <c r="J17" s="41">
        <f ca="1">SUM(J11:J16)</f>
        <v>4565.7843354255938</v>
      </c>
      <c r="N17" s="41">
        <f t="shared" ref="N17:V17" ca="1" si="2">SUM(N11:N16)</f>
        <v>3621.5258251384876</v>
      </c>
      <c r="O17" s="41">
        <f t="shared" ca="1" si="2"/>
        <v>811.41561007020323</v>
      </c>
      <c r="P17" s="41">
        <f t="shared" ca="1" si="2"/>
        <v>69.822862816801305</v>
      </c>
      <c r="Q17" s="41">
        <f t="shared" ca="1" si="2"/>
        <v>0</v>
      </c>
      <c r="R17" s="41">
        <f t="shared" ca="1" si="2"/>
        <v>0.35727313964826313</v>
      </c>
      <c r="S17" s="41">
        <f t="shared" ca="1" si="2"/>
        <v>2.1880491782257225</v>
      </c>
      <c r="T17" s="41">
        <f t="shared" ca="1" si="2"/>
        <v>39.33863171480467</v>
      </c>
      <c r="U17" s="41">
        <f t="shared" ca="1" si="2"/>
        <v>2.5571469613499236</v>
      </c>
      <c r="V17" s="41">
        <f t="shared" ca="1" si="2"/>
        <v>18.578936406072419</v>
      </c>
      <c r="W17" s="41">
        <f ca="1">SUM(W11:W16)</f>
        <v>0</v>
      </c>
      <c r="X17" s="41">
        <f ca="1">SUM(X11:X16)</f>
        <v>0</v>
      </c>
      <c r="Y17" s="41">
        <f ca="1">SUM(Y11:Y16)</f>
        <v>0</v>
      </c>
      <c r="Z17" s="41">
        <f ca="1">SUM(Z11:Z16)</f>
        <v>0</v>
      </c>
      <c r="AA17" s="41">
        <f ca="1">SUM(AA11:AA16)</f>
        <v>0</v>
      </c>
    </row>
    <row r="18" spans="1:27" x14ac:dyDescent="0.2"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</row>
    <row r="19" spans="1:27" x14ac:dyDescent="0.2">
      <c r="B19" s="77" t="s">
        <v>97</v>
      </c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</row>
    <row r="20" spans="1:27" x14ac:dyDescent="0.2">
      <c r="A20" s="2">
        <f>A17+1</f>
        <v>8</v>
      </c>
      <c r="B20" s="31" t="s">
        <v>89</v>
      </c>
      <c r="D20" s="79">
        <f ca="1">'Total Allocation - Union South'!D20-'Total Allo -  Gas Union South'!D20</f>
        <v>32775.786558300977</v>
      </c>
      <c r="J20" s="79">
        <f t="shared" ref="J20:J23" ca="1" si="3">D20-F20</f>
        <v>32775.786558300977</v>
      </c>
      <c r="L20" s="2" t="s">
        <v>156</v>
      </c>
      <c r="N20" s="79">
        <f ca="1">'Total Allocation - Union South'!N20-'Total Allo -  Gas Union South'!N20</f>
        <v>16298.7161132771</v>
      </c>
      <c r="O20" s="79">
        <f ca="1">'Total Allocation - Union South'!O20-'Total Allo -  Gas Union South'!O20</f>
        <v>5807.6464732680934</v>
      </c>
      <c r="P20" s="79">
        <f ca="1">'Total Allocation - Union South'!P20-'Total Allo -  Gas Union South'!P20</f>
        <v>1820.5096570266703</v>
      </c>
      <c r="Q20" s="79">
        <f ca="1">'Total Allocation - Union South'!Q20-'Total Allo -  Gas Union South'!Q20</f>
        <v>0</v>
      </c>
      <c r="R20" s="79">
        <f ca="1">'Total Allocation - Union South'!R20-'Total Allo -  Gas Union South'!R20</f>
        <v>17.619064824754034</v>
      </c>
      <c r="S20" s="79">
        <f ca="1">'Total Allocation - Union South'!S20-'Total Allo -  Gas Union South'!S20</f>
        <v>0</v>
      </c>
      <c r="T20" s="79">
        <f ca="1">'Total Allocation - Union South'!T20-'Total Allo -  Gas Union South'!T20</f>
        <v>3023.2268203661515</v>
      </c>
      <c r="U20" s="79">
        <f ca="1">'Total Allocation - Union South'!U20-'Total Allo -  Gas Union South'!U20</f>
        <v>0</v>
      </c>
      <c r="V20" s="79">
        <f ca="1">'Total Allocation - Union South'!V20-'Total Allo -  Gas Union South'!V20</f>
        <v>182.88732874393676</v>
      </c>
      <c r="W20" s="79">
        <f ca="1">'Total Allocation - Union South'!W20-'Total Allo -  Gas Union South'!W20</f>
        <v>636.37858488716688</v>
      </c>
      <c r="X20" s="79">
        <f ca="1">'Total Allocation - Union South'!X20-'Total Allo -  Gas Union South'!X20</f>
        <v>0</v>
      </c>
      <c r="Y20" s="79">
        <f ca="1">'Total Allocation - Union South'!Y20-'Total Allo -  Gas Union South'!Y20</f>
        <v>3969.8381961584801</v>
      </c>
      <c r="Z20" s="79">
        <f ca="1">'Total Allocation - Union South'!Z20-'Total Allo -  Gas Union South'!Z20</f>
        <v>0</v>
      </c>
      <c r="AA20" s="79">
        <f ca="1">'Total Allocation - Union South'!AA20-'Total Allo -  Gas Union South'!AA20</f>
        <v>1018.9643197486341</v>
      </c>
    </row>
    <row r="21" spans="1:27" x14ac:dyDescent="0.2">
      <c r="A21" s="2">
        <f>A20+1</f>
        <v>9</v>
      </c>
      <c r="B21" s="31" t="s">
        <v>90</v>
      </c>
      <c r="D21" s="79">
        <f ca="1">'Total Allocation - Union South'!D21-'Total Allo -  Gas Union South'!D21</f>
        <v>20699.717367530844</v>
      </c>
      <c r="F21" s="79">
        <f>'Total Allocation - Union South'!F21-'Total Allo -  Gas Union South'!F21</f>
        <v>8392.1488871965394</v>
      </c>
      <c r="H21" s="2" t="s">
        <v>333</v>
      </c>
      <c r="J21" s="79">
        <f t="shared" ca="1" si="3"/>
        <v>12307.568480334305</v>
      </c>
      <c r="L21" s="2" t="s">
        <v>157</v>
      </c>
      <c r="N21" s="79">
        <f ca="1">'Total Allocation - Union South'!N21-'Total Allo -  Gas Union South'!N21</f>
        <v>12534.100968410297</v>
      </c>
      <c r="O21" s="79">
        <f ca="1">'Total Allocation - Union South'!O21-'Total Allo -  Gas Union South'!O21</f>
        <v>3770.176043041462</v>
      </c>
      <c r="P21" s="79">
        <f ca="1">'Total Allocation - Union South'!P21-'Total Allo -  Gas Union South'!P21</f>
        <v>774.11460765785716</v>
      </c>
      <c r="Q21" s="79">
        <f ca="1">'Total Allocation - Union South'!Q21-'Total Allo -  Gas Union South'!Q21</f>
        <v>1.6674768323658291</v>
      </c>
      <c r="R21" s="79">
        <f ca="1">'Total Allocation - Union South'!R21-'Total Allo -  Gas Union South'!R21</f>
        <v>3.0712088416629988</v>
      </c>
      <c r="S21" s="79">
        <f ca="1">'Total Allocation - Union South'!S21-'Total Allo -  Gas Union South'!S21</f>
        <v>0</v>
      </c>
      <c r="T21" s="79">
        <f ca="1">'Total Allocation - Union South'!T21-'Total Allo -  Gas Union South'!T21</f>
        <v>1063.6077374243516</v>
      </c>
      <c r="U21" s="79">
        <f ca="1">'Total Allocation - Union South'!U21-'Total Allo -  Gas Union South'!U21</f>
        <v>110.50756553669171</v>
      </c>
      <c r="V21" s="79">
        <f ca="1">'Total Allocation - Union South'!V21-'Total Allo -  Gas Union South'!V21</f>
        <v>107.74104524310279</v>
      </c>
      <c r="W21" s="79">
        <f ca="1">'Total Allocation - Union South'!W21-'Total Allo -  Gas Union South'!W21</f>
        <v>245.93316568601429</v>
      </c>
      <c r="X21" s="79">
        <f ca="1">'Total Allocation - Union South'!X21-'Total Allo -  Gas Union South'!X21</f>
        <v>0</v>
      </c>
      <c r="Y21" s="79">
        <f ca="1">'Total Allocation - Union South'!Y21-'Total Allo -  Gas Union South'!Y21</f>
        <v>1557.7017860907802</v>
      </c>
      <c r="Z21" s="79">
        <f ca="1">'Total Allocation - Union South'!Z21-'Total Allo -  Gas Union South'!Z21</f>
        <v>0</v>
      </c>
      <c r="AA21" s="79">
        <f ca="1">'Total Allocation - Union South'!AA21-'Total Allo -  Gas Union South'!AA21</f>
        <v>531.09576276626035</v>
      </c>
    </row>
    <row r="22" spans="1:27" x14ac:dyDescent="0.2">
      <c r="A22" s="2">
        <f t="shared" ref="A22:A24" si="4">A21+1</f>
        <v>10</v>
      </c>
      <c r="B22" s="31" t="s">
        <v>345</v>
      </c>
      <c r="D22" s="79">
        <f ca="1">'Total Allocation - Union South'!D22-'Total Allo -  Gas Union South'!D22</f>
        <v>1682.6449750057097</v>
      </c>
      <c r="J22" s="79">
        <f t="shared" ca="1" si="3"/>
        <v>1682.6449750057097</v>
      </c>
      <c r="L22" s="2" t="s">
        <v>346</v>
      </c>
      <c r="N22" s="79">
        <f ca="1">'Total Allocation - Union South'!N22-'Total Allo -  Gas Union South'!N22</f>
        <v>1029.1608900131475</v>
      </c>
      <c r="O22" s="79">
        <f ca="1">'Total Allocation - Union South'!O22-'Total Allo -  Gas Union South'!O22</f>
        <v>353.54388906781759</v>
      </c>
      <c r="P22" s="79">
        <f ca="1">'Total Allocation - Union South'!P22-'Total Allo -  Gas Union South'!P22</f>
        <v>31.842459512776227</v>
      </c>
      <c r="Q22" s="79">
        <f ca="1">'Total Allocation - Union South'!Q22-'Total Allo -  Gas Union South'!Q22</f>
        <v>4.5476832882082006E-2</v>
      </c>
      <c r="R22" s="79">
        <f ca="1">'Total Allocation - Union South'!R22-'Total Allo -  Gas Union South'!R22</f>
        <v>0.17456601708302005</v>
      </c>
      <c r="S22" s="79">
        <f ca="1">'Total Allocation - Union South'!S22-'Total Allo -  Gas Union South'!S22</f>
        <v>0.68734429035650757</v>
      </c>
      <c r="T22" s="79">
        <f ca="1">'Total Allocation - Union South'!T22-'Total Allo -  Gas Union South'!T22</f>
        <v>42.973254570061151</v>
      </c>
      <c r="U22" s="79">
        <f ca="1">'Total Allocation - Union South'!U22-'Total Allo -  Gas Union South'!U22</f>
        <v>3.76531556607544</v>
      </c>
      <c r="V22" s="79">
        <f ca="1">'Total Allocation - Union South'!V22-'Total Allo -  Gas Union South'!V22</f>
        <v>4.4381319310841096</v>
      </c>
      <c r="W22" s="79">
        <f ca="1">'Total Allocation - Union South'!W22-'Total Allo -  Gas Union South'!W22</f>
        <v>19.309149656981869</v>
      </c>
      <c r="X22" s="79">
        <f ca="1">'Total Allocation - Union South'!X22-'Total Allo -  Gas Union South'!X22</f>
        <v>0</v>
      </c>
      <c r="Y22" s="79">
        <f ca="1">'Total Allocation - Union South'!Y22-'Total Allo -  Gas Union South'!Y22</f>
        <v>165.67873265451124</v>
      </c>
      <c r="Z22" s="79">
        <f ca="1">'Total Allocation - Union South'!Z22-'Total Allo -  Gas Union South'!Z22</f>
        <v>0</v>
      </c>
      <c r="AA22" s="79">
        <f ca="1">'Total Allocation - Union South'!AA22-'Total Allo -  Gas Union South'!AA22</f>
        <v>31.02576489293304</v>
      </c>
    </row>
    <row r="23" spans="1:27" x14ac:dyDescent="0.2">
      <c r="A23" s="2">
        <f t="shared" si="4"/>
        <v>11</v>
      </c>
      <c r="B23" s="31" t="s">
        <v>91</v>
      </c>
      <c r="D23" s="79">
        <f ca="1">'Total Allocation - Union South'!D23-'Total Allo -  Gas Union South'!D23</f>
        <v>0</v>
      </c>
      <c r="J23" s="79">
        <f t="shared" ca="1" si="3"/>
        <v>0</v>
      </c>
      <c r="L23" s="2" t="s">
        <v>334</v>
      </c>
      <c r="N23" s="79">
        <f ca="1">'Total Allocation - Union South'!N23-'Total Allo -  Gas Union South'!N23</f>
        <v>0</v>
      </c>
      <c r="O23" s="79">
        <f ca="1">'Total Allocation - Union South'!O23-'Total Allo -  Gas Union South'!O23</f>
        <v>0</v>
      </c>
      <c r="P23" s="79">
        <f ca="1">'Total Allocation - Union South'!P23-'Total Allo -  Gas Union South'!P23</f>
        <v>0</v>
      </c>
      <c r="Q23" s="79">
        <f ca="1">'Total Allocation - Union South'!Q23-'Total Allo -  Gas Union South'!Q23</f>
        <v>0</v>
      </c>
      <c r="R23" s="79">
        <f ca="1">'Total Allocation - Union South'!R23-'Total Allo -  Gas Union South'!R23</f>
        <v>0</v>
      </c>
      <c r="S23" s="79">
        <f ca="1">'Total Allocation - Union South'!S23-'Total Allo -  Gas Union South'!S23</f>
        <v>0</v>
      </c>
      <c r="T23" s="79">
        <f ca="1">'Total Allocation - Union South'!T23-'Total Allo -  Gas Union South'!T23</f>
        <v>0</v>
      </c>
      <c r="U23" s="79">
        <f ca="1">'Total Allocation - Union South'!U23-'Total Allo -  Gas Union South'!U23</f>
        <v>0</v>
      </c>
      <c r="V23" s="79">
        <f ca="1">'Total Allocation - Union South'!V23-'Total Allo -  Gas Union South'!V23</f>
        <v>0</v>
      </c>
      <c r="W23" s="79">
        <f ca="1">'Total Allocation - Union South'!W23-'Total Allo -  Gas Union South'!W23</f>
        <v>0</v>
      </c>
      <c r="X23" s="79">
        <f ca="1">'Total Allocation - Union South'!X23-'Total Allo -  Gas Union South'!X23</f>
        <v>0</v>
      </c>
      <c r="Y23" s="79">
        <f ca="1">'Total Allocation - Union South'!Y23-'Total Allo -  Gas Union South'!Y23</f>
        <v>0</v>
      </c>
      <c r="Z23" s="79">
        <f ca="1">'Total Allocation - Union South'!Z23-'Total Allo -  Gas Union South'!Z23</f>
        <v>0</v>
      </c>
      <c r="AA23" s="79">
        <f ca="1">'Total Allocation - Union South'!AA23-'Total Allo -  Gas Union South'!AA23</f>
        <v>0</v>
      </c>
    </row>
    <row r="24" spans="1:27" x14ac:dyDescent="0.2">
      <c r="A24" s="2">
        <f t="shared" si="4"/>
        <v>12</v>
      </c>
      <c r="B24" s="31" t="s">
        <v>96</v>
      </c>
      <c r="D24" s="41">
        <f ca="1">SUM(D20:D23)</f>
        <v>55158.148900837528</v>
      </c>
      <c r="F24" s="41">
        <f>SUM(F20:F23)</f>
        <v>8392.1488871965394</v>
      </c>
      <c r="H24" s="122"/>
      <c r="J24" s="41">
        <f ca="1">SUM(J20:J23)</f>
        <v>46766.000013640987</v>
      </c>
      <c r="N24" s="41">
        <f t="shared" ref="N24:V24" ca="1" si="5">SUM(N20:N23)</f>
        <v>29861.977971700544</v>
      </c>
      <c r="O24" s="41">
        <f t="shared" ca="1" si="5"/>
        <v>9931.3664053773737</v>
      </c>
      <c r="P24" s="41">
        <f t="shared" ca="1" si="5"/>
        <v>2626.4667241973038</v>
      </c>
      <c r="Q24" s="41">
        <f t="shared" ca="1" si="5"/>
        <v>1.7129536652479112</v>
      </c>
      <c r="R24" s="41">
        <f t="shared" ca="1" si="5"/>
        <v>20.864839683500051</v>
      </c>
      <c r="S24" s="41">
        <f t="shared" ca="1" si="5"/>
        <v>0.68734429035650757</v>
      </c>
      <c r="T24" s="41">
        <f t="shared" ca="1" si="5"/>
        <v>4129.8078123605637</v>
      </c>
      <c r="U24" s="41">
        <f t="shared" ca="1" si="5"/>
        <v>114.27288110276716</v>
      </c>
      <c r="V24" s="41">
        <f t="shared" ca="1" si="5"/>
        <v>295.06650591812365</v>
      </c>
      <c r="W24" s="41">
        <f ca="1">SUM(W20:W23)</f>
        <v>901.62090023016299</v>
      </c>
      <c r="X24" s="41">
        <f ca="1">SUM(X20:X23)</f>
        <v>0</v>
      </c>
      <c r="Y24" s="41">
        <f ca="1">SUM(Y20:Y23)</f>
        <v>5693.2187149037709</v>
      </c>
      <c r="Z24" s="41">
        <f ca="1">SUM(Z20:Z23)</f>
        <v>0</v>
      </c>
      <c r="AA24" s="41">
        <f ca="1">SUM(AA20:AA23)</f>
        <v>1581.0858474078275</v>
      </c>
    </row>
    <row r="25" spans="1:27" x14ac:dyDescent="0.2"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</row>
    <row r="26" spans="1:27" x14ac:dyDescent="0.2">
      <c r="B26" s="77" t="s">
        <v>98</v>
      </c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</row>
    <row r="27" spans="1:27" x14ac:dyDescent="0.2">
      <c r="A27" s="2">
        <f>A24+1</f>
        <v>13</v>
      </c>
      <c r="B27" s="31" t="s">
        <v>92</v>
      </c>
      <c r="D27" s="79">
        <f ca="1">'Total Allocation - Union South'!D27-'Total Allo -  Gas Union South'!D27</f>
        <v>2801.1189262642133</v>
      </c>
      <c r="J27" s="79">
        <f t="shared" ref="J27:J32" ca="1" si="6">D27-F27</f>
        <v>2801.1189262642133</v>
      </c>
      <c r="L27" s="2" t="s">
        <v>533</v>
      </c>
      <c r="N27" s="79">
        <f ca="1">'Total Allocation - Union South'!N27-'Total Allo -  Gas Union South'!N27</f>
        <v>1389.9058088681438</v>
      </c>
      <c r="O27" s="79">
        <f ca="1">'Total Allocation - Union South'!O27-'Total Allo -  Gas Union South'!O27</f>
        <v>505.82572772262353</v>
      </c>
      <c r="P27" s="79">
        <f ca="1">'Total Allocation - Union South'!P27-'Total Allo -  Gas Union South'!P27</f>
        <v>117.66708308880581</v>
      </c>
      <c r="Q27" s="79">
        <f ca="1">'Total Allocation - Union South'!Q27-'Total Allo -  Gas Union South'!Q27</f>
        <v>0</v>
      </c>
      <c r="R27" s="79">
        <f ca="1">'Total Allocation - Union South'!R27-'Total Allo -  Gas Union South'!R27</f>
        <v>0.48531212098932291</v>
      </c>
      <c r="S27" s="79">
        <f ca="1">'Total Allocation - Union South'!S27-'Total Allo -  Gas Union South'!S27</f>
        <v>0</v>
      </c>
      <c r="T27" s="79">
        <f ca="1">'Total Allocation - Union South'!T27-'Total Allo -  Gas Union South'!T27</f>
        <v>91.231658825503359</v>
      </c>
      <c r="U27" s="79">
        <f ca="1">'Total Allocation - Union South'!U27-'Total Allo -  Gas Union South'!U27</f>
        <v>0</v>
      </c>
      <c r="V27" s="79">
        <f ca="1">'Total Allocation - Union South'!V27-'Total Allo -  Gas Union South'!V27</f>
        <v>28.247882651754189</v>
      </c>
      <c r="W27" s="79">
        <f ca="1">'Total Allocation - Union South'!W27-'Total Allo -  Gas Union South'!W27</f>
        <v>69.301140205149807</v>
      </c>
      <c r="X27" s="79">
        <f ca="1">'Total Allocation - Union South'!X27-'Total Allo -  Gas Union South'!X27</f>
        <v>0</v>
      </c>
      <c r="Y27" s="79">
        <f ca="1">'Total Allocation - Union South'!Y27-'Total Allo -  Gas Union South'!Y27</f>
        <v>449.93184281203332</v>
      </c>
      <c r="Z27" s="79">
        <f ca="1">'Total Allocation - Union South'!Z27-'Total Allo -  Gas Union South'!Z27</f>
        <v>0</v>
      </c>
      <c r="AA27" s="79">
        <f ca="1">'Total Allocation - Union South'!AA27-'Total Allo -  Gas Union South'!AA27</f>
        <v>148.52246996920982</v>
      </c>
    </row>
    <row r="28" spans="1:27" x14ac:dyDescent="0.2">
      <c r="A28" s="2">
        <f>A27+1</f>
        <v>14</v>
      </c>
      <c r="B28" s="31" t="s">
        <v>93</v>
      </c>
      <c r="D28" s="79">
        <f ca="1">'Total Allocation - Union South'!D28-'Total Allo -  Gas Union South'!D28</f>
        <v>286.05282800224472</v>
      </c>
      <c r="J28" s="79">
        <f t="shared" ca="1" si="6"/>
        <v>286.05282800224472</v>
      </c>
      <c r="L28" s="2" t="s">
        <v>218</v>
      </c>
      <c r="N28" s="79">
        <f ca="1">'Total Allocation - Union South'!N28-'Total Allo -  Gas Union South'!N28</f>
        <v>141.93845307872445</v>
      </c>
      <c r="O28" s="79">
        <f ca="1">'Total Allocation - Union South'!O28-'Total Allo -  Gas Union South'!O28</f>
        <v>51.655386186806233</v>
      </c>
      <c r="P28" s="79">
        <f ca="1">'Total Allocation - Union South'!P28-'Total Allo -  Gas Union South'!P28</f>
        <v>12.016270200001195</v>
      </c>
      <c r="Q28" s="79">
        <f ca="1">'Total Allocation - Union South'!Q28-'Total Allo -  Gas Union South'!Q28</f>
        <v>0</v>
      </c>
      <c r="R28" s="79">
        <f ca="1">'Total Allocation - Union South'!R28-'Total Allo -  Gas Union South'!R28</f>
        <v>4.9560517895579304E-2</v>
      </c>
      <c r="S28" s="79">
        <f ca="1">'Total Allocation - Union South'!S28-'Total Allo -  Gas Union South'!S28</f>
        <v>0</v>
      </c>
      <c r="T28" s="79">
        <f ca="1">'Total Allocation - Union South'!T28-'Total Allo -  Gas Union South'!T28</f>
        <v>9.3166604836647355</v>
      </c>
      <c r="U28" s="79">
        <f ca="1">'Total Allocation - Union South'!U28-'Total Allo -  Gas Union South'!U28</f>
        <v>0</v>
      </c>
      <c r="V28" s="79">
        <f ca="1">'Total Allocation - Union South'!V28-'Total Allo -  Gas Union South'!V28</f>
        <v>2.8846996255123156</v>
      </c>
      <c r="W28" s="79">
        <f ca="1">'Total Allocation - Union South'!W28-'Total Allo -  Gas Union South'!W28</f>
        <v>7.077095853942085</v>
      </c>
      <c r="X28" s="79">
        <f ca="1">'Total Allocation - Union South'!X28-'Total Allo -  Gas Union South'!X28</f>
        <v>0</v>
      </c>
      <c r="Y28" s="79">
        <f ca="1">'Total Allocation - Union South'!Y28-'Total Allo -  Gas Union South'!Y28</f>
        <v>45.947451512276018</v>
      </c>
      <c r="Z28" s="79">
        <f ca="1">'Total Allocation - Union South'!Z28-'Total Allo -  Gas Union South'!Z28</f>
        <v>0</v>
      </c>
      <c r="AA28" s="79">
        <f ca="1">'Total Allocation - Union South'!AA28-'Total Allo -  Gas Union South'!AA28</f>
        <v>15.167250543422147</v>
      </c>
    </row>
    <row r="29" spans="1:27" x14ac:dyDescent="0.2">
      <c r="A29" s="2">
        <f t="shared" ref="A29:A34" si="7">A28+1</f>
        <v>15</v>
      </c>
      <c r="B29" s="31" t="s">
        <v>94</v>
      </c>
      <c r="D29" s="79">
        <f ca="1">'Total Allocation - Union South'!D29-'Total Allo -  Gas Union South'!D29</f>
        <v>0</v>
      </c>
      <c r="J29" s="79">
        <f t="shared" ca="1" si="6"/>
        <v>0</v>
      </c>
      <c r="L29" s="2" t="s">
        <v>230</v>
      </c>
      <c r="N29" s="79">
        <f ca="1">'Total Allocation - Union South'!N29-'Total Allo -  Gas Union South'!N29</f>
        <v>0</v>
      </c>
      <c r="O29" s="79">
        <f ca="1">'Total Allocation - Union South'!O29-'Total Allo -  Gas Union South'!O29</f>
        <v>0</v>
      </c>
      <c r="P29" s="79">
        <f ca="1">'Total Allocation - Union South'!P29-'Total Allo -  Gas Union South'!P29</f>
        <v>0</v>
      </c>
      <c r="Q29" s="79">
        <f ca="1">'Total Allocation - Union South'!Q29-'Total Allo -  Gas Union South'!Q29</f>
        <v>0</v>
      </c>
      <c r="R29" s="79">
        <f ca="1">'Total Allocation - Union South'!R29-'Total Allo -  Gas Union South'!R29</f>
        <v>0</v>
      </c>
      <c r="S29" s="79">
        <f ca="1">'Total Allocation - Union South'!S29-'Total Allo -  Gas Union South'!S29</f>
        <v>0</v>
      </c>
      <c r="T29" s="79">
        <f ca="1">'Total Allocation - Union South'!T29-'Total Allo -  Gas Union South'!T29</f>
        <v>0</v>
      </c>
      <c r="U29" s="79">
        <f ca="1">'Total Allocation - Union South'!U29-'Total Allo -  Gas Union South'!U29</f>
        <v>0</v>
      </c>
      <c r="V29" s="79">
        <f ca="1">'Total Allocation - Union South'!V29-'Total Allo -  Gas Union South'!V29</f>
        <v>0</v>
      </c>
      <c r="W29" s="79">
        <f ca="1">'Total Allocation - Union South'!W29-'Total Allo -  Gas Union South'!W29</f>
        <v>0</v>
      </c>
      <c r="X29" s="79">
        <f ca="1">'Total Allocation - Union South'!X29-'Total Allo -  Gas Union South'!X29</f>
        <v>0</v>
      </c>
      <c r="Y29" s="79">
        <f ca="1">'Total Allocation - Union South'!Y29-'Total Allo -  Gas Union South'!Y29</f>
        <v>0</v>
      </c>
      <c r="Z29" s="79">
        <f ca="1">'Total Allocation - Union South'!Z29-'Total Allo -  Gas Union South'!Z29</f>
        <v>0</v>
      </c>
      <c r="AA29" s="79">
        <f ca="1">'Total Allocation - Union South'!AA29-'Total Allo -  Gas Union South'!AA29</f>
        <v>0</v>
      </c>
    </row>
    <row r="30" spans="1:27" x14ac:dyDescent="0.2">
      <c r="A30" s="2">
        <f t="shared" si="7"/>
        <v>16</v>
      </c>
      <c r="B30" s="31" t="s">
        <v>330</v>
      </c>
      <c r="D30" s="79">
        <f ca="1">'Total Allocation - Union South'!D30-'Total Allo -  Gas Union South'!D30</f>
        <v>45205.240605894047</v>
      </c>
      <c r="J30" s="79">
        <f t="shared" ca="1" si="6"/>
        <v>45205.240605894047</v>
      </c>
      <c r="L30" s="2" t="s">
        <v>222</v>
      </c>
      <c r="N30" s="79">
        <f ca="1">'Total Allocation - Union South'!N30-'Total Allo -  Gas Union South'!N30</f>
        <v>22430.688650985088</v>
      </c>
      <c r="O30" s="79">
        <f ca="1">'Total Allocation - Union South'!O30-'Total Allo -  Gas Union South'!O30</f>
        <v>8163.1570555443941</v>
      </c>
      <c r="P30" s="79">
        <f ca="1">'Total Allocation - Union South'!P30-'Total Allo -  Gas Union South'!P30</f>
        <v>1898.9442942064741</v>
      </c>
      <c r="Q30" s="79">
        <f ca="1">'Total Allocation - Union South'!Q30-'Total Allo -  Gas Union South'!Q30</f>
        <v>0</v>
      </c>
      <c r="R30" s="79">
        <f ca="1">'Total Allocation - Union South'!R30-'Total Allo -  Gas Union South'!R30</f>
        <v>7.8321027331524871</v>
      </c>
      <c r="S30" s="79">
        <f ca="1">'Total Allocation - Union South'!S30-'Total Allo -  Gas Union South'!S30</f>
        <v>0</v>
      </c>
      <c r="T30" s="79">
        <f ca="1">'Total Allocation - Union South'!T30-'Total Allo -  Gas Union South'!T30</f>
        <v>1472.3220243925871</v>
      </c>
      <c r="U30" s="79">
        <f ca="1">'Total Allocation - Union South'!U30-'Total Allo -  Gas Union South'!U30</f>
        <v>0</v>
      </c>
      <c r="V30" s="79">
        <f ca="1">'Total Allocation - Union South'!V30-'Total Allo -  Gas Union South'!V30</f>
        <v>455.87223016719605</v>
      </c>
      <c r="W30" s="79">
        <f ca="1">'Total Allocation - Union South'!W30-'Total Allo -  Gas Union South'!W30</f>
        <v>1118.4011817073053</v>
      </c>
      <c r="X30" s="79">
        <f ca="1">'Total Allocation - Union South'!X30-'Total Allo -  Gas Union South'!X30</f>
        <v>0</v>
      </c>
      <c r="Y30" s="79">
        <f ca="1">'Total Allocation - Union South'!Y30-'Total Allo -  Gas Union South'!Y30</f>
        <v>7261.1259093155631</v>
      </c>
      <c r="Z30" s="79">
        <f ca="1">'Total Allocation - Union South'!Z30-'Total Allo -  Gas Union South'!Z30</f>
        <v>0</v>
      </c>
      <c r="AA30" s="79">
        <f ca="1">'Total Allocation - Union South'!AA30-'Total Allo -  Gas Union South'!AA30</f>
        <v>2396.8971568422839</v>
      </c>
    </row>
    <row r="31" spans="1:27" x14ac:dyDescent="0.2">
      <c r="A31" s="2">
        <f t="shared" si="7"/>
        <v>17</v>
      </c>
      <c r="B31" s="31" t="s">
        <v>331</v>
      </c>
      <c r="D31" s="79">
        <f ca="1">'Total Allocation - Union South'!D31-'Total Allo -  Gas Union South'!D31</f>
        <v>0</v>
      </c>
      <c r="J31" s="79">
        <f t="shared" ca="1" si="6"/>
        <v>0</v>
      </c>
      <c r="L31" s="2" t="s">
        <v>332</v>
      </c>
      <c r="N31" s="79">
        <f ca="1">'Total Allocation - Union South'!N31-'Total Allo -  Gas Union South'!N31</f>
        <v>0</v>
      </c>
      <c r="O31" s="79">
        <f ca="1">'Total Allocation - Union South'!O31-'Total Allo -  Gas Union South'!O31</f>
        <v>0</v>
      </c>
      <c r="P31" s="79">
        <f ca="1">'Total Allocation - Union South'!P31-'Total Allo -  Gas Union South'!P31</f>
        <v>0</v>
      </c>
      <c r="Q31" s="79">
        <f ca="1">'Total Allocation - Union South'!Q31-'Total Allo -  Gas Union South'!Q31</f>
        <v>0</v>
      </c>
      <c r="R31" s="79">
        <f ca="1">'Total Allocation - Union South'!R31-'Total Allo -  Gas Union South'!R31</f>
        <v>0</v>
      </c>
      <c r="S31" s="79">
        <f ca="1">'Total Allocation - Union South'!S31-'Total Allo -  Gas Union South'!S31</f>
        <v>0</v>
      </c>
      <c r="T31" s="79">
        <f ca="1">'Total Allocation - Union South'!T31-'Total Allo -  Gas Union South'!T31</f>
        <v>0</v>
      </c>
      <c r="U31" s="79">
        <f ca="1">'Total Allocation - Union South'!U31-'Total Allo -  Gas Union South'!U31</f>
        <v>0</v>
      </c>
      <c r="V31" s="79">
        <f ca="1">'Total Allocation - Union South'!V31-'Total Allo -  Gas Union South'!V31</f>
        <v>0</v>
      </c>
      <c r="W31" s="79">
        <f ca="1">'Total Allocation - Union South'!W31-'Total Allo -  Gas Union South'!W31</f>
        <v>0</v>
      </c>
      <c r="X31" s="79">
        <f ca="1">'Total Allocation - Union South'!X31-'Total Allo -  Gas Union South'!X31</f>
        <v>0</v>
      </c>
      <c r="Y31" s="79">
        <f ca="1">'Total Allocation - Union South'!Y31-'Total Allo -  Gas Union South'!Y31</f>
        <v>0</v>
      </c>
      <c r="Z31" s="79">
        <f ca="1">'Total Allocation - Union South'!Z31-'Total Allo -  Gas Union South'!Z31</f>
        <v>0</v>
      </c>
      <c r="AA31" s="79">
        <f ca="1">'Total Allocation - Union South'!AA31-'Total Allo -  Gas Union South'!AA31</f>
        <v>0</v>
      </c>
    </row>
    <row r="32" spans="1:27" x14ac:dyDescent="0.2">
      <c r="A32" s="2">
        <f t="shared" si="7"/>
        <v>18</v>
      </c>
      <c r="B32" s="31" t="s">
        <v>146</v>
      </c>
      <c r="D32" s="79">
        <f ca="1">'Total Allocation - Union South'!D32-'Total Allo -  Gas Union South'!D32</f>
        <v>51853.787662642455</v>
      </c>
      <c r="J32" s="79">
        <f t="shared" ca="1" si="6"/>
        <v>51853.787662642455</v>
      </c>
      <c r="L32" s="2" t="s">
        <v>229</v>
      </c>
      <c r="N32" s="79">
        <f ca="1">'Total Allocation - Union South'!N32-'Total Allo -  Gas Union South'!N32</f>
        <v>9688.6361672387393</v>
      </c>
      <c r="O32" s="79">
        <f ca="1">'Total Allocation - Union South'!O32-'Total Allo -  Gas Union South'!O32</f>
        <v>3820.876748234859</v>
      </c>
      <c r="P32" s="79">
        <f ca="1">'Total Allocation - Union South'!P32-'Total Allo -  Gas Union South'!P32</f>
        <v>3154.9374953780343</v>
      </c>
      <c r="Q32" s="79">
        <f ca="1">'Total Allocation - Union South'!Q32-'Total Allo -  Gas Union South'!Q32</f>
        <v>0</v>
      </c>
      <c r="R32" s="79">
        <f ca="1">'Total Allocation - Union South'!R32-'Total Allo -  Gas Union South'!R32</f>
        <v>40.763771154676228</v>
      </c>
      <c r="S32" s="79">
        <f ca="1">'Total Allocation - Union South'!S32-'Total Allo -  Gas Union South'!S32</f>
        <v>0</v>
      </c>
      <c r="T32" s="79">
        <f ca="1">'Total Allocation - Union South'!T32-'Total Allo -  Gas Union South'!T32</f>
        <v>6848.1743146608724</v>
      </c>
      <c r="U32" s="79">
        <f ca="1">'Total Allocation - Union South'!U32-'Total Allo -  Gas Union South'!U32</f>
        <v>0</v>
      </c>
      <c r="V32" s="79">
        <f ca="1">'Total Allocation - Union South'!V32-'Total Allo -  Gas Union South'!V32</f>
        <v>0</v>
      </c>
      <c r="W32" s="79">
        <f ca="1">'Total Allocation - Union South'!W32-'Total Allo -  Gas Union South'!W32</f>
        <v>1160.2436318582509</v>
      </c>
      <c r="X32" s="79">
        <f ca="1">'Total Allocation - Union South'!X32-'Total Allo -  Gas Union South'!X32</f>
        <v>0</v>
      </c>
      <c r="Y32" s="79">
        <f ca="1">'Total Allocation - Union South'!Y32-'Total Allo -  Gas Union South'!Y32</f>
        <v>27140.155534117017</v>
      </c>
      <c r="Z32" s="79">
        <f ca="1">'Total Allocation - Union South'!Z32-'Total Allo -  Gas Union South'!Z32</f>
        <v>0</v>
      </c>
      <c r="AA32" s="79">
        <f ca="1">'Total Allocation - Union South'!AA32-'Total Allo -  Gas Union South'!AA32</f>
        <v>0</v>
      </c>
    </row>
    <row r="33" spans="1:27" x14ac:dyDescent="0.2">
      <c r="A33" s="2">
        <f t="shared" si="7"/>
        <v>19</v>
      </c>
      <c r="B33" s="31" t="s">
        <v>95</v>
      </c>
      <c r="D33" s="79">
        <f ca="1">'Total Allocation - Union South'!D33-'Total Allo -  Gas Union South'!D33</f>
        <v>0</v>
      </c>
      <c r="F33" s="79">
        <f>'Total Allocation - Union South'!F33-'Total Allo -  Gas Union South'!F33</f>
        <v>0</v>
      </c>
      <c r="H33" s="2" t="s">
        <v>251</v>
      </c>
      <c r="J33" s="79"/>
      <c r="L33" s="2" t="s">
        <v>335</v>
      </c>
      <c r="N33" s="79">
        <f ca="1">'Total Allocation - Union South'!N33-'Total Allo -  Gas Union South'!N33</f>
        <v>0</v>
      </c>
      <c r="O33" s="79">
        <f ca="1">'Total Allocation - Union South'!O33-'Total Allo -  Gas Union South'!O33</f>
        <v>0</v>
      </c>
      <c r="P33" s="79">
        <f ca="1">'Total Allocation - Union South'!P33-'Total Allo -  Gas Union South'!P33</f>
        <v>0</v>
      </c>
      <c r="Q33" s="79">
        <f ca="1">'Total Allocation - Union South'!Q33-'Total Allo -  Gas Union South'!Q33</f>
        <v>0</v>
      </c>
      <c r="R33" s="79">
        <f ca="1">'Total Allocation - Union South'!R33-'Total Allo -  Gas Union South'!R33</f>
        <v>0</v>
      </c>
      <c r="S33" s="79">
        <f ca="1">'Total Allocation - Union South'!S33-'Total Allo -  Gas Union South'!S33</f>
        <v>0</v>
      </c>
      <c r="T33" s="79">
        <f ca="1">'Total Allocation - Union South'!T33-'Total Allo -  Gas Union South'!T33</f>
        <v>0</v>
      </c>
      <c r="U33" s="79">
        <f ca="1">'Total Allocation - Union South'!U33-'Total Allo -  Gas Union South'!U33</f>
        <v>0</v>
      </c>
      <c r="V33" s="79">
        <f ca="1">'Total Allocation - Union South'!V33-'Total Allo -  Gas Union South'!V33</f>
        <v>0</v>
      </c>
      <c r="W33" s="79">
        <f ca="1">'Total Allocation - Union South'!W33-'Total Allo -  Gas Union South'!W33</f>
        <v>0</v>
      </c>
      <c r="X33" s="79">
        <f ca="1">'Total Allocation - Union South'!X33-'Total Allo -  Gas Union South'!X33</f>
        <v>0</v>
      </c>
      <c r="Y33" s="79">
        <f ca="1">'Total Allocation - Union South'!Y33-'Total Allo -  Gas Union South'!Y33</f>
        <v>0</v>
      </c>
      <c r="Z33" s="79">
        <f ca="1">'Total Allocation - Union South'!Z33-'Total Allo -  Gas Union South'!Z33</f>
        <v>0</v>
      </c>
      <c r="AA33" s="79">
        <f ca="1">'Total Allocation - Union South'!AA33-'Total Allo -  Gas Union South'!AA33</f>
        <v>0</v>
      </c>
    </row>
    <row r="34" spans="1:27" x14ac:dyDescent="0.2">
      <c r="A34" s="2">
        <f t="shared" si="7"/>
        <v>20</v>
      </c>
      <c r="B34" s="31" t="s">
        <v>99</v>
      </c>
      <c r="D34" s="41">
        <f ca="1">SUM(D27:D33)</f>
        <v>100146.20002280295</v>
      </c>
      <c r="F34" s="41">
        <f>SUM(F27:F33)</f>
        <v>0</v>
      </c>
      <c r="J34" s="41">
        <f ca="1">SUM(J27:J33)</f>
        <v>100146.20002280295</v>
      </c>
      <c r="N34" s="41">
        <f t="shared" ref="N34:V34" ca="1" si="8">SUM(N27:N33)</f>
        <v>33651.169080170701</v>
      </c>
      <c r="O34" s="41">
        <f t="shared" ca="1" si="8"/>
        <v>12541.514917688683</v>
      </c>
      <c r="P34" s="41">
        <f t="shared" ca="1" si="8"/>
        <v>5183.5651428733154</v>
      </c>
      <c r="Q34" s="41">
        <f t="shared" ca="1" si="8"/>
        <v>0</v>
      </c>
      <c r="R34" s="41">
        <f t="shared" ca="1" si="8"/>
        <v>49.130746526713615</v>
      </c>
      <c r="S34" s="41">
        <f t="shared" ca="1" si="8"/>
        <v>0</v>
      </c>
      <c r="T34" s="41">
        <f t="shared" ca="1" si="8"/>
        <v>8421.0446583626272</v>
      </c>
      <c r="U34" s="41">
        <f t="shared" ca="1" si="8"/>
        <v>0</v>
      </c>
      <c r="V34" s="41">
        <f t="shared" ca="1" si="8"/>
        <v>487.00481244446257</v>
      </c>
      <c r="W34" s="41">
        <f ca="1">SUM(W27:W33)</f>
        <v>2355.0230496246481</v>
      </c>
      <c r="X34" s="41">
        <f ca="1">SUM(X27:X33)</f>
        <v>0</v>
      </c>
      <c r="Y34" s="41">
        <f ca="1">SUM(Y27:Y33)</f>
        <v>34897.160737756887</v>
      </c>
      <c r="Z34" s="41">
        <f ca="1">SUM(Z27:Z33)</f>
        <v>0</v>
      </c>
      <c r="AA34" s="41">
        <f ca="1">SUM(AA27:AA33)</f>
        <v>2560.5868773549159</v>
      </c>
    </row>
    <row r="35" spans="1:27" x14ac:dyDescent="0.2"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</row>
    <row r="36" spans="1:27" x14ac:dyDescent="0.2">
      <c r="B36" s="77" t="s">
        <v>100</v>
      </c>
      <c r="H36" s="31"/>
      <c r="J36" s="2"/>
      <c r="L36" s="31"/>
      <c r="N36" s="2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</row>
    <row r="37" spans="1:27" x14ac:dyDescent="0.2">
      <c r="A37" s="2">
        <f>A34+1</f>
        <v>21</v>
      </c>
      <c r="B37" s="31" t="s">
        <v>287</v>
      </c>
      <c r="D37" s="79">
        <f ca="1">'Total Allocation - Union South'!D37-'Total Allo -  Gas Union South'!D37</f>
        <v>103578.71759778701</v>
      </c>
      <c r="E37" s="79"/>
      <c r="F37" s="79"/>
      <c r="G37" s="79"/>
      <c r="H37" s="79"/>
      <c r="I37" s="79"/>
      <c r="J37" s="79">
        <f t="shared" ref="J37:J39" ca="1" si="9">D37-F37</f>
        <v>103578.71759778701</v>
      </c>
      <c r="K37" s="79"/>
      <c r="L37" s="2" t="s">
        <v>290</v>
      </c>
      <c r="N37" s="79">
        <f ca="1">'Total Allocation - Union South'!N37-'Total Allo -  Gas Union South'!N37</f>
        <v>38233.350345249899</v>
      </c>
      <c r="O37" s="79">
        <f ca="1">'Total Allocation - Union South'!O37-'Total Allo -  Gas Union South'!O37</f>
        <v>14157.944575145792</v>
      </c>
      <c r="P37" s="79">
        <f ca="1">'Total Allocation - Union South'!P37-'Total Allo -  Gas Union South'!P37</f>
        <v>5042.0076576109896</v>
      </c>
      <c r="Q37" s="79">
        <f ca="1">'Total Allocation - Union South'!Q37-'Total Allo -  Gas Union South'!Q37</f>
        <v>0</v>
      </c>
      <c r="R37" s="79">
        <f ca="1">'Total Allocation - Union South'!R37-'Total Allo -  Gas Union South'!R37</f>
        <v>44.292689517316653</v>
      </c>
      <c r="S37" s="79">
        <f ca="1">'Total Allocation - Union South'!S37-'Total Allo -  Gas Union South'!S37</f>
        <v>0</v>
      </c>
      <c r="T37" s="79">
        <f ca="1">'Total Allocation - Union South'!T37-'Total Allo -  Gas Union South'!T37</f>
        <v>7458.0181338237162</v>
      </c>
      <c r="U37" s="79">
        <f ca="1">'Total Allocation - Union South'!U37-'Total Allo -  Gas Union South'!U37</f>
        <v>0</v>
      </c>
      <c r="V37" s="79">
        <f ca="1">'Total Allocation - Union South'!V37-'Total Allo -  Gas Union South'!V37</f>
        <v>608.84922813701792</v>
      </c>
      <c r="W37" s="79">
        <f ca="1">'Total Allocation - Union South'!W37-'Total Allo -  Gas Union South'!W37</f>
        <v>2555.4529221934054</v>
      </c>
      <c r="X37" s="79">
        <f ca="1">'Total Allocation - Union South'!X37-'Total Allo -  Gas Union South'!X37</f>
        <v>0</v>
      </c>
      <c r="Y37" s="79">
        <f ca="1">'Total Allocation - Union South'!Y37-'Total Allo -  Gas Union South'!Y37</f>
        <v>32277.578353821213</v>
      </c>
      <c r="Z37" s="79">
        <f ca="1">'Total Allocation - Union South'!Z37-'Total Allo -  Gas Union South'!Z37</f>
        <v>0</v>
      </c>
      <c r="AA37" s="79">
        <f ca="1">'Total Allocation - Union South'!AA37-'Total Allo -  Gas Union South'!AA37</f>
        <v>3201.2236922876514</v>
      </c>
    </row>
    <row r="38" spans="1:27" x14ac:dyDescent="0.2">
      <c r="A38" s="2">
        <f>A37+1</f>
        <v>22</v>
      </c>
      <c r="B38" s="31" t="s">
        <v>288</v>
      </c>
      <c r="D38" s="79">
        <f ca="1">'Total Allocation - Union South'!D38-'Total Allo -  Gas Union South'!D38</f>
        <v>18528.287764951758</v>
      </c>
      <c r="E38" s="79"/>
      <c r="F38" s="79"/>
      <c r="G38" s="79"/>
      <c r="H38" s="79"/>
      <c r="I38" s="79"/>
      <c r="J38" s="79">
        <f t="shared" ca="1" si="9"/>
        <v>18528.287764951758</v>
      </c>
      <c r="K38" s="79"/>
      <c r="L38" s="2" t="s">
        <v>291</v>
      </c>
      <c r="N38" s="79">
        <f ca="1">'Total Allocation - Union South'!N38-'Total Allo -  Gas Union South'!N38</f>
        <v>11264.45044325301</v>
      </c>
      <c r="O38" s="79">
        <f ca="1">'Total Allocation - Union South'!O38-'Total Allo -  Gas Union South'!O38</f>
        <v>4171.2657563337634</v>
      </c>
      <c r="P38" s="79">
        <f ca="1">'Total Allocation - Union South'!P38-'Total Allo -  Gas Union South'!P38</f>
        <v>1177.6333803986058</v>
      </c>
      <c r="Q38" s="79">
        <f ca="1">'Total Allocation - Union South'!Q38-'Total Allo -  Gas Union South'!Q38</f>
        <v>0</v>
      </c>
      <c r="R38" s="79">
        <f ca="1">'Total Allocation - Union South'!R38-'Total Allo -  Gas Union South'!R38</f>
        <v>13.049675258924644</v>
      </c>
      <c r="S38" s="79">
        <f ca="1">'Total Allocation - Union South'!S38-'Total Allo -  Gas Union South'!S38</f>
        <v>0</v>
      </c>
      <c r="T38" s="79">
        <f ca="1">'Total Allocation - Union South'!T38-'Total Allo -  Gas Union South'!T38</f>
        <v>1144.0218217327217</v>
      </c>
      <c r="U38" s="79">
        <f ca="1">'Total Allocation - Union South'!U38-'Total Allo -  Gas Union South'!U38</f>
        <v>0</v>
      </c>
      <c r="V38" s="79">
        <f ca="1">'Total Allocation - Union South'!V38-'Total Allo -  Gas Union South'!V38</f>
        <v>78.189581294156312</v>
      </c>
      <c r="W38" s="79">
        <f ca="1">'Total Allocation - Union South'!W38-'Total Allo -  Gas Union South'!W38</f>
        <v>517.16507799493343</v>
      </c>
      <c r="X38" s="79">
        <f ca="1">'Total Allocation - Union South'!X38-'Total Allo -  Gas Union South'!X38</f>
        <v>0</v>
      </c>
      <c r="Y38" s="79">
        <f ca="1">'Total Allocation - Union South'!Y38-'Total Allo -  Gas Union South'!Y38</f>
        <v>162.51202868564047</v>
      </c>
      <c r="Z38" s="79">
        <f ca="1">'Total Allocation - Union South'!Z38-'Total Allo -  Gas Union South'!Z38</f>
        <v>0</v>
      </c>
      <c r="AA38" s="79">
        <f ca="1">'Total Allocation - Union South'!AA38-'Total Allo -  Gas Union South'!AA38</f>
        <v>0</v>
      </c>
    </row>
    <row r="39" spans="1:27" x14ac:dyDescent="0.2">
      <c r="A39" s="2">
        <f t="shared" ref="A39:A52" si="10">A38+1</f>
        <v>23</v>
      </c>
      <c r="B39" s="31" t="s">
        <v>289</v>
      </c>
      <c r="D39" s="79">
        <f ca="1">'Total Allocation - Union South'!D39-'Total Allo -  Gas Union South'!D39</f>
        <v>98571.899629841122</v>
      </c>
      <c r="E39" s="79"/>
      <c r="F39" s="79"/>
      <c r="G39" s="79"/>
      <c r="H39" s="79"/>
      <c r="I39" s="79"/>
      <c r="J39" s="79">
        <f t="shared" ca="1" si="9"/>
        <v>98571.899629841122</v>
      </c>
      <c r="K39" s="79"/>
      <c r="L39" s="2" t="s">
        <v>292</v>
      </c>
      <c r="N39" s="79">
        <f ca="1">'Total Allocation - Union South'!N39-'Total Allo -  Gas Union South'!N39</f>
        <v>63015.150444081359</v>
      </c>
      <c r="O39" s="79">
        <f ca="1">'Total Allocation - Union South'!O39-'Total Allo -  Gas Union South'!O39</f>
        <v>23334.732617609065</v>
      </c>
      <c r="P39" s="79">
        <f ca="1">'Total Allocation - Union South'!P39-'Total Allo -  Gas Union South'!P39</f>
        <v>5147.823178390955</v>
      </c>
      <c r="Q39" s="79">
        <f ca="1">'Total Allocation - Union South'!Q39-'Total Allo -  Gas Union South'!Q39</f>
        <v>2.087177972744207</v>
      </c>
      <c r="R39" s="79">
        <f ca="1">'Total Allocation - Union South'!R39-'Total Allo -  Gas Union South'!R39</f>
        <v>56.775716339709213</v>
      </c>
      <c r="S39" s="79">
        <f ca="1">'Total Allocation - Union South'!S39-'Total Allo -  Gas Union South'!S39</f>
        <v>39.153977534173571</v>
      </c>
      <c r="T39" s="79">
        <f ca="1">'Total Allocation - Union South'!T39-'Total Allo -  Gas Union South'!T39</f>
        <v>4281.7316270525935</v>
      </c>
      <c r="U39" s="79">
        <f ca="1">'Total Allocation - Union South'!U39-'Total Allo -  Gas Union South'!U39</f>
        <v>73.778273021838956</v>
      </c>
      <c r="V39" s="79">
        <f ca="1">'Total Allocation - Union South'!V39-'Total Allo -  Gas Union South'!V39</f>
        <v>0</v>
      </c>
      <c r="W39" s="79">
        <f ca="1">'Total Allocation - Union South'!W39-'Total Allo -  Gas Union South'!W39</f>
        <v>1637.4102867635561</v>
      </c>
      <c r="X39" s="79">
        <f ca="1">'Total Allocation - Union South'!X39-'Total Allo -  Gas Union South'!X39</f>
        <v>14.012578206698869</v>
      </c>
      <c r="Y39" s="79">
        <f ca="1">'Total Allocation - Union South'!Y39-'Total Allo -  Gas Union South'!Y39</f>
        <v>534.36865773771319</v>
      </c>
      <c r="Z39" s="79">
        <f ca="1">'Total Allocation - Union South'!Z39-'Total Allo -  Gas Union South'!Z39</f>
        <v>434.87509513072098</v>
      </c>
      <c r="AA39" s="79">
        <f ca="1">'Total Allocation - Union South'!AA39-'Total Allo -  Gas Union South'!AA39</f>
        <v>0</v>
      </c>
    </row>
    <row r="40" spans="1:27" x14ac:dyDescent="0.2">
      <c r="B40" s="31" t="s">
        <v>163</v>
      </c>
      <c r="D40" s="79"/>
      <c r="E40" s="79"/>
      <c r="F40" s="79"/>
      <c r="G40" s="79"/>
      <c r="H40" s="79"/>
      <c r="I40" s="79"/>
      <c r="J40" s="123"/>
      <c r="K40" s="79"/>
      <c r="N40" s="2"/>
      <c r="P40" s="79">
        <v>0</v>
      </c>
      <c r="Q40" s="79">
        <v>0</v>
      </c>
      <c r="R40" s="79">
        <v>0</v>
      </c>
      <c r="S40" s="79">
        <v>0</v>
      </c>
      <c r="T40" s="79">
        <v>0</v>
      </c>
      <c r="U40" s="79">
        <v>0</v>
      </c>
      <c r="V40" s="79">
        <v>0</v>
      </c>
      <c r="W40" s="79">
        <v>0</v>
      </c>
      <c r="X40" s="79">
        <v>0</v>
      </c>
      <c r="Y40" s="79">
        <v>0</v>
      </c>
      <c r="Z40" s="79">
        <v>0</v>
      </c>
      <c r="AA40" s="79">
        <v>0</v>
      </c>
    </row>
    <row r="41" spans="1:27" x14ac:dyDescent="0.2">
      <c r="A41" s="2">
        <f>A39+1</f>
        <v>24</v>
      </c>
      <c r="B41" s="82" t="s">
        <v>165</v>
      </c>
      <c r="D41" s="79">
        <f ca="1">'Total Allocation - Union South'!D41-'Total Allo -  Gas Union South'!D41</f>
        <v>54477.153079505384</v>
      </c>
      <c r="E41" s="79"/>
      <c r="F41" s="79"/>
      <c r="G41" s="79"/>
      <c r="H41" s="79"/>
      <c r="I41" s="79"/>
      <c r="J41" s="79">
        <f t="shared" ref="J41:J46" ca="1" si="11">D41-F41</f>
        <v>54477.153079505384</v>
      </c>
      <c r="K41" s="79"/>
      <c r="L41" s="2" t="s">
        <v>161</v>
      </c>
      <c r="N41" s="79">
        <f ca="1">'Total Allocation - Union South'!N41-'Total Allo -  Gas Union South'!N41</f>
        <v>37980.18707034838</v>
      </c>
      <c r="O41" s="79">
        <f ca="1">'Total Allocation - Union South'!O41-'Total Allo -  Gas Union South'!O41</f>
        <v>5442.3469846328044</v>
      </c>
      <c r="P41" s="79">
        <f ca="1">'Total Allocation - Union South'!P41-'Total Allo -  Gas Union South'!P41</f>
        <v>3971.9828445065555</v>
      </c>
      <c r="Q41" s="79">
        <f ca="1">'Total Allocation - Union South'!Q41-'Total Allo -  Gas Union South'!Q41</f>
        <v>1.5924401318716079</v>
      </c>
      <c r="R41" s="79">
        <f ca="1">'Total Allocation - Union South'!R41-'Total Allo -  Gas Union South'!R41</f>
        <v>22.681114251268536</v>
      </c>
      <c r="S41" s="79">
        <f ca="1">'Total Allocation - Union South'!S41-'Total Allo -  Gas Union South'!S41</f>
        <v>283.58370024436408</v>
      </c>
      <c r="T41" s="79">
        <f ca="1">'Total Allocation - Union South'!T41-'Total Allo -  Gas Union South'!T41</f>
        <v>2724.3383032579277</v>
      </c>
      <c r="U41" s="79">
        <f ca="1">'Total Allocation - Union South'!U41-'Total Allo -  Gas Union South'!U41</f>
        <v>290.08845416179003</v>
      </c>
      <c r="V41" s="79">
        <f ca="1">'Total Allocation - Union South'!V41-'Total Allo -  Gas Union South'!V41</f>
        <v>14.78534843925838</v>
      </c>
      <c r="W41" s="79">
        <f ca="1">'Total Allocation - Union South'!W41-'Total Allo -  Gas Union South'!W41</f>
        <v>657.32907360575211</v>
      </c>
      <c r="X41" s="79">
        <f ca="1">'Total Allocation - Union South'!X41-'Total Allo -  Gas Union South'!X41</f>
        <v>62.661399380071082</v>
      </c>
      <c r="Y41" s="79">
        <f ca="1">'Total Allocation - Union South'!Y41-'Total Allo -  Gas Union South'!Y41</f>
        <v>2908.07585430992</v>
      </c>
      <c r="Z41" s="79">
        <f ca="1">'Total Allocation - Union South'!Z41-'Total Allo -  Gas Union South'!Z41</f>
        <v>24.466281345100835</v>
      </c>
      <c r="AA41" s="79">
        <f ca="1">'Total Allocation - Union South'!AA41-'Total Allo -  Gas Union South'!AA41</f>
        <v>93.034210890312892</v>
      </c>
    </row>
    <row r="42" spans="1:27" x14ac:dyDescent="0.2">
      <c r="A42" s="2">
        <f t="shared" si="10"/>
        <v>25</v>
      </c>
      <c r="B42" s="82" t="s">
        <v>166</v>
      </c>
      <c r="D42" s="79">
        <f ca="1">'Total Allocation - Union South'!D42-'Total Allo -  Gas Union South'!D42</f>
        <v>24291.591004587637</v>
      </c>
      <c r="E42" s="79"/>
      <c r="F42" s="79"/>
      <c r="G42" s="79"/>
      <c r="H42" s="79"/>
      <c r="I42" s="79"/>
      <c r="J42" s="79">
        <f t="shared" ca="1" si="11"/>
        <v>24291.591004587637</v>
      </c>
      <c r="K42" s="79"/>
      <c r="L42" s="2" t="s">
        <v>162</v>
      </c>
      <c r="N42" s="79">
        <f ca="1">'Total Allocation - Union South'!N42-'Total Allo -  Gas Union South'!N42</f>
        <v>13221.478169382253</v>
      </c>
      <c r="O42" s="79">
        <f ca="1">'Total Allocation - Union South'!O42-'Total Allo -  Gas Union South'!O42</f>
        <v>3366.3997844823944</v>
      </c>
      <c r="P42" s="79">
        <f ca="1">'Total Allocation - Union South'!P42-'Total Allo -  Gas Union South'!P42</f>
        <v>3231.2015108037863</v>
      </c>
      <c r="Q42" s="79">
        <f ca="1">'Total Allocation - Union South'!Q42-'Total Allo -  Gas Union South'!Q42</f>
        <v>1.2954474279979806</v>
      </c>
      <c r="R42" s="79">
        <f ca="1">'Total Allocation - Union South'!R42-'Total Allo -  Gas Union South'!R42</f>
        <v>14.831409860966685</v>
      </c>
      <c r="S42" s="79">
        <f ca="1">'Total Allocation - Union South'!S42-'Total Allo -  Gas Union South'!S42</f>
        <v>185.43824794579692</v>
      </c>
      <c r="T42" s="79">
        <f ca="1">'Total Allocation - Union South'!T42-'Total Allo -  Gas Union South'!T42</f>
        <v>2215.2177546860453</v>
      </c>
      <c r="U42" s="79">
        <f ca="1">'Total Allocation - Union South'!U42-'Total Allo -  Gas Union South'!U42</f>
        <v>235.87712778554541</v>
      </c>
      <c r="V42" s="79">
        <f ca="1">'Total Allocation - Union South'!V42-'Total Allo -  Gas Union South'!V42</f>
        <v>6.1280536807532968</v>
      </c>
      <c r="W42" s="79">
        <f ca="1">'Total Allocation - Union South'!W42-'Total Allo -  Gas Union South'!W42</f>
        <v>467.29557464141214</v>
      </c>
      <c r="X42" s="79">
        <f ca="1">'Total Allocation - Union South'!X42-'Total Allo -  Gas Union South'!X42</f>
        <v>44.546020869765329</v>
      </c>
      <c r="Y42" s="79">
        <f ca="1">'Total Allocation - Union South'!Y42-'Total Allo -  Gas Union South'!Y42</f>
        <v>1252.78226785688</v>
      </c>
      <c r="Z42" s="79">
        <f ca="1">'Total Allocation - Union South'!Z42-'Total Allo -  Gas Union South'!Z42</f>
        <v>10.539932575731692</v>
      </c>
      <c r="AA42" s="79">
        <f ca="1">'Total Allocation - Union South'!AA42-'Total Allo -  Gas Union South'!AA42</f>
        <v>38.559702588311609</v>
      </c>
    </row>
    <row r="43" spans="1:27" x14ac:dyDescent="0.2">
      <c r="A43" s="2">
        <f t="shared" si="10"/>
        <v>26</v>
      </c>
      <c r="B43" s="31" t="s">
        <v>101</v>
      </c>
      <c r="D43" s="79">
        <f ca="1">'Total Allocation - Union South'!D43-'Total Allo -  Gas Union South'!D43</f>
        <v>123373.05234926387</v>
      </c>
      <c r="E43" s="79"/>
      <c r="F43" s="79"/>
      <c r="G43" s="79"/>
      <c r="H43" s="79"/>
      <c r="I43" s="79"/>
      <c r="J43" s="79">
        <f t="shared" ca="1" si="11"/>
        <v>123373.05234926387</v>
      </c>
      <c r="K43" s="79"/>
      <c r="L43" s="2" t="s">
        <v>220</v>
      </c>
      <c r="N43" s="79">
        <f ca="1">'Total Allocation - Union South'!N43-'Total Allo -  Gas Union South'!N43</f>
        <v>122509.83072182689</v>
      </c>
      <c r="O43" s="79">
        <f ca="1">'Total Allocation - Union South'!O43-'Total Allo -  Gas Union South'!O43</f>
        <v>821.03639717481894</v>
      </c>
      <c r="P43" s="79">
        <f ca="1">'Total Allocation - Union South'!P43-'Total Allo -  Gas Union South'!P43</f>
        <v>22.871510383104404</v>
      </c>
      <c r="Q43" s="79">
        <f ca="1">'Total Allocation - Union South'!Q43-'Total Allo -  Gas Union South'!Q43</f>
        <v>0</v>
      </c>
      <c r="R43" s="79">
        <f ca="1">'Total Allocation - Union South'!R43-'Total Allo -  Gas Union South'!R43</f>
        <v>0.71155810080769255</v>
      </c>
      <c r="S43" s="79">
        <f ca="1">'Total Allocation - Union South'!S43-'Total Allo -  Gas Union South'!S43</f>
        <v>3.049534717747254</v>
      </c>
      <c r="T43" s="79">
        <f ca="1">'Total Allocation - Union South'!T43-'Total Allo -  Gas Union South'!T43</f>
        <v>5.7941159637197819</v>
      </c>
      <c r="U43" s="79">
        <f ca="1">'Total Allocation - Union South'!U43-'Total Allo -  Gas Union South'!U43</f>
        <v>0.40660462903296718</v>
      </c>
      <c r="V43" s="79">
        <f ca="1">'Total Allocation - Union South'!V43-'Total Allo -  Gas Union South'!V43</f>
        <v>0.40660462903296718</v>
      </c>
      <c r="W43" s="79">
        <f ca="1">'Total Allocation - Union South'!W43-'Total Allo -  Gas Union South'!W43</f>
        <v>4.675953233879123</v>
      </c>
      <c r="X43" s="79">
        <f ca="1">'Total Allocation - Union South'!X43-'Total Allo -  Gas Union South'!X43</f>
        <v>0</v>
      </c>
      <c r="Y43" s="79">
        <f ca="1">'Total Allocation - Union South'!Y43-'Total Allo -  Gas Union South'!Y43</f>
        <v>4.1676974475879129</v>
      </c>
      <c r="Z43" s="79">
        <f ca="1">'Total Allocation - Union South'!Z43-'Total Allo -  Gas Union South'!Z43</f>
        <v>0</v>
      </c>
      <c r="AA43" s="79">
        <f ca="1">'Total Allocation - Union South'!AA43-'Total Allo -  Gas Union South'!AA43</f>
        <v>0.10165115725824179</v>
      </c>
    </row>
    <row r="44" spans="1:27" x14ac:dyDescent="0.2">
      <c r="A44" s="2">
        <f t="shared" si="10"/>
        <v>27</v>
      </c>
      <c r="B44" s="31" t="s">
        <v>102</v>
      </c>
      <c r="D44" s="79">
        <f ca="1">'Total Allocation - Union South'!D44-'Total Allo -  Gas Union South'!D44</f>
        <v>136892.12301976632</v>
      </c>
      <c r="E44" s="79"/>
      <c r="F44" s="79"/>
      <c r="G44" s="79"/>
      <c r="H44" s="79"/>
      <c r="I44" s="79"/>
      <c r="J44" s="79">
        <f t="shared" ca="1" si="11"/>
        <v>136892.12301976632</v>
      </c>
      <c r="K44" s="79"/>
      <c r="L44" s="2" t="s">
        <v>220</v>
      </c>
      <c r="N44" s="79">
        <f ca="1">'Total Allocation - Union South'!N44-'Total Allo -  Gas Union South'!N44</f>
        <v>135934.31060476747</v>
      </c>
      <c r="O44" s="79">
        <f ca="1">'Total Allocation - Union South'!O44-'Total Allo -  Gas Union South'!O44</f>
        <v>911.00457794932436</v>
      </c>
      <c r="P44" s="79">
        <f ca="1">'Total Allocation - Union South'!P44-'Total Allo -  Gas Union South'!P44</f>
        <v>25.377742978655192</v>
      </c>
      <c r="Q44" s="79">
        <f ca="1">'Total Allocation - Union South'!Q44-'Total Allo -  Gas Union South'!Q44</f>
        <v>0</v>
      </c>
      <c r="R44" s="79">
        <f ca="1">'Total Allocation - Union South'!R44-'Total Allo -  Gas Union South'!R44</f>
        <v>0.78952978155816156</v>
      </c>
      <c r="S44" s="79">
        <f ca="1">'Total Allocation - Union South'!S44-'Total Allo -  Gas Union South'!S44</f>
        <v>3.3836990638206923</v>
      </c>
      <c r="T44" s="79">
        <f ca="1">'Total Allocation - Union South'!T44-'Total Allo -  Gas Union South'!T44</f>
        <v>6.4290282212593155</v>
      </c>
      <c r="U44" s="79">
        <f ca="1">'Total Allocation - Union South'!U44-'Total Allo -  Gas Union South'!U44</f>
        <v>0.4511598751760923</v>
      </c>
      <c r="V44" s="79">
        <f ca="1">'Total Allocation - Union South'!V44-'Total Allo -  Gas Union South'!V44</f>
        <v>0.4511598751760923</v>
      </c>
      <c r="W44" s="79">
        <f ca="1">'Total Allocation - Union South'!W44-'Total Allo -  Gas Union South'!W44</f>
        <v>5.1883385645250621</v>
      </c>
      <c r="X44" s="79">
        <f ca="1">'Total Allocation - Union South'!X44-'Total Allo -  Gas Union South'!X44</f>
        <v>0</v>
      </c>
      <c r="Y44" s="79">
        <f ca="1">'Total Allocation - Union South'!Y44-'Total Allo -  Gas Union South'!Y44</f>
        <v>4.6243887205549461</v>
      </c>
      <c r="Z44" s="79">
        <f ca="1">'Total Allocation - Union South'!Z44-'Total Allo -  Gas Union South'!Z44</f>
        <v>0</v>
      </c>
      <c r="AA44" s="79">
        <f ca="1">'Total Allocation - Union South'!AA44-'Total Allo -  Gas Union South'!AA44</f>
        <v>0.11278996879402307</v>
      </c>
    </row>
    <row r="45" spans="1:27" x14ac:dyDescent="0.2">
      <c r="A45" s="2">
        <f t="shared" si="10"/>
        <v>28</v>
      </c>
      <c r="B45" s="31" t="s">
        <v>103</v>
      </c>
      <c r="D45" s="79">
        <f ca="1">'Total Allocation - Union South'!D45-'Total Allo -  Gas Union South'!D45</f>
        <v>109207.23164977792</v>
      </c>
      <c r="E45" s="79"/>
      <c r="F45" s="79"/>
      <c r="G45" s="79"/>
      <c r="H45" s="79"/>
      <c r="I45" s="79"/>
      <c r="J45" s="79">
        <f t="shared" ca="1" si="11"/>
        <v>109207.23164977792</v>
      </c>
      <c r="K45" s="79"/>
      <c r="L45" s="2" t="s">
        <v>190</v>
      </c>
      <c r="N45" s="79">
        <f ca="1">'Total Allocation - Union South'!N45-'Total Allo -  Gas Union South'!N45</f>
        <v>97235.587810649609</v>
      </c>
      <c r="O45" s="79">
        <f ca="1">'Total Allocation - Union South'!O45-'Total Allo -  Gas Union South'!O45</f>
        <v>8446.9077345944188</v>
      </c>
      <c r="P45" s="79">
        <f ca="1">'Total Allocation - Union South'!P45-'Total Allo -  Gas Union South'!P45</f>
        <v>1134.680322900979</v>
      </c>
      <c r="Q45" s="79">
        <f ca="1">'Total Allocation - Union South'!Q45-'Total Allo -  Gas Union South'!Q45</f>
        <v>0</v>
      </c>
      <c r="R45" s="79">
        <f ca="1">'Total Allocation - Union South'!R45-'Total Allo -  Gas Union South'!R45</f>
        <v>46.017839910402159</v>
      </c>
      <c r="S45" s="79">
        <f ca="1">'Total Allocation - Union South'!S45-'Total Allo -  Gas Union South'!S45</f>
        <v>197.21931390172352</v>
      </c>
      <c r="T45" s="79">
        <f ca="1">'Total Allocation - Union South'!T45-'Total Allo -  Gas Union South'!T45</f>
        <v>698.73810332733785</v>
      </c>
      <c r="U45" s="79">
        <f ca="1">'Total Allocation - Union South'!U45-'Total Allo -  Gas Union South'!U45</f>
        <v>49.03425286507634</v>
      </c>
      <c r="V45" s="79">
        <f ca="1">'Total Allocation - Union South'!V45-'Total Allo -  Gas Union South'!V45</f>
        <v>27.051667782506303</v>
      </c>
      <c r="W45" s="79">
        <f ca="1">'Total Allocation - Union South'!W45-'Total Allo -  Gas Union South'!W45</f>
        <v>455.82570273372005</v>
      </c>
      <c r="X45" s="79">
        <f ca="1">'Total Allocation - Union South'!X45-'Total Allo -  Gas Union South'!X45</f>
        <v>0</v>
      </c>
      <c r="Y45" s="79">
        <f ca="1">'Total Allocation - Union South'!Y45-'Total Allo -  Gas Union South'!Y45</f>
        <v>889.93994148734771</v>
      </c>
      <c r="Z45" s="79">
        <f ca="1">'Total Allocation - Union South'!Z45-'Total Allo -  Gas Union South'!Z45</f>
        <v>0</v>
      </c>
      <c r="AA45" s="79">
        <f ca="1">'Total Allocation - Union South'!AA45-'Total Allo -  Gas Union South'!AA45</f>
        <v>26.228959624819478</v>
      </c>
    </row>
    <row r="46" spans="1:27" x14ac:dyDescent="0.2">
      <c r="A46" s="2">
        <f t="shared" si="10"/>
        <v>29</v>
      </c>
      <c r="B46" s="31" t="s">
        <v>186</v>
      </c>
      <c r="D46" s="79">
        <f ca="1">'Total Allocation - Union South'!D46-'Total Allo -  Gas Union South'!D46</f>
        <v>12548.403613879787</v>
      </c>
      <c r="E46" s="79"/>
      <c r="F46" s="79"/>
      <c r="G46" s="79"/>
      <c r="H46" s="79"/>
      <c r="I46" s="79"/>
      <c r="J46" s="79">
        <f t="shared" ca="1" si="11"/>
        <v>12548.403613879787</v>
      </c>
      <c r="K46" s="79"/>
      <c r="L46" s="2" t="s">
        <v>191</v>
      </c>
      <c r="N46" s="79">
        <f ca="1">'Total Allocation - Union South'!N46-'Total Allo -  Gas Union South'!N46</f>
        <v>4030.8899747548253</v>
      </c>
      <c r="O46" s="79">
        <f ca="1">'Total Allocation - Union South'!O46-'Total Allo -  Gas Union South'!O46</f>
        <v>5140.3795719116861</v>
      </c>
      <c r="P46" s="79">
        <f ca="1">'Total Allocation - Union South'!P46-'Total Allo -  Gas Union South'!P46</f>
        <v>330.77707210637078</v>
      </c>
      <c r="Q46" s="79">
        <f ca="1">'Total Allocation - Union South'!Q46-'Total Allo -  Gas Union South'!Q46</f>
        <v>0</v>
      </c>
      <c r="R46" s="79">
        <f ca="1">'Total Allocation - Union South'!R46-'Total Allo -  Gas Union South'!R46</f>
        <v>16.586875548334014</v>
      </c>
      <c r="S46" s="79">
        <f ca="1">'Total Allocation - Union South'!S46-'Total Allo -  Gas Union South'!S46</f>
        <v>71.086609492860049</v>
      </c>
      <c r="T46" s="79">
        <f ca="1">'Total Allocation - Union South'!T46-'Total Allo -  Gas Union South'!T46</f>
        <v>808.39862372536663</v>
      </c>
      <c r="U46" s="79">
        <f ca="1">'Total Allocation - Union South'!U46-'Total Allo -  Gas Union South'!U46</f>
        <v>56.729727980727475</v>
      </c>
      <c r="V46" s="79">
        <f ca="1">'Total Allocation - Union South'!V46-'Total Allo -  Gas Union South'!V46</f>
        <v>32.055951600733245</v>
      </c>
      <c r="W46" s="79">
        <f ca="1">'Total Allocation - Union South'!W46-'Total Allo -  Gas Union South'!W46</f>
        <v>225.23711310648093</v>
      </c>
      <c r="X46" s="79">
        <f ca="1">'Total Allocation - Union South'!X46-'Total Allo -  Gas Union South'!X46</f>
        <v>0</v>
      </c>
      <c r="Y46" s="79">
        <f ca="1">'Total Allocation - Union South'!Y46-'Total Allo -  Gas Union South'!Y46</f>
        <v>1690.600892895327</v>
      </c>
      <c r="Z46" s="79">
        <f ca="1">'Total Allocation - Union South'!Z46-'Total Allo -  Gas Union South'!Z46</f>
        <v>0</v>
      </c>
      <c r="AA46" s="79">
        <f ca="1">'Total Allocation - Union South'!AA46-'Total Allo -  Gas Union South'!AA46</f>
        <v>145.66120075707798</v>
      </c>
    </row>
    <row r="47" spans="1:27" x14ac:dyDescent="0.2">
      <c r="B47" s="31" t="s">
        <v>164</v>
      </c>
      <c r="D47" s="79"/>
      <c r="E47" s="79"/>
      <c r="F47" s="79"/>
      <c r="G47" s="79"/>
      <c r="H47" s="79"/>
      <c r="I47" s="79"/>
      <c r="J47" s="123"/>
      <c r="K47" s="79"/>
      <c r="N47" s="2"/>
      <c r="P47" s="79">
        <v>0</v>
      </c>
      <c r="Q47" s="79">
        <v>0</v>
      </c>
      <c r="R47" s="79">
        <v>0</v>
      </c>
      <c r="S47" s="79">
        <v>0</v>
      </c>
      <c r="T47" s="79">
        <v>0</v>
      </c>
      <c r="U47" s="79">
        <v>0</v>
      </c>
      <c r="V47" s="79">
        <v>0</v>
      </c>
      <c r="W47" s="79">
        <v>0</v>
      </c>
      <c r="X47" s="79">
        <v>0</v>
      </c>
      <c r="Y47" s="79">
        <v>0</v>
      </c>
      <c r="Z47" s="79">
        <v>0</v>
      </c>
      <c r="AA47" s="79">
        <v>0</v>
      </c>
    </row>
    <row r="48" spans="1:27" x14ac:dyDescent="0.2">
      <c r="A48" s="2">
        <f>A46+1</f>
        <v>30</v>
      </c>
      <c r="B48" s="82" t="s">
        <v>176</v>
      </c>
      <c r="D48" s="79">
        <f ca="1">'Total Allocation - Union South'!D48-'Total Allo -  Gas Union South'!D48</f>
        <v>3893.3888802730116</v>
      </c>
      <c r="F48" s="79"/>
      <c r="H48" s="31"/>
      <c r="J48" s="79">
        <f t="shared" ref="J48:J51" ca="1" si="12">D48-F48</f>
        <v>3893.3888802730116</v>
      </c>
      <c r="L48" s="2" t="s">
        <v>223</v>
      </c>
      <c r="N48" s="79">
        <f ca="1">'Total Allocation - Union South'!N48-'Total Allo -  Gas Union South'!N48</f>
        <v>3360.7070488726035</v>
      </c>
      <c r="O48" s="79">
        <f ca="1">'Total Allocation - Union South'!O48-'Total Allo -  Gas Union South'!O48</f>
        <v>22.522786874398797</v>
      </c>
      <c r="P48" s="79">
        <f ca="1">'Total Allocation - Union South'!P48-'Total Allo -  Gas Union South'!P48</f>
        <v>276.59225305627007</v>
      </c>
      <c r="Q48" s="79">
        <f ca="1">'Total Allocation - Union South'!Q48-'Total Allo -  Gas Union South'!Q48</f>
        <v>0</v>
      </c>
      <c r="R48" s="79">
        <f ca="1">'Total Allocation - Union South'!R48-'Total Allo -  Gas Union South'!R48</f>
        <v>8.6050923173061786</v>
      </c>
      <c r="S48" s="79">
        <f ca="1">'Total Allocation - Union South'!S48-'Total Allo -  Gas Union South'!S48</f>
        <v>36.878967074169346</v>
      </c>
      <c r="T48" s="79">
        <f ca="1">'Total Allocation - Union South'!T48-'Total Allo -  Gas Union South'!T48</f>
        <v>70.070037440921752</v>
      </c>
      <c r="U48" s="79">
        <f ca="1">'Total Allocation - Union South'!U48-'Total Allo -  Gas Union South'!U48</f>
        <v>4.9171956098892462</v>
      </c>
      <c r="V48" s="79">
        <f ca="1">'Total Allocation - Union South'!V48-'Total Allo -  Gas Union South'!V48</f>
        <v>4.9171956098892462</v>
      </c>
      <c r="W48" s="79">
        <f ca="1">'Total Allocation - Union South'!W48-'Total Allo -  Gas Union South'!W48</f>
        <v>56.54774951372633</v>
      </c>
      <c r="X48" s="79">
        <f ca="1">'Total Allocation - Union South'!X48-'Total Allo -  Gas Union South'!X48</f>
        <v>0</v>
      </c>
      <c r="Y48" s="79">
        <f ca="1">'Total Allocation - Union South'!Y48-'Total Allo -  Gas Union South'!Y48</f>
        <v>50.401255001364774</v>
      </c>
      <c r="Z48" s="79">
        <f ca="1">'Total Allocation - Union South'!Z48-'Total Allo -  Gas Union South'!Z48</f>
        <v>0</v>
      </c>
      <c r="AA48" s="79">
        <f ca="1">'Total Allocation - Union South'!AA48-'Total Allo -  Gas Union South'!AA48</f>
        <v>1.2292989024723115</v>
      </c>
    </row>
    <row r="49" spans="1:27" x14ac:dyDescent="0.2">
      <c r="A49" s="2">
        <f t="shared" si="10"/>
        <v>31</v>
      </c>
      <c r="B49" s="82" t="s">
        <v>72</v>
      </c>
      <c r="D49" s="79">
        <f ca="1">'Total Allocation - Union South'!D49-'Total Allo -  Gas Union South'!D49</f>
        <v>42055.109152126061</v>
      </c>
      <c r="F49" s="79">
        <f>'Total Allocation - Union South'!F49-'Total Allo -  Gas Union South'!F49</f>
        <v>3858.7118360375543</v>
      </c>
      <c r="H49" s="2" t="s">
        <v>341</v>
      </c>
      <c r="J49" s="79">
        <f t="shared" ca="1" si="12"/>
        <v>38196.397316088507</v>
      </c>
      <c r="L49" s="2" t="s">
        <v>220</v>
      </c>
      <c r="N49" s="79">
        <f ca="1">'Total Allocation - Union South'!N49-'Total Allo -  Gas Union South'!N49</f>
        <v>40681.177976376908</v>
      </c>
      <c r="O49" s="79">
        <f ca="1">'Total Allocation - Union South'!O49-'Total Allo -  Gas Union South'!O49</f>
        <v>272.65426575584041</v>
      </c>
      <c r="P49" s="79">
        <f ca="1">'Total Allocation - Union South'!P49-'Total Allo -  Gas Union South'!P49</f>
        <v>597.07784276745815</v>
      </c>
      <c r="Q49" s="79">
        <f ca="1">'Total Allocation - Union South'!Q49-'Total Allo -  Gas Union South'!Q49</f>
        <v>0</v>
      </c>
      <c r="R49" s="79">
        <f ca="1">'Total Allocation - Union South'!R49-'Total Allo -  Gas Union South'!R49</f>
        <v>18.575755108320919</v>
      </c>
      <c r="S49" s="79">
        <f ca="1">'Total Allocation - Union South'!S49-'Total Allo -  Gas Union South'!S49</f>
        <v>79.610379035661097</v>
      </c>
      <c r="T49" s="79">
        <f ca="1">'Total Allocation - Union South'!T49-'Total Allo -  Gas Union South'!T49</f>
        <v>151.25972016775606</v>
      </c>
      <c r="U49" s="79">
        <f ca="1">'Total Allocation - Union South'!U49-'Total Allo -  Gas Union South'!U49</f>
        <v>10.614717204754811</v>
      </c>
      <c r="V49" s="79">
        <f ca="1">'Total Allocation - Union South'!V49-'Total Allo -  Gas Union South'!V49</f>
        <v>10.614717204754811</v>
      </c>
      <c r="W49" s="79">
        <f ca="1">'Total Allocation - Union South'!W49-'Total Allo -  Gas Union South'!W49</f>
        <v>122.06924785468033</v>
      </c>
      <c r="X49" s="79">
        <f ca="1">'Total Allocation - Union South'!X49-'Total Allo -  Gas Union South'!X49</f>
        <v>0</v>
      </c>
      <c r="Y49" s="79">
        <f ca="1">'Total Allocation - Union South'!Y49-'Total Allo -  Gas Union South'!Y49</f>
        <v>108.8008513487368</v>
      </c>
      <c r="Z49" s="79">
        <f ca="1">'Total Allocation - Union South'!Z49-'Total Allo -  Gas Union South'!Z49</f>
        <v>0</v>
      </c>
      <c r="AA49" s="79">
        <f ca="1">'Total Allocation - Union South'!AA49-'Total Allo -  Gas Union South'!AA49</f>
        <v>2.6536793011887028</v>
      </c>
    </row>
    <row r="50" spans="1:27" x14ac:dyDescent="0.2">
      <c r="A50" s="2">
        <f t="shared" si="10"/>
        <v>32</v>
      </c>
      <c r="B50" s="82" t="s">
        <v>174</v>
      </c>
      <c r="D50" s="79">
        <f ca="1">'Total Allocation - Union South'!D50-'Total Allo -  Gas Union South'!D50</f>
        <v>7420.9228572625634</v>
      </c>
      <c r="F50" s="79"/>
      <c r="H50" s="31"/>
      <c r="J50" s="79">
        <f t="shared" ca="1" si="12"/>
        <v>7420.9228572625634</v>
      </c>
      <c r="L50" s="2" t="s">
        <v>272</v>
      </c>
      <c r="N50" s="79">
        <f ca="1">'Total Allocation - Union South'!N50-'Total Allo -  Gas Union South'!N50</f>
        <v>0</v>
      </c>
      <c r="O50" s="79">
        <f ca="1">'Total Allocation - Union South'!O50-'Total Allo -  Gas Union South'!O50</f>
        <v>0</v>
      </c>
      <c r="P50" s="79">
        <f ca="1">'Total Allocation - Union South'!P50-'Total Allo -  Gas Union South'!P50</f>
        <v>4023.3919105640402</v>
      </c>
      <c r="Q50" s="79">
        <f ca="1">'Total Allocation - Union South'!Q50-'Total Allo -  Gas Union South'!Q50</f>
        <v>0</v>
      </c>
      <c r="R50" s="79">
        <f ca="1">'Total Allocation - Union South'!R50-'Total Allo -  Gas Union South'!R50</f>
        <v>125.17219277310348</v>
      </c>
      <c r="S50" s="79">
        <f ca="1">'Total Allocation - Union South'!S50-'Total Allo -  Gas Union South'!S50</f>
        <v>536.45225474187203</v>
      </c>
      <c r="T50" s="79">
        <f ca="1">'Total Allocation - Union South'!T50-'Total Allo -  Gas Union South'!T50</f>
        <v>1019.2592840095568</v>
      </c>
      <c r="U50" s="79">
        <f ca="1">'Total Allocation - Union South'!U50-'Total Allo -  Gas Union South'!U50</f>
        <v>71.526967298916276</v>
      </c>
      <c r="V50" s="79">
        <f ca="1">'Total Allocation - Union South'!V50-'Total Allo -  Gas Union South'!V50</f>
        <v>71.526967298916276</v>
      </c>
      <c r="W50" s="79">
        <f ca="1">'Total Allocation - Union South'!W50-'Total Allo -  Gas Union South'!W50</f>
        <v>822.56012393753713</v>
      </c>
      <c r="X50" s="79">
        <f ca="1">'Total Allocation - Union South'!X50-'Total Allo -  Gas Union South'!X50</f>
        <v>0</v>
      </c>
      <c r="Y50" s="79">
        <f ca="1">'Total Allocation - Union South'!Y50-'Total Allo -  Gas Union South'!Y50</f>
        <v>733.15141481389173</v>
      </c>
      <c r="Z50" s="79">
        <f ca="1">'Total Allocation - Union South'!Z50-'Total Allo -  Gas Union South'!Z50</f>
        <v>0</v>
      </c>
      <c r="AA50" s="79">
        <f ca="1">'Total Allocation - Union South'!AA50-'Total Allo -  Gas Union South'!AA50</f>
        <v>17.881741824729069</v>
      </c>
    </row>
    <row r="51" spans="1:27" x14ac:dyDescent="0.2">
      <c r="A51" s="2">
        <f t="shared" si="10"/>
        <v>33</v>
      </c>
      <c r="B51" s="31" t="s">
        <v>249</v>
      </c>
      <c r="D51" s="79">
        <f ca="1">'Total Allocation - Union South'!D51-'Total Allo -  Gas Union South'!D51</f>
        <v>0</v>
      </c>
      <c r="F51" s="79"/>
      <c r="H51" s="79"/>
      <c r="J51" s="79">
        <f t="shared" ca="1" si="12"/>
        <v>0</v>
      </c>
      <c r="L51" s="2" t="s">
        <v>336</v>
      </c>
      <c r="N51" s="79">
        <f ca="1">'Total Allocation - Union South'!N51-'Total Allo -  Gas Union South'!N51</f>
        <v>0</v>
      </c>
      <c r="O51" s="79">
        <f ca="1">'Total Allocation - Union South'!O51-'Total Allo -  Gas Union South'!O51</f>
        <v>0</v>
      </c>
      <c r="P51" s="79">
        <f ca="1">'Total Allocation - Union South'!P51-'Total Allo -  Gas Union South'!P51</f>
        <v>0</v>
      </c>
      <c r="Q51" s="79">
        <f ca="1">'Total Allocation - Union South'!Q51-'Total Allo -  Gas Union South'!Q51</f>
        <v>0</v>
      </c>
      <c r="R51" s="79">
        <f ca="1">'Total Allocation - Union South'!R51-'Total Allo -  Gas Union South'!R51</f>
        <v>0</v>
      </c>
      <c r="S51" s="79">
        <f ca="1">'Total Allocation - Union South'!S51-'Total Allo -  Gas Union South'!S51</f>
        <v>0</v>
      </c>
      <c r="T51" s="79">
        <f ca="1">'Total Allocation - Union South'!T51-'Total Allo -  Gas Union South'!T51</f>
        <v>0</v>
      </c>
      <c r="U51" s="79">
        <f ca="1">'Total Allocation - Union South'!U51-'Total Allo -  Gas Union South'!U51</f>
        <v>0</v>
      </c>
      <c r="V51" s="79">
        <f ca="1">'Total Allocation - Union South'!V51-'Total Allo -  Gas Union South'!V51</f>
        <v>0</v>
      </c>
      <c r="W51" s="79">
        <f ca="1">'Total Allocation - Union South'!W51-'Total Allo -  Gas Union South'!W51</f>
        <v>0</v>
      </c>
      <c r="X51" s="79">
        <f ca="1">'Total Allocation - Union South'!X51-'Total Allo -  Gas Union South'!X51</f>
        <v>0</v>
      </c>
      <c r="Y51" s="79">
        <f ca="1">'Total Allocation - Union South'!Y51-'Total Allo -  Gas Union South'!Y51</f>
        <v>0</v>
      </c>
      <c r="Z51" s="79">
        <f ca="1">'Total Allocation - Union South'!Z51-'Total Allo -  Gas Union South'!Z51</f>
        <v>0</v>
      </c>
      <c r="AA51" s="79">
        <f ca="1">'Total Allocation - Union South'!AA51-'Total Allo -  Gas Union South'!AA51</f>
        <v>0</v>
      </c>
    </row>
    <row r="52" spans="1:27" x14ac:dyDescent="0.2">
      <c r="A52" s="2">
        <f t="shared" si="10"/>
        <v>34</v>
      </c>
      <c r="B52" s="31" t="s">
        <v>382</v>
      </c>
      <c r="D52" s="41">
        <f ca="1">SUM(D37:D51)</f>
        <v>734837.88059902238</v>
      </c>
      <c r="F52" s="41">
        <f>SUM(F37:F51)</f>
        <v>3858.7118360375543</v>
      </c>
      <c r="H52" s="50"/>
      <c r="J52" s="41">
        <f ca="1">SUM(J37:J51)</f>
        <v>730979.16876298492</v>
      </c>
      <c r="L52" s="50"/>
      <c r="N52" s="41">
        <f t="shared" ref="N52:V52" ca="1" si="13">SUM(N37:N51)</f>
        <v>567467.12060956331</v>
      </c>
      <c r="O52" s="41">
        <f t="shared" ca="1" si="13"/>
        <v>66087.195052464303</v>
      </c>
      <c r="P52" s="41">
        <f t="shared" ca="1" si="13"/>
        <v>24981.417226467776</v>
      </c>
      <c r="Q52" s="41">
        <f t="shared" ca="1" si="13"/>
        <v>4.9750655326137956</v>
      </c>
      <c r="R52" s="41">
        <f t="shared" ca="1" si="13"/>
        <v>368.08944876801831</v>
      </c>
      <c r="S52" s="41">
        <f t="shared" ca="1" si="13"/>
        <v>1435.8566837521885</v>
      </c>
      <c r="T52" s="41">
        <f t="shared" ca="1" si="13"/>
        <v>20583.276553408923</v>
      </c>
      <c r="U52" s="41">
        <f t="shared" ca="1" si="13"/>
        <v>793.42448043274771</v>
      </c>
      <c r="V52" s="41">
        <f t="shared" ca="1" si="13"/>
        <v>854.97647555219498</v>
      </c>
      <c r="W52" s="41">
        <f ca="1">SUM(W37:W51)</f>
        <v>7526.7571641436089</v>
      </c>
      <c r="X52" s="41">
        <f ca="1">SUM(X37:X51)</f>
        <v>121.21999845653528</v>
      </c>
      <c r="Y52" s="41">
        <f ca="1">SUM(Y37:Y51)</f>
        <v>40617.00360412617</v>
      </c>
      <c r="Z52" s="41">
        <f ca="1">SUM(Z37:Z51)</f>
        <v>469.8813090515535</v>
      </c>
      <c r="AA52" s="41">
        <f ca="1">SUM(AA37:AA51)</f>
        <v>3526.6869273026155</v>
      </c>
    </row>
    <row r="53" spans="1:27" x14ac:dyDescent="0.2">
      <c r="D53" s="50"/>
      <c r="F53" s="50"/>
      <c r="H53" s="31"/>
      <c r="J53" s="2"/>
      <c r="L53" s="31"/>
      <c r="N53" s="2"/>
    </row>
    <row r="54" spans="1:27" ht="13.5" thickBot="1" x14ac:dyDescent="0.25">
      <c r="A54" s="2">
        <f>A52+1</f>
        <v>35</v>
      </c>
      <c r="B54" s="31" t="s">
        <v>149</v>
      </c>
      <c r="D54" s="83">
        <f ca="1">D52+D34+D24+D17</f>
        <v>894708.01385808841</v>
      </c>
      <c r="F54" s="83">
        <f>F17+F24+F34+F52</f>
        <v>12250.860723234095</v>
      </c>
      <c r="H54" s="50"/>
      <c r="J54" s="83">
        <f ca="1">J17+J24+J34+J52</f>
        <v>882457.15313485451</v>
      </c>
      <c r="L54" s="50"/>
      <c r="N54" s="83">
        <f t="shared" ref="N54:V54" ca="1" si="14">N17+N24+N34+N52</f>
        <v>634601.79348657303</v>
      </c>
      <c r="O54" s="83">
        <f t="shared" ca="1" si="14"/>
        <v>89371.491985600558</v>
      </c>
      <c r="P54" s="83">
        <f t="shared" ca="1" si="14"/>
        <v>32861.271956355195</v>
      </c>
      <c r="Q54" s="83">
        <f t="shared" ca="1" si="14"/>
        <v>6.6880191978617063</v>
      </c>
      <c r="R54" s="83">
        <f t="shared" ca="1" si="14"/>
        <v>438.44230811788026</v>
      </c>
      <c r="S54" s="83">
        <f t="shared" ca="1" si="14"/>
        <v>1438.7320772207706</v>
      </c>
      <c r="T54" s="83">
        <f t="shared" ca="1" si="14"/>
        <v>33173.467655846922</v>
      </c>
      <c r="U54" s="83">
        <f t="shared" ca="1" si="14"/>
        <v>910.25450849686479</v>
      </c>
      <c r="V54" s="83">
        <f t="shared" ca="1" si="14"/>
        <v>1655.6267303208538</v>
      </c>
      <c r="W54" s="83">
        <f ca="1">W17+W24+W34+W52</f>
        <v>10783.40111399842</v>
      </c>
      <c r="X54" s="83">
        <f ca="1">X17+X24+X34+X52</f>
        <v>121.21999845653528</v>
      </c>
      <c r="Y54" s="83">
        <f ca="1">Y17+Y24+Y34+Y52</f>
        <v>81207.383056786828</v>
      </c>
      <c r="Z54" s="83">
        <f ca="1">Z17+Z24+Z34+Z52</f>
        <v>469.8813090515535</v>
      </c>
      <c r="AA54" s="83">
        <f ca="1">AA17+AA24+AA34+AA52</f>
        <v>7668.3596520653591</v>
      </c>
    </row>
    <row r="55" spans="1:27" ht="13.5" thickTop="1" x14ac:dyDescent="0.2"/>
    <row r="57" spans="1:27" x14ac:dyDescent="0.2">
      <c r="D57" s="96"/>
      <c r="E57" s="96"/>
      <c r="F57" s="96"/>
      <c r="G57" s="96"/>
      <c r="H57" s="156"/>
      <c r="I57" s="96"/>
      <c r="J57" s="96"/>
      <c r="K57" s="96"/>
      <c r="L57" s="15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</row>
  </sheetData>
  <mergeCells count="2">
    <mergeCell ref="B2:L2"/>
    <mergeCell ref="B3:L3"/>
  </mergeCell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6379D-88D6-41D5-A793-BF89723921EE}">
  <sheetPr>
    <tabColor theme="0" tint="-0.249977111117893"/>
  </sheetPr>
  <dimension ref="A2:AA57"/>
  <sheetViews>
    <sheetView topLeftCell="A25" zoomScale="80" zoomScaleNormal="80" workbookViewId="0">
      <selection activeCell="AB8" sqref="AB8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21.42578125" style="2" customWidth="1"/>
    <col min="9" max="9" width="1.7109375" style="31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31" customWidth="1"/>
    <col min="14" max="14" width="10.7109375" style="31" customWidth="1"/>
    <col min="15" max="19" width="11.5703125" style="31" customWidth="1"/>
    <col min="20" max="20" width="11.28515625" style="31" customWidth="1"/>
    <col min="21" max="27" width="10.7109375" style="31" customWidth="1"/>
    <col min="28" max="16384" width="9.140625" style="31"/>
  </cols>
  <sheetData>
    <row r="2" spans="1:27" x14ac:dyDescent="0.2">
      <c r="B2" s="161" t="s">
        <v>511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</row>
    <row r="3" spans="1:27" x14ac:dyDescent="0.2">
      <c r="B3" s="161" t="s">
        <v>522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</row>
    <row r="5" spans="1:27" x14ac:dyDescent="0.2">
      <c r="D5" s="2" t="s">
        <v>150</v>
      </c>
    </row>
    <row r="6" spans="1:27" x14ac:dyDescent="0.2">
      <c r="A6" s="2" t="s">
        <v>2</v>
      </c>
      <c r="D6" s="2" t="s">
        <v>5</v>
      </c>
      <c r="F6" s="2" t="s">
        <v>167</v>
      </c>
      <c r="H6" s="2" t="s">
        <v>168</v>
      </c>
      <c r="I6" s="2"/>
      <c r="J6" s="2" t="s">
        <v>169</v>
      </c>
      <c r="L6" s="2" t="s">
        <v>104</v>
      </c>
      <c r="N6" s="2" t="s">
        <v>80</v>
      </c>
      <c r="O6" s="2" t="s">
        <v>80</v>
      </c>
      <c r="P6" s="2" t="s">
        <v>80</v>
      </c>
      <c r="Q6" s="2" t="s">
        <v>80</v>
      </c>
      <c r="R6" s="2" t="s">
        <v>80</v>
      </c>
      <c r="S6" s="2" t="s">
        <v>80</v>
      </c>
      <c r="T6" s="2" t="s">
        <v>80</v>
      </c>
      <c r="U6" s="2" t="s">
        <v>80</v>
      </c>
      <c r="V6" s="2" t="s">
        <v>80</v>
      </c>
      <c r="W6" s="2" t="s">
        <v>80</v>
      </c>
      <c r="X6" s="2" t="s">
        <v>80</v>
      </c>
      <c r="Y6" s="2" t="s">
        <v>80</v>
      </c>
      <c r="Z6" s="2" t="s">
        <v>80</v>
      </c>
      <c r="AA6" s="2" t="s">
        <v>80</v>
      </c>
    </row>
    <row r="7" spans="1:27" x14ac:dyDescent="0.2">
      <c r="A7" s="33" t="s">
        <v>4</v>
      </c>
      <c r="B7" s="80" t="s">
        <v>374</v>
      </c>
      <c r="D7" s="33" t="s">
        <v>152</v>
      </c>
      <c r="F7" s="33" t="s">
        <v>131</v>
      </c>
      <c r="H7" s="33" t="s">
        <v>6</v>
      </c>
      <c r="I7" s="2"/>
      <c r="J7" s="33" t="s">
        <v>170</v>
      </c>
      <c r="L7" s="33" t="s">
        <v>6</v>
      </c>
      <c r="N7" s="4" t="s">
        <v>471</v>
      </c>
      <c r="O7" s="4" t="s">
        <v>472</v>
      </c>
      <c r="P7" s="4" t="s">
        <v>473</v>
      </c>
      <c r="Q7" s="4" t="s">
        <v>474</v>
      </c>
      <c r="R7" s="4" t="s">
        <v>475</v>
      </c>
      <c r="S7" s="4" t="s">
        <v>476</v>
      </c>
      <c r="T7" s="4" t="s">
        <v>477</v>
      </c>
      <c r="U7" s="4" t="s">
        <v>478</v>
      </c>
      <c r="V7" s="4" t="s">
        <v>479</v>
      </c>
      <c r="W7" s="4" t="s">
        <v>480</v>
      </c>
      <c r="X7" s="4" t="s">
        <v>481</v>
      </c>
      <c r="Y7" s="4" t="s">
        <v>482</v>
      </c>
      <c r="Z7" s="4" t="s">
        <v>483</v>
      </c>
      <c r="AA7" s="4" t="s">
        <v>484</v>
      </c>
    </row>
    <row r="8" spans="1:27" x14ac:dyDescent="0.2">
      <c r="D8" s="120" t="s">
        <v>12</v>
      </c>
      <c r="F8" s="120" t="s">
        <v>13</v>
      </c>
      <c r="H8" s="120" t="s">
        <v>14</v>
      </c>
      <c r="J8" s="120" t="s">
        <v>366</v>
      </c>
      <c r="K8" s="74"/>
      <c r="L8" s="120" t="s">
        <v>15</v>
      </c>
      <c r="M8" s="40"/>
      <c r="N8" s="120" t="s">
        <v>16</v>
      </c>
      <c r="O8" s="120" t="s">
        <v>59</v>
      </c>
      <c r="P8" s="120" t="s">
        <v>61</v>
      </c>
      <c r="Q8" s="120" t="s">
        <v>62</v>
      </c>
      <c r="R8" s="120" t="s">
        <v>82</v>
      </c>
      <c r="S8" s="120" t="s">
        <v>143</v>
      </c>
      <c r="T8" s="120" t="s">
        <v>144</v>
      </c>
      <c r="U8" s="120" t="s">
        <v>145</v>
      </c>
      <c r="V8" s="120" t="s">
        <v>184</v>
      </c>
      <c r="W8" s="2" t="s">
        <v>193</v>
      </c>
      <c r="X8" s="120" t="s">
        <v>369</v>
      </c>
      <c r="Y8" s="120" t="s">
        <v>370</v>
      </c>
      <c r="Z8" s="120" t="s">
        <v>371</v>
      </c>
      <c r="AA8" s="120" t="s">
        <v>372</v>
      </c>
    </row>
    <row r="10" spans="1:27" x14ac:dyDescent="0.2">
      <c r="B10" s="77" t="s">
        <v>384</v>
      </c>
    </row>
    <row r="11" spans="1:27" x14ac:dyDescent="0.2">
      <c r="A11" s="2">
        <v>1</v>
      </c>
      <c r="B11" s="31" t="s">
        <v>132</v>
      </c>
      <c r="D11" s="79">
        <f ca="1">'Total Allocation RZ - Gas'!Q11</f>
        <v>611891.81566697138</v>
      </c>
      <c r="J11" s="79">
        <f ca="1">D11-F11</f>
        <v>611891.81566697138</v>
      </c>
      <c r="L11" s="2" t="s">
        <v>221</v>
      </c>
      <c r="N11" s="79">
        <f ca="1">IF($J11&lt;&gt;0,VLOOKUP($L11,'Allocation Factors-Union South'!$B$12:$T$116,5,FALSE)*$J11,0)+IF($F11&lt;&gt;0,VLOOKUP($H11,'Allocation Factors-Union South'!$B$12:$T$116,5,FALSE)*$F11,0)</f>
        <v>485345.30977189832</v>
      </c>
      <c r="O11" s="79">
        <f ca="1">IF($J11&lt;&gt;0,VLOOKUP($L11,'Allocation Factors-Union South'!$B$12:$T$116,6,FALSE)*$J11,0)+IF($F11&lt;&gt;0,VLOOKUP($H11,'Allocation Factors-Union South'!$B$12:$T$116,6,FALSE)*$F11,0)</f>
        <v>108743.32522762477</v>
      </c>
      <c r="P11" s="79">
        <f ca="1">IF($J11&lt;&gt;0,VLOOKUP($L11,'Allocation Factors-Union South'!$B$12:$T$116,7,FALSE)*$J11,0)+IF($F11&lt;&gt;0,VLOOKUP($H11,'Allocation Factors-Union South'!$B$12:$T$116,7,FALSE)*$F11,0)</f>
        <v>9357.4367874859236</v>
      </c>
      <c r="Q11" s="79">
        <f ca="1">IF($J11&lt;&gt;0,VLOOKUP($L11,'Allocation Factors-Union South'!$B$12:$T$116,8,FALSE)*$J11,0)+IF($F11&lt;&gt;0,VLOOKUP($H11,'Allocation Factors-Union South'!$B$12:$T$116,8,FALSE)*$F11,0)</f>
        <v>0</v>
      </c>
      <c r="R11" s="79">
        <f ca="1">IF($J11&lt;&gt;0,VLOOKUP($L11,'Allocation Factors-Union South'!$B$12:$T$116,9,FALSE)*$J11,0)+IF($F11&lt;&gt;0,VLOOKUP($H11,'Allocation Factors-Union South'!$B$12:$T$116,9,FALSE)*$F11,0)</f>
        <v>47.880603648362523</v>
      </c>
      <c r="S11" s="79">
        <f ca="1">IF($J11&lt;&gt;0,VLOOKUP($L11,'Allocation Factors-Union South'!$B$12:$T$116,10,FALSE)*$J11,0)+IF($F11&lt;&gt;0,VLOOKUP($H11,'Allocation Factors-Union South'!$B$12:$T$116,10,FALSE)*$F11,0)</f>
        <v>293.2353536817597</v>
      </c>
      <c r="T11" s="79">
        <f ca="1">IF($J11&lt;&gt;0,VLOOKUP($L11,'Allocation Factors-Union South'!$B$12:$T$116,11,FALSE)*$J11,0)+IF($F11&lt;&gt;0,VLOOKUP($H11,'Allocation Factors-Union South'!$B$12:$T$116,11,FALSE)*$F11,0)</f>
        <v>5272.0376210196946</v>
      </c>
      <c r="U11" s="79">
        <f ca="1">IF($J11&lt;&gt;0,VLOOKUP($L11,'Allocation Factors-Union South'!$B$12:$T$116,12,FALSE)*$J11,0)+IF($F11&lt;&gt;0,VLOOKUP($H11,'Allocation Factors-Union South'!$B$12:$T$116,12,FALSE)*$F11,0)</f>
        <v>342.70065823462335</v>
      </c>
      <c r="V11" s="79">
        <f ca="1">IF($J11&lt;&gt;0,VLOOKUP($L11,'Allocation Factors-Union South'!$B$12:$T$116,13,FALSE)*$J11,0)+IF($F11&lt;&gt;0,VLOOKUP($H11,'Allocation Factors-Union South'!$B$12:$T$116,13,FALSE)*$F11,0)</f>
        <v>2489.8896433778154</v>
      </c>
      <c r="W11" s="79">
        <f ca="1">IF($J11&lt;&gt;0,VLOOKUP($L11,'Allocation Factors-Union South'!$B$12:$T$116,14,FALSE)*$J11,0)+IF($F11&lt;&gt;0,VLOOKUP($H11,'Allocation Factors-Union South'!$B$12:$T$116,14,FALSE)*$F11,0)</f>
        <v>0</v>
      </c>
      <c r="X11" s="79">
        <f ca="1">IF($J11&lt;&gt;0,VLOOKUP($L11,'Allocation Factors-Union South'!$B$12:$T$116,15,FALSE)*$J11,0)+IF($F11&lt;&gt;0,VLOOKUP($H11,'Allocation Factors-Union South'!$B$12:$T$116,15,FALSE)*$F11,0)</f>
        <v>0</v>
      </c>
      <c r="Y11" s="79">
        <f ca="1">IF($J11&lt;&gt;0,VLOOKUP($L11,'Allocation Factors-Union South'!$B$12:$T$116,16,FALSE)*$J11,0)+IF($F11&lt;&gt;0,VLOOKUP($H11,'Allocation Factors-Union South'!$B$12:$T$116,16,FALSE)*$F11,0)</f>
        <v>0</v>
      </c>
      <c r="Z11" s="79">
        <f ca="1">IF($J11&lt;&gt;0,VLOOKUP($L11,'Allocation Factors-Union South'!$B$12:$T$116,17,FALSE)*$J11,0)+IF($F11&lt;&gt;0,VLOOKUP($H11,'Allocation Factors-Union South'!$B$12:$T$116,17,FALSE)*$F11,0)</f>
        <v>0</v>
      </c>
      <c r="AA11" s="79">
        <f ca="1">IF($J11&lt;&gt;0,VLOOKUP($L11,'Allocation Factors-Union South'!$B$12:$T$116,18,FALSE)*$J11,0)+IF($F11&lt;&gt;0,VLOOKUP($H11,'Allocation Factors-Union South'!$B$12:$T$116,18,FALSE)*$F11,0)</f>
        <v>0</v>
      </c>
    </row>
    <row r="12" spans="1:27" x14ac:dyDescent="0.2">
      <c r="A12" s="2">
        <f>A11+1</f>
        <v>2</v>
      </c>
      <c r="B12" s="31" t="s">
        <v>385</v>
      </c>
      <c r="D12" s="79">
        <f ca="1">'Total Allocation RZ - Gas'!Q12</f>
        <v>0</v>
      </c>
      <c r="F12" s="50"/>
      <c r="J12" s="79">
        <f t="shared" ref="J12:J16" ca="1" si="0">D12-F12</f>
        <v>0</v>
      </c>
      <c r="L12" s="2" t="s">
        <v>263</v>
      </c>
      <c r="N12" s="79">
        <f ca="1">IF($J12&lt;&gt;0,VLOOKUP($L12,'Allocation Factors-Union South'!$B$12:$T$116,5,FALSE)*$J12,0)+IF($F12&lt;&gt;0,VLOOKUP($H12,'Allocation Factors-Union South'!$B$12:$T$116,5,FALSE)*$F12,0)</f>
        <v>0</v>
      </c>
      <c r="O12" s="79">
        <f ca="1">IF($J12&lt;&gt;0,VLOOKUP($L12,'Allocation Factors-Union South'!$B$12:$T$116,6,FALSE)*$J12,0)+IF($F12&lt;&gt;0,VLOOKUP($H12,'Allocation Factors-Union South'!$B$12:$T$116,6,FALSE)*$F12,0)</f>
        <v>0</v>
      </c>
      <c r="P12" s="79">
        <f ca="1">IF($J12&lt;&gt;0,VLOOKUP($L12,'Allocation Factors-Union South'!$B$12:$T$116,7,FALSE)*$J12,0)+IF($F12&lt;&gt;0,VLOOKUP($H12,'Allocation Factors-Union South'!$B$12:$T$116,7,FALSE)*$F12,0)</f>
        <v>0</v>
      </c>
      <c r="Q12" s="79">
        <f ca="1">IF($J12&lt;&gt;0,VLOOKUP($L12,'Allocation Factors-Union South'!$B$12:$T$116,8,FALSE)*$J12,0)+IF($F12&lt;&gt;0,VLOOKUP($H12,'Allocation Factors-Union South'!$B$12:$T$116,8,FALSE)*$F12,0)</f>
        <v>0</v>
      </c>
      <c r="R12" s="79">
        <f ca="1">IF($J12&lt;&gt;0,VLOOKUP($L12,'Allocation Factors-Union South'!$B$12:$T$116,9,FALSE)*$J12,0)+IF($F12&lt;&gt;0,VLOOKUP($H12,'Allocation Factors-Union South'!$B$12:$T$116,9,FALSE)*$F12,0)</f>
        <v>0</v>
      </c>
      <c r="S12" s="79">
        <f ca="1">IF($J12&lt;&gt;0,VLOOKUP($L12,'Allocation Factors-Union South'!$B$12:$T$116,10,FALSE)*$J12,0)+IF($F12&lt;&gt;0,VLOOKUP($H12,'Allocation Factors-Union South'!$B$12:$T$116,10,FALSE)*$F12,0)</f>
        <v>0</v>
      </c>
      <c r="T12" s="79">
        <f ca="1">IF($J12&lt;&gt;0,VLOOKUP($L12,'Allocation Factors-Union South'!$B$12:$T$116,11,FALSE)*$J12,0)+IF($F12&lt;&gt;0,VLOOKUP($H12,'Allocation Factors-Union South'!$B$12:$T$116,11,FALSE)*$F12,0)</f>
        <v>0</v>
      </c>
      <c r="U12" s="79">
        <f ca="1">IF($J12&lt;&gt;0,VLOOKUP($L12,'Allocation Factors-Union South'!$B$12:$T$116,12,FALSE)*$J12,0)+IF($F12&lt;&gt;0,VLOOKUP($H12,'Allocation Factors-Union South'!$B$12:$T$116,12,FALSE)*$F12,0)</f>
        <v>0</v>
      </c>
      <c r="V12" s="79">
        <f ca="1">IF($J12&lt;&gt;0,VLOOKUP($L12,'Allocation Factors-Union South'!$B$12:$T$116,13,FALSE)*$J12,0)+IF($F12&lt;&gt;0,VLOOKUP($H12,'Allocation Factors-Union South'!$B$12:$T$116,13,FALSE)*$F12,0)</f>
        <v>0</v>
      </c>
      <c r="W12" s="79">
        <f ca="1">IF($J12&lt;&gt;0,VLOOKUP($L12,'Allocation Factors-Union South'!$B$12:$T$116,14,FALSE)*$J12,0)+IF($F12&lt;&gt;0,VLOOKUP($H12,'Allocation Factors-Union South'!$B$12:$T$116,14,FALSE)*$F12,0)</f>
        <v>0</v>
      </c>
      <c r="X12" s="79">
        <f ca="1">IF($J12&lt;&gt;0,VLOOKUP($L12,'Allocation Factors-Union South'!$B$12:$T$116,15,FALSE)*$J12,0)+IF($F12&lt;&gt;0,VLOOKUP($H12,'Allocation Factors-Union South'!$B$12:$T$116,15,FALSE)*$F12,0)</f>
        <v>0</v>
      </c>
      <c r="Y12" s="79">
        <f ca="1">IF($J12&lt;&gt;0,VLOOKUP($L12,'Allocation Factors-Union South'!$B$12:$T$116,16,FALSE)*$J12,0)+IF($F12&lt;&gt;0,VLOOKUP($H12,'Allocation Factors-Union South'!$B$12:$T$116,16,FALSE)*$F12,0)</f>
        <v>0</v>
      </c>
      <c r="Z12" s="79">
        <f ca="1">IF($J12&lt;&gt;0,VLOOKUP($L12,'Allocation Factors-Union South'!$B$12:$T$116,17,FALSE)*$J12,0)+IF($F12&lt;&gt;0,VLOOKUP($H12,'Allocation Factors-Union South'!$B$12:$T$116,17,FALSE)*$F12,0)</f>
        <v>0</v>
      </c>
      <c r="AA12" s="79">
        <f ca="1">IF($J12&lt;&gt;0,VLOOKUP($L12,'Allocation Factors-Union South'!$B$12:$T$116,18,FALSE)*$J12,0)+IF($F12&lt;&gt;0,VLOOKUP($H12,'Allocation Factors-Union South'!$B$12:$T$116,18,FALSE)*$F12,0)</f>
        <v>0</v>
      </c>
    </row>
    <row r="13" spans="1:27" x14ac:dyDescent="0.2">
      <c r="A13" s="2">
        <f t="shared" ref="A13:A17" si="1">A12+1</f>
        <v>3</v>
      </c>
      <c r="B13" s="31" t="s">
        <v>386</v>
      </c>
      <c r="D13" s="79">
        <f ca="1">'Total Allocation RZ - Gas'!Q13</f>
        <v>13768.135913821732</v>
      </c>
      <c r="J13" s="79">
        <f t="shared" ca="1" si="0"/>
        <v>13768.135913821732</v>
      </c>
      <c r="L13" s="2" t="s">
        <v>156</v>
      </c>
      <c r="N13" s="79">
        <f ca="1">IF($J13&lt;&gt;0,VLOOKUP($L13,'Allocation Factors-Union South'!$B$12:$T$116,5,FALSE)*$J13,0)+IF($F13&lt;&gt;0,VLOOKUP($H13,'Allocation Factors-Union South'!$B$12:$T$116,5,FALSE)*$F13,0)</f>
        <v>6846.6072742215192</v>
      </c>
      <c r="O13" s="79">
        <f ca="1">IF($J13&lt;&gt;0,VLOOKUP($L13,'Allocation Factors-Union South'!$B$12:$T$116,6,FALSE)*$J13,0)+IF($F13&lt;&gt;0,VLOOKUP($H13,'Allocation Factors-Union South'!$B$12:$T$116,6,FALSE)*$F13,0)</f>
        <v>2439.6200482069385</v>
      </c>
      <c r="P13" s="79">
        <f ca="1">IF($J13&lt;&gt;0,VLOOKUP($L13,'Allocation Factors-Union South'!$B$12:$T$116,7,FALSE)*$J13,0)+IF($F13&lt;&gt;0,VLOOKUP($H13,'Allocation Factors-Union South'!$B$12:$T$116,7,FALSE)*$F13,0)</f>
        <v>764.74211673861646</v>
      </c>
      <c r="Q13" s="79">
        <f ca="1">IF($J13&lt;&gt;0,VLOOKUP($L13,'Allocation Factors-Union South'!$B$12:$T$116,8,FALSE)*$J13,0)+IF($F13&lt;&gt;0,VLOOKUP($H13,'Allocation Factors-Union South'!$B$12:$T$116,8,FALSE)*$F13,0)</f>
        <v>0</v>
      </c>
      <c r="R13" s="79">
        <f ca="1">IF($J13&lt;&gt;0,VLOOKUP($L13,'Allocation Factors-Union South'!$B$12:$T$116,9,FALSE)*$J13,0)+IF($F13&lt;&gt;0,VLOOKUP($H13,'Allocation Factors-Union South'!$B$12:$T$116,9,FALSE)*$F13,0)</f>
        <v>7.4012466108219641</v>
      </c>
      <c r="S13" s="79">
        <f ca="1">IF($J13&lt;&gt;0,VLOOKUP($L13,'Allocation Factors-Union South'!$B$12:$T$116,10,FALSE)*$J13,0)+IF($F13&lt;&gt;0,VLOOKUP($H13,'Allocation Factors-Union South'!$B$12:$T$116,10,FALSE)*$F13,0)</f>
        <v>0</v>
      </c>
      <c r="T13" s="79">
        <f ca="1">IF($J13&lt;&gt;0,VLOOKUP($L13,'Allocation Factors-Union South'!$B$12:$T$116,11,FALSE)*$J13,0)+IF($F13&lt;&gt;0,VLOOKUP($H13,'Allocation Factors-Union South'!$B$12:$T$116,11,FALSE)*$F13,0)</f>
        <v>1269.9679285216212</v>
      </c>
      <c r="U13" s="79">
        <f ca="1">IF($J13&lt;&gt;0,VLOOKUP($L13,'Allocation Factors-Union South'!$B$12:$T$116,12,FALSE)*$J13,0)+IF($F13&lt;&gt;0,VLOOKUP($H13,'Allocation Factors-Union South'!$B$12:$T$116,12,FALSE)*$F13,0)</f>
        <v>0</v>
      </c>
      <c r="V13" s="79">
        <f ca="1">IF($J13&lt;&gt;0,VLOOKUP($L13,'Allocation Factors-Union South'!$B$12:$T$116,13,FALSE)*$J13,0)+IF($F13&lt;&gt;0,VLOOKUP($H13,'Allocation Factors-Union South'!$B$12:$T$116,13,FALSE)*$F13,0)</f>
        <v>76.825542983791195</v>
      </c>
      <c r="W13" s="79">
        <f ca="1">IF($J13&lt;&gt;0,VLOOKUP($L13,'Allocation Factors-Union South'!$B$12:$T$116,14,FALSE)*$J13,0)+IF($F13&lt;&gt;0,VLOOKUP($H13,'Allocation Factors-Union South'!$B$12:$T$116,14,FALSE)*$F13,0)</f>
        <v>267.32377066792333</v>
      </c>
      <c r="X13" s="79">
        <f ca="1">IF($J13&lt;&gt;0,VLOOKUP($L13,'Allocation Factors-Union South'!$B$12:$T$116,15,FALSE)*$J13,0)+IF($F13&lt;&gt;0,VLOOKUP($H13,'Allocation Factors-Union South'!$B$12:$T$116,15,FALSE)*$F13,0)</f>
        <v>0</v>
      </c>
      <c r="Y13" s="79">
        <f ca="1">IF($J13&lt;&gt;0,VLOOKUP($L13,'Allocation Factors-Union South'!$B$12:$T$116,16,FALSE)*$J13,0)+IF($F13&lt;&gt;0,VLOOKUP($H13,'Allocation Factors-Union South'!$B$12:$T$116,16,FALSE)*$F13,0)</f>
        <v>1667.611294190224</v>
      </c>
      <c r="Z13" s="79">
        <f ca="1">IF($J13&lt;&gt;0,VLOOKUP($L13,'Allocation Factors-Union South'!$B$12:$T$116,17,FALSE)*$J13,0)+IF($F13&lt;&gt;0,VLOOKUP($H13,'Allocation Factors-Union South'!$B$12:$T$116,17,FALSE)*$F13,0)</f>
        <v>0</v>
      </c>
      <c r="AA13" s="79">
        <f ca="1">IF($J13&lt;&gt;0,VLOOKUP($L13,'Allocation Factors-Union South'!$B$12:$T$116,18,FALSE)*$J13,0)+IF($F13&lt;&gt;0,VLOOKUP($H13,'Allocation Factors-Union South'!$B$12:$T$116,18,FALSE)*$F13,0)</f>
        <v>428.03669168027881</v>
      </c>
    </row>
    <row r="14" spans="1:27" x14ac:dyDescent="0.2">
      <c r="A14" s="2">
        <f t="shared" si="1"/>
        <v>4</v>
      </c>
      <c r="B14" s="31" t="s">
        <v>115</v>
      </c>
      <c r="D14" s="79">
        <f ca="1">'Total Allocation RZ - Gas'!Q14</f>
        <v>1143.5864065573767</v>
      </c>
      <c r="F14" s="50"/>
      <c r="J14" s="79">
        <f t="shared" ca="1" si="0"/>
        <v>1143.5864065573767</v>
      </c>
      <c r="L14" s="2" t="s">
        <v>262</v>
      </c>
      <c r="N14" s="79">
        <f ca="1">IF($J14&lt;&gt;0,VLOOKUP($L14,'Allocation Factors-Union South'!$B$12:$T$116,5,FALSE)*$J14,0)+IF($F14&lt;&gt;0,VLOOKUP($H14,'Allocation Factors-Union South'!$B$12:$T$116,5,FALSE)*$F14,0)</f>
        <v>315.98948893156694</v>
      </c>
      <c r="O14" s="79">
        <f ca="1">IF($J14&lt;&gt;0,VLOOKUP($L14,'Allocation Factors-Union South'!$B$12:$T$116,6,FALSE)*$J14,0)+IF($F14&lt;&gt;0,VLOOKUP($H14,'Allocation Factors-Union South'!$B$12:$T$116,6,FALSE)*$F14,0)</f>
        <v>127.9978403323812</v>
      </c>
      <c r="P14" s="79">
        <f ca="1">IF($J14&lt;&gt;0,VLOOKUP($L14,'Allocation Factors-Union South'!$B$12:$T$116,7,FALSE)*$J14,0)+IF($F14&lt;&gt;0,VLOOKUP($H14,'Allocation Factors-Union South'!$B$12:$T$116,7,FALSE)*$F14,0)</f>
        <v>57.529527840901075</v>
      </c>
      <c r="Q14" s="79">
        <f ca="1">IF($J14&lt;&gt;0,VLOOKUP($L14,'Allocation Factors-Union South'!$B$12:$T$116,8,FALSE)*$J14,0)+IF($F14&lt;&gt;0,VLOOKUP($H14,'Allocation Factors-Union South'!$B$12:$T$116,8,FALSE)*$F14,0)</f>
        <v>2.3064633581733648E-2</v>
      </c>
      <c r="R14" s="79">
        <f ca="1">IF($J14&lt;&gt;0,VLOOKUP($L14,'Allocation Factors-Union South'!$B$12:$T$116,9,FALSE)*$J14,0)+IF($F14&lt;&gt;0,VLOOKUP($H14,'Allocation Factors-Union South'!$B$12:$T$116,9,FALSE)*$F14,0)</f>
        <v>0.4269572965614673</v>
      </c>
      <c r="S14" s="79">
        <f ca="1">IF($J14&lt;&gt;0,VLOOKUP($L14,'Allocation Factors-Union South'!$B$12:$T$116,10,FALSE)*$J14,0)+IF($F14&lt;&gt;0,VLOOKUP($H14,'Allocation Factors-Union South'!$B$12:$T$116,10,FALSE)*$F14,0)</f>
        <v>5.3382796217103596</v>
      </c>
      <c r="T14" s="79">
        <f ca="1">IF($J14&lt;&gt;0,VLOOKUP($L14,'Allocation Factors-Union South'!$B$12:$T$116,11,FALSE)*$J14,0)+IF($F14&lt;&gt;0,VLOOKUP($H14,'Allocation Factors-Union South'!$B$12:$T$116,11,FALSE)*$F14,0)</f>
        <v>69.165674559382126</v>
      </c>
      <c r="U14" s="79">
        <f ca="1">IF($J14&lt;&gt;0,VLOOKUP($L14,'Allocation Factors-Union South'!$B$12:$T$116,12,FALSE)*$J14,0)+IF($F14&lt;&gt;0,VLOOKUP($H14,'Allocation Factors-Union South'!$B$12:$T$116,12,FALSE)*$F14,0)</f>
        <v>7.3647841716260674</v>
      </c>
      <c r="V14" s="79">
        <f ca="1">IF($J14&lt;&gt;0,VLOOKUP($L14,'Allocation Factors-Union South'!$B$12:$T$116,13,FALSE)*$J14,0)+IF($F14&lt;&gt;0,VLOOKUP($H14,'Allocation Factors-Union South'!$B$12:$T$116,13,FALSE)*$F14,0)</f>
        <v>8.7286824244953873</v>
      </c>
      <c r="W14" s="79">
        <f ca="1">IF($J14&lt;&gt;0,VLOOKUP($L14,'Allocation Factors-Union South'!$B$12:$T$116,14,FALSE)*$J14,0)+IF($F14&lt;&gt;0,VLOOKUP($H14,'Allocation Factors-Union South'!$B$12:$T$116,14,FALSE)*$F14,0)</f>
        <v>38.157242354217622</v>
      </c>
      <c r="X14" s="79">
        <f ca="1">IF($J14&lt;&gt;0,VLOOKUP($L14,'Allocation Factors-Union South'!$B$12:$T$116,15,FALSE)*$J14,0)+IF($F14&lt;&gt;0,VLOOKUP($H14,'Allocation Factors-Union South'!$B$12:$T$116,15,FALSE)*$F14,0)</f>
        <v>3.6374265164997732</v>
      </c>
      <c r="Y14" s="79">
        <f ca="1">IF($J14&lt;&gt;0,VLOOKUP($L14,'Allocation Factors-Union South'!$B$12:$T$116,16,FALSE)*$J14,0)+IF($F14&lt;&gt;0,VLOOKUP($H14,'Allocation Factors-Union South'!$B$12:$T$116,16,FALSE)*$F14,0)</f>
        <v>481.03135132490092</v>
      </c>
      <c r="Z14" s="79">
        <f ca="1">IF($J14&lt;&gt;0,VLOOKUP($L14,'Allocation Factors-Union South'!$B$12:$T$116,17,FALSE)*$J14,0)+IF($F14&lt;&gt;0,VLOOKUP($H14,'Allocation Factors-Union South'!$B$12:$T$116,17,FALSE)*$F14,0)</f>
        <v>4.0470224873559362</v>
      </c>
      <c r="AA14" s="79">
        <f ca="1">IF($J14&lt;&gt;0,VLOOKUP($L14,'Allocation Factors-Union South'!$B$12:$T$116,18,FALSE)*$J14,0)+IF($F14&lt;&gt;0,VLOOKUP($H14,'Allocation Factors-Union South'!$B$12:$T$116,18,FALSE)*$F14,0)</f>
        <v>24.149064062196274</v>
      </c>
    </row>
    <row r="15" spans="1:27" x14ac:dyDescent="0.2">
      <c r="A15" s="2">
        <f t="shared" si="1"/>
        <v>5</v>
      </c>
      <c r="B15" s="31" t="s">
        <v>133</v>
      </c>
      <c r="D15" s="79">
        <f ca="1">'Total Allocation RZ - Gas'!Q15</f>
        <v>121.83135768851581</v>
      </c>
      <c r="J15" s="79">
        <f t="shared" ca="1" si="0"/>
        <v>121.83135768851581</v>
      </c>
      <c r="L15" s="2" t="s">
        <v>264</v>
      </c>
      <c r="N15" s="79">
        <f ca="1">IF($J15&lt;&gt;0,VLOOKUP($L15,'Allocation Factors-Union South'!$B$12:$T$116,5,FALSE)*$J15,0)+IF($F15&lt;&gt;0,VLOOKUP($H15,'Allocation Factors-Union South'!$B$12:$T$116,5,FALSE)*$F15,0)</f>
        <v>33.663768851297121</v>
      </c>
      <c r="O15" s="79">
        <f ca="1">IF($J15&lt;&gt;0,VLOOKUP($L15,'Allocation Factors-Union South'!$B$12:$T$116,6,FALSE)*$J15,0)+IF($F15&lt;&gt;0,VLOOKUP($H15,'Allocation Factors-Union South'!$B$12:$T$116,6,FALSE)*$F15,0)</f>
        <v>13.636180510256411</v>
      </c>
      <c r="P15" s="79">
        <f ca="1">IF($J15&lt;&gt;0,VLOOKUP($L15,'Allocation Factors-Union South'!$B$12:$T$116,7,FALSE)*$J15,0)+IF($F15&lt;&gt;0,VLOOKUP($H15,'Allocation Factors-Union South'!$B$12:$T$116,7,FALSE)*$F15,0)</f>
        <v>6.1288770519191997</v>
      </c>
      <c r="Q15" s="79">
        <f ca="1">IF($J15&lt;&gt;0,VLOOKUP($L15,'Allocation Factors-Union South'!$B$12:$T$116,8,FALSE)*$J15,0)+IF($F15&lt;&gt;0,VLOOKUP($H15,'Allocation Factors-Union South'!$B$12:$T$116,8,FALSE)*$F15,0)</f>
        <v>2.4571782313414204E-3</v>
      </c>
      <c r="R15" s="79">
        <f ca="1">IF($J15&lt;&gt;0,VLOOKUP($L15,'Allocation Factors-Union South'!$B$12:$T$116,9,FALSE)*$J15,0)+IF($F15&lt;&gt;0,VLOOKUP($H15,'Allocation Factors-Union South'!$B$12:$T$116,9,FALSE)*$F15,0)</f>
        <v>4.548566406249252E-2</v>
      </c>
      <c r="S15" s="79">
        <f ca="1">IF($J15&lt;&gt;0,VLOOKUP($L15,'Allocation Factors-Union South'!$B$12:$T$116,10,FALSE)*$J15,0)+IF($F15&lt;&gt;0,VLOOKUP($H15,'Allocation Factors-Union South'!$B$12:$T$116,10,FALSE)*$F15,0)</f>
        <v>0.56871072470314366</v>
      </c>
      <c r="T15" s="79">
        <f ca="1">IF($J15&lt;&gt;0,VLOOKUP($L15,'Allocation Factors-Union South'!$B$12:$T$116,11,FALSE)*$J15,0)+IF($F15&lt;&gt;0,VLOOKUP($H15,'Allocation Factors-Union South'!$B$12:$T$116,11,FALSE)*$F15,0)</f>
        <v>7.3685276326243017</v>
      </c>
      <c r="U15" s="79">
        <f ca="1">IF($J15&lt;&gt;0,VLOOKUP($L15,'Allocation Factors-Union South'!$B$12:$T$116,12,FALSE)*$J15,0)+IF($F15&lt;&gt;0,VLOOKUP($H15,'Allocation Factors-Union South'!$B$12:$T$116,12,FALSE)*$F15,0)</f>
        <v>0.7846032880131798</v>
      </c>
      <c r="V15" s="79">
        <f ca="1">IF($J15&lt;&gt;0,VLOOKUP($L15,'Allocation Factors-Union South'!$B$12:$T$116,13,FALSE)*$J15,0)+IF($F15&lt;&gt;0,VLOOKUP($H15,'Allocation Factors-Union South'!$B$12:$T$116,13,FALSE)*$F15,0)</f>
        <v>0.92990544877974968</v>
      </c>
      <c r="W15" s="79">
        <f ca="1">IF($J15&lt;&gt;0,VLOOKUP($L15,'Allocation Factors-Union South'!$B$12:$T$116,14,FALSE)*$J15,0)+IF($F15&lt;&gt;0,VLOOKUP($H15,'Allocation Factors-Union South'!$B$12:$T$116,14,FALSE)*$F15,0)</f>
        <v>4.0650611226295927</v>
      </c>
      <c r="X15" s="79">
        <f ca="1">IF($J15&lt;&gt;0,VLOOKUP($L15,'Allocation Factors-Union South'!$B$12:$T$116,15,FALSE)*$J15,0)+IF($F15&lt;&gt;0,VLOOKUP($H15,'Allocation Factors-Union South'!$B$12:$T$116,15,FALSE)*$F15,0)</f>
        <v>0.38751126146333892</v>
      </c>
      <c r="Y15" s="79">
        <f ca="1">IF($J15&lt;&gt;0,VLOOKUP($L15,'Allocation Factors-Union South'!$B$12:$T$116,16,FALSE)*$J15,0)+IF($F15&lt;&gt;0,VLOOKUP($H15,'Allocation Factors-Union South'!$B$12:$T$116,16,FALSE)*$F15,0)</f>
        <v>51.246414163907559</v>
      </c>
      <c r="Z15" s="79">
        <f ca="1">IF($J15&lt;&gt;0,VLOOKUP($L15,'Allocation Factors-Union South'!$B$12:$T$116,17,FALSE)*$J15,0)+IF($F15&lt;&gt;0,VLOOKUP($H15,'Allocation Factors-Union South'!$B$12:$T$116,17,FALSE)*$F15,0)</f>
        <v>0.43114734610636529</v>
      </c>
      <c r="AA15" s="79">
        <f ca="1">IF($J15&lt;&gt;0,VLOOKUP($L15,'Allocation Factors-Union South'!$B$12:$T$116,18,FALSE)*$J15,0)+IF($F15&lt;&gt;0,VLOOKUP($H15,'Allocation Factors-Union South'!$B$12:$T$116,18,FALSE)*$F15,0)</f>
        <v>2.5727074445219911</v>
      </c>
    </row>
    <row r="16" spans="1:27" x14ac:dyDescent="0.2">
      <c r="A16" s="2">
        <f t="shared" si="1"/>
        <v>6</v>
      </c>
      <c r="B16" s="31" t="s">
        <v>135</v>
      </c>
      <c r="D16" s="79">
        <f ca="1">'Total Allocation RZ - Gas'!Q16</f>
        <v>0</v>
      </c>
      <c r="J16" s="79">
        <f t="shared" ca="1" si="0"/>
        <v>0</v>
      </c>
      <c r="L16" s="2" t="s">
        <v>221</v>
      </c>
      <c r="N16" s="79">
        <f ca="1">IF($J16&lt;&gt;0,VLOOKUP($L16,'Allocation Factors-Union South'!$B$12:$T$116,5,FALSE)*$J16,0)+IF($F16&lt;&gt;0,VLOOKUP($H16,'Allocation Factors-Union South'!$B$12:$T$116,5,FALSE)*$F16,0)</f>
        <v>0</v>
      </c>
      <c r="O16" s="79">
        <f ca="1">IF($J16&lt;&gt;0,VLOOKUP($L16,'Allocation Factors-Union South'!$B$12:$T$116,6,FALSE)*$J16,0)+IF($F16&lt;&gt;0,VLOOKUP($H16,'Allocation Factors-Union South'!$B$12:$T$116,6,FALSE)*$F16,0)</f>
        <v>0</v>
      </c>
      <c r="P16" s="79">
        <f ca="1">IF($J16&lt;&gt;0,VLOOKUP($L16,'Allocation Factors-Union South'!$B$12:$T$116,7,FALSE)*$J16,0)+IF($F16&lt;&gt;0,VLOOKUP($H16,'Allocation Factors-Union South'!$B$12:$T$116,7,FALSE)*$F16,0)</f>
        <v>0</v>
      </c>
      <c r="Q16" s="79">
        <f ca="1">IF($J16&lt;&gt;0,VLOOKUP($L16,'Allocation Factors-Union South'!$B$12:$T$116,8,FALSE)*$J16,0)+IF($F16&lt;&gt;0,VLOOKUP($H16,'Allocation Factors-Union South'!$B$12:$T$116,8,FALSE)*$F16,0)</f>
        <v>0</v>
      </c>
      <c r="R16" s="79">
        <f ca="1">IF($J16&lt;&gt;0,VLOOKUP($L16,'Allocation Factors-Union South'!$B$12:$T$116,9,FALSE)*$J16,0)+IF($F16&lt;&gt;0,VLOOKUP($H16,'Allocation Factors-Union South'!$B$12:$T$116,9,FALSE)*$F16,0)</f>
        <v>0</v>
      </c>
      <c r="S16" s="79">
        <f ca="1">IF($J16&lt;&gt;0,VLOOKUP($L16,'Allocation Factors-Union South'!$B$12:$T$116,10,FALSE)*$J16,0)+IF($F16&lt;&gt;0,VLOOKUP($H16,'Allocation Factors-Union South'!$B$12:$T$116,10,FALSE)*$F16,0)</f>
        <v>0</v>
      </c>
      <c r="T16" s="79">
        <f ca="1">IF($J16&lt;&gt;0,VLOOKUP($L16,'Allocation Factors-Union South'!$B$12:$T$116,11,FALSE)*$J16,0)+IF($F16&lt;&gt;0,VLOOKUP($H16,'Allocation Factors-Union South'!$B$12:$T$116,11,FALSE)*$F16,0)</f>
        <v>0</v>
      </c>
      <c r="U16" s="79">
        <f ca="1">IF($J16&lt;&gt;0,VLOOKUP($L16,'Allocation Factors-Union South'!$B$12:$T$116,12,FALSE)*$J16,0)+IF($F16&lt;&gt;0,VLOOKUP($H16,'Allocation Factors-Union South'!$B$12:$T$116,12,FALSE)*$F16,0)</f>
        <v>0</v>
      </c>
      <c r="V16" s="79">
        <f ca="1">IF($J16&lt;&gt;0,VLOOKUP($L16,'Allocation Factors-Union South'!$B$12:$T$116,13,FALSE)*$J16,0)+IF($F16&lt;&gt;0,VLOOKUP($H16,'Allocation Factors-Union South'!$B$12:$T$116,13,FALSE)*$F16,0)</f>
        <v>0</v>
      </c>
      <c r="W16" s="79">
        <f ca="1">IF($J16&lt;&gt;0,VLOOKUP($L16,'Allocation Factors-Union South'!$B$12:$T$116,14,FALSE)*$J16,0)+IF($F16&lt;&gt;0,VLOOKUP($H16,'Allocation Factors-Union South'!$B$12:$T$116,14,FALSE)*$F16,0)</f>
        <v>0</v>
      </c>
      <c r="X16" s="79">
        <f ca="1">IF($J16&lt;&gt;0,VLOOKUP($L16,'Allocation Factors-Union South'!$B$12:$T$116,15,FALSE)*$J16,0)+IF($F16&lt;&gt;0,VLOOKUP($H16,'Allocation Factors-Union South'!$B$12:$T$116,15,FALSE)*$F16,0)</f>
        <v>0</v>
      </c>
      <c r="Y16" s="79">
        <f ca="1">IF($J16&lt;&gt;0,VLOOKUP($L16,'Allocation Factors-Union South'!$B$12:$T$116,16,FALSE)*$J16,0)+IF($F16&lt;&gt;0,VLOOKUP($H16,'Allocation Factors-Union South'!$B$12:$T$116,16,FALSE)*$F16,0)</f>
        <v>0</v>
      </c>
      <c r="Z16" s="79">
        <f ca="1">IF($J16&lt;&gt;0,VLOOKUP($L16,'Allocation Factors-Union South'!$B$12:$T$116,17,FALSE)*$J16,0)+IF($F16&lt;&gt;0,VLOOKUP($H16,'Allocation Factors-Union South'!$B$12:$T$116,17,FALSE)*$F16,0)</f>
        <v>0</v>
      </c>
      <c r="AA16" s="79">
        <f ca="1">IF($J16&lt;&gt;0,VLOOKUP($L16,'Allocation Factors-Union South'!$B$12:$T$116,18,FALSE)*$J16,0)+IF($F16&lt;&gt;0,VLOOKUP($H16,'Allocation Factors-Union South'!$B$12:$T$116,18,FALSE)*$F16,0)</f>
        <v>0</v>
      </c>
    </row>
    <row r="17" spans="1:27" x14ac:dyDescent="0.2">
      <c r="A17" s="2">
        <f t="shared" si="1"/>
        <v>7</v>
      </c>
      <c r="B17" s="31" t="s">
        <v>383</v>
      </c>
      <c r="D17" s="41">
        <f ca="1">SUM(D11:D16)</f>
        <v>626925.36934503901</v>
      </c>
      <c r="F17" s="81">
        <f>SUM(F11:F16)</f>
        <v>0</v>
      </c>
      <c r="J17" s="41">
        <f ca="1">SUM(J11:J16)</f>
        <v>626925.36934503901</v>
      </c>
      <c r="N17" s="41">
        <f t="shared" ref="N17:V17" ca="1" si="2">SUM(N11:N16)</f>
        <v>492541.57030390273</v>
      </c>
      <c r="O17" s="41">
        <f t="shared" ca="1" si="2"/>
        <v>111324.57929667433</v>
      </c>
      <c r="P17" s="41">
        <f t="shared" ca="1" si="2"/>
        <v>10185.83730911736</v>
      </c>
      <c r="Q17" s="41">
        <f t="shared" ca="1" si="2"/>
        <v>2.5521811813075067E-2</v>
      </c>
      <c r="R17" s="41">
        <f t="shared" ca="1" si="2"/>
        <v>55.754293219808446</v>
      </c>
      <c r="S17" s="41">
        <f t="shared" ca="1" si="2"/>
        <v>299.14234402817317</v>
      </c>
      <c r="T17" s="41">
        <f t="shared" ca="1" si="2"/>
        <v>6618.5397517333222</v>
      </c>
      <c r="U17" s="41">
        <f t="shared" ca="1" si="2"/>
        <v>350.85004569426258</v>
      </c>
      <c r="V17" s="41">
        <f t="shared" ca="1" si="2"/>
        <v>2576.3737742348817</v>
      </c>
      <c r="W17" s="41">
        <f ca="1">SUM(W11:W16)</f>
        <v>309.5460741447705</v>
      </c>
      <c r="X17" s="41">
        <f ca="1">SUM(X11:X16)</f>
        <v>4.0249377779631121</v>
      </c>
      <c r="Y17" s="41">
        <f ca="1">SUM(Y11:Y16)</f>
        <v>2199.8890596790325</v>
      </c>
      <c r="Z17" s="41">
        <f ca="1">SUM(Z11:Z16)</f>
        <v>4.4781698334623012</v>
      </c>
      <c r="AA17" s="41">
        <f ca="1">SUM(AA11:AA16)</f>
        <v>454.75846318699706</v>
      </c>
    </row>
    <row r="18" spans="1:27" x14ac:dyDescent="0.2"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</row>
    <row r="19" spans="1:27" x14ac:dyDescent="0.2">
      <c r="B19" s="77" t="s">
        <v>97</v>
      </c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</row>
    <row r="20" spans="1:27" x14ac:dyDescent="0.2">
      <c r="A20" s="2">
        <f>A17+1</f>
        <v>8</v>
      </c>
      <c r="B20" s="31" t="s">
        <v>89</v>
      </c>
      <c r="D20" s="79">
        <f ca="1">'Total Allocation RZ - Gas'!Q20</f>
        <v>3503.197872702051</v>
      </c>
      <c r="J20" s="79">
        <f t="shared" ref="J20:J23" ca="1" si="3">D20-F20</f>
        <v>3503.197872702051</v>
      </c>
      <c r="L20" s="2" t="s">
        <v>156</v>
      </c>
      <c r="N20" s="79">
        <f ca="1">IF($J20&lt;&gt;0,VLOOKUP($L20,'Allocation Factors-Union South'!$B$12:$T$116,5,FALSE)*$J20,0)+IF($F20&lt;&gt;0,VLOOKUP($H20,'Allocation Factors-Union South'!$B$12:$T$116,5,FALSE)*$F20,0)</f>
        <v>1742.0673494514842</v>
      </c>
      <c r="O20" s="79">
        <f ca="1">IF($J20&lt;&gt;0,VLOOKUP($L20,'Allocation Factors-Union South'!$B$12:$T$116,6,FALSE)*$J20,0)+IF($F20&lt;&gt;0,VLOOKUP($H20,'Allocation Factors-Union South'!$B$12:$T$116,6,FALSE)*$F20,0)</f>
        <v>620.74283814267699</v>
      </c>
      <c r="P20" s="79">
        <f ca="1">IF($J20&lt;&gt;0,VLOOKUP($L20,'Allocation Factors-Union South'!$B$12:$T$116,7,FALSE)*$J20,0)+IF($F20&lt;&gt;0,VLOOKUP($H20,'Allocation Factors-Union South'!$B$12:$T$116,7,FALSE)*$F20,0)</f>
        <v>194.58283774166645</v>
      </c>
      <c r="Q20" s="79">
        <f ca="1">IF($J20&lt;&gt;0,VLOOKUP($L20,'Allocation Factors-Union South'!$B$12:$T$116,8,FALSE)*$J20,0)+IF($F20&lt;&gt;0,VLOOKUP($H20,'Allocation Factors-Union South'!$B$12:$T$116,8,FALSE)*$F20,0)</f>
        <v>0</v>
      </c>
      <c r="R20" s="79">
        <f ca="1">IF($J20&lt;&gt;0,VLOOKUP($L20,'Allocation Factors-Union South'!$B$12:$T$116,9,FALSE)*$J20,0)+IF($F20&lt;&gt;0,VLOOKUP($H20,'Allocation Factors-Union South'!$B$12:$T$116,9,FALSE)*$F20,0)</f>
        <v>1.8831911265740633</v>
      </c>
      <c r="S20" s="79">
        <f ca="1">IF($J20&lt;&gt;0,VLOOKUP($L20,'Allocation Factors-Union South'!$B$12:$T$116,10,FALSE)*$J20,0)+IF($F20&lt;&gt;0,VLOOKUP($H20,'Allocation Factors-Union South'!$B$12:$T$116,10,FALSE)*$F20,0)</f>
        <v>0</v>
      </c>
      <c r="T20" s="79">
        <f ca="1">IF($J20&lt;&gt;0,VLOOKUP($L20,'Allocation Factors-Union South'!$B$12:$T$116,11,FALSE)*$J20,0)+IF($F20&lt;&gt;0,VLOOKUP($H20,'Allocation Factors-Union South'!$B$12:$T$116,11,FALSE)*$F20,0)</f>
        <v>323.13371784269691</v>
      </c>
      <c r="U20" s="79">
        <f ca="1">IF($J20&lt;&gt;0,VLOOKUP($L20,'Allocation Factors-Union South'!$B$12:$T$116,12,FALSE)*$J20,0)+IF($F20&lt;&gt;0,VLOOKUP($H20,'Allocation Factors-Union South'!$B$12:$T$116,12,FALSE)*$F20,0)</f>
        <v>0</v>
      </c>
      <c r="V20" s="79">
        <f ca="1">IF($J20&lt;&gt;0,VLOOKUP($L20,'Allocation Factors-Union South'!$B$12:$T$116,13,FALSE)*$J20,0)+IF($F20&lt;&gt;0,VLOOKUP($H20,'Allocation Factors-Union South'!$B$12:$T$116,13,FALSE)*$F20,0)</f>
        <v>19.547677364211268</v>
      </c>
      <c r="W20" s="79">
        <f ca="1">IF($J20&lt;&gt;0,VLOOKUP($L20,'Allocation Factors-Union South'!$B$12:$T$116,14,FALSE)*$J20,0)+IF($F20&lt;&gt;0,VLOOKUP($H20,'Allocation Factors-Union South'!$B$12:$T$116,14,FALSE)*$F20,0)</f>
        <v>68.018508139974585</v>
      </c>
      <c r="X20" s="79">
        <f ca="1">IF($J20&lt;&gt;0,VLOOKUP($L20,'Allocation Factors-Union South'!$B$12:$T$116,15,FALSE)*$J20,0)+IF($F20&lt;&gt;0,VLOOKUP($H20,'Allocation Factors-Union South'!$B$12:$T$116,15,FALSE)*$F20,0)</f>
        <v>0</v>
      </c>
      <c r="Y20" s="79">
        <f ca="1">IF($J20&lt;&gt;0,VLOOKUP($L20,'Allocation Factors-Union South'!$B$12:$T$116,16,FALSE)*$J20,0)+IF($F20&lt;&gt;0,VLOOKUP($H20,'Allocation Factors-Union South'!$B$12:$T$116,16,FALSE)*$F20,0)</f>
        <v>424.31105959931682</v>
      </c>
      <c r="Z20" s="79">
        <f ca="1">IF($J20&lt;&gt;0,VLOOKUP($L20,'Allocation Factors-Union South'!$B$12:$T$116,17,FALSE)*$J20,0)+IF($F20&lt;&gt;0,VLOOKUP($H20,'Allocation Factors-Union South'!$B$12:$T$116,17,FALSE)*$F20,0)</f>
        <v>0</v>
      </c>
      <c r="AA20" s="79">
        <f ca="1">IF($J20&lt;&gt;0,VLOOKUP($L20,'Allocation Factors-Union South'!$B$12:$T$116,18,FALSE)*$J20,0)+IF($F20&lt;&gt;0,VLOOKUP($H20,'Allocation Factors-Union South'!$B$12:$T$116,18,FALSE)*$F20,0)</f>
        <v>108.91069329345027</v>
      </c>
    </row>
    <row r="21" spans="1:27" x14ac:dyDescent="0.2">
      <c r="A21" s="2">
        <f>A20+1</f>
        <v>9</v>
      </c>
      <c r="B21" s="31" t="s">
        <v>90</v>
      </c>
      <c r="D21" s="79">
        <f ca="1">'Total Allocation RZ - Gas'!Q21</f>
        <v>1018.2099838133259</v>
      </c>
      <c r="F21" s="79"/>
      <c r="J21" s="79">
        <f t="shared" ca="1" si="3"/>
        <v>1018.2099838133259</v>
      </c>
      <c r="L21" s="2" t="s">
        <v>157</v>
      </c>
      <c r="N21" s="79">
        <f ca="1">IF($J21&lt;&gt;0,VLOOKUP($L21,'Allocation Factors-Union South'!$B$12:$T$116,5,FALSE)*$J21,0)+IF($F21&lt;&gt;0,VLOOKUP($H21,'Allocation Factors-Union South'!$B$12:$T$116,5,FALSE)*$F21,0)</f>
        <v>563.10115240515711</v>
      </c>
      <c r="O21" s="79">
        <f ca="1">IF($J21&lt;&gt;0,VLOOKUP($L21,'Allocation Factors-Union South'!$B$12:$T$116,6,FALSE)*$J21,0)+IF($F21&lt;&gt;0,VLOOKUP($H21,'Allocation Factors-Union South'!$B$12:$T$116,6,FALSE)*$F21,0)</f>
        <v>169.37716394319278</v>
      </c>
      <c r="P21" s="79">
        <f ca="1">IF($J21&lt;&gt;0,VLOOKUP($L21,'Allocation Factors-Union South'!$B$12:$T$116,7,FALSE)*$J21,0)+IF($F21&lt;&gt;0,VLOOKUP($H21,'Allocation Factors-Union South'!$B$12:$T$116,7,FALSE)*$F21,0)</f>
        <v>34.777510470389274</v>
      </c>
      <c r="Q21" s="79">
        <f ca="1">IF($J21&lt;&gt;0,VLOOKUP($L21,'Allocation Factors-Union South'!$B$12:$T$116,8,FALSE)*$J21,0)+IF($F21&lt;&gt;0,VLOOKUP($H21,'Allocation Factors-Union South'!$B$12:$T$116,8,FALSE)*$F21,0)</f>
        <v>7.4912283559910364E-2</v>
      </c>
      <c r="R21" s="79">
        <f ca="1">IF($J21&lt;&gt;0,VLOOKUP($L21,'Allocation Factors-Union South'!$B$12:$T$116,9,FALSE)*$J21,0)+IF($F21&lt;&gt;0,VLOOKUP($H21,'Allocation Factors-Union South'!$B$12:$T$116,9,FALSE)*$F21,0)</f>
        <v>0.13797569066787904</v>
      </c>
      <c r="S21" s="79">
        <f ca="1">IF($J21&lt;&gt;0,VLOOKUP($L21,'Allocation Factors-Union South'!$B$12:$T$116,10,FALSE)*$J21,0)+IF($F21&lt;&gt;0,VLOOKUP($H21,'Allocation Factors-Union South'!$B$12:$T$116,10,FALSE)*$F21,0)</f>
        <v>0</v>
      </c>
      <c r="T21" s="79">
        <f ca="1">IF($J21&lt;&gt;0,VLOOKUP($L21,'Allocation Factors-Union South'!$B$12:$T$116,11,FALSE)*$J21,0)+IF($F21&lt;&gt;0,VLOOKUP($H21,'Allocation Factors-Union South'!$B$12:$T$116,11,FALSE)*$F21,0)</f>
        <v>47.783143295251044</v>
      </c>
      <c r="U21" s="79">
        <f ca="1">IF($J21&lt;&gt;0,VLOOKUP($L21,'Allocation Factors-Union South'!$B$12:$T$116,12,FALSE)*$J21,0)+IF($F21&lt;&gt;0,VLOOKUP($H21,'Allocation Factors-Union South'!$B$12:$T$116,12,FALSE)*$F21,0)</f>
        <v>4.9646111563988597</v>
      </c>
      <c r="V21" s="79">
        <f ca="1">IF($J21&lt;&gt;0,VLOOKUP($L21,'Allocation Factors-Union South'!$B$12:$T$116,13,FALSE)*$J21,0)+IF($F21&lt;&gt;0,VLOOKUP($H21,'Allocation Factors-Union South'!$B$12:$T$116,13,FALSE)*$F21,0)</f>
        <v>4.8403237608051617</v>
      </c>
      <c r="W21" s="79">
        <f ca="1">IF($J21&lt;&gt;0,VLOOKUP($L21,'Allocation Factors-Union South'!$B$12:$T$116,14,FALSE)*$J21,0)+IF($F21&lt;&gt;0,VLOOKUP($H21,'Allocation Factors-Union South'!$B$12:$T$116,14,FALSE)*$F21,0)</f>
        <v>20.346147580038881</v>
      </c>
      <c r="X21" s="79">
        <f ca="1">IF($J21&lt;&gt;0,VLOOKUP($L21,'Allocation Factors-Union South'!$B$12:$T$116,15,FALSE)*$J21,0)+IF($F21&lt;&gt;0,VLOOKUP($H21,'Allocation Factors-Union South'!$B$12:$T$116,15,FALSE)*$F21,0)</f>
        <v>0</v>
      </c>
      <c r="Y21" s="79">
        <f ca="1">IF($J21&lt;&gt;0,VLOOKUP($L21,'Allocation Factors-Union South'!$B$12:$T$116,16,FALSE)*$J21,0)+IF($F21&lt;&gt;0,VLOOKUP($H21,'Allocation Factors-Union South'!$B$12:$T$116,16,FALSE)*$F21,0)</f>
        <v>128.86928177046394</v>
      </c>
      <c r="Z21" s="79">
        <f ca="1">IF($J21&lt;&gt;0,VLOOKUP($L21,'Allocation Factors-Union South'!$B$12:$T$116,17,FALSE)*$J21,0)+IF($F21&lt;&gt;0,VLOOKUP($H21,'Allocation Factors-Union South'!$B$12:$T$116,17,FALSE)*$F21,0)</f>
        <v>0</v>
      </c>
      <c r="AA21" s="79">
        <f ca="1">IF($J21&lt;&gt;0,VLOOKUP($L21,'Allocation Factors-Union South'!$B$12:$T$116,18,FALSE)*$J21,0)+IF($F21&lt;&gt;0,VLOOKUP($H21,'Allocation Factors-Union South'!$B$12:$T$116,18,FALSE)*$F21,0)</f>
        <v>43.937761457401322</v>
      </c>
    </row>
    <row r="22" spans="1:27" x14ac:dyDescent="0.2">
      <c r="A22" s="2">
        <f t="shared" ref="A22:A24" si="4">A21+1</f>
        <v>10</v>
      </c>
      <c r="B22" s="31" t="s">
        <v>345</v>
      </c>
      <c r="D22" s="79">
        <f ca="1">'Total Allocation RZ - Gas'!Q22</f>
        <v>0</v>
      </c>
      <c r="J22" s="79">
        <f t="shared" ca="1" si="3"/>
        <v>0</v>
      </c>
      <c r="L22" s="2" t="s">
        <v>346</v>
      </c>
      <c r="N22" s="79">
        <f ca="1">IF($J22&lt;&gt;0,VLOOKUP($L22,'Allocation Factors-Union South'!$B$12:$T$116,5,FALSE)*$J22,0)+IF($F22&lt;&gt;0,VLOOKUP($H22,'Allocation Factors-Union South'!$B$12:$T$116,5,FALSE)*$F22,0)</f>
        <v>0</v>
      </c>
      <c r="O22" s="79">
        <f ca="1">IF($J22&lt;&gt;0,VLOOKUP($L22,'Allocation Factors-Union South'!$B$12:$T$116,6,FALSE)*$J22,0)+IF($F22&lt;&gt;0,VLOOKUP($H22,'Allocation Factors-Union South'!$B$12:$T$116,6,FALSE)*$F22,0)</f>
        <v>0</v>
      </c>
      <c r="P22" s="79">
        <f ca="1">IF($J22&lt;&gt;0,VLOOKUP($L22,'Allocation Factors-Union South'!$B$12:$T$116,7,FALSE)*$J22,0)+IF($F22&lt;&gt;0,VLOOKUP($H22,'Allocation Factors-Union South'!$B$12:$T$116,7,FALSE)*$F22,0)</f>
        <v>0</v>
      </c>
      <c r="Q22" s="79">
        <f ca="1">IF($J22&lt;&gt;0,VLOOKUP($L22,'Allocation Factors-Union South'!$B$12:$T$116,8,FALSE)*$J22,0)+IF($F22&lt;&gt;0,VLOOKUP($H22,'Allocation Factors-Union South'!$B$12:$T$116,8,FALSE)*$F22,0)</f>
        <v>0</v>
      </c>
      <c r="R22" s="79">
        <f ca="1">IF($J22&lt;&gt;0,VLOOKUP($L22,'Allocation Factors-Union South'!$B$12:$T$116,9,FALSE)*$J22,0)+IF($F22&lt;&gt;0,VLOOKUP($H22,'Allocation Factors-Union South'!$B$12:$T$116,9,FALSE)*$F22,0)</f>
        <v>0</v>
      </c>
      <c r="S22" s="79">
        <f ca="1">IF($J22&lt;&gt;0,VLOOKUP($L22,'Allocation Factors-Union South'!$B$12:$T$116,10,FALSE)*$J22,0)+IF($F22&lt;&gt;0,VLOOKUP($H22,'Allocation Factors-Union South'!$B$12:$T$116,10,FALSE)*$F22,0)</f>
        <v>0</v>
      </c>
      <c r="T22" s="79">
        <f ca="1">IF($J22&lt;&gt;0,VLOOKUP($L22,'Allocation Factors-Union South'!$B$12:$T$116,11,FALSE)*$J22,0)+IF($F22&lt;&gt;0,VLOOKUP($H22,'Allocation Factors-Union South'!$B$12:$T$116,11,FALSE)*$F22,0)</f>
        <v>0</v>
      </c>
      <c r="U22" s="79">
        <f ca="1">IF($J22&lt;&gt;0,VLOOKUP($L22,'Allocation Factors-Union South'!$B$12:$T$116,12,FALSE)*$J22,0)+IF($F22&lt;&gt;0,VLOOKUP($H22,'Allocation Factors-Union South'!$B$12:$T$116,12,FALSE)*$F22,0)</f>
        <v>0</v>
      </c>
      <c r="V22" s="79">
        <f ca="1">IF($J22&lt;&gt;0,VLOOKUP($L22,'Allocation Factors-Union South'!$B$12:$T$116,13,FALSE)*$J22,0)+IF($F22&lt;&gt;0,VLOOKUP($H22,'Allocation Factors-Union South'!$B$12:$T$116,13,FALSE)*$F22,0)</f>
        <v>0</v>
      </c>
      <c r="W22" s="79">
        <f ca="1">IF($J22&lt;&gt;0,VLOOKUP($L22,'Allocation Factors-Union South'!$B$12:$T$116,14,FALSE)*$J22,0)+IF($F22&lt;&gt;0,VLOOKUP($H22,'Allocation Factors-Union South'!$B$12:$T$116,14,FALSE)*$F22,0)</f>
        <v>0</v>
      </c>
      <c r="X22" s="79">
        <f ca="1">IF($J22&lt;&gt;0,VLOOKUP($L22,'Allocation Factors-Union South'!$B$12:$T$116,15,FALSE)*$J22,0)+IF($F22&lt;&gt;0,VLOOKUP($H22,'Allocation Factors-Union South'!$B$12:$T$116,15,FALSE)*$F22,0)</f>
        <v>0</v>
      </c>
      <c r="Y22" s="79">
        <f ca="1">IF($J22&lt;&gt;0,VLOOKUP($L22,'Allocation Factors-Union South'!$B$12:$T$116,16,FALSE)*$J22,0)+IF($F22&lt;&gt;0,VLOOKUP($H22,'Allocation Factors-Union South'!$B$12:$T$116,16,FALSE)*$F22,0)</f>
        <v>0</v>
      </c>
      <c r="Z22" s="79">
        <f ca="1">IF($J22&lt;&gt;0,VLOOKUP($L22,'Allocation Factors-Union South'!$B$12:$T$116,17,FALSE)*$J22,0)+IF($F22&lt;&gt;0,VLOOKUP($H22,'Allocation Factors-Union South'!$B$12:$T$116,17,FALSE)*$F22,0)</f>
        <v>0</v>
      </c>
      <c r="AA22" s="79">
        <f ca="1">IF($J22&lt;&gt;0,VLOOKUP($L22,'Allocation Factors-Union South'!$B$12:$T$116,18,FALSE)*$J22,0)+IF($F22&lt;&gt;0,VLOOKUP($H22,'Allocation Factors-Union South'!$B$12:$T$116,18,FALSE)*$F22,0)</f>
        <v>0</v>
      </c>
    </row>
    <row r="23" spans="1:27" x14ac:dyDescent="0.2">
      <c r="A23" s="2">
        <f t="shared" si="4"/>
        <v>11</v>
      </c>
      <c r="B23" s="31" t="s">
        <v>91</v>
      </c>
      <c r="D23" s="79">
        <f ca="1">'Total Allocation RZ - Gas'!Q23</f>
        <v>5254.2287199364273</v>
      </c>
      <c r="J23" s="79">
        <f t="shared" ca="1" si="3"/>
        <v>5254.2287199364273</v>
      </c>
      <c r="L23" s="2" t="s">
        <v>334</v>
      </c>
      <c r="N23" s="79">
        <f ca="1">IF($J23&lt;&gt;0,VLOOKUP($L23,'Allocation Factors-Union South'!$B$12:$T$116,5,FALSE)*$J23,0)+IF($F23&lt;&gt;0,VLOOKUP($H23,'Allocation Factors-Union South'!$B$12:$T$116,5,FALSE)*$F23,0)</f>
        <v>2169.9622353559271</v>
      </c>
      <c r="O23" s="79">
        <f ca="1">IF($J23&lt;&gt;0,VLOOKUP($L23,'Allocation Factors-Union South'!$B$12:$T$116,6,FALSE)*$J23,0)+IF($F23&lt;&gt;0,VLOOKUP($H23,'Allocation Factors-Union South'!$B$12:$T$116,6,FALSE)*$F23,0)</f>
        <v>878.98645194662379</v>
      </c>
      <c r="P23" s="79">
        <f ca="1">IF($J23&lt;&gt;0,VLOOKUP($L23,'Allocation Factors-Union South'!$B$12:$T$116,7,FALSE)*$J23,0)+IF($F23&lt;&gt;0,VLOOKUP($H23,'Allocation Factors-Union South'!$B$12:$T$116,7,FALSE)*$F23,0)</f>
        <v>395.06663102850359</v>
      </c>
      <c r="Q23" s="79">
        <f ca="1">IF($J23&lt;&gt;0,VLOOKUP($L23,'Allocation Factors-Union South'!$B$12:$T$116,8,FALSE)*$J23,0)+IF($F23&lt;&gt;0,VLOOKUP($H23,'Allocation Factors-Union South'!$B$12:$T$116,8,FALSE)*$F23,0)</f>
        <v>0.15838939457737222</v>
      </c>
      <c r="R23" s="79">
        <f ca="1">IF($J23&lt;&gt;0,VLOOKUP($L23,'Allocation Factors-Union South'!$B$12:$T$116,9,FALSE)*$J23,0)+IF($F23&lt;&gt;0,VLOOKUP($H23,'Allocation Factors-Union South'!$B$12:$T$116,9,FALSE)*$F23,0)</f>
        <v>2.9320000889291955</v>
      </c>
      <c r="S23" s="79">
        <f ca="1">IF($J23&lt;&gt;0,VLOOKUP($L23,'Allocation Factors-Union South'!$B$12:$T$116,10,FALSE)*$J23,0)+IF($F23&lt;&gt;0,VLOOKUP($H23,'Allocation Factors-Union South'!$B$12:$T$116,10,FALSE)*$F23,0)</f>
        <v>36.659020589733274</v>
      </c>
      <c r="T23" s="79">
        <f ca="1">IF($J23&lt;&gt;0,VLOOKUP($L23,'Allocation Factors-Union South'!$B$12:$T$116,11,FALSE)*$J23,0)+IF($F23&lt;&gt;0,VLOOKUP($H23,'Allocation Factors-Union South'!$B$12:$T$116,11,FALSE)*$F23,0)</f>
        <v>474.97434893880705</v>
      </c>
      <c r="U23" s="79">
        <f ca="1">IF($J23&lt;&gt;0,VLOOKUP($L23,'Allocation Factors-Union South'!$B$12:$T$116,12,FALSE)*$J23,0)+IF($F23&lt;&gt;0,VLOOKUP($H23,'Allocation Factors-Union South'!$B$12:$T$116,12,FALSE)*$F23,0)</f>
        <v>50.575427613152939</v>
      </c>
      <c r="V23" s="79">
        <f ca="1">IF($J23&lt;&gt;0,VLOOKUP($L23,'Allocation Factors-Union South'!$B$12:$T$116,13,FALSE)*$J23,0)+IF($F23&lt;&gt;0,VLOOKUP($H23,'Allocation Factors-Union South'!$B$12:$T$116,13,FALSE)*$F23,0)</f>
        <v>59.941586315461244</v>
      </c>
      <c r="W23" s="79">
        <f ca="1">IF($J23&lt;&gt;0,VLOOKUP($L23,'Allocation Factors-Union South'!$B$12:$T$116,14,FALSE)*$J23,0)+IF($F23&lt;&gt;0,VLOOKUP($H23,'Allocation Factors-Union South'!$B$12:$T$116,14,FALSE)*$F23,0)</f>
        <v>87.213189076900605</v>
      </c>
      <c r="X23" s="79">
        <f ca="1">IF($J23&lt;&gt;0,VLOOKUP($L23,'Allocation Factors-Union South'!$B$12:$T$116,15,FALSE)*$J23,0)+IF($F23&lt;&gt;0,VLOOKUP($H23,'Allocation Factors-Union South'!$B$12:$T$116,15,FALSE)*$F23,0)</f>
        <v>0</v>
      </c>
      <c r="Y23" s="79">
        <f ca="1">IF($J23&lt;&gt;0,VLOOKUP($L23,'Allocation Factors-Union South'!$B$12:$T$116,16,FALSE)*$J23,0)+IF($F23&lt;&gt;0,VLOOKUP($H23,'Allocation Factors-Union South'!$B$12:$T$116,16,FALSE)*$F23,0)</f>
        <v>910.09303431914532</v>
      </c>
      <c r="Z23" s="79">
        <f ca="1">IF($J23&lt;&gt;0,VLOOKUP($L23,'Allocation Factors-Union South'!$B$12:$T$116,17,FALSE)*$J23,0)+IF($F23&lt;&gt;0,VLOOKUP($H23,'Allocation Factors-Union South'!$B$12:$T$116,17,FALSE)*$F23,0)</f>
        <v>0</v>
      </c>
      <c r="AA23" s="79">
        <f ca="1">IF($J23&lt;&gt;0,VLOOKUP($L23,'Allocation Factors-Union South'!$B$12:$T$116,18,FALSE)*$J23,0)+IF($F23&lt;&gt;0,VLOOKUP($H23,'Allocation Factors-Union South'!$B$12:$T$116,18,FALSE)*$F23,0)</f>
        <v>187.66640526866527</v>
      </c>
    </row>
    <row r="24" spans="1:27" x14ac:dyDescent="0.2">
      <c r="A24" s="2">
        <f t="shared" si="4"/>
        <v>12</v>
      </c>
      <c r="B24" s="31" t="s">
        <v>96</v>
      </c>
      <c r="D24" s="41">
        <f ca="1">SUM(D20:D23)</f>
        <v>9775.636576451805</v>
      </c>
      <c r="F24" s="41">
        <f>SUM(F20:F23)</f>
        <v>0</v>
      </c>
      <c r="H24" s="122"/>
      <c r="J24" s="41">
        <f ca="1">SUM(J20:J23)</f>
        <v>9775.636576451805</v>
      </c>
      <c r="N24" s="41">
        <f t="shared" ref="N24:V24" ca="1" si="5">SUM(N20:N23)</f>
        <v>4475.1307372125684</v>
      </c>
      <c r="O24" s="41">
        <f t="shared" ca="1" si="5"/>
        <v>1669.1064540324937</v>
      </c>
      <c r="P24" s="41">
        <f t="shared" ca="1" si="5"/>
        <v>624.42697924055938</v>
      </c>
      <c r="Q24" s="41">
        <f t="shared" ca="1" si="5"/>
        <v>0.23330167813728259</v>
      </c>
      <c r="R24" s="41">
        <f t="shared" ca="1" si="5"/>
        <v>4.9531669061711376</v>
      </c>
      <c r="S24" s="41">
        <f t="shared" ca="1" si="5"/>
        <v>36.659020589733274</v>
      </c>
      <c r="T24" s="41">
        <f t="shared" ca="1" si="5"/>
        <v>845.89121007675499</v>
      </c>
      <c r="U24" s="41">
        <f t="shared" ca="1" si="5"/>
        <v>55.540038769551799</v>
      </c>
      <c r="V24" s="41">
        <f t="shared" ca="1" si="5"/>
        <v>84.329587440477667</v>
      </c>
      <c r="W24" s="41">
        <f ca="1">SUM(W20:W23)</f>
        <v>175.57784479691406</v>
      </c>
      <c r="X24" s="41">
        <f ca="1">SUM(X20:X23)</f>
        <v>0</v>
      </c>
      <c r="Y24" s="41">
        <f ca="1">SUM(Y20:Y23)</f>
        <v>1463.2733756889261</v>
      </c>
      <c r="Z24" s="41">
        <f ca="1">SUM(Z20:Z23)</f>
        <v>0</v>
      </c>
      <c r="AA24" s="41">
        <f ca="1">SUM(AA20:AA23)</f>
        <v>340.51486001951685</v>
      </c>
    </row>
    <row r="25" spans="1:27" x14ac:dyDescent="0.2"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</row>
    <row r="26" spans="1:27" x14ac:dyDescent="0.2">
      <c r="B26" s="77" t="s">
        <v>98</v>
      </c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</row>
    <row r="27" spans="1:27" x14ac:dyDescent="0.2">
      <c r="A27" s="2">
        <f>A24+1</f>
        <v>13</v>
      </c>
      <c r="B27" s="31" t="s">
        <v>92</v>
      </c>
      <c r="D27" s="79">
        <f ca="1">'Total Allocation RZ - Gas'!Q27</f>
        <v>0</v>
      </c>
      <c r="J27" s="79">
        <f t="shared" ref="J27:J33" ca="1" si="6">D27-F27</f>
        <v>0</v>
      </c>
      <c r="L27" s="2" t="s">
        <v>533</v>
      </c>
      <c r="N27" s="79">
        <f ca="1">IF($J27&lt;&gt;0,VLOOKUP($L27,'Allocation Factors-Union South'!$B$12:$T$116,5,FALSE)*$J27,0)+IF($F27&lt;&gt;0,VLOOKUP($H27,'Allocation Factors-Union South'!$B$12:$T$116,5,FALSE)*$F27,0)</f>
        <v>0</v>
      </c>
      <c r="O27" s="79">
        <f ca="1">IF($J27&lt;&gt;0,VLOOKUP($L27,'Allocation Factors-Union South'!$B$12:$T$116,6,FALSE)*$J27,0)+IF($F27&lt;&gt;0,VLOOKUP($H27,'Allocation Factors-Union South'!$B$12:$T$116,6,FALSE)*$F27,0)</f>
        <v>0</v>
      </c>
      <c r="P27" s="79">
        <f ca="1">IF($J27&lt;&gt;0,VLOOKUP($L27,'Allocation Factors-Union South'!$B$12:$T$116,7,FALSE)*$J27,0)+IF($F27&lt;&gt;0,VLOOKUP($H27,'Allocation Factors-Union South'!$B$12:$T$116,7,FALSE)*$F27,0)</f>
        <v>0</v>
      </c>
      <c r="Q27" s="79">
        <f ca="1">IF($J27&lt;&gt;0,VLOOKUP($L27,'Allocation Factors-Union South'!$B$12:$T$116,8,FALSE)*$J27,0)+IF($F27&lt;&gt;0,VLOOKUP($H27,'Allocation Factors-Union South'!$B$12:$T$116,8,FALSE)*$F27,0)</f>
        <v>0</v>
      </c>
      <c r="R27" s="79">
        <f ca="1">IF($J27&lt;&gt;0,VLOOKUP($L27,'Allocation Factors-Union South'!$B$12:$T$116,9,FALSE)*$J27,0)+IF($F27&lt;&gt;0,VLOOKUP($H27,'Allocation Factors-Union South'!$B$12:$T$116,9,FALSE)*$F27,0)</f>
        <v>0</v>
      </c>
      <c r="S27" s="79">
        <f ca="1">IF($J27&lt;&gt;0,VLOOKUP($L27,'Allocation Factors-Union South'!$B$12:$T$116,10,FALSE)*$J27,0)+IF($F27&lt;&gt;0,VLOOKUP($H27,'Allocation Factors-Union South'!$B$12:$T$116,10,FALSE)*$F27,0)</f>
        <v>0</v>
      </c>
      <c r="T27" s="79">
        <f ca="1">IF($J27&lt;&gt;0,VLOOKUP($L27,'Allocation Factors-Union South'!$B$12:$T$116,11,FALSE)*$J27,0)+IF($F27&lt;&gt;0,VLOOKUP($H27,'Allocation Factors-Union South'!$B$12:$T$116,11,FALSE)*$F27,0)</f>
        <v>0</v>
      </c>
      <c r="U27" s="79">
        <f ca="1">IF($J27&lt;&gt;0,VLOOKUP($L27,'Allocation Factors-Union South'!$B$12:$T$116,12,FALSE)*$J27,0)+IF($F27&lt;&gt;0,VLOOKUP($H27,'Allocation Factors-Union South'!$B$12:$T$116,12,FALSE)*$F27,0)</f>
        <v>0</v>
      </c>
      <c r="V27" s="79">
        <f ca="1">IF($J27&lt;&gt;0,VLOOKUP($L27,'Allocation Factors-Union South'!$B$12:$T$116,13,FALSE)*$J27,0)+IF($F27&lt;&gt;0,VLOOKUP($H27,'Allocation Factors-Union South'!$B$12:$T$116,13,FALSE)*$F27,0)</f>
        <v>0</v>
      </c>
      <c r="W27" s="79">
        <f ca="1">IF($J27&lt;&gt;0,VLOOKUP($L27,'Allocation Factors-Union South'!$B$12:$T$116,14,FALSE)*$J27,0)+IF($F27&lt;&gt;0,VLOOKUP($H27,'Allocation Factors-Union South'!$B$12:$T$116,14,FALSE)*$F27,0)</f>
        <v>0</v>
      </c>
      <c r="X27" s="79">
        <f ca="1">IF($J27&lt;&gt;0,VLOOKUP($L27,'Allocation Factors-Union South'!$B$12:$T$116,15,FALSE)*$J27,0)+IF($F27&lt;&gt;0,VLOOKUP($H27,'Allocation Factors-Union South'!$B$12:$T$116,15,FALSE)*$F27,0)</f>
        <v>0</v>
      </c>
      <c r="Y27" s="79">
        <f ca="1">IF($J27&lt;&gt;0,VLOOKUP($L27,'Allocation Factors-Union South'!$B$12:$T$116,16,FALSE)*$J27,0)+IF($F27&lt;&gt;0,VLOOKUP($H27,'Allocation Factors-Union South'!$B$12:$T$116,16,FALSE)*$F27,0)</f>
        <v>0</v>
      </c>
      <c r="Z27" s="79">
        <f ca="1">IF($J27&lt;&gt;0,VLOOKUP($L27,'Allocation Factors-Union South'!$B$12:$T$116,17,FALSE)*$J27,0)+IF($F27&lt;&gt;0,VLOOKUP($H27,'Allocation Factors-Union South'!$B$12:$T$116,17,FALSE)*$F27,0)</f>
        <v>0</v>
      </c>
      <c r="AA27" s="79">
        <f ca="1">IF($J27&lt;&gt;0,VLOOKUP($L27,'Allocation Factors-Union South'!$B$12:$T$116,18,FALSE)*$J27,0)+IF($F27&lt;&gt;0,VLOOKUP($H27,'Allocation Factors-Union South'!$B$12:$T$116,18,FALSE)*$F27,0)</f>
        <v>0</v>
      </c>
    </row>
    <row r="28" spans="1:27" x14ac:dyDescent="0.2">
      <c r="A28" s="2">
        <f>A27+1</f>
        <v>14</v>
      </c>
      <c r="B28" s="31" t="s">
        <v>93</v>
      </c>
      <c r="D28" s="79">
        <f ca="1">'Total Allocation RZ - Gas'!Q28</f>
        <v>0</v>
      </c>
      <c r="J28" s="79">
        <f t="shared" ca="1" si="6"/>
        <v>0</v>
      </c>
      <c r="L28" s="2" t="s">
        <v>218</v>
      </c>
      <c r="N28" s="79">
        <f ca="1">IF($J28&lt;&gt;0,VLOOKUP($L28,'Allocation Factors-Union South'!$B$12:$T$116,5,FALSE)*$J28,0)+IF($F28&lt;&gt;0,VLOOKUP($H28,'Allocation Factors-Union South'!$B$12:$T$116,5,FALSE)*$F28,0)</f>
        <v>0</v>
      </c>
      <c r="O28" s="79">
        <f ca="1">IF($J28&lt;&gt;0,VLOOKUP($L28,'Allocation Factors-Union South'!$B$12:$T$116,6,FALSE)*$J28,0)+IF($F28&lt;&gt;0,VLOOKUP($H28,'Allocation Factors-Union South'!$B$12:$T$116,6,FALSE)*$F28,0)</f>
        <v>0</v>
      </c>
      <c r="P28" s="79">
        <f ca="1">IF($J28&lt;&gt;0,VLOOKUP($L28,'Allocation Factors-Union South'!$B$12:$T$116,7,FALSE)*$J28,0)+IF($F28&lt;&gt;0,VLOOKUP($H28,'Allocation Factors-Union South'!$B$12:$T$116,7,FALSE)*$F28,0)</f>
        <v>0</v>
      </c>
      <c r="Q28" s="79">
        <f ca="1">IF($J28&lt;&gt;0,VLOOKUP($L28,'Allocation Factors-Union South'!$B$12:$T$116,8,FALSE)*$J28,0)+IF($F28&lt;&gt;0,VLOOKUP($H28,'Allocation Factors-Union South'!$B$12:$T$116,8,FALSE)*$F28,0)</f>
        <v>0</v>
      </c>
      <c r="R28" s="79">
        <f ca="1">IF($J28&lt;&gt;0,VLOOKUP($L28,'Allocation Factors-Union South'!$B$12:$T$116,9,FALSE)*$J28,0)+IF($F28&lt;&gt;0,VLOOKUP($H28,'Allocation Factors-Union South'!$B$12:$T$116,9,FALSE)*$F28,0)</f>
        <v>0</v>
      </c>
      <c r="S28" s="79">
        <f ca="1">IF($J28&lt;&gt;0,VLOOKUP($L28,'Allocation Factors-Union South'!$B$12:$T$116,10,FALSE)*$J28,0)+IF($F28&lt;&gt;0,VLOOKUP($H28,'Allocation Factors-Union South'!$B$12:$T$116,10,FALSE)*$F28,0)</f>
        <v>0</v>
      </c>
      <c r="T28" s="79">
        <f ca="1">IF($J28&lt;&gt;0,VLOOKUP($L28,'Allocation Factors-Union South'!$B$12:$T$116,11,FALSE)*$J28,0)+IF($F28&lt;&gt;0,VLOOKUP($H28,'Allocation Factors-Union South'!$B$12:$T$116,11,FALSE)*$F28,0)</f>
        <v>0</v>
      </c>
      <c r="U28" s="79">
        <f ca="1">IF($J28&lt;&gt;0,VLOOKUP($L28,'Allocation Factors-Union South'!$B$12:$T$116,12,FALSE)*$J28,0)+IF($F28&lt;&gt;0,VLOOKUP($H28,'Allocation Factors-Union South'!$B$12:$T$116,12,FALSE)*$F28,0)</f>
        <v>0</v>
      </c>
      <c r="V28" s="79">
        <f ca="1">IF($J28&lt;&gt;0,VLOOKUP($L28,'Allocation Factors-Union South'!$B$12:$T$116,13,FALSE)*$J28,0)+IF($F28&lt;&gt;0,VLOOKUP($H28,'Allocation Factors-Union South'!$B$12:$T$116,13,FALSE)*$F28,0)</f>
        <v>0</v>
      </c>
      <c r="W28" s="79">
        <f ca="1">IF($J28&lt;&gt;0,VLOOKUP($L28,'Allocation Factors-Union South'!$B$12:$T$116,14,FALSE)*$J28,0)+IF($F28&lt;&gt;0,VLOOKUP($H28,'Allocation Factors-Union South'!$B$12:$T$116,14,FALSE)*$F28,0)</f>
        <v>0</v>
      </c>
      <c r="X28" s="79">
        <f ca="1">IF($J28&lt;&gt;0,VLOOKUP($L28,'Allocation Factors-Union South'!$B$12:$T$116,15,FALSE)*$J28,0)+IF($F28&lt;&gt;0,VLOOKUP($H28,'Allocation Factors-Union South'!$B$12:$T$116,15,FALSE)*$F28,0)</f>
        <v>0</v>
      </c>
      <c r="Y28" s="79">
        <f ca="1">IF($J28&lt;&gt;0,VLOOKUP($L28,'Allocation Factors-Union South'!$B$12:$T$116,16,FALSE)*$J28,0)+IF($F28&lt;&gt;0,VLOOKUP($H28,'Allocation Factors-Union South'!$B$12:$T$116,16,FALSE)*$F28,0)</f>
        <v>0</v>
      </c>
      <c r="Z28" s="79">
        <f ca="1">IF($J28&lt;&gt;0,VLOOKUP($L28,'Allocation Factors-Union South'!$B$12:$T$116,17,FALSE)*$J28,0)+IF($F28&lt;&gt;0,VLOOKUP($H28,'Allocation Factors-Union South'!$B$12:$T$116,17,FALSE)*$F28,0)</f>
        <v>0</v>
      </c>
      <c r="AA28" s="79">
        <f ca="1">IF($J28&lt;&gt;0,VLOOKUP($L28,'Allocation Factors-Union South'!$B$12:$T$116,18,FALSE)*$J28,0)+IF($F28&lt;&gt;0,VLOOKUP($H28,'Allocation Factors-Union South'!$B$12:$T$116,18,FALSE)*$F28,0)</f>
        <v>0</v>
      </c>
    </row>
    <row r="29" spans="1:27" x14ac:dyDescent="0.2">
      <c r="A29" s="2">
        <f t="shared" ref="A29:A34" si="7">A28+1</f>
        <v>15</v>
      </c>
      <c r="B29" s="31" t="s">
        <v>94</v>
      </c>
      <c r="D29" s="79">
        <f ca="1">'Total Allocation RZ - Gas'!Q29</f>
        <v>0</v>
      </c>
      <c r="J29" s="79">
        <f t="shared" ca="1" si="6"/>
        <v>0</v>
      </c>
      <c r="L29" s="2" t="s">
        <v>230</v>
      </c>
      <c r="N29" s="79">
        <f ca="1">IF($J29&lt;&gt;0,VLOOKUP($L29,'Allocation Factors-Union South'!$B$12:$T$116,5,FALSE)*$J29,0)+IF($F29&lt;&gt;0,VLOOKUP($H29,'Allocation Factors-Union South'!$B$12:$T$116,5,FALSE)*$F29,0)</f>
        <v>0</v>
      </c>
      <c r="O29" s="79">
        <f ca="1">IF($J29&lt;&gt;0,VLOOKUP($L29,'Allocation Factors-Union South'!$B$12:$T$116,6,FALSE)*$J29,0)+IF($F29&lt;&gt;0,VLOOKUP($H29,'Allocation Factors-Union South'!$B$12:$T$116,6,FALSE)*$F29,0)</f>
        <v>0</v>
      </c>
      <c r="P29" s="79">
        <f ca="1">IF($J29&lt;&gt;0,VLOOKUP($L29,'Allocation Factors-Union South'!$B$12:$T$116,7,FALSE)*$J29,0)+IF($F29&lt;&gt;0,VLOOKUP($H29,'Allocation Factors-Union South'!$B$12:$T$116,7,FALSE)*$F29,0)</f>
        <v>0</v>
      </c>
      <c r="Q29" s="79">
        <f ca="1">IF($J29&lt;&gt;0,VLOOKUP($L29,'Allocation Factors-Union South'!$B$12:$T$116,8,FALSE)*$J29,0)+IF($F29&lt;&gt;0,VLOOKUP($H29,'Allocation Factors-Union South'!$B$12:$T$116,8,FALSE)*$F29,0)</f>
        <v>0</v>
      </c>
      <c r="R29" s="79">
        <f ca="1">IF($J29&lt;&gt;0,VLOOKUP($L29,'Allocation Factors-Union South'!$B$12:$T$116,9,FALSE)*$J29,0)+IF($F29&lt;&gt;0,VLOOKUP($H29,'Allocation Factors-Union South'!$B$12:$T$116,9,FALSE)*$F29,0)</f>
        <v>0</v>
      </c>
      <c r="S29" s="79">
        <f ca="1">IF($J29&lt;&gt;0,VLOOKUP($L29,'Allocation Factors-Union South'!$B$12:$T$116,10,FALSE)*$J29,0)+IF($F29&lt;&gt;0,VLOOKUP($H29,'Allocation Factors-Union South'!$B$12:$T$116,10,FALSE)*$F29,0)</f>
        <v>0</v>
      </c>
      <c r="T29" s="79">
        <f ca="1">IF($J29&lt;&gt;0,VLOOKUP($L29,'Allocation Factors-Union South'!$B$12:$T$116,11,FALSE)*$J29,0)+IF($F29&lt;&gt;0,VLOOKUP($H29,'Allocation Factors-Union South'!$B$12:$T$116,11,FALSE)*$F29,0)</f>
        <v>0</v>
      </c>
      <c r="U29" s="79">
        <f ca="1">IF($J29&lt;&gt;0,VLOOKUP($L29,'Allocation Factors-Union South'!$B$12:$T$116,12,FALSE)*$J29,0)+IF($F29&lt;&gt;0,VLOOKUP($H29,'Allocation Factors-Union South'!$B$12:$T$116,12,FALSE)*$F29,0)</f>
        <v>0</v>
      </c>
      <c r="V29" s="79">
        <f ca="1">IF($J29&lt;&gt;0,VLOOKUP($L29,'Allocation Factors-Union South'!$B$12:$T$116,13,FALSE)*$J29,0)+IF($F29&lt;&gt;0,VLOOKUP($H29,'Allocation Factors-Union South'!$B$12:$T$116,13,FALSE)*$F29,0)</f>
        <v>0</v>
      </c>
      <c r="W29" s="79">
        <f ca="1">IF($J29&lt;&gt;0,VLOOKUP($L29,'Allocation Factors-Union South'!$B$12:$T$116,14,FALSE)*$J29,0)+IF($F29&lt;&gt;0,VLOOKUP($H29,'Allocation Factors-Union South'!$B$12:$T$116,14,FALSE)*$F29,0)</f>
        <v>0</v>
      </c>
      <c r="X29" s="79">
        <f ca="1">IF($J29&lt;&gt;0,VLOOKUP($L29,'Allocation Factors-Union South'!$B$12:$T$116,15,FALSE)*$J29,0)+IF($F29&lt;&gt;0,VLOOKUP($H29,'Allocation Factors-Union South'!$B$12:$T$116,15,FALSE)*$F29,0)</f>
        <v>0</v>
      </c>
      <c r="Y29" s="79">
        <f ca="1">IF($J29&lt;&gt;0,VLOOKUP($L29,'Allocation Factors-Union South'!$B$12:$T$116,16,FALSE)*$J29,0)+IF($F29&lt;&gt;0,VLOOKUP($H29,'Allocation Factors-Union South'!$B$12:$T$116,16,FALSE)*$F29,0)</f>
        <v>0</v>
      </c>
      <c r="Z29" s="79">
        <f ca="1">IF($J29&lt;&gt;0,VLOOKUP($L29,'Allocation Factors-Union South'!$B$12:$T$116,17,FALSE)*$J29,0)+IF($F29&lt;&gt;0,VLOOKUP($H29,'Allocation Factors-Union South'!$B$12:$T$116,17,FALSE)*$F29,0)</f>
        <v>0</v>
      </c>
      <c r="AA29" s="79">
        <f ca="1">IF($J29&lt;&gt;0,VLOOKUP($L29,'Allocation Factors-Union South'!$B$12:$T$116,18,FALSE)*$J29,0)+IF($F29&lt;&gt;0,VLOOKUP($H29,'Allocation Factors-Union South'!$B$12:$T$116,18,FALSE)*$F29,0)</f>
        <v>0</v>
      </c>
    </row>
    <row r="30" spans="1:27" x14ac:dyDescent="0.2">
      <c r="A30" s="2">
        <f t="shared" si="7"/>
        <v>16</v>
      </c>
      <c r="B30" s="31" t="s">
        <v>330</v>
      </c>
      <c r="D30" s="79">
        <f ca="1">'Total Allocation RZ - Gas'!Q30</f>
        <v>0</v>
      </c>
      <c r="J30" s="79">
        <f t="shared" ca="1" si="6"/>
        <v>0</v>
      </c>
      <c r="L30" s="2" t="s">
        <v>222</v>
      </c>
      <c r="N30" s="79">
        <f ca="1">IF($J30&lt;&gt;0,VLOOKUP($L30,'Allocation Factors-Union South'!$B$12:$T$116,5,FALSE)*$J30,0)+IF($F30&lt;&gt;0,VLOOKUP($H30,'Allocation Factors-Union South'!$B$12:$T$116,5,FALSE)*$F30,0)</f>
        <v>0</v>
      </c>
      <c r="O30" s="79">
        <f ca="1">IF($J30&lt;&gt;0,VLOOKUP($L30,'Allocation Factors-Union South'!$B$12:$T$116,6,FALSE)*$J30,0)+IF($F30&lt;&gt;0,VLOOKUP($H30,'Allocation Factors-Union South'!$B$12:$T$116,6,FALSE)*$F30,0)</f>
        <v>0</v>
      </c>
      <c r="P30" s="79">
        <f ca="1">IF($J30&lt;&gt;0,VLOOKUP($L30,'Allocation Factors-Union South'!$B$12:$T$116,7,FALSE)*$J30,0)+IF($F30&lt;&gt;0,VLOOKUP($H30,'Allocation Factors-Union South'!$B$12:$T$116,7,FALSE)*$F30,0)</f>
        <v>0</v>
      </c>
      <c r="Q30" s="79">
        <f ca="1">IF($J30&lt;&gt;0,VLOOKUP($L30,'Allocation Factors-Union South'!$B$12:$T$116,8,FALSE)*$J30,0)+IF($F30&lt;&gt;0,VLOOKUP($H30,'Allocation Factors-Union South'!$B$12:$T$116,8,FALSE)*$F30,0)</f>
        <v>0</v>
      </c>
      <c r="R30" s="79">
        <f ca="1">IF($J30&lt;&gt;0,VLOOKUP($L30,'Allocation Factors-Union South'!$B$12:$T$116,9,FALSE)*$J30,0)+IF($F30&lt;&gt;0,VLOOKUP($H30,'Allocation Factors-Union South'!$B$12:$T$116,9,FALSE)*$F30,0)</f>
        <v>0</v>
      </c>
      <c r="S30" s="79">
        <f ca="1">IF($J30&lt;&gt;0,VLOOKUP($L30,'Allocation Factors-Union South'!$B$12:$T$116,10,FALSE)*$J30,0)+IF($F30&lt;&gt;0,VLOOKUP($H30,'Allocation Factors-Union South'!$B$12:$T$116,10,FALSE)*$F30,0)</f>
        <v>0</v>
      </c>
      <c r="T30" s="79">
        <f ca="1">IF($J30&lt;&gt;0,VLOOKUP($L30,'Allocation Factors-Union South'!$B$12:$T$116,11,FALSE)*$J30,0)+IF($F30&lt;&gt;0,VLOOKUP($H30,'Allocation Factors-Union South'!$B$12:$T$116,11,FALSE)*$F30,0)</f>
        <v>0</v>
      </c>
      <c r="U30" s="79">
        <f ca="1">IF($J30&lt;&gt;0,VLOOKUP($L30,'Allocation Factors-Union South'!$B$12:$T$116,12,FALSE)*$J30,0)+IF($F30&lt;&gt;0,VLOOKUP($H30,'Allocation Factors-Union South'!$B$12:$T$116,12,FALSE)*$F30,0)</f>
        <v>0</v>
      </c>
      <c r="V30" s="79">
        <f ca="1">IF($J30&lt;&gt;0,VLOOKUP($L30,'Allocation Factors-Union South'!$B$12:$T$116,13,FALSE)*$J30,0)+IF($F30&lt;&gt;0,VLOOKUP($H30,'Allocation Factors-Union South'!$B$12:$T$116,13,FALSE)*$F30,0)</f>
        <v>0</v>
      </c>
      <c r="W30" s="79">
        <f ca="1">IF($J30&lt;&gt;0,VLOOKUP($L30,'Allocation Factors-Union South'!$B$12:$T$116,14,FALSE)*$J30,0)+IF($F30&lt;&gt;0,VLOOKUP($H30,'Allocation Factors-Union South'!$B$12:$T$116,14,FALSE)*$F30,0)</f>
        <v>0</v>
      </c>
      <c r="X30" s="79">
        <f ca="1">IF($J30&lt;&gt;0,VLOOKUP($L30,'Allocation Factors-Union South'!$B$12:$T$116,15,FALSE)*$J30,0)+IF($F30&lt;&gt;0,VLOOKUP($H30,'Allocation Factors-Union South'!$B$12:$T$116,15,FALSE)*$F30,0)</f>
        <v>0</v>
      </c>
      <c r="Y30" s="79">
        <f ca="1">IF($J30&lt;&gt;0,VLOOKUP($L30,'Allocation Factors-Union South'!$B$12:$T$116,16,FALSE)*$J30,0)+IF($F30&lt;&gt;0,VLOOKUP($H30,'Allocation Factors-Union South'!$B$12:$T$116,16,FALSE)*$F30,0)</f>
        <v>0</v>
      </c>
      <c r="Z30" s="79">
        <f ca="1">IF($J30&lt;&gt;0,VLOOKUP($L30,'Allocation Factors-Union South'!$B$12:$T$116,17,FALSE)*$J30,0)+IF($F30&lt;&gt;0,VLOOKUP($H30,'Allocation Factors-Union South'!$B$12:$T$116,17,FALSE)*$F30,0)</f>
        <v>0</v>
      </c>
      <c r="AA30" s="79">
        <f ca="1">IF($J30&lt;&gt;0,VLOOKUP($L30,'Allocation Factors-Union South'!$B$12:$T$116,18,FALSE)*$J30,0)+IF($F30&lt;&gt;0,VLOOKUP($H30,'Allocation Factors-Union South'!$B$12:$T$116,18,FALSE)*$F30,0)</f>
        <v>0</v>
      </c>
    </row>
    <row r="31" spans="1:27" x14ac:dyDescent="0.2">
      <c r="A31" s="2">
        <f t="shared" si="7"/>
        <v>17</v>
      </c>
      <c r="B31" s="31" t="s">
        <v>331</v>
      </c>
      <c r="D31" s="79">
        <f ca="1">'Total Allocation RZ - Gas'!Q31</f>
        <v>0</v>
      </c>
      <c r="J31" s="79">
        <f t="shared" ca="1" si="6"/>
        <v>0</v>
      </c>
      <c r="L31" s="2" t="s">
        <v>332</v>
      </c>
      <c r="N31" s="79">
        <f ca="1">IF($J31&lt;&gt;0,VLOOKUP($L31,'Allocation Factors-Union South'!$B$12:$T$116,5,FALSE)*$J31,0)+IF($F31&lt;&gt;0,VLOOKUP($H31,'Allocation Factors-Union South'!$B$12:$T$116,5,FALSE)*$F31,0)</f>
        <v>0</v>
      </c>
      <c r="O31" s="79">
        <f ca="1">IF($J31&lt;&gt;0,VLOOKUP($L31,'Allocation Factors-Union South'!$B$12:$T$116,6,FALSE)*$J31,0)+IF($F31&lt;&gt;0,VLOOKUP($H31,'Allocation Factors-Union South'!$B$12:$T$116,6,FALSE)*$F31,0)</f>
        <v>0</v>
      </c>
      <c r="P31" s="79">
        <f ca="1">IF($J31&lt;&gt;0,VLOOKUP($L31,'Allocation Factors-Union South'!$B$12:$T$116,7,FALSE)*$J31,0)+IF($F31&lt;&gt;0,VLOOKUP($H31,'Allocation Factors-Union South'!$B$12:$T$116,7,FALSE)*$F31,0)</f>
        <v>0</v>
      </c>
      <c r="Q31" s="79">
        <f ca="1">IF($J31&lt;&gt;0,VLOOKUP($L31,'Allocation Factors-Union South'!$B$12:$T$116,8,FALSE)*$J31,0)+IF($F31&lt;&gt;0,VLOOKUP($H31,'Allocation Factors-Union South'!$B$12:$T$116,8,FALSE)*$F31,0)</f>
        <v>0</v>
      </c>
      <c r="R31" s="79">
        <f ca="1">IF($J31&lt;&gt;0,VLOOKUP($L31,'Allocation Factors-Union South'!$B$12:$T$116,9,FALSE)*$J31,0)+IF($F31&lt;&gt;0,VLOOKUP($H31,'Allocation Factors-Union South'!$B$12:$T$116,9,FALSE)*$F31,0)</f>
        <v>0</v>
      </c>
      <c r="S31" s="79">
        <f ca="1">IF($J31&lt;&gt;0,VLOOKUP($L31,'Allocation Factors-Union South'!$B$12:$T$116,10,FALSE)*$J31,0)+IF($F31&lt;&gt;0,VLOOKUP($H31,'Allocation Factors-Union South'!$B$12:$T$116,10,FALSE)*$F31,0)</f>
        <v>0</v>
      </c>
      <c r="T31" s="79">
        <f ca="1">IF($J31&lt;&gt;0,VLOOKUP($L31,'Allocation Factors-Union South'!$B$12:$T$116,11,FALSE)*$J31,0)+IF($F31&lt;&gt;0,VLOOKUP($H31,'Allocation Factors-Union South'!$B$12:$T$116,11,FALSE)*$F31,0)</f>
        <v>0</v>
      </c>
      <c r="U31" s="79">
        <f ca="1">IF($J31&lt;&gt;0,VLOOKUP($L31,'Allocation Factors-Union South'!$B$12:$T$116,12,FALSE)*$J31,0)+IF($F31&lt;&gt;0,VLOOKUP($H31,'Allocation Factors-Union South'!$B$12:$T$116,12,FALSE)*$F31,0)</f>
        <v>0</v>
      </c>
      <c r="V31" s="79">
        <f ca="1">IF($J31&lt;&gt;0,VLOOKUP($L31,'Allocation Factors-Union South'!$B$12:$T$116,13,FALSE)*$J31,0)+IF($F31&lt;&gt;0,VLOOKUP($H31,'Allocation Factors-Union South'!$B$12:$T$116,13,FALSE)*$F31,0)</f>
        <v>0</v>
      </c>
      <c r="W31" s="79">
        <f ca="1">IF($J31&lt;&gt;0,VLOOKUP($L31,'Allocation Factors-Union South'!$B$12:$T$116,14,FALSE)*$J31,0)+IF($F31&lt;&gt;0,VLOOKUP($H31,'Allocation Factors-Union South'!$B$12:$T$116,14,FALSE)*$F31,0)</f>
        <v>0</v>
      </c>
      <c r="X31" s="79">
        <f ca="1">IF($J31&lt;&gt;0,VLOOKUP($L31,'Allocation Factors-Union South'!$B$12:$T$116,15,FALSE)*$J31,0)+IF($F31&lt;&gt;0,VLOOKUP($H31,'Allocation Factors-Union South'!$B$12:$T$116,15,FALSE)*$F31,0)</f>
        <v>0</v>
      </c>
      <c r="Y31" s="79">
        <f ca="1">IF($J31&lt;&gt;0,VLOOKUP($L31,'Allocation Factors-Union South'!$B$12:$T$116,16,FALSE)*$J31,0)+IF($F31&lt;&gt;0,VLOOKUP($H31,'Allocation Factors-Union South'!$B$12:$T$116,16,FALSE)*$F31,0)</f>
        <v>0</v>
      </c>
      <c r="Z31" s="79">
        <f ca="1">IF($J31&lt;&gt;0,VLOOKUP($L31,'Allocation Factors-Union South'!$B$12:$T$116,17,FALSE)*$J31,0)+IF($F31&lt;&gt;0,VLOOKUP($H31,'Allocation Factors-Union South'!$B$12:$T$116,17,FALSE)*$F31,0)</f>
        <v>0</v>
      </c>
      <c r="AA31" s="79">
        <f ca="1">IF($J31&lt;&gt;0,VLOOKUP($L31,'Allocation Factors-Union South'!$B$12:$T$116,18,FALSE)*$J31,0)+IF($F31&lt;&gt;0,VLOOKUP($H31,'Allocation Factors-Union South'!$B$12:$T$116,18,FALSE)*$F31,0)</f>
        <v>0</v>
      </c>
    </row>
    <row r="32" spans="1:27" x14ac:dyDescent="0.2">
      <c r="A32" s="2">
        <f t="shared" si="7"/>
        <v>18</v>
      </c>
      <c r="B32" s="31" t="s">
        <v>146</v>
      </c>
      <c r="D32" s="79">
        <f ca="1">'Total Allocation RZ - Gas'!Q32</f>
        <v>1294.5219427863499</v>
      </c>
      <c r="J32" s="79">
        <f t="shared" ca="1" si="6"/>
        <v>1294.5219427863499</v>
      </c>
      <c r="L32" s="2" t="s">
        <v>229</v>
      </c>
      <c r="N32" s="79">
        <f ca="1">IF($J32&lt;&gt;0,VLOOKUP($L32,'Allocation Factors-Union South'!$B$12:$T$116,5,FALSE)*$J32,0)+IF($F32&lt;&gt;0,VLOOKUP($H32,'Allocation Factors-Union South'!$B$12:$T$116,5,FALSE)*$F32,0)</f>
        <v>241.87533215051627</v>
      </c>
      <c r="O32" s="79">
        <f ca="1">IF($J32&lt;&gt;0,VLOOKUP($L32,'Allocation Factors-Union South'!$B$12:$T$116,6,FALSE)*$J32,0)+IF($F32&lt;&gt;0,VLOOKUP($H32,'Allocation Factors-Union South'!$B$12:$T$116,6,FALSE)*$F32,0)</f>
        <v>95.387608393275144</v>
      </c>
      <c r="P32" s="79">
        <f ca="1">IF($J32&lt;&gt;0,VLOOKUP($L32,'Allocation Factors-Union South'!$B$12:$T$116,7,FALSE)*$J32,0)+IF($F32&lt;&gt;0,VLOOKUP($H32,'Allocation Factors-Union South'!$B$12:$T$116,7,FALSE)*$F32,0)</f>
        <v>78.762535968585553</v>
      </c>
      <c r="Q32" s="79">
        <f ca="1">IF($J32&lt;&gt;0,VLOOKUP($L32,'Allocation Factors-Union South'!$B$12:$T$116,8,FALSE)*$J32,0)+IF($F32&lt;&gt;0,VLOOKUP($H32,'Allocation Factors-Union South'!$B$12:$T$116,8,FALSE)*$F32,0)</f>
        <v>0</v>
      </c>
      <c r="R32" s="79">
        <f ca="1">IF($J32&lt;&gt;0,VLOOKUP($L32,'Allocation Factors-Union South'!$B$12:$T$116,9,FALSE)*$J32,0)+IF($F32&lt;&gt;0,VLOOKUP($H32,'Allocation Factors-Union South'!$B$12:$T$116,9,FALSE)*$F32,0)</f>
        <v>1.0176613630187517</v>
      </c>
      <c r="S32" s="79">
        <f ca="1">IF($J32&lt;&gt;0,VLOOKUP($L32,'Allocation Factors-Union South'!$B$12:$T$116,10,FALSE)*$J32,0)+IF($F32&lt;&gt;0,VLOOKUP($H32,'Allocation Factors-Union South'!$B$12:$T$116,10,FALSE)*$F32,0)</f>
        <v>0</v>
      </c>
      <c r="T32" s="79">
        <f ca="1">IF($J32&lt;&gt;0,VLOOKUP($L32,'Allocation Factors-Union South'!$B$12:$T$116,11,FALSE)*$J32,0)+IF($F32&lt;&gt;0,VLOOKUP($H32,'Allocation Factors-Union South'!$B$12:$T$116,11,FALSE)*$F32,0)</f>
        <v>170.96363289853085</v>
      </c>
      <c r="U32" s="79">
        <f ca="1">IF($J32&lt;&gt;0,VLOOKUP($L32,'Allocation Factors-Union South'!$B$12:$T$116,12,FALSE)*$J32,0)+IF($F32&lt;&gt;0,VLOOKUP($H32,'Allocation Factors-Union South'!$B$12:$T$116,12,FALSE)*$F32,0)</f>
        <v>0</v>
      </c>
      <c r="V32" s="79">
        <f ca="1">IF($J32&lt;&gt;0,VLOOKUP($L32,'Allocation Factors-Union South'!$B$12:$T$116,13,FALSE)*$J32,0)+IF($F32&lt;&gt;0,VLOOKUP($H32,'Allocation Factors-Union South'!$B$12:$T$116,13,FALSE)*$F32,0)</f>
        <v>0</v>
      </c>
      <c r="W32" s="79">
        <f ca="1">IF($J32&lt;&gt;0,VLOOKUP($L32,'Allocation Factors-Union South'!$B$12:$T$116,14,FALSE)*$J32,0)+IF($F32&lt;&gt;0,VLOOKUP($H32,'Allocation Factors-Union South'!$B$12:$T$116,14,FALSE)*$F32,0)</f>
        <v>28.965306260562837</v>
      </c>
      <c r="X32" s="79">
        <f ca="1">IF($J32&lt;&gt;0,VLOOKUP($L32,'Allocation Factors-Union South'!$B$12:$T$116,15,FALSE)*$J32,0)+IF($F32&lt;&gt;0,VLOOKUP($H32,'Allocation Factors-Union South'!$B$12:$T$116,15,FALSE)*$F32,0)</f>
        <v>0</v>
      </c>
      <c r="Y32" s="79">
        <f ca="1">IF($J32&lt;&gt;0,VLOOKUP($L32,'Allocation Factors-Union South'!$B$12:$T$116,16,FALSE)*$J32,0)+IF($F32&lt;&gt;0,VLOOKUP($H32,'Allocation Factors-Union South'!$B$12:$T$116,16,FALSE)*$F32,0)</f>
        <v>677.54986575186035</v>
      </c>
      <c r="Z32" s="79">
        <f ca="1">IF($J32&lt;&gt;0,VLOOKUP($L32,'Allocation Factors-Union South'!$B$12:$T$116,17,FALSE)*$J32,0)+IF($F32&lt;&gt;0,VLOOKUP($H32,'Allocation Factors-Union South'!$B$12:$T$116,17,FALSE)*$F32,0)</f>
        <v>0</v>
      </c>
      <c r="AA32" s="79">
        <f ca="1">IF($J32&lt;&gt;0,VLOOKUP($L32,'Allocation Factors-Union South'!$B$12:$T$116,18,FALSE)*$J32,0)+IF($F32&lt;&gt;0,VLOOKUP($H32,'Allocation Factors-Union South'!$B$12:$T$116,18,FALSE)*$F32,0)</f>
        <v>0</v>
      </c>
    </row>
    <row r="33" spans="1:27" x14ac:dyDescent="0.2">
      <c r="A33" s="2">
        <f t="shared" si="7"/>
        <v>19</v>
      </c>
      <c r="B33" s="31" t="s">
        <v>95</v>
      </c>
      <c r="D33" s="79">
        <f ca="1">'Total Allocation RZ - Gas'!Q33</f>
        <v>4680.2587595675095</v>
      </c>
      <c r="F33" s="79">
        <v>4472.5161039693821</v>
      </c>
      <c r="H33" s="2" t="s">
        <v>251</v>
      </c>
      <c r="J33" s="79">
        <f t="shared" ca="1" si="6"/>
        <v>207.74265559812739</v>
      </c>
      <c r="L33" s="2" t="s">
        <v>335</v>
      </c>
      <c r="N33" s="79">
        <f ca="1">IF($J33&lt;&gt;0,VLOOKUP($L33,'Allocation Factors-Union South'!$B$12:$T$116,5,FALSE)*$J33,0)+IF($F33&lt;&gt;0,VLOOKUP($H33,'Allocation Factors-Union South'!$B$12:$T$116,5,FALSE)*$F33,0)</f>
        <v>1293.2232886147251</v>
      </c>
      <c r="O33" s="79">
        <f ca="1">IF($J33&lt;&gt;0,VLOOKUP($L33,'Allocation Factors-Union South'!$B$12:$T$116,6,FALSE)*$J33,0)+IF($F33&lt;&gt;0,VLOOKUP($H33,'Allocation Factors-Union South'!$B$12:$T$116,6,FALSE)*$F33,0)</f>
        <v>523.84586768983593</v>
      </c>
      <c r="P33" s="79">
        <f ca="1">IF($J33&lt;&gt;0,VLOOKUP($L33,'Allocation Factors-Union South'!$B$12:$T$116,7,FALSE)*$J33,0)+IF($F33&lt;&gt;0,VLOOKUP($H33,'Allocation Factors-Union South'!$B$12:$T$116,7,FALSE)*$F33,0)</f>
        <v>235.44620246205332</v>
      </c>
      <c r="Q33" s="79">
        <f ca="1">IF($J33&lt;&gt;0,VLOOKUP($L33,'Allocation Factors-Union South'!$B$12:$T$116,8,FALSE)*$J33,0)+IF($F33&lt;&gt;0,VLOOKUP($H33,'Allocation Factors-Union South'!$B$12:$T$116,8,FALSE)*$F33,0)</f>
        <v>9.4394662911470861E-2</v>
      </c>
      <c r="R33" s="79">
        <f ca="1">IF($J33&lt;&gt;0,VLOOKUP($L33,'Allocation Factors-Union South'!$B$12:$T$116,9,FALSE)*$J33,0)+IF($F33&lt;&gt;0,VLOOKUP($H33,'Allocation Factors-Union South'!$B$12:$T$116,9,FALSE)*$F33,0)</f>
        <v>1.7473717908283053</v>
      </c>
      <c r="S33" s="79">
        <f ca="1">IF($J33&lt;&gt;0,VLOOKUP($L33,'Allocation Factors-Union South'!$B$12:$T$116,10,FALSE)*$J33,0)+IF($F33&lt;&gt;0,VLOOKUP($H33,'Allocation Factors-Union South'!$B$12:$T$116,10,FALSE)*$F33,0)</f>
        <v>21.847522685883813</v>
      </c>
      <c r="T33" s="79">
        <f ca="1">IF($J33&lt;&gt;0,VLOOKUP($L33,'Allocation Factors-Union South'!$B$12:$T$116,11,FALSE)*$J33,0)+IF($F33&lt;&gt;0,VLOOKUP($H33,'Allocation Factors-Union South'!$B$12:$T$116,11,FALSE)*$F33,0)</f>
        <v>283.06846982594158</v>
      </c>
      <c r="U33" s="79">
        <f ca="1">IF($J33&lt;&gt;0,VLOOKUP($L33,'Allocation Factors-Union South'!$B$12:$T$116,12,FALSE)*$J33,0)+IF($F33&lt;&gt;0,VLOOKUP($H33,'Allocation Factors-Union South'!$B$12:$T$116,12,FALSE)*$F33,0)</f>
        <v>30.141225388767893</v>
      </c>
      <c r="V33" s="79">
        <f ca="1">IF($J33&lt;&gt;0,VLOOKUP($L33,'Allocation Factors-Union South'!$B$12:$T$116,13,FALSE)*$J33,0)+IF($F33&lt;&gt;0,VLOOKUP($H33,'Allocation Factors-Union South'!$B$12:$T$116,13,FALSE)*$F33,0)</f>
        <v>35.723135691782829</v>
      </c>
      <c r="W33" s="79">
        <f ca="1">IF($J33&lt;&gt;0,VLOOKUP($L33,'Allocation Factors-Union South'!$B$12:$T$116,14,FALSE)*$J33,0)+IF($F33&lt;&gt;0,VLOOKUP($H33,'Allocation Factors-Union South'!$B$12:$T$116,14,FALSE)*$F33,0)</f>
        <v>156.16289835665097</v>
      </c>
      <c r="X33" s="79">
        <f ca="1">IF($J33&lt;&gt;0,VLOOKUP($L33,'Allocation Factors-Union South'!$B$12:$T$116,15,FALSE)*$J33,0)+IF($F33&lt;&gt;0,VLOOKUP($H33,'Allocation Factors-Union South'!$B$12:$T$116,15,FALSE)*$F33,0)</f>
        <v>14.886585935714384</v>
      </c>
      <c r="Y33" s="79">
        <f ca="1">IF($J33&lt;&gt;0,VLOOKUP($L33,'Allocation Factors-Union South'!$B$12:$T$116,16,FALSE)*$J33,0)+IF($F33&lt;&gt;0,VLOOKUP($H33,'Allocation Factors-Union South'!$B$12:$T$116,16,FALSE)*$F33,0)</f>
        <v>1968.6760727091655</v>
      </c>
      <c r="Z33" s="79">
        <f ca="1">IF($J33&lt;&gt;0,VLOOKUP($L33,'Allocation Factors-Union South'!$B$12:$T$116,17,FALSE)*$J33,0)+IF($F33&lt;&gt;0,VLOOKUP($H33,'Allocation Factors-Union South'!$B$12:$T$116,17,FALSE)*$F33,0)</f>
        <v>16.562904506388936</v>
      </c>
      <c r="AA33" s="79">
        <f ca="1">IF($J33&lt;&gt;0,VLOOKUP($L33,'Allocation Factors-Union South'!$B$12:$T$116,18,FALSE)*$J33,0)+IF($F33&lt;&gt;0,VLOOKUP($H33,'Allocation Factors-Union South'!$B$12:$T$116,18,FALSE)*$F33,0)</f>
        <v>98.832819246859714</v>
      </c>
    </row>
    <row r="34" spans="1:27" x14ac:dyDescent="0.2">
      <c r="A34" s="2">
        <f t="shared" si="7"/>
        <v>20</v>
      </c>
      <c r="B34" s="31" t="s">
        <v>99</v>
      </c>
      <c r="D34" s="41">
        <f ca="1">SUM(D27:D33)</f>
        <v>5974.7807023538589</v>
      </c>
      <c r="F34" s="41">
        <f>SUM(F27:F33)</f>
        <v>4472.5161039693821</v>
      </c>
      <c r="J34" s="41">
        <f ca="1">SUM(J27:J33)</f>
        <v>1502.2645983844773</v>
      </c>
      <c r="N34" s="41">
        <f t="shared" ref="N34:V34" ca="1" si="8">SUM(N27:N33)</f>
        <v>1535.0986207652413</v>
      </c>
      <c r="O34" s="41">
        <f t="shared" ca="1" si="8"/>
        <v>619.2334760831111</v>
      </c>
      <c r="P34" s="41">
        <f t="shared" ca="1" si="8"/>
        <v>314.20873843063885</v>
      </c>
      <c r="Q34" s="41">
        <f t="shared" ca="1" si="8"/>
        <v>9.4394662911470861E-2</v>
      </c>
      <c r="R34" s="41">
        <f t="shared" ca="1" si="8"/>
        <v>2.7650331538470567</v>
      </c>
      <c r="S34" s="41">
        <f t="shared" ca="1" si="8"/>
        <v>21.847522685883813</v>
      </c>
      <c r="T34" s="41">
        <f t="shared" ca="1" si="8"/>
        <v>454.03210272447245</v>
      </c>
      <c r="U34" s="41">
        <f t="shared" ca="1" si="8"/>
        <v>30.141225388767893</v>
      </c>
      <c r="V34" s="41">
        <f t="shared" ca="1" si="8"/>
        <v>35.723135691782829</v>
      </c>
      <c r="W34" s="41">
        <f ca="1">SUM(W27:W33)</f>
        <v>185.12820461721381</v>
      </c>
      <c r="X34" s="41">
        <f ca="1">SUM(X27:X33)</f>
        <v>14.886585935714384</v>
      </c>
      <c r="Y34" s="41">
        <f ca="1">SUM(Y27:Y33)</f>
        <v>2646.2259384610261</v>
      </c>
      <c r="Z34" s="41">
        <f ca="1">SUM(Z27:Z33)</f>
        <v>16.562904506388936</v>
      </c>
      <c r="AA34" s="41">
        <f ca="1">SUM(AA27:AA33)</f>
        <v>98.832819246859714</v>
      </c>
    </row>
    <row r="35" spans="1:27" x14ac:dyDescent="0.2"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</row>
    <row r="36" spans="1:27" x14ac:dyDescent="0.2">
      <c r="B36" s="77" t="s">
        <v>100</v>
      </c>
      <c r="H36" s="31"/>
      <c r="J36" s="2"/>
      <c r="L36" s="31"/>
      <c r="N36" s="2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</row>
    <row r="37" spans="1:27" x14ac:dyDescent="0.2">
      <c r="A37" s="2">
        <f>A34+1</f>
        <v>21</v>
      </c>
      <c r="B37" s="31" t="s">
        <v>287</v>
      </c>
      <c r="D37" s="79">
        <f ca="1">'Total Allocation RZ - Gas'!Q37</f>
        <v>3690.0010024329126</v>
      </c>
      <c r="E37" s="79"/>
      <c r="F37" s="79"/>
      <c r="G37" s="79"/>
      <c r="H37" s="79"/>
      <c r="I37" s="79"/>
      <c r="J37" s="79">
        <f t="shared" ref="J37:J39" ca="1" si="9">D37-F37</f>
        <v>3690.0010024329126</v>
      </c>
      <c r="K37" s="79"/>
      <c r="L37" s="2" t="s">
        <v>290</v>
      </c>
      <c r="N37" s="79">
        <f ca="1">IF($J37&lt;&gt;0,VLOOKUP($L37,'Allocation Factors-Union South'!$B$12:$T$116,5,FALSE)*$J37,0)+IF($F37&lt;&gt;0,VLOOKUP($H37,'Allocation Factors-Union South'!$B$12:$T$116,5,FALSE)*$F37,0)</f>
        <v>1362.0664975616103</v>
      </c>
      <c r="O37" s="79">
        <f ca="1">IF($J37&lt;&gt;0,VLOOKUP($L37,'Allocation Factors-Union South'!$B$12:$T$116,6,FALSE)*$J37,0)+IF($F37&lt;&gt;0,VLOOKUP($H37,'Allocation Factors-Union South'!$B$12:$T$116,6,FALSE)*$F37,0)</f>
        <v>504.37803137846316</v>
      </c>
      <c r="P37" s="79">
        <f ca="1">IF($J37&lt;&gt;0,VLOOKUP($L37,'Allocation Factors-Union South'!$B$12:$T$116,7,FALSE)*$J37,0)+IF($F37&lt;&gt;0,VLOOKUP($H37,'Allocation Factors-Union South'!$B$12:$T$116,7,FALSE)*$F37,0)</f>
        <v>179.62197005667966</v>
      </c>
      <c r="Q37" s="79">
        <f ca="1">IF($J37&lt;&gt;0,VLOOKUP($L37,'Allocation Factors-Union South'!$B$12:$T$116,8,FALSE)*$J37,0)+IF($F37&lt;&gt;0,VLOOKUP($H37,'Allocation Factors-Union South'!$B$12:$T$116,8,FALSE)*$F37,0)</f>
        <v>0</v>
      </c>
      <c r="R37" s="79">
        <f ca="1">IF($J37&lt;&gt;0,VLOOKUP($L37,'Allocation Factors-Union South'!$B$12:$T$116,9,FALSE)*$J37,0)+IF($F37&lt;&gt;0,VLOOKUP($H37,'Allocation Factors-Union South'!$B$12:$T$116,9,FALSE)*$F37,0)</f>
        <v>1.5779309930637735</v>
      </c>
      <c r="S37" s="79">
        <f ca="1">IF($J37&lt;&gt;0,VLOOKUP($L37,'Allocation Factors-Union South'!$B$12:$T$116,10,FALSE)*$J37,0)+IF($F37&lt;&gt;0,VLOOKUP($H37,'Allocation Factors-Union South'!$B$12:$T$116,10,FALSE)*$F37,0)</f>
        <v>0</v>
      </c>
      <c r="T37" s="79">
        <f ca="1">IF($J37&lt;&gt;0,VLOOKUP($L37,'Allocation Factors-Union South'!$B$12:$T$116,11,FALSE)*$J37,0)+IF($F37&lt;&gt;0,VLOOKUP($H37,'Allocation Factors-Union South'!$B$12:$T$116,11,FALSE)*$F37,0)</f>
        <v>265.6925575854043</v>
      </c>
      <c r="U37" s="79">
        <f ca="1">IF($J37&lt;&gt;0,VLOOKUP($L37,'Allocation Factors-Union South'!$B$12:$T$116,12,FALSE)*$J37,0)+IF($F37&lt;&gt;0,VLOOKUP($H37,'Allocation Factors-Union South'!$B$12:$T$116,12,FALSE)*$F37,0)</f>
        <v>0</v>
      </c>
      <c r="V37" s="79">
        <f ca="1">IF($J37&lt;&gt;0,VLOOKUP($L37,'Allocation Factors-Union South'!$B$12:$T$116,13,FALSE)*$J37,0)+IF($F37&lt;&gt;0,VLOOKUP($H37,'Allocation Factors-Union South'!$B$12:$T$116,13,FALSE)*$F37,0)</f>
        <v>21.690307760714177</v>
      </c>
      <c r="W37" s="79">
        <f ca="1">IF($J37&lt;&gt;0,VLOOKUP($L37,'Allocation Factors-Union South'!$B$12:$T$116,14,FALSE)*$J37,0)+IF($F37&lt;&gt;0,VLOOKUP($H37,'Allocation Factors-Union South'!$B$12:$T$116,14,FALSE)*$F37,0)</f>
        <v>91.03823703611144</v>
      </c>
      <c r="X37" s="79">
        <f ca="1">IF($J37&lt;&gt;0,VLOOKUP($L37,'Allocation Factors-Union South'!$B$12:$T$116,15,FALSE)*$J37,0)+IF($F37&lt;&gt;0,VLOOKUP($H37,'Allocation Factors-Union South'!$B$12:$T$116,15,FALSE)*$F37,0)</f>
        <v>0</v>
      </c>
      <c r="Y37" s="79">
        <f ca="1">IF($J37&lt;&gt;0,VLOOKUP($L37,'Allocation Factors-Union South'!$B$12:$T$116,16,FALSE)*$J37,0)+IF($F37&lt;&gt;0,VLOOKUP($H37,'Allocation Factors-Union South'!$B$12:$T$116,16,FALSE)*$F37,0)</f>
        <v>1149.8915920566665</v>
      </c>
      <c r="Z37" s="79">
        <f ca="1">IF($J37&lt;&gt;0,VLOOKUP($L37,'Allocation Factors-Union South'!$B$12:$T$116,17,FALSE)*$J37,0)+IF($F37&lt;&gt;0,VLOOKUP($H37,'Allocation Factors-Union South'!$B$12:$T$116,17,FALSE)*$F37,0)</f>
        <v>0</v>
      </c>
      <c r="AA37" s="79">
        <f ca="1">IF($J37&lt;&gt;0,VLOOKUP($L37,'Allocation Factors-Union South'!$B$12:$T$116,18,FALSE)*$J37,0)+IF($F37&lt;&gt;0,VLOOKUP($H37,'Allocation Factors-Union South'!$B$12:$T$116,18,FALSE)*$F37,0)</f>
        <v>114.04387800419921</v>
      </c>
    </row>
    <row r="38" spans="1:27" x14ac:dyDescent="0.2">
      <c r="A38" s="2">
        <f>A37+1</f>
        <v>22</v>
      </c>
      <c r="B38" s="31" t="s">
        <v>288</v>
      </c>
      <c r="D38" s="79">
        <f ca="1">'Total Allocation RZ - Gas'!Q38</f>
        <v>0</v>
      </c>
      <c r="E38" s="79"/>
      <c r="F38" s="79"/>
      <c r="G38" s="79"/>
      <c r="H38" s="79"/>
      <c r="I38" s="79"/>
      <c r="J38" s="79">
        <f t="shared" ca="1" si="9"/>
        <v>0</v>
      </c>
      <c r="K38" s="79"/>
      <c r="L38" s="2" t="s">
        <v>291</v>
      </c>
      <c r="N38" s="79">
        <f ca="1">IF($J38&lt;&gt;0,VLOOKUP($L38,'Allocation Factors-Union South'!$B$12:$T$116,5,FALSE)*$J38,0)+IF($F38&lt;&gt;0,VLOOKUP($H38,'Allocation Factors-Union South'!$B$12:$T$116,5,FALSE)*$F38,0)</f>
        <v>0</v>
      </c>
      <c r="O38" s="79">
        <f ca="1">IF($J38&lt;&gt;0,VLOOKUP($L38,'Allocation Factors-Union South'!$B$12:$T$116,6,FALSE)*$J38,0)+IF($F38&lt;&gt;0,VLOOKUP($H38,'Allocation Factors-Union South'!$B$12:$T$116,6,FALSE)*$F38,0)</f>
        <v>0</v>
      </c>
      <c r="P38" s="79">
        <f ca="1">IF($J38&lt;&gt;0,VLOOKUP($L38,'Allocation Factors-Union South'!$B$12:$T$116,7,FALSE)*$J38,0)+IF($F38&lt;&gt;0,VLOOKUP($H38,'Allocation Factors-Union South'!$B$12:$T$116,7,FALSE)*$F38,0)</f>
        <v>0</v>
      </c>
      <c r="Q38" s="79">
        <f ca="1">IF($J38&lt;&gt;0,VLOOKUP($L38,'Allocation Factors-Union South'!$B$12:$T$116,8,FALSE)*$J38,0)+IF($F38&lt;&gt;0,VLOOKUP($H38,'Allocation Factors-Union South'!$B$12:$T$116,8,FALSE)*$F38,0)</f>
        <v>0</v>
      </c>
      <c r="R38" s="79">
        <f ca="1">IF($J38&lt;&gt;0,VLOOKUP($L38,'Allocation Factors-Union South'!$B$12:$T$116,9,FALSE)*$J38,0)+IF($F38&lt;&gt;0,VLOOKUP($H38,'Allocation Factors-Union South'!$B$12:$T$116,9,FALSE)*$F38,0)</f>
        <v>0</v>
      </c>
      <c r="S38" s="79">
        <f ca="1">IF($J38&lt;&gt;0,VLOOKUP($L38,'Allocation Factors-Union South'!$B$12:$T$116,10,FALSE)*$J38,0)+IF($F38&lt;&gt;0,VLOOKUP($H38,'Allocation Factors-Union South'!$B$12:$T$116,10,FALSE)*$F38,0)</f>
        <v>0</v>
      </c>
      <c r="T38" s="79">
        <f ca="1">IF($J38&lt;&gt;0,VLOOKUP($L38,'Allocation Factors-Union South'!$B$12:$T$116,11,FALSE)*$J38,0)+IF($F38&lt;&gt;0,VLOOKUP($H38,'Allocation Factors-Union South'!$B$12:$T$116,11,FALSE)*$F38,0)</f>
        <v>0</v>
      </c>
      <c r="U38" s="79">
        <f ca="1">IF($J38&lt;&gt;0,VLOOKUP($L38,'Allocation Factors-Union South'!$B$12:$T$116,12,FALSE)*$J38,0)+IF($F38&lt;&gt;0,VLOOKUP($H38,'Allocation Factors-Union South'!$B$12:$T$116,12,FALSE)*$F38,0)</f>
        <v>0</v>
      </c>
      <c r="V38" s="79">
        <f ca="1">IF($J38&lt;&gt;0,VLOOKUP($L38,'Allocation Factors-Union South'!$B$12:$T$116,13,FALSE)*$J38,0)+IF($F38&lt;&gt;0,VLOOKUP($H38,'Allocation Factors-Union South'!$B$12:$T$116,13,FALSE)*$F38,0)</f>
        <v>0</v>
      </c>
      <c r="W38" s="79">
        <f ca="1">IF($J38&lt;&gt;0,VLOOKUP($L38,'Allocation Factors-Union South'!$B$12:$T$116,14,FALSE)*$J38,0)+IF($F38&lt;&gt;0,VLOOKUP($H38,'Allocation Factors-Union South'!$B$12:$T$116,14,FALSE)*$F38,0)</f>
        <v>0</v>
      </c>
      <c r="X38" s="79">
        <f ca="1">IF($J38&lt;&gt;0,VLOOKUP($L38,'Allocation Factors-Union South'!$B$12:$T$116,15,FALSE)*$J38,0)+IF($F38&lt;&gt;0,VLOOKUP($H38,'Allocation Factors-Union South'!$B$12:$T$116,15,FALSE)*$F38,0)</f>
        <v>0</v>
      </c>
      <c r="Y38" s="79">
        <f ca="1">IF($J38&lt;&gt;0,VLOOKUP($L38,'Allocation Factors-Union South'!$B$12:$T$116,16,FALSE)*$J38,0)+IF($F38&lt;&gt;0,VLOOKUP($H38,'Allocation Factors-Union South'!$B$12:$T$116,16,FALSE)*$F38,0)</f>
        <v>0</v>
      </c>
      <c r="Z38" s="79">
        <f ca="1">IF($J38&lt;&gt;0,VLOOKUP($L38,'Allocation Factors-Union South'!$B$12:$T$116,17,FALSE)*$J38,0)+IF($F38&lt;&gt;0,VLOOKUP($H38,'Allocation Factors-Union South'!$B$12:$T$116,17,FALSE)*$F38,0)</f>
        <v>0</v>
      </c>
      <c r="AA38" s="79">
        <f ca="1">IF($J38&lt;&gt;0,VLOOKUP($L38,'Allocation Factors-Union South'!$B$12:$T$116,18,FALSE)*$J38,0)+IF($F38&lt;&gt;0,VLOOKUP($H38,'Allocation Factors-Union South'!$B$12:$T$116,18,FALSE)*$F38,0)</f>
        <v>0</v>
      </c>
    </row>
    <row r="39" spans="1:27" x14ac:dyDescent="0.2">
      <c r="A39" s="2">
        <f t="shared" ref="A39:A52" si="10">A38+1</f>
        <v>23</v>
      </c>
      <c r="B39" s="31" t="s">
        <v>289</v>
      </c>
      <c r="D39" s="79">
        <f ca="1">'Total Allocation RZ - Gas'!Q39</f>
        <v>0</v>
      </c>
      <c r="E39" s="79"/>
      <c r="F39" s="79"/>
      <c r="G39" s="79"/>
      <c r="H39" s="79"/>
      <c r="I39" s="79"/>
      <c r="J39" s="79">
        <f t="shared" ca="1" si="9"/>
        <v>0</v>
      </c>
      <c r="K39" s="79"/>
      <c r="L39" s="2" t="s">
        <v>292</v>
      </c>
      <c r="N39" s="79">
        <f ca="1">IF($J39&lt;&gt;0,VLOOKUP($L39,'Allocation Factors-Union South'!$B$12:$T$116,5,FALSE)*$J39,0)+IF($F39&lt;&gt;0,VLOOKUP($H39,'Allocation Factors-Union South'!$B$12:$T$116,5,FALSE)*$F39,0)</f>
        <v>0</v>
      </c>
      <c r="O39" s="79">
        <f ca="1">IF($J39&lt;&gt;0,VLOOKUP($L39,'Allocation Factors-Union South'!$B$12:$T$116,6,FALSE)*$J39,0)+IF($F39&lt;&gt;0,VLOOKUP($H39,'Allocation Factors-Union South'!$B$12:$T$116,6,FALSE)*$F39,0)</f>
        <v>0</v>
      </c>
      <c r="P39" s="79">
        <f ca="1">IF($J39&lt;&gt;0,VLOOKUP($L39,'Allocation Factors-Union South'!$B$12:$T$116,7,FALSE)*$J39,0)+IF($F39&lt;&gt;0,VLOOKUP($H39,'Allocation Factors-Union South'!$B$12:$T$116,7,FALSE)*$F39,0)</f>
        <v>0</v>
      </c>
      <c r="Q39" s="79">
        <f ca="1">IF($J39&lt;&gt;0,VLOOKUP($L39,'Allocation Factors-Union South'!$B$12:$T$116,8,FALSE)*$J39,0)+IF($F39&lt;&gt;0,VLOOKUP($H39,'Allocation Factors-Union South'!$B$12:$T$116,8,FALSE)*$F39,0)</f>
        <v>0</v>
      </c>
      <c r="R39" s="79">
        <f ca="1">IF($J39&lt;&gt;0,VLOOKUP($L39,'Allocation Factors-Union South'!$B$12:$T$116,9,FALSE)*$J39,0)+IF($F39&lt;&gt;0,VLOOKUP($H39,'Allocation Factors-Union South'!$B$12:$T$116,9,FALSE)*$F39,0)</f>
        <v>0</v>
      </c>
      <c r="S39" s="79">
        <f ca="1">IF($J39&lt;&gt;0,VLOOKUP($L39,'Allocation Factors-Union South'!$B$12:$T$116,10,FALSE)*$J39,0)+IF($F39&lt;&gt;0,VLOOKUP($H39,'Allocation Factors-Union South'!$B$12:$T$116,10,FALSE)*$F39,0)</f>
        <v>0</v>
      </c>
      <c r="T39" s="79">
        <f ca="1">IF($J39&lt;&gt;0,VLOOKUP($L39,'Allocation Factors-Union South'!$B$12:$T$116,11,FALSE)*$J39,0)+IF($F39&lt;&gt;0,VLOOKUP($H39,'Allocation Factors-Union South'!$B$12:$T$116,11,FALSE)*$F39,0)</f>
        <v>0</v>
      </c>
      <c r="U39" s="79">
        <f ca="1">IF($J39&lt;&gt;0,VLOOKUP($L39,'Allocation Factors-Union South'!$B$12:$T$116,12,FALSE)*$J39,0)+IF($F39&lt;&gt;0,VLOOKUP($H39,'Allocation Factors-Union South'!$B$12:$T$116,12,FALSE)*$F39,0)</f>
        <v>0</v>
      </c>
      <c r="V39" s="79">
        <f ca="1">IF($J39&lt;&gt;0,VLOOKUP($L39,'Allocation Factors-Union South'!$B$12:$T$116,13,FALSE)*$J39,0)+IF($F39&lt;&gt;0,VLOOKUP($H39,'Allocation Factors-Union South'!$B$12:$T$116,13,FALSE)*$F39,0)</f>
        <v>0</v>
      </c>
      <c r="W39" s="79">
        <f ca="1">IF($J39&lt;&gt;0,VLOOKUP($L39,'Allocation Factors-Union South'!$B$12:$T$116,14,FALSE)*$J39,0)+IF($F39&lt;&gt;0,VLOOKUP($H39,'Allocation Factors-Union South'!$B$12:$T$116,14,FALSE)*$F39,0)</f>
        <v>0</v>
      </c>
      <c r="X39" s="79">
        <f ca="1">IF($J39&lt;&gt;0,VLOOKUP($L39,'Allocation Factors-Union South'!$B$12:$T$116,15,FALSE)*$J39,0)+IF($F39&lt;&gt;0,VLOOKUP($H39,'Allocation Factors-Union South'!$B$12:$T$116,15,FALSE)*$F39,0)</f>
        <v>0</v>
      </c>
      <c r="Y39" s="79">
        <f ca="1">IF($J39&lt;&gt;0,VLOOKUP($L39,'Allocation Factors-Union South'!$B$12:$T$116,16,FALSE)*$J39,0)+IF($F39&lt;&gt;0,VLOOKUP($H39,'Allocation Factors-Union South'!$B$12:$T$116,16,FALSE)*$F39,0)</f>
        <v>0</v>
      </c>
      <c r="Z39" s="79">
        <f ca="1">IF($J39&lt;&gt;0,VLOOKUP($L39,'Allocation Factors-Union South'!$B$12:$T$116,17,FALSE)*$J39,0)+IF($F39&lt;&gt;0,VLOOKUP($H39,'Allocation Factors-Union South'!$B$12:$T$116,17,FALSE)*$F39,0)</f>
        <v>0</v>
      </c>
      <c r="AA39" s="79">
        <f ca="1">IF($J39&lt;&gt;0,VLOOKUP($L39,'Allocation Factors-Union South'!$B$12:$T$116,18,FALSE)*$J39,0)+IF($F39&lt;&gt;0,VLOOKUP($H39,'Allocation Factors-Union South'!$B$12:$T$116,18,FALSE)*$F39,0)</f>
        <v>0</v>
      </c>
    </row>
    <row r="40" spans="1:27" x14ac:dyDescent="0.2">
      <c r="B40" s="31" t="s">
        <v>163</v>
      </c>
      <c r="D40" s="79"/>
      <c r="E40" s="79"/>
      <c r="F40" s="79"/>
      <c r="G40" s="79"/>
      <c r="H40" s="79"/>
      <c r="I40" s="79"/>
      <c r="J40" s="123"/>
      <c r="K40" s="79"/>
      <c r="N40" s="2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</row>
    <row r="41" spans="1:27" x14ac:dyDescent="0.2">
      <c r="A41" s="2">
        <f>A39+1</f>
        <v>24</v>
      </c>
      <c r="B41" s="82" t="s">
        <v>165</v>
      </c>
      <c r="D41" s="79">
        <f ca="1">'Total Allocation RZ - Gas'!Q41</f>
        <v>0</v>
      </c>
      <c r="E41" s="79"/>
      <c r="F41" s="79"/>
      <c r="G41" s="79"/>
      <c r="H41" s="79"/>
      <c r="I41" s="79"/>
      <c r="J41" s="79">
        <f t="shared" ref="J41:J46" ca="1" si="11">D41-F41</f>
        <v>0</v>
      </c>
      <c r="K41" s="79"/>
      <c r="L41" s="2" t="s">
        <v>161</v>
      </c>
      <c r="N41" s="79">
        <f ca="1">IF($J41&lt;&gt;0,VLOOKUP($L41,'Allocation Factors-Union South'!$B$12:$T$116,5,FALSE)*$J41,0)+IF($F41&lt;&gt;0,VLOOKUP($H41,'Allocation Factors-Union South'!$B$12:$T$116,5,FALSE)*$F41,0)</f>
        <v>0</v>
      </c>
      <c r="O41" s="79">
        <f ca="1">IF($J41&lt;&gt;0,VLOOKUP($L41,'Allocation Factors-Union South'!$B$12:$T$116,6,FALSE)*$J41,0)+IF($F41&lt;&gt;0,VLOOKUP($H41,'Allocation Factors-Union South'!$B$12:$T$116,6,FALSE)*$F41,0)</f>
        <v>0</v>
      </c>
      <c r="P41" s="79">
        <f ca="1">IF($J41&lt;&gt;0,VLOOKUP($L41,'Allocation Factors-Union South'!$B$12:$T$116,7,FALSE)*$J41,0)+IF($F41&lt;&gt;0,VLOOKUP($H41,'Allocation Factors-Union South'!$B$12:$T$116,7,FALSE)*$F41,0)</f>
        <v>0</v>
      </c>
      <c r="Q41" s="79">
        <f ca="1">IF($J41&lt;&gt;0,VLOOKUP($L41,'Allocation Factors-Union South'!$B$12:$T$116,8,FALSE)*$J41,0)+IF($F41&lt;&gt;0,VLOOKUP($H41,'Allocation Factors-Union South'!$B$12:$T$116,8,FALSE)*$F41,0)</f>
        <v>0</v>
      </c>
      <c r="R41" s="79">
        <f ca="1">IF($J41&lt;&gt;0,VLOOKUP($L41,'Allocation Factors-Union South'!$B$12:$T$116,9,FALSE)*$J41,0)+IF($F41&lt;&gt;0,VLOOKUP($H41,'Allocation Factors-Union South'!$B$12:$T$116,9,FALSE)*$F41,0)</f>
        <v>0</v>
      </c>
      <c r="S41" s="79">
        <f ca="1">IF($J41&lt;&gt;0,VLOOKUP($L41,'Allocation Factors-Union South'!$B$12:$T$116,10,FALSE)*$J41,0)+IF($F41&lt;&gt;0,VLOOKUP($H41,'Allocation Factors-Union South'!$B$12:$T$116,10,FALSE)*$F41,0)</f>
        <v>0</v>
      </c>
      <c r="T41" s="79">
        <f ca="1">IF($J41&lt;&gt;0,VLOOKUP($L41,'Allocation Factors-Union South'!$B$12:$T$116,11,FALSE)*$J41,0)+IF($F41&lt;&gt;0,VLOOKUP($H41,'Allocation Factors-Union South'!$B$12:$T$116,11,FALSE)*$F41,0)</f>
        <v>0</v>
      </c>
      <c r="U41" s="79">
        <f ca="1">IF($J41&lt;&gt;0,VLOOKUP($L41,'Allocation Factors-Union South'!$B$12:$T$116,12,FALSE)*$J41,0)+IF($F41&lt;&gt;0,VLOOKUP($H41,'Allocation Factors-Union South'!$B$12:$T$116,12,FALSE)*$F41,0)</f>
        <v>0</v>
      </c>
      <c r="V41" s="79">
        <f ca="1">IF($J41&lt;&gt;0,VLOOKUP($L41,'Allocation Factors-Union South'!$B$12:$T$116,13,FALSE)*$J41,0)+IF($F41&lt;&gt;0,VLOOKUP($H41,'Allocation Factors-Union South'!$B$12:$T$116,13,FALSE)*$F41,0)</f>
        <v>0</v>
      </c>
      <c r="W41" s="79">
        <f ca="1">IF($J41&lt;&gt;0,VLOOKUP($L41,'Allocation Factors-Union South'!$B$12:$T$116,14,FALSE)*$J41,0)+IF($F41&lt;&gt;0,VLOOKUP($H41,'Allocation Factors-Union South'!$B$12:$T$116,14,FALSE)*$F41,0)</f>
        <v>0</v>
      </c>
      <c r="X41" s="79">
        <f ca="1">IF($J41&lt;&gt;0,VLOOKUP($L41,'Allocation Factors-Union South'!$B$12:$T$116,15,FALSE)*$J41,0)+IF($F41&lt;&gt;0,VLOOKUP($H41,'Allocation Factors-Union South'!$B$12:$T$116,15,FALSE)*$F41,0)</f>
        <v>0</v>
      </c>
      <c r="Y41" s="79">
        <f ca="1">IF($J41&lt;&gt;0,VLOOKUP($L41,'Allocation Factors-Union South'!$B$12:$T$116,16,FALSE)*$J41,0)+IF($F41&lt;&gt;0,VLOOKUP($H41,'Allocation Factors-Union South'!$B$12:$T$116,16,FALSE)*$F41,0)</f>
        <v>0</v>
      </c>
      <c r="Z41" s="79">
        <f ca="1">IF($J41&lt;&gt;0,VLOOKUP($L41,'Allocation Factors-Union South'!$B$12:$T$116,17,FALSE)*$J41,0)+IF($F41&lt;&gt;0,VLOOKUP($H41,'Allocation Factors-Union South'!$B$12:$T$116,17,FALSE)*$F41,0)</f>
        <v>0</v>
      </c>
      <c r="AA41" s="79">
        <f ca="1">IF($J41&lt;&gt;0,VLOOKUP($L41,'Allocation Factors-Union South'!$B$12:$T$116,18,FALSE)*$J41,0)+IF($F41&lt;&gt;0,VLOOKUP($H41,'Allocation Factors-Union South'!$B$12:$T$116,18,FALSE)*$F41,0)</f>
        <v>0</v>
      </c>
    </row>
    <row r="42" spans="1:27" x14ac:dyDescent="0.2">
      <c r="A42" s="2">
        <f t="shared" si="10"/>
        <v>25</v>
      </c>
      <c r="B42" s="82" t="s">
        <v>166</v>
      </c>
      <c r="D42" s="79">
        <f ca="1">'Total Allocation RZ - Gas'!Q42</f>
        <v>0</v>
      </c>
      <c r="E42" s="79"/>
      <c r="F42" s="79"/>
      <c r="G42" s="79"/>
      <c r="H42" s="79"/>
      <c r="I42" s="79"/>
      <c r="J42" s="79">
        <f t="shared" ca="1" si="11"/>
        <v>0</v>
      </c>
      <c r="K42" s="79"/>
      <c r="L42" s="2" t="s">
        <v>162</v>
      </c>
      <c r="N42" s="79">
        <f ca="1">IF($J42&lt;&gt;0,VLOOKUP($L42,'Allocation Factors-Union South'!$B$12:$T$116,5,FALSE)*$J42,0)+IF($F42&lt;&gt;0,VLOOKUP($H42,'Allocation Factors-Union South'!$B$12:$T$116,5,FALSE)*$F42,0)</f>
        <v>0</v>
      </c>
      <c r="O42" s="79">
        <f ca="1">IF($J42&lt;&gt;0,VLOOKUP($L42,'Allocation Factors-Union South'!$B$12:$T$116,6,FALSE)*$J42,0)+IF($F42&lt;&gt;0,VLOOKUP($H42,'Allocation Factors-Union South'!$B$12:$T$116,6,FALSE)*$F42,0)</f>
        <v>0</v>
      </c>
      <c r="P42" s="79">
        <f ca="1">IF($J42&lt;&gt;0,VLOOKUP($L42,'Allocation Factors-Union South'!$B$12:$T$116,7,FALSE)*$J42,0)+IF($F42&lt;&gt;0,VLOOKUP($H42,'Allocation Factors-Union South'!$B$12:$T$116,7,FALSE)*$F42,0)</f>
        <v>0</v>
      </c>
      <c r="Q42" s="79">
        <f ca="1">IF($J42&lt;&gt;0,VLOOKUP($L42,'Allocation Factors-Union South'!$B$12:$T$116,8,FALSE)*$J42,0)+IF($F42&lt;&gt;0,VLOOKUP($H42,'Allocation Factors-Union South'!$B$12:$T$116,8,FALSE)*$F42,0)</f>
        <v>0</v>
      </c>
      <c r="R42" s="79">
        <f ca="1">IF($J42&lt;&gt;0,VLOOKUP($L42,'Allocation Factors-Union South'!$B$12:$T$116,9,FALSE)*$J42,0)+IF($F42&lt;&gt;0,VLOOKUP($H42,'Allocation Factors-Union South'!$B$12:$T$116,9,FALSE)*$F42,0)</f>
        <v>0</v>
      </c>
      <c r="S42" s="79">
        <f ca="1">IF($J42&lt;&gt;0,VLOOKUP($L42,'Allocation Factors-Union South'!$B$12:$T$116,10,FALSE)*$J42,0)+IF($F42&lt;&gt;0,VLOOKUP($H42,'Allocation Factors-Union South'!$B$12:$T$116,10,FALSE)*$F42,0)</f>
        <v>0</v>
      </c>
      <c r="T42" s="79">
        <f ca="1">IF($J42&lt;&gt;0,VLOOKUP($L42,'Allocation Factors-Union South'!$B$12:$T$116,11,FALSE)*$J42,0)+IF($F42&lt;&gt;0,VLOOKUP($H42,'Allocation Factors-Union South'!$B$12:$T$116,11,FALSE)*$F42,0)</f>
        <v>0</v>
      </c>
      <c r="U42" s="79">
        <f ca="1">IF($J42&lt;&gt;0,VLOOKUP($L42,'Allocation Factors-Union South'!$B$12:$T$116,12,FALSE)*$J42,0)+IF($F42&lt;&gt;0,VLOOKUP($H42,'Allocation Factors-Union South'!$B$12:$T$116,12,FALSE)*$F42,0)</f>
        <v>0</v>
      </c>
      <c r="V42" s="79">
        <f ca="1">IF($J42&lt;&gt;0,VLOOKUP($L42,'Allocation Factors-Union South'!$B$12:$T$116,13,FALSE)*$J42,0)+IF($F42&lt;&gt;0,VLOOKUP($H42,'Allocation Factors-Union South'!$B$12:$T$116,13,FALSE)*$F42,0)</f>
        <v>0</v>
      </c>
      <c r="W42" s="79">
        <f ca="1">IF($J42&lt;&gt;0,VLOOKUP($L42,'Allocation Factors-Union South'!$B$12:$T$116,14,FALSE)*$J42,0)+IF($F42&lt;&gt;0,VLOOKUP($H42,'Allocation Factors-Union South'!$B$12:$T$116,14,FALSE)*$F42,0)</f>
        <v>0</v>
      </c>
      <c r="X42" s="79">
        <f ca="1">IF($J42&lt;&gt;0,VLOOKUP($L42,'Allocation Factors-Union South'!$B$12:$T$116,15,FALSE)*$J42,0)+IF($F42&lt;&gt;0,VLOOKUP($H42,'Allocation Factors-Union South'!$B$12:$T$116,15,FALSE)*$F42,0)</f>
        <v>0</v>
      </c>
      <c r="Y42" s="79">
        <f ca="1">IF($J42&lt;&gt;0,VLOOKUP($L42,'Allocation Factors-Union South'!$B$12:$T$116,16,FALSE)*$J42,0)+IF($F42&lt;&gt;0,VLOOKUP($H42,'Allocation Factors-Union South'!$B$12:$T$116,16,FALSE)*$F42,0)</f>
        <v>0</v>
      </c>
      <c r="Z42" s="79">
        <f ca="1">IF($J42&lt;&gt;0,VLOOKUP($L42,'Allocation Factors-Union South'!$B$12:$T$116,17,FALSE)*$J42,0)+IF($F42&lt;&gt;0,VLOOKUP($H42,'Allocation Factors-Union South'!$B$12:$T$116,17,FALSE)*$F42,0)</f>
        <v>0</v>
      </c>
      <c r="AA42" s="79">
        <f ca="1">IF($J42&lt;&gt;0,VLOOKUP($L42,'Allocation Factors-Union South'!$B$12:$T$116,18,FALSE)*$J42,0)+IF($F42&lt;&gt;0,VLOOKUP($H42,'Allocation Factors-Union South'!$B$12:$T$116,18,FALSE)*$F42,0)</f>
        <v>0</v>
      </c>
    </row>
    <row r="43" spans="1:27" x14ac:dyDescent="0.2">
      <c r="A43" s="2">
        <f t="shared" si="10"/>
        <v>26</v>
      </c>
      <c r="B43" s="31" t="s">
        <v>101</v>
      </c>
      <c r="D43" s="79">
        <f ca="1">'Total Allocation RZ - Gas'!Q43</f>
        <v>0</v>
      </c>
      <c r="E43" s="79"/>
      <c r="F43" s="79"/>
      <c r="G43" s="79"/>
      <c r="H43" s="79"/>
      <c r="I43" s="79"/>
      <c r="J43" s="79">
        <f t="shared" ca="1" si="11"/>
        <v>0</v>
      </c>
      <c r="K43" s="79"/>
      <c r="L43" s="2" t="s">
        <v>220</v>
      </c>
      <c r="N43" s="79">
        <f ca="1">IF($J43&lt;&gt;0,VLOOKUP($L43,'Allocation Factors-Union South'!$B$12:$T$116,5,FALSE)*$J43,0)+IF($F43&lt;&gt;0,VLOOKUP($H43,'Allocation Factors-Union South'!$B$12:$T$116,5,FALSE)*$F43,0)</f>
        <v>0</v>
      </c>
      <c r="O43" s="79">
        <f ca="1">IF($J43&lt;&gt;0,VLOOKUP($L43,'Allocation Factors-Union South'!$B$12:$T$116,6,FALSE)*$J43,0)+IF($F43&lt;&gt;0,VLOOKUP($H43,'Allocation Factors-Union South'!$B$12:$T$116,6,FALSE)*$F43,0)</f>
        <v>0</v>
      </c>
      <c r="P43" s="79">
        <f ca="1">IF($J43&lt;&gt;0,VLOOKUP($L43,'Allocation Factors-Union South'!$B$12:$T$116,7,FALSE)*$J43,0)+IF($F43&lt;&gt;0,VLOOKUP($H43,'Allocation Factors-Union South'!$B$12:$T$116,7,FALSE)*$F43,0)</f>
        <v>0</v>
      </c>
      <c r="Q43" s="79">
        <f ca="1">IF($J43&lt;&gt;0,VLOOKUP($L43,'Allocation Factors-Union South'!$B$12:$T$116,8,FALSE)*$J43,0)+IF($F43&lt;&gt;0,VLOOKUP($H43,'Allocation Factors-Union South'!$B$12:$T$116,8,FALSE)*$F43,0)</f>
        <v>0</v>
      </c>
      <c r="R43" s="79">
        <f ca="1">IF($J43&lt;&gt;0,VLOOKUP($L43,'Allocation Factors-Union South'!$B$12:$T$116,9,FALSE)*$J43,0)+IF($F43&lt;&gt;0,VLOOKUP($H43,'Allocation Factors-Union South'!$B$12:$T$116,9,FALSE)*$F43,0)</f>
        <v>0</v>
      </c>
      <c r="S43" s="79">
        <f ca="1">IF($J43&lt;&gt;0,VLOOKUP($L43,'Allocation Factors-Union South'!$B$12:$T$116,10,FALSE)*$J43,0)+IF($F43&lt;&gt;0,VLOOKUP($H43,'Allocation Factors-Union South'!$B$12:$T$116,10,FALSE)*$F43,0)</f>
        <v>0</v>
      </c>
      <c r="T43" s="79">
        <f ca="1">IF($J43&lt;&gt;0,VLOOKUP($L43,'Allocation Factors-Union South'!$B$12:$T$116,11,FALSE)*$J43,0)+IF($F43&lt;&gt;0,VLOOKUP($H43,'Allocation Factors-Union South'!$B$12:$T$116,11,FALSE)*$F43,0)</f>
        <v>0</v>
      </c>
      <c r="U43" s="79">
        <f ca="1">IF($J43&lt;&gt;0,VLOOKUP($L43,'Allocation Factors-Union South'!$B$12:$T$116,12,FALSE)*$J43,0)+IF($F43&lt;&gt;0,VLOOKUP($H43,'Allocation Factors-Union South'!$B$12:$T$116,12,FALSE)*$F43,0)</f>
        <v>0</v>
      </c>
      <c r="V43" s="79">
        <f ca="1">IF($J43&lt;&gt;0,VLOOKUP($L43,'Allocation Factors-Union South'!$B$12:$T$116,13,FALSE)*$J43,0)+IF($F43&lt;&gt;0,VLOOKUP($H43,'Allocation Factors-Union South'!$B$12:$T$116,13,FALSE)*$F43,0)</f>
        <v>0</v>
      </c>
      <c r="W43" s="79">
        <f ca="1">IF($J43&lt;&gt;0,VLOOKUP($L43,'Allocation Factors-Union South'!$B$12:$T$116,14,FALSE)*$J43,0)+IF($F43&lt;&gt;0,VLOOKUP($H43,'Allocation Factors-Union South'!$B$12:$T$116,14,FALSE)*$F43,0)</f>
        <v>0</v>
      </c>
      <c r="X43" s="79">
        <f ca="1">IF($J43&lt;&gt;0,VLOOKUP($L43,'Allocation Factors-Union South'!$B$12:$T$116,15,FALSE)*$J43,0)+IF($F43&lt;&gt;0,VLOOKUP($H43,'Allocation Factors-Union South'!$B$12:$T$116,15,FALSE)*$F43,0)</f>
        <v>0</v>
      </c>
      <c r="Y43" s="79">
        <f ca="1">IF($J43&lt;&gt;0,VLOOKUP($L43,'Allocation Factors-Union South'!$B$12:$T$116,16,FALSE)*$J43,0)+IF($F43&lt;&gt;0,VLOOKUP($H43,'Allocation Factors-Union South'!$B$12:$T$116,16,FALSE)*$F43,0)</f>
        <v>0</v>
      </c>
      <c r="Z43" s="79">
        <f ca="1">IF($J43&lt;&gt;0,VLOOKUP($L43,'Allocation Factors-Union South'!$B$12:$T$116,17,FALSE)*$J43,0)+IF($F43&lt;&gt;0,VLOOKUP($H43,'Allocation Factors-Union South'!$B$12:$T$116,17,FALSE)*$F43,0)</f>
        <v>0</v>
      </c>
      <c r="AA43" s="79">
        <f ca="1">IF($J43&lt;&gt;0,VLOOKUP($L43,'Allocation Factors-Union South'!$B$12:$T$116,18,FALSE)*$J43,0)+IF($F43&lt;&gt;0,VLOOKUP($H43,'Allocation Factors-Union South'!$B$12:$T$116,18,FALSE)*$F43,0)</f>
        <v>0</v>
      </c>
    </row>
    <row r="44" spans="1:27" x14ac:dyDescent="0.2">
      <c r="A44" s="2">
        <f t="shared" si="10"/>
        <v>27</v>
      </c>
      <c r="B44" s="31" t="s">
        <v>102</v>
      </c>
      <c r="D44" s="79">
        <f ca="1">'Total Allocation RZ - Gas'!Q44</f>
        <v>0</v>
      </c>
      <c r="E44" s="79"/>
      <c r="F44" s="79"/>
      <c r="G44" s="79"/>
      <c r="H44" s="79"/>
      <c r="I44" s="79"/>
      <c r="J44" s="79">
        <f t="shared" ca="1" si="11"/>
        <v>0</v>
      </c>
      <c r="K44" s="79"/>
      <c r="L44" s="2" t="s">
        <v>220</v>
      </c>
      <c r="N44" s="79">
        <f ca="1">IF($J44&lt;&gt;0,VLOOKUP($L44,'Allocation Factors-Union South'!$B$12:$T$116,5,FALSE)*$J44,0)+IF($F44&lt;&gt;0,VLOOKUP($H44,'Allocation Factors-Union South'!$B$12:$T$116,5,FALSE)*$F44,0)</f>
        <v>0</v>
      </c>
      <c r="O44" s="79">
        <f ca="1">IF($J44&lt;&gt;0,VLOOKUP($L44,'Allocation Factors-Union South'!$B$12:$T$116,6,FALSE)*$J44,0)+IF($F44&lt;&gt;0,VLOOKUP($H44,'Allocation Factors-Union South'!$B$12:$T$116,6,FALSE)*$F44,0)</f>
        <v>0</v>
      </c>
      <c r="P44" s="79">
        <f ca="1">IF($J44&lt;&gt;0,VLOOKUP($L44,'Allocation Factors-Union South'!$B$12:$T$116,7,FALSE)*$J44,0)+IF($F44&lt;&gt;0,VLOOKUP($H44,'Allocation Factors-Union South'!$B$12:$T$116,7,FALSE)*$F44,0)</f>
        <v>0</v>
      </c>
      <c r="Q44" s="79">
        <f ca="1">IF($J44&lt;&gt;0,VLOOKUP($L44,'Allocation Factors-Union South'!$B$12:$T$116,8,FALSE)*$J44,0)+IF($F44&lt;&gt;0,VLOOKUP($H44,'Allocation Factors-Union South'!$B$12:$T$116,8,FALSE)*$F44,0)</f>
        <v>0</v>
      </c>
      <c r="R44" s="79">
        <f ca="1">IF($J44&lt;&gt;0,VLOOKUP($L44,'Allocation Factors-Union South'!$B$12:$T$116,9,FALSE)*$J44,0)+IF($F44&lt;&gt;0,VLOOKUP($H44,'Allocation Factors-Union South'!$B$12:$T$116,9,FALSE)*$F44,0)</f>
        <v>0</v>
      </c>
      <c r="S44" s="79">
        <f ca="1">IF($J44&lt;&gt;0,VLOOKUP($L44,'Allocation Factors-Union South'!$B$12:$T$116,10,FALSE)*$J44,0)+IF($F44&lt;&gt;0,VLOOKUP($H44,'Allocation Factors-Union South'!$B$12:$T$116,10,FALSE)*$F44,0)</f>
        <v>0</v>
      </c>
      <c r="T44" s="79">
        <f ca="1">IF($J44&lt;&gt;0,VLOOKUP($L44,'Allocation Factors-Union South'!$B$12:$T$116,11,FALSE)*$J44,0)+IF($F44&lt;&gt;0,VLOOKUP($H44,'Allocation Factors-Union South'!$B$12:$T$116,11,FALSE)*$F44,0)</f>
        <v>0</v>
      </c>
      <c r="U44" s="79">
        <f ca="1">IF($J44&lt;&gt;0,VLOOKUP($L44,'Allocation Factors-Union South'!$B$12:$T$116,12,FALSE)*$J44,0)+IF($F44&lt;&gt;0,VLOOKUP($H44,'Allocation Factors-Union South'!$B$12:$T$116,12,FALSE)*$F44,0)</f>
        <v>0</v>
      </c>
      <c r="V44" s="79">
        <f ca="1">IF($J44&lt;&gt;0,VLOOKUP($L44,'Allocation Factors-Union South'!$B$12:$T$116,13,FALSE)*$J44,0)+IF($F44&lt;&gt;0,VLOOKUP($H44,'Allocation Factors-Union South'!$B$12:$T$116,13,FALSE)*$F44,0)</f>
        <v>0</v>
      </c>
      <c r="W44" s="79">
        <f ca="1">IF($J44&lt;&gt;0,VLOOKUP($L44,'Allocation Factors-Union South'!$B$12:$T$116,14,FALSE)*$J44,0)+IF($F44&lt;&gt;0,VLOOKUP($H44,'Allocation Factors-Union South'!$B$12:$T$116,14,FALSE)*$F44,0)</f>
        <v>0</v>
      </c>
      <c r="X44" s="79">
        <f ca="1">IF($J44&lt;&gt;0,VLOOKUP($L44,'Allocation Factors-Union South'!$B$12:$T$116,15,FALSE)*$J44,0)+IF($F44&lt;&gt;0,VLOOKUP($H44,'Allocation Factors-Union South'!$B$12:$T$116,15,FALSE)*$F44,0)</f>
        <v>0</v>
      </c>
      <c r="Y44" s="79">
        <f ca="1">IF($J44&lt;&gt;0,VLOOKUP($L44,'Allocation Factors-Union South'!$B$12:$T$116,16,FALSE)*$J44,0)+IF($F44&lt;&gt;0,VLOOKUP($H44,'Allocation Factors-Union South'!$B$12:$T$116,16,FALSE)*$F44,0)</f>
        <v>0</v>
      </c>
      <c r="Z44" s="79">
        <f ca="1">IF($J44&lt;&gt;0,VLOOKUP($L44,'Allocation Factors-Union South'!$B$12:$T$116,17,FALSE)*$J44,0)+IF($F44&lt;&gt;0,VLOOKUP($H44,'Allocation Factors-Union South'!$B$12:$T$116,17,FALSE)*$F44,0)</f>
        <v>0</v>
      </c>
      <c r="AA44" s="79">
        <f ca="1">IF($J44&lt;&gt;0,VLOOKUP($L44,'Allocation Factors-Union South'!$B$12:$T$116,18,FALSE)*$J44,0)+IF($F44&lt;&gt;0,VLOOKUP($H44,'Allocation Factors-Union South'!$B$12:$T$116,18,FALSE)*$F44,0)</f>
        <v>0</v>
      </c>
    </row>
    <row r="45" spans="1:27" x14ac:dyDescent="0.2">
      <c r="A45" s="2">
        <f t="shared" si="10"/>
        <v>28</v>
      </c>
      <c r="B45" s="31" t="s">
        <v>103</v>
      </c>
      <c r="D45" s="79">
        <f ca="1">'Total Allocation RZ - Gas'!Q45</f>
        <v>0</v>
      </c>
      <c r="E45" s="79"/>
      <c r="F45" s="79"/>
      <c r="G45" s="79"/>
      <c r="H45" s="79"/>
      <c r="I45" s="79"/>
      <c r="J45" s="79">
        <f t="shared" ca="1" si="11"/>
        <v>0</v>
      </c>
      <c r="K45" s="79"/>
      <c r="L45" s="2" t="s">
        <v>190</v>
      </c>
      <c r="N45" s="79">
        <f ca="1">IF($J45&lt;&gt;0,VLOOKUP($L45,'Allocation Factors-Union South'!$B$12:$T$116,5,FALSE)*$J45,0)+IF($F45&lt;&gt;0,VLOOKUP($H45,'Allocation Factors-Union South'!$B$12:$T$116,5,FALSE)*$F45,0)</f>
        <v>0</v>
      </c>
      <c r="O45" s="79">
        <f ca="1">IF($J45&lt;&gt;0,VLOOKUP($L45,'Allocation Factors-Union South'!$B$12:$T$116,6,FALSE)*$J45,0)+IF($F45&lt;&gt;0,VLOOKUP($H45,'Allocation Factors-Union South'!$B$12:$T$116,6,FALSE)*$F45,0)</f>
        <v>0</v>
      </c>
      <c r="P45" s="79">
        <f ca="1">IF($J45&lt;&gt;0,VLOOKUP($L45,'Allocation Factors-Union South'!$B$12:$T$116,7,FALSE)*$J45,0)+IF($F45&lt;&gt;0,VLOOKUP($H45,'Allocation Factors-Union South'!$B$12:$T$116,7,FALSE)*$F45,0)</f>
        <v>0</v>
      </c>
      <c r="Q45" s="79">
        <f ca="1">IF($J45&lt;&gt;0,VLOOKUP($L45,'Allocation Factors-Union South'!$B$12:$T$116,8,FALSE)*$J45,0)+IF($F45&lt;&gt;0,VLOOKUP($H45,'Allocation Factors-Union South'!$B$12:$T$116,8,FALSE)*$F45,0)</f>
        <v>0</v>
      </c>
      <c r="R45" s="79">
        <f ca="1">IF($J45&lt;&gt;0,VLOOKUP($L45,'Allocation Factors-Union South'!$B$12:$T$116,9,FALSE)*$J45,0)+IF($F45&lt;&gt;0,VLOOKUP($H45,'Allocation Factors-Union South'!$B$12:$T$116,9,FALSE)*$F45,0)</f>
        <v>0</v>
      </c>
      <c r="S45" s="79">
        <f ca="1">IF($J45&lt;&gt;0,VLOOKUP($L45,'Allocation Factors-Union South'!$B$12:$T$116,10,FALSE)*$J45,0)+IF($F45&lt;&gt;0,VLOOKUP($H45,'Allocation Factors-Union South'!$B$12:$T$116,10,FALSE)*$F45,0)</f>
        <v>0</v>
      </c>
      <c r="T45" s="79">
        <f ca="1">IF($J45&lt;&gt;0,VLOOKUP($L45,'Allocation Factors-Union South'!$B$12:$T$116,11,FALSE)*$J45,0)+IF($F45&lt;&gt;0,VLOOKUP($H45,'Allocation Factors-Union South'!$B$12:$T$116,11,FALSE)*$F45,0)</f>
        <v>0</v>
      </c>
      <c r="U45" s="79">
        <f ca="1">IF($J45&lt;&gt;0,VLOOKUP($L45,'Allocation Factors-Union South'!$B$12:$T$116,12,FALSE)*$J45,0)+IF($F45&lt;&gt;0,VLOOKUP($H45,'Allocation Factors-Union South'!$B$12:$T$116,12,FALSE)*$F45,0)</f>
        <v>0</v>
      </c>
      <c r="V45" s="79">
        <f ca="1">IF($J45&lt;&gt;0,VLOOKUP($L45,'Allocation Factors-Union South'!$B$12:$T$116,13,FALSE)*$J45,0)+IF($F45&lt;&gt;0,VLOOKUP($H45,'Allocation Factors-Union South'!$B$12:$T$116,13,FALSE)*$F45,0)</f>
        <v>0</v>
      </c>
      <c r="W45" s="79">
        <f ca="1">IF($J45&lt;&gt;0,VLOOKUP($L45,'Allocation Factors-Union South'!$B$12:$T$116,14,FALSE)*$J45,0)+IF($F45&lt;&gt;0,VLOOKUP($H45,'Allocation Factors-Union South'!$B$12:$T$116,14,FALSE)*$F45,0)</f>
        <v>0</v>
      </c>
      <c r="X45" s="79">
        <f ca="1">IF($J45&lt;&gt;0,VLOOKUP($L45,'Allocation Factors-Union South'!$B$12:$T$116,15,FALSE)*$J45,0)+IF($F45&lt;&gt;0,VLOOKUP($H45,'Allocation Factors-Union South'!$B$12:$T$116,15,FALSE)*$F45,0)</f>
        <v>0</v>
      </c>
      <c r="Y45" s="79">
        <f ca="1">IF($J45&lt;&gt;0,VLOOKUP($L45,'Allocation Factors-Union South'!$B$12:$T$116,16,FALSE)*$J45,0)+IF($F45&lt;&gt;0,VLOOKUP($H45,'Allocation Factors-Union South'!$B$12:$T$116,16,FALSE)*$F45,0)</f>
        <v>0</v>
      </c>
      <c r="Z45" s="79">
        <f ca="1">IF($J45&lt;&gt;0,VLOOKUP($L45,'Allocation Factors-Union South'!$B$12:$T$116,17,FALSE)*$J45,0)+IF($F45&lt;&gt;0,VLOOKUP($H45,'Allocation Factors-Union South'!$B$12:$T$116,17,FALSE)*$F45,0)</f>
        <v>0</v>
      </c>
      <c r="AA45" s="79">
        <f ca="1">IF($J45&lt;&gt;0,VLOOKUP($L45,'Allocation Factors-Union South'!$B$12:$T$116,18,FALSE)*$J45,0)+IF($F45&lt;&gt;0,VLOOKUP($H45,'Allocation Factors-Union South'!$B$12:$T$116,18,FALSE)*$F45,0)</f>
        <v>0</v>
      </c>
    </row>
    <row r="46" spans="1:27" x14ac:dyDescent="0.2">
      <c r="A46" s="2">
        <f t="shared" si="10"/>
        <v>29</v>
      </c>
      <c r="B46" s="31" t="s">
        <v>186</v>
      </c>
      <c r="D46" s="79">
        <f ca="1">'Total Allocation RZ - Gas'!Q46</f>
        <v>0</v>
      </c>
      <c r="E46" s="79"/>
      <c r="F46" s="79"/>
      <c r="G46" s="79"/>
      <c r="H46" s="79"/>
      <c r="I46" s="79"/>
      <c r="J46" s="79">
        <f t="shared" ca="1" si="11"/>
        <v>0</v>
      </c>
      <c r="K46" s="79"/>
      <c r="L46" s="2" t="s">
        <v>191</v>
      </c>
      <c r="N46" s="79">
        <f ca="1">IF($J46&lt;&gt;0,VLOOKUP($L46,'Allocation Factors-Union South'!$B$12:$T$116,5,FALSE)*$J46,0)+IF($F46&lt;&gt;0,VLOOKUP($H46,'Allocation Factors-Union South'!$B$12:$T$116,5,FALSE)*$F46,0)</f>
        <v>0</v>
      </c>
      <c r="O46" s="79">
        <f ca="1">IF($J46&lt;&gt;0,VLOOKUP($L46,'Allocation Factors-Union South'!$B$12:$T$116,6,FALSE)*$J46,0)+IF($F46&lt;&gt;0,VLOOKUP($H46,'Allocation Factors-Union South'!$B$12:$T$116,6,FALSE)*$F46,0)</f>
        <v>0</v>
      </c>
      <c r="P46" s="79">
        <f ca="1">IF($J46&lt;&gt;0,VLOOKUP($L46,'Allocation Factors-Union South'!$B$12:$T$116,7,FALSE)*$J46,0)+IF($F46&lt;&gt;0,VLOOKUP($H46,'Allocation Factors-Union South'!$B$12:$T$116,7,FALSE)*$F46,0)</f>
        <v>0</v>
      </c>
      <c r="Q46" s="79">
        <f ca="1">IF($J46&lt;&gt;0,VLOOKUP($L46,'Allocation Factors-Union South'!$B$12:$T$116,8,FALSE)*$J46,0)+IF($F46&lt;&gt;0,VLOOKUP($H46,'Allocation Factors-Union South'!$B$12:$T$116,8,FALSE)*$F46,0)</f>
        <v>0</v>
      </c>
      <c r="R46" s="79">
        <f ca="1">IF($J46&lt;&gt;0,VLOOKUP($L46,'Allocation Factors-Union South'!$B$12:$T$116,9,FALSE)*$J46,0)+IF($F46&lt;&gt;0,VLOOKUP($H46,'Allocation Factors-Union South'!$B$12:$T$116,9,FALSE)*$F46,0)</f>
        <v>0</v>
      </c>
      <c r="S46" s="79">
        <f ca="1">IF($J46&lt;&gt;0,VLOOKUP($L46,'Allocation Factors-Union South'!$B$12:$T$116,10,FALSE)*$J46,0)+IF($F46&lt;&gt;0,VLOOKUP($H46,'Allocation Factors-Union South'!$B$12:$T$116,10,FALSE)*$F46,0)</f>
        <v>0</v>
      </c>
      <c r="T46" s="79">
        <f ca="1">IF($J46&lt;&gt;0,VLOOKUP($L46,'Allocation Factors-Union South'!$B$12:$T$116,11,FALSE)*$J46,0)+IF($F46&lt;&gt;0,VLOOKUP($H46,'Allocation Factors-Union South'!$B$12:$T$116,11,FALSE)*$F46,0)</f>
        <v>0</v>
      </c>
      <c r="U46" s="79">
        <f ca="1">IF($J46&lt;&gt;0,VLOOKUP($L46,'Allocation Factors-Union South'!$B$12:$T$116,12,FALSE)*$J46,0)+IF($F46&lt;&gt;0,VLOOKUP($H46,'Allocation Factors-Union South'!$B$12:$T$116,12,FALSE)*$F46,0)</f>
        <v>0</v>
      </c>
      <c r="V46" s="79">
        <f ca="1">IF($J46&lt;&gt;0,VLOOKUP($L46,'Allocation Factors-Union South'!$B$12:$T$116,13,FALSE)*$J46,0)+IF($F46&lt;&gt;0,VLOOKUP($H46,'Allocation Factors-Union South'!$B$12:$T$116,13,FALSE)*$F46,0)</f>
        <v>0</v>
      </c>
      <c r="W46" s="79">
        <f ca="1">IF($J46&lt;&gt;0,VLOOKUP($L46,'Allocation Factors-Union South'!$B$12:$T$116,14,FALSE)*$J46,0)+IF($F46&lt;&gt;0,VLOOKUP($H46,'Allocation Factors-Union South'!$B$12:$T$116,14,FALSE)*$F46,0)</f>
        <v>0</v>
      </c>
      <c r="X46" s="79">
        <f ca="1">IF($J46&lt;&gt;0,VLOOKUP($L46,'Allocation Factors-Union South'!$B$12:$T$116,15,FALSE)*$J46,0)+IF($F46&lt;&gt;0,VLOOKUP($H46,'Allocation Factors-Union South'!$B$12:$T$116,15,FALSE)*$F46,0)</f>
        <v>0</v>
      </c>
      <c r="Y46" s="79">
        <f ca="1">IF($J46&lt;&gt;0,VLOOKUP($L46,'Allocation Factors-Union South'!$B$12:$T$116,16,FALSE)*$J46,0)+IF($F46&lt;&gt;0,VLOOKUP($H46,'Allocation Factors-Union South'!$B$12:$T$116,16,FALSE)*$F46,0)</f>
        <v>0</v>
      </c>
      <c r="Z46" s="79">
        <f ca="1">IF($J46&lt;&gt;0,VLOOKUP($L46,'Allocation Factors-Union South'!$B$12:$T$116,17,FALSE)*$J46,0)+IF($F46&lt;&gt;0,VLOOKUP($H46,'Allocation Factors-Union South'!$B$12:$T$116,17,FALSE)*$F46,0)</f>
        <v>0</v>
      </c>
      <c r="AA46" s="79">
        <f ca="1">IF($J46&lt;&gt;0,VLOOKUP($L46,'Allocation Factors-Union South'!$B$12:$T$116,18,FALSE)*$J46,0)+IF($F46&lt;&gt;0,VLOOKUP($H46,'Allocation Factors-Union South'!$B$12:$T$116,18,FALSE)*$F46,0)</f>
        <v>0</v>
      </c>
    </row>
    <row r="47" spans="1:27" x14ac:dyDescent="0.2">
      <c r="B47" s="31" t="s">
        <v>164</v>
      </c>
      <c r="D47" s="79"/>
      <c r="E47" s="79"/>
      <c r="F47" s="79"/>
      <c r="G47" s="79"/>
      <c r="H47" s="79"/>
      <c r="I47" s="79"/>
      <c r="J47" s="123"/>
      <c r="K47" s="79"/>
      <c r="N47" s="2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</row>
    <row r="48" spans="1:27" x14ac:dyDescent="0.2">
      <c r="A48" s="2">
        <f>A46+1</f>
        <v>30</v>
      </c>
      <c r="B48" s="82" t="s">
        <v>176</v>
      </c>
      <c r="D48" s="79">
        <f ca="1">'Total Allocation RZ - Gas'!Q48</f>
        <v>0</v>
      </c>
      <c r="F48" s="79"/>
      <c r="H48" s="31"/>
      <c r="J48" s="79">
        <f t="shared" ref="J48:J51" ca="1" si="12">D48-F48</f>
        <v>0</v>
      </c>
      <c r="L48" s="2" t="s">
        <v>223</v>
      </c>
      <c r="N48" s="79">
        <f ca="1">IF($J48&lt;&gt;0,VLOOKUP($L48,'Allocation Factors-Union South'!$B$12:$T$116,5,FALSE)*$J48,0)+IF($F48&lt;&gt;0,VLOOKUP($H48,'Allocation Factors-Union South'!$B$12:$T$116,5,FALSE)*$F48,0)</f>
        <v>0</v>
      </c>
      <c r="O48" s="79">
        <f ca="1">IF($J48&lt;&gt;0,VLOOKUP($L48,'Allocation Factors-Union South'!$B$12:$T$116,6,FALSE)*$J48,0)+IF($F48&lt;&gt;0,VLOOKUP($H48,'Allocation Factors-Union South'!$B$12:$T$116,6,FALSE)*$F48,0)</f>
        <v>0</v>
      </c>
      <c r="P48" s="79">
        <f ca="1">IF($J48&lt;&gt;0,VLOOKUP($L48,'Allocation Factors-Union South'!$B$12:$T$116,7,FALSE)*$J48,0)+IF($F48&lt;&gt;0,VLOOKUP($H48,'Allocation Factors-Union South'!$B$12:$T$116,7,FALSE)*$F48,0)</f>
        <v>0</v>
      </c>
      <c r="Q48" s="79">
        <f ca="1">IF($J48&lt;&gt;0,VLOOKUP($L48,'Allocation Factors-Union South'!$B$12:$T$116,8,FALSE)*$J48,0)+IF($F48&lt;&gt;0,VLOOKUP($H48,'Allocation Factors-Union South'!$B$12:$T$116,8,FALSE)*$F48,0)</f>
        <v>0</v>
      </c>
      <c r="R48" s="79">
        <f ca="1">IF($J48&lt;&gt;0,VLOOKUP($L48,'Allocation Factors-Union South'!$B$12:$T$116,9,FALSE)*$J48,0)+IF($F48&lt;&gt;0,VLOOKUP($H48,'Allocation Factors-Union South'!$B$12:$T$116,9,FALSE)*$F48,0)</f>
        <v>0</v>
      </c>
      <c r="S48" s="79">
        <f ca="1">IF($J48&lt;&gt;0,VLOOKUP($L48,'Allocation Factors-Union South'!$B$12:$T$116,10,FALSE)*$J48,0)+IF($F48&lt;&gt;0,VLOOKUP($H48,'Allocation Factors-Union South'!$B$12:$T$116,10,FALSE)*$F48,0)</f>
        <v>0</v>
      </c>
      <c r="T48" s="79">
        <f ca="1">IF($J48&lt;&gt;0,VLOOKUP($L48,'Allocation Factors-Union South'!$B$12:$T$116,11,FALSE)*$J48,0)+IF($F48&lt;&gt;0,VLOOKUP($H48,'Allocation Factors-Union South'!$B$12:$T$116,11,FALSE)*$F48,0)</f>
        <v>0</v>
      </c>
      <c r="U48" s="79">
        <f ca="1">IF($J48&lt;&gt;0,VLOOKUP($L48,'Allocation Factors-Union South'!$B$12:$T$116,12,FALSE)*$J48,0)+IF($F48&lt;&gt;0,VLOOKUP($H48,'Allocation Factors-Union South'!$B$12:$T$116,12,FALSE)*$F48,0)</f>
        <v>0</v>
      </c>
      <c r="V48" s="79">
        <f ca="1">IF($J48&lt;&gt;0,VLOOKUP($L48,'Allocation Factors-Union South'!$B$12:$T$116,13,FALSE)*$J48,0)+IF($F48&lt;&gt;0,VLOOKUP($H48,'Allocation Factors-Union South'!$B$12:$T$116,13,FALSE)*$F48,0)</f>
        <v>0</v>
      </c>
      <c r="W48" s="79">
        <f ca="1">IF($J48&lt;&gt;0,VLOOKUP($L48,'Allocation Factors-Union South'!$B$12:$T$116,14,FALSE)*$J48,0)+IF($F48&lt;&gt;0,VLOOKUP($H48,'Allocation Factors-Union South'!$B$12:$T$116,14,FALSE)*$F48,0)</f>
        <v>0</v>
      </c>
      <c r="X48" s="79">
        <f ca="1">IF($J48&lt;&gt;0,VLOOKUP($L48,'Allocation Factors-Union South'!$B$12:$T$116,15,FALSE)*$J48,0)+IF($F48&lt;&gt;0,VLOOKUP($H48,'Allocation Factors-Union South'!$B$12:$T$116,15,FALSE)*$F48,0)</f>
        <v>0</v>
      </c>
      <c r="Y48" s="79">
        <f ca="1">IF($J48&lt;&gt;0,VLOOKUP($L48,'Allocation Factors-Union South'!$B$12:$T$116,16,FALSE)*$J48,0)+IF($F48&lt;&gt;0,VLOOKUP($H48,'Allocation Factors-Union South'!$B$12:$T$116,16,FALSE)*$F48,0)</f>
        <v>0</v>
      </c>
      <c r="Z48" s="79">
        <f ca="1">IF($J48&lt;&gt;0,VLOOKUP($L48,'Allocation Factors-Union South'!$B$12:$T$116,17,FALSE)*$J48,0)+IF($F48&lt;&gt;0,VLOOKUP($H48,'Allocation Factors-Union South'!$B$12:$T$116,17,FALSE)*$F48,0)</f>
        <v>0</v>
      </c>
      <c r="AA48" s="79">
        <f ca="1">IF($J48&lt;&gt;0,VLOOKUP($L48,'Allocation Factors-Union South'!$B$12:$T$116,18,FALSE)*$J48,0)+IF($F48&lt;&gt;0,VLOOKUP($H48,'Allocation Factors-Union South'!$B$12:$T$116,18,FALSE)*$F48,0)</f>
        <v>0</v>
      </c>
    </row>
    <row r="49" spans="1:27" x14ac:dyDescent="0.2">
      <c r="A49" s="2">
        <f t="shared" si="10"/>
        <v>31</v>
      </c>
      <c r="B49" s="82" t="s">
        <v>72</v>
      </c>
      <c r="D49" s="79">
        <f ca="1">'Total Allocation RZ - Gas'!Q49</f>
        <v>0</v>
      </c>
      <c r="F49" s="79"/>
      <c r="J49" s="79">
        <f t="shared" ca="1" si="12"/>
        <v>0</v>
      </c>
      <c r="L49" s="2" t="s">
        <v>220</v>
      </c>
      <c r="N49" s="79">
        <f ca="1">IF($J49&lt;&gt;0,VLOOKUP($L49,'Allocation Factors-Union South'!$B$12:$T$116,5,FALSE)*$J49,0)+IF($F49&lt;&gt;0,VLOOKUP($H49,'Allocation Factors-Union South'!$B$12:$T$116,5,FALSE)*$F49,0)</f>
        <v>0</v>
      </c>
      <c r="O49" s="79">
        <f ca="1">IF($J49&lt;&gt;0,VLOOKUP($L49,'Allocation Factors-Union South'!$B$12:$T$116,6,FALSE)*$J49,0)+IF($F49&lt;&gt;0,VLOOKUP($H49,'Allocation Factors-Union South'!$B$12:$T$116,6,FALSE)*$F49,0)</f>
        <v>0</v>
      </c>
      <c r="P49" s="79">
        <f ca="1">IF($J49&lt;&gt;0,VLOOKUP($L49,'Allocation Factors-Union South'!$B$12:$T$116,7,FALSE)*$J49,0)+IF($F49&lt;&gt;0,VLOOKUP($H49,'Allocation Factors-Union South'!$B$12:$T$116,7,FALSE)*$F49,0)</f>
        <v>0</v>
      </c>
      <c r="Q49" s="79">
        <f ca="1">IF($J49&lt;&gt;0,VLOOKUP($L49,'Allocation Factors-Union South'!$B$12:$T$116,8,FALSE)*$J49,0)+IF($F49&lt;&gt;0,VLOOKUP($H49,'Allocation Factors-Union South'!$B$12:$T$116,8,FALSE)*$F49,0)</f>
        <v>0</v>
      </c>
      <c r="R49" s="79">
        <f ca="1">IF($J49&lt;&gt;0,VLOOKUP($L49,'Allocation Factors-Union South'!$B$12:$T$116,9,FALSE)*$J49,0)+IF($F49&lt;&gt;0,VLOOKUP($H49,'Allocation Factors-Union South'!$B$12:$T$116,9,FALSE)*$F49,0)</f>
        <v>0</v>
      </c>
      <c r="S49" s="79">
        <f ca="1">IF($J49&lt;&gt;0,VLOOKUP($L49,'Allocation Factors-Union South'!$B$12:$T$116,10,FALSE)*$J49,0)+IF($F49&lt;&gt;0,VLOOKUP($H49,'Allocation Factors-Union South'!$B$12:$T$116,10,FALSE)*$F49,0)</f>
        <v>0</v>
      </c>
      <c r="T49" s="79">
        <f ca="1">IF($J49&lt;&gt;0,VLOOKUP($L49,'Allocation Factors-Union South'!$B$12:$T$116,11,FALSE)*$J49,0)+IF($F49&lt;&gt;0,VLOOKUP($H49,'Allocation Factors-Union South'!$B$12:$T$116,11,FALSE)*$F49,0)</f>
        <v>0</v>
      </c>
      <c r="U49" s="79">
        <f ca="1">IF($J49&lt;&gt;0,VLOOKUP($L49,'Allocation Factors-Union South'!$B$12:$T$116,12,FALSE)*$J49,0)+IF($F49&lt;&gt;0,VLOOKUP($H49,'Allocation Factors-Union South'!$B$12:$T$116,12,FALSE)*$F49,0)</f>
        <v>0</v>
      </c>
      <c r="V49" s="79">
        <f ca="1">IF($J49&lt;&gt;0,VLOOKUP($L49,'Allocation Factors-Union South'!$B$12:$T$116,13,FALSE)*$J49,0)+IF($F49&lt;&gt;0,VLOOKUP($H49,'Allocation Factors-Union South'!$B$12:$T$116,13,FALSE)*$F49,0)</f>
        <v>0</v>
      </c>
      <c r="W49" s="79">
        <f ca="1">IF($J49&lt;&gt;0,VLOOKUP($L49,'Allocation Factors-Union South'!$B$12:$T$116,14,FALSE)*$J49,0)+IF($F49&lt;&gt;0,VLOOKUP($H49,'Allocation Factors-Union South'!$B$12:$T$116,14,FALSE)*$F49,0)</f>
        <v>0</v>
      </c>
      <c r="X49" s="79">
        <f ca="1">IF($J49&lt;&gt;0,VLOOKUP($L49,'Allocation Factors-Union South'!$B$12:$T$116,15,FALSE)*$J49,0)+IF($F49&lt;&gt;0,VLOOKUP($H49,'Allocation Factors-Union South'!$B$12:$T$116,15,FALSE)*$F49,0)</f>
        <v>0</v>
      </c>
      <c r="Y49" s="79">
        <f ca="1">IF($J49&lt;&gt;0,VLOOKUP($L49,'Allocation Factors-Union South'!$B$12:$T$116,16,FALSE)*$J49,0)+IF($F49&lt;&gt;0,VLOOKUP($H49,'Allocation Factors-Union South'!$B$12:$T$116,16,FALSE)*$F49,0)</f>
        <v>0</v>
      </c>
      <c r="Z49" s="79">
        <f ca="1">IF($J49&lt;&gt;0,VLOOKUP($L49,'Allocation Factors-Union South'!$B$12:$T$116,17,FALSE)*$J49,0)+IF($F49&lt;&gt;0,VLOOKUP($H49,'Allocation Factors-Union South'!$B$12:$T$116,17,FALSE)*$F49,0)</f>
        <v>0</v>
      </c>
      <c r="AA49" s="79">
        <f ca="1">IF($J49&lt;&gt;0,VLOOKUP($L49,'Allocation Factors-Union South'!$B$12:$T$116,18,FALSE)*$J49,0)+IF($F49&lt;&gt;0,VLOOKUP($H49,'Allocation Factors-Union South'!$B$12:$T$116,18,FALSE)*$F49,0)</f>
        <v>0</v>
      </c>
    </row>
    <row r="50" spans="1:27" x14ac:dyDescent="0.2">
      <c r="A50" s="2">
        <f t="shared" si="10"/>
        <v>32</v>
      </c>
      <c r="B50" s="82" t="s">
        <v>174</v>
      </c>
      <c r="D50" s="79">
        <f ca="1">'Total Allocation RZ - Gas'!Q50</f>
        <v>0</v>
      </c>
      <c r="F50" s="79"/>
      <c r="H50" s="31"/>
      <c r="J50" s="79">
        <f t="shared" ca="1" si="12"/>
        <v>0</v>
      </c>
      <c r="L50" s="2" t="s">
        <v>272</v>
      </c>
      <c r="N50" s="79">
        <f ca="1">IF($J50&lt;&gt;0,VLOOKUP($L50,'Allocation Factors-Union South'!$B$12:$T$116,5,FALSE)*$J50,0)+IF($F50&lt;&gt;0,VLOOKUP($H50,'Allocation Factors-Union South'!$B$12:$T$116,5,FALSE)*$F50,0)</f>
        <v>0</v>
      </c>
      <c r="O50" s="79">
        <f ca="1">IF($J50&lt;&gt;0,VLOOKUP($L50,'Allocation Factors-Union South'!$B$12:$T$116,6,FALSE)*$J50,0)+IF($F50&lt;&gt;0,VLOOKUP($H50,'Allocation Factors-Union South'!$B$12:$T$116,6,FALSE)*$F50,0)</f>
        <v>0</v>
      </c>
      <c r="P50" s="79">
        <f ca="1">IF($J50&lt;&gt;0,VLOOKUP($L50,'Allocation Factors-Union South'!$B$12:$T$116,7,FALSE)*$J50,0)+IF($F50&lt;&gt;0,VLOOKUP($H50,'Allocation Factors-Union South'!$B$12:$T$116,7,FALSE)*$F50,0)</f>
        <v>0</v>
      </c>
      <c r="Q50" s="79">
        <f ca="1">IF($J50&lt;&gt;0,VLOOKUP($L50,'Allocation Factors-Union South'!$B$12:$T$116,8,FALSE)*$J50,0)+IF($F50&lt;&gt;0,VLOOKUP($H50,'Allocation Factors-Union South'!$B$12:$T$116,8,FALSE)*$F50,0)</f>
        <v>0</v>
      </c>
      <c r="R50" s="79">
        <f ca="1">IF($J50&lt;&gt;0,VLOOKUP($L50,'Allocation Factors-Union South'!$B$12:$T$116,9,FALSE)*$J50,0)+IF($F50&lt;&gt;0,VLOOKUP($H50,'Allocation Factors-Union South'!$B$12:$T$116,9,FALSE)*$F50,0)</f>
        <v>0</v>
      </c>
      <c r="S50" s="79">
        <f ca="1">IF($J50&lt;&gt;0,VLOOKUP($L50,'Allocation Factors-Union South'!$B$12:$T$116,10,FALSE)*$J50,0)+IF($F50&lt;&gt;0,VLOOKUP($H50,'Allocation Factors-Union South'!$B$12:$T$116,10,FALSE)*$F50,0)</f>
        <v>0</v>
      </c>
      <c r="T50" s="79">
        <f ca="1">IF($J50&lt;&gt;0,VLOOKUP($L50,'Allocation Factors-Union South'!$B$12:$T$116,11,FALSE)*$J50,0)+IF($F50&lt;&gt;0,VLOOKUP($H50,'Allocation Factors-Union South'!$B$12:$T$116,11,FALSE)*$F50,0)</f>
        <v>0</v>
      </c>
      <c r="U50" s="79">
        <f ca="1">IF($J50&lt;&gt;0,VLOOKUP($L50,'Allocation Factors-Union South'!$B$12:$T$116,12,FALSE)*$J50,0)+IF($F50&lt;&gt;0,VLOOKUP($H50,'Allocation Factors-Union South'!$B$12:$T$116,12,FALSE)*$F50,0)</f>
        <v>0</v>
      </c>
      <c r="V50" s="79">
        <f ca="1">IF($J50&lt;&gt;0,VLOOKUP($L50,'Allocation Factors-Union South'!$B$12:$T$116,13,FALSE)*$J50,0)+IF($F50&lt;&gt;0,VLOOKUP($H50,'Allocation Factors-Union South'!$B$12:$T$116,13,FALSE)*$F50,0)</f>
        <v>0</v>
      </c>
      <c r="W50" s="79">
        <f ca="1">IF($J50&lt;&gt;0,VLOOKUP($L50,'Allocation Factors-Union South'!$B$12:$T$116,14,FALSE)*$J50,0)+IF($F50&lt;&gt;0,VLOOKUP($H50,'Allocation Factors-Union South'!$B$12:$T$116,14,FALSE)*$F50,0)</f>
        <v>0</v>
      </c>
      <c r="X50" s="79">
        <f ca="1">IF($J50&lt;&gt;0,VLOOKUP($L50,'Allocation Factors-Union South'!$B$12:$T$116,15,FALSE)*$J50,0)+IF($F50&lt;&gt;0,VLOOKUP($H50,'Allocation Factors-Union South'!$B$12:$T$116,15,FALSE)*$F50,0)</f>
        <v>0</v>
      </c>
      <c r="Y50" s="79">
        <f ca="1">IF($J50&lt;&gt;0,VLOOKUP($L50,'Allocation Factors-Union South'!$B$12:$T$116,16,FALSE)*$J50,0)+IF($F50&lt;&gt;0,VLOOKUP($H50,'Allocation Factors-Union South'!$B$12:$T$116,16,FALSE)*$F50,0)</f>
        <v>0</v>
      </c>
      <c r="Z50" s="79">
        <f ca="1">IF($J50&lt;&gt;0,VLOOKUP($L50,'Allocation Factors-Union South'!$B$12:$T$116,17,FALSE)*$J50,0)+IF($F50&lt;&gt;0,VLOOKUP($H50,'Allocation Factors-Union South'!$B$12:$T$116,17,FALSE)*$F50,0)</f>
        <v>0</v>
      </c>
      <c r="AA50" s="79">
        <f ca="1">IF($J50&lt;&gt;0,VLOOKUP($L50,'Allocation Factors-Union South'!$B$12:$T$116,18,FALSE)*$J50,0)+IF($F50&lt;&gt;0,VLOOKUP($H50,'Allocation Factors-Union South'!$B$12:$T$116,18,FALSE)*$F50,0)</f>
        <v>0</v>
      </c>
    </row>
    <row r="51" spans="1:27" x14ac:dyDescent="0.2">
      <c r="A51" s="2">
        <f t="shared" si="10"/>
        <v>33</v>
      </c>
      <c r="B51" s="31" t="s">
        <v>249</v>
      </c>
      <c r="D51" s="79">
        <f ca="1">'Total Allocation RZ - Gas'!Q51</f>
        <v>8295.1053507044253</v>
      </c>
      <c r="F51" s="79"/>
      <c r="H51" s="79"/>
      <c r="J51" s="79">
        <f t="shared" ca="1" si="12"/>
        <v>8295.1053507044253</v>
      </c>
      <c r="L51" s="2" t="s">
        <v>336</v>
      </c>
      <c r="N51" s="79">
        <f ca="1">IF($J51&lt;&gt;0,VLOOKUP($L51,'Allocation Factors-Union South'!$B$12:$T$116,5,FALSE)*$J51,0)+IF($F51&lt;&gt;0,VLOOKUP($H51,'Allocation Factors-Union South'!$B$12:$T$116,5,FALSE)*$F51,0)</f>
        <v>2292.0577626427798</v>
      </c>
      <c r="O51" s="79">
        <f ca="1">IF($J51&lt;&gt;0,VLOOKUP($L51,'Allocation Factors-Union South'!$B$12:$T$116,6,FALSE)*$J51,0)+IF($F51&lt;&gt;0,VLOOKUP($H51,'Allocation Factors-Union South'!$B$12:$T$116,6,FALSE)*$F51,0)</f>
        <v>928.44367870376107</v>
      </c>
      <c r="P51" s="79">
        <f ca="1">IF($J51&lt;&gt;0,VLOOKUP($L51,'Allocation Factors-Union South'!$B$12:$T$116,7,FALSE)*$J51,0)+IF($F51&lt;&gt;0,VLOOKUP($H51,'Allocation Factors-Union South'!$B$12:$T$116,7,FALSE)*$F51,0)</f>
        <v>417.29552876826244</v>
      </c>
      <c r="Q51" s="79">
        <f ca="1">IF($J51&lt;&gt;0,VLOOKUP($L51,'Allocation Factors-Union South'!$B$12:$T$116,8,FALSE)*$J51,0)+IF($F51&lt;&gt;0,VLOOKUP($H51,'Allocation Factors-Union South'!$B$12:$T$116,8,FALSE)*$F51,0)</f>
        <v>0.16730136379622709</v>
      </c>
      <c r="R51" s="79">
        <f ca="1">IF($J51&lt;&gt;0,VLOOKUP($L51,'Allocation Factors-Union South'!$B$12:$T$116,9,FALSE)*$J51,0)+IF($F51&lt;&gt;0,VLOOKUP($H51,'Allocation Factors-Union South'!$B$12:$T$116,9,FALSE)*$F51,0)</f>
        <v>3.0969725898465619</v>
      </c>
      <c r="S51" s="79">
        <f ca="1">IF($J51&lt;&gt;0,VLOOKUP($L51,'Allocation Factors-Union South'!$B$12:$T$116,10,FALSE)*$J51,0)+IF($F51&lt;&gt;0,VLOOKUP($H51,'Allocation Factors-Union South'!$B$12:$T$116,10,FALSE)*$F51,0)</f>
        <v>38.721684342952415</v>
      </c>
      <c r="T51" s="79">
        <f ca="1">IF($J51&lt;&gt;0,VLOOKUP($L51,'Allocation Factors-Union South'!$B$12:$T$116,11,FALSE)*$J51,0)+IF($F51&lt;&gt;0,VLOOKUP($H51,'Allocation Factors-Union South'!$B$12:$T$116,11,FALSE)*$F51,0)</f>
        <v>501.69935024828885</v>
      </c>
      <c r="U51" s="79">
        <f ca="1">IF($J51&lt;&gt;0,VLOOKUP($L51,'Allocation Factors-Union South'!$B$12:$T$116,12,FALSE)*$J51,0)+IF($F51&lt;&gt;0,VLOOKUP($H51,'Allocation Factors-Union South'!$B$12:$T$116,12,FALSE)*$F51,0)</f>
        <v>53.421114695432081</v>
      </c>
      <c r="V51" s="79">
        <f ca="1">IF($J51&lt;&gt;0,VLOOKUP($L51,'Allocation Factors-Union South'!$B$12:$T$116,13,FALSE)*$J51,0)+IF($F51&lt;&gt;0,VLOOKUP($H51,'Allocation Factors-Union South'!$B$12:$T$116,13,FALSE)*$F51,0)</f>
        <v>63.314271548573693</v>
      </c>
      <c r="W51" s="79">
        <f ca="1">IF($J51&lt;&gt;0,VLOOKUP($L51,'Allocation Factors-Union South'!$B$12:$T$116,14,FALSE)*$J51,0)+IF($F51&lt;&gt;0,VLOOKUP($H51,'Allocation Factors-Union South'!$B$12:$T$116,14,FALSE)*$F51,0)</f>
        <v>276.77693911510789</v>
      </c>
      <c r="X51" s="79">
        <f ca="1">IF($J51&lt;&gt;0,VLOOKUP($L51,'Allocation Factors-Union South'!$B$12:$T$116,15,FALSE)*$J51,0)+IF($F51&lt;&gt;0,VLOOKUP($H51,'Allocation Factors-Union South'!$B$12:$T$116,15,FALSE)*$F51,0)</f>
        <v>26.384395605613182</v>
      </c>
      <c r="Y51" s="79">
        <f ca="1">IF($J51&lt;&gt;0,VLOOKUP($L51,'Allocation Factors-Union South'!$B$12:$T$116,16,FALSE)*$J51,0)+IF($F51&lt;&gt;0,VLOOKUP($H51,'Allocation Factors-Union South'!$B$12:$T$116,16,FALSE)*$F51,0)</f>
        <v>3489.2035384049186</v>
      </c>
      <c r="Z51" s="79">
        <f ca="1">IF($J51&lt;&gt;0,VLOOKUP($L51,'Allocation Factors-Union South'!$B$12:$T$116,17,FALSE)*$J51,0)+IF($F51&lt;&gt;0,VLOOKUP($H51,'Allocation Factors-Union South'!$B$12:$T$116,17,FALSE)*$F51,0)</f>
        <v>29.355436280802827</v>
      </c>
      <c r="AA51" s="79">
        <f ca="1">IF($J51&lt;&gt;0,VLOOKUP($L51,'Allocation Factors-Union South'!$B$12:$T$116,18,FALSE)*$J51,0)+IF($F51&lt;&gt;0,VLOOKUP($H51,'Allocation Factors-Union South'!$B$12:$T$116,18,FALSE)*$F51,0)</f>
        <v>175.16737639428882</v>
      </c>
    </row>
    <row r="52" spans="1:27" x14ac:dyDescent="0.2">
      <c r="A52" s="2">
        <f t="shared" si="10"/>
        <v>34</v>
      </c>
      <c r="B52" s="31" t="s">
        <v>382</v>
      </c>
      <c r="D52" s="41">
        <f ca="1">SUM(D37:D51)</f>
        <v>11985.106353137338</v>
      </c>
      <c r="F52" s="41">
        <f>SUM(F37:F51)</f>
        <v>0</v>
      </c>
      <c r="H52" s="50"/>
      <c r="J52" s="41">
        <f ca="1">SUM(J37:J51)</f>
        <v>11985.106353137338</v>
      </c>
      <c r="L52" s="50"/>
      <c r="N52" s="41">
        <f t="shared" ref="N52:V52" ca="1" si="13">SUM(N37:N51)</f>
        <v>3654.1242602043903</v>
      </c>
      <c r="O52" s="41">
        <f t="shared" ca="1" si="13"/>
        <v>1432.8217100822242</v>
      </c>
      <c r="P52" s="41">
        <f t="shared" ca="1" si="13"/>
        <v>596.91749882494207</v>
      </c>
      <c r="Q52" s="41">
        <f t="shared" ca="1" si="13"/>
        <v>0.16730136379622709</v>
      </c>
      <c r="R52" s="41">
        <f t="shared" ca="1" si="13"/>
        <v>4.6749035829103356</v>
      </c>
      <c r="S52" s="41">
        <f t="shared" ca="1" si="13"/>
        <v>38.721684342952415</v>
      </c>
      <c r="T52" s="41">
        <f t="shared" ca="1" si="13"/>
        <v>767.39190783369315</v>
      </c>
      <c r="U52" s="41">
        <f t="shared" ca="1" si="13"/>
        <v>53.421114695432081</v>
      </c>
      <c r="V52" s="41">
        <f t="shared" ca="1" si="13"/>
        <v>85.004579309287863</v>
      </c>
      <c r="W52" s="41">
        <f ca="1">SUM(W37:W51)</f>
        <v>367.81517615121936</v>
      </c>
      <c r="X52" s="41">
        <f ca="1">SUM(X37:X51)</f>
        <v>26.384395605613182</v>
      </c>
      <c r="Y52" s="41">
        <f ca="1">SUM(Y37:Y51)</f>
        <v>4639.0951304615846</v>
      </c>
      <c r="Z52" s="41">
        <f ca="1">SUM(Z37:Z51)</f>
        <v>29.355436280802827</v>
      </c>
      <c r="AA52" s="41">
        <f ca="1">SUM(AA37:AA51)</f>
        <v>289.21125439848805</v>
      </c>
    </row>
    <row r="53" spans="1:27" x14ac:dyDescent="0.2">
      <c r="D53" s="50"/>
      <c r="F53" s="50"/>
      <c r="H53" s="31"/>
      <c r="J53" s="2"/>
      <c r="L53" s="31"/>
      <c r="N53" s="2"/>
    </row>
    <row r="54" spans="1:27" ht="13.5" thickBot="1" x14ac:dyDescent="0.25">
      <c r="A54" s="2">
        <f>A52+1</f>
        <v>35</v>
      </c>
      <c r="B54" s="31" t="s">
        <v>149</v>
      </c>
      <c r="D54" s="83">
        <f ca="1">D52+D34+D24+D17</f>
        <v>654660.89297698205</v>
      </c>
      <c r="F54" s="83">
        <f>F17+F24+F34+F52</f>
        <v>4472.5161039693821</v>
      </c>
      <c r="H54" s="50"/>
      <c r="J54" s="83">
        <f ca="1">J17+J24+J34+J52</f>
        <v>650188.37687301263</v>
      </c>
      <c r="L54" s="50"/>
      <c r="N54" s="83">
        <f t="shared" ref="N54:V54" ca="1" si="14">N17+N24+N34+N52</f>
        <v>502205.92392208491</v>
      </c>
      <c r="O54" s="83">
        <f t="shared" ca="1" si="14"/>
        <v>115045.74093687216</v>
      </c>
      <c r="P54" s="83">
        <f t="shared" ca="1" si="14"/>
        <v>11721.3905256135</v>
      </c>
      <c r="Q54" s="83">
        <f t="shared" ca="1" si="14"/>
        <v>0.52051951665805563</v>
      </c>
      <c r="R54" s="83">
        <f t="shared" ca="1" si="14"/>
        <v>68.147396862736969</v>
      </c>
      <c r="S54" s="83">
        <f t="shared" ca="1" si="14"/>
        <v>396.37057164674263</v>
      </c>
      <c r="T54" s="83">
        <f t="shared" ca="1" si="14"/>
        <v>8685.8549723682427</v>
      </c>
      <c r="U54" s="83">
        <f t="shared" ca="1" si="14"/>
        <v>489.95242454801439</v>
      </c>
      <c r="V54" s="83">
        <f t="shared" ca="1" si="14"/>
        <v>2781.4310766764297</v>
      </c>
      <c r="W54" s="83">
        <f ca="1">W17+W24+W34+W52</f>
        <v>1038.0672997101178</v>
      </c>
      <c r="X54" s="83">
        <f ca="1">X17+X24+X34+X52</f>
        <v>45.295919319290675</v>
      </c>
      <c r="Y54" s="83">
        <f ca="1">Y17+Y24+Y34+Y52</f>
        <v>10948.483504290569</v>
      </c>
      <c r="Z54" s="83">
        <f ca="1">Z17+Z24+Z34+Z52</f>
        <v>50.396510620654063</v>
      </c>
      <c r="AA54" s="83">
        <f ca="1">AA17+AA24+AA34+AA52</f>
        <v>1183.3173968518615</v>
      </c>
    </row>
    <row r="55" spans="1:27" ht="13.5" thickTop="1" x14ac:dyDescent="0.2"/>
    <row r="57" spans="1:27" x14ac:dyDescent="0.2">
      <c r="D57" s="96"/>
      <c r="E57" s="96"/>
      <c r="F57" s="96"/>
      <c r="G57" s="96"/>
      <c r="H57" s="156"/>
      <c r="I57" s="96"/>
      <c r="J57" s="96"/>
      <c r="K57" s="96"/>
      <c r="L57" s="15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</row>
  </sheetData>
  <mergeCells count="2">
    <mergeCell ref="B2:L2"/>
    <mergeCell ref="B3:L3"/>
  </mergeCell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0CABF-AAE6-4F11-859F-AB9E5039770D}">
  <dimension ref="A2:AW217"/>
  <sheetViews>
    <sheetView topLeftCell="A87" zoomScale="80" zoomScaleNormal="80" workbookViewId="0">
      <selection activeCell="V105" sqref="V105"/>
    </sheetView>
  </sheetViews>
  <sheetFormatPr defaultColWidth="9.140625" defaultRowHeight="12.75" x14ac:dyDescent="0.2"/>
  <cols>
    <col min="1" max="1" width="9.140625" style="2"/>
    <col min="2" max="2" width="29.140625" style="31" customWidth="1"/>
    <col min="3" max="3" width="9" style="31" customWidth="1"/>
    <col min="4" max="4" width="15.28515625" style="31" bestFit="1" customWidth="1"/>
    <col min="5" max="5" width="2.85546875" style="31" customWidth="1"/>
    <col min="6" max="19" width="14.7109375" style="31" customWidth="1"/>
    <col min="20" max="16384" width="9.140625" style="31"/>
  </cols>
  <sheetData>
    <row r="2" spans="1:49" x14ac:dyDescent="0.2">
      <c r="D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49" x14ac:dyDescent="0.2">
      <c r="D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49" x14ac:dyDescent="0.2">
      <c r="D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</row>
    <row r="5" spans="1:49" ht="15" customHeight="1" x14ac:dyDescent="0.2">
      <c r="B5" s="161" t="s">
        <v>511</v>
      </c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</row>
    <row r="6" spans="1:49" ht="15" customHeight="1" x14ac:dyDescent="0.2">
      <c r="B6" s="161" t="s">
        <v>524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</row>
    <row r="8" spans="1:49" ht="15" x14ac:dyDescent="0.25">
      <c r="A8" s="2" t="s">
        <v>2</v>
      </c>
      <c r="D8" s="2"/>
      <c r="F8" s="170" t="s">
        <v>470</v>
      </c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</row>
    <row r="9" spans="1:49" x14ac:dyDescent="0.2">
      <c r="A9" s="33" t="s">
        <v>4</v>
      </c>
      <c r="B9" s="33" t="s">
        <v>405</v>
      </c>
      <c r="D9" s="33" t="s">
        <v>11</v>
      </c>
      <c r="E9" s="2"/>
      <c r="F9" s="33" t="s">
        <v>471</v>
      </c>
      <c r="G9" s="33" t="s">
        <v>472</v>
      </c>
      <c r="H9" s="33" t="s">
        <v>473</v>
      </c>
      <c r="I9" s="33" t="s">
        <v>474</v>
      </c>
      <c r="J9" s="33" t="s">
        <v>475</v>
      </c>
      <c r="K9" s="33" t="s">
        <v>476</v>
      </c>
      <c r="L9" s="33" t="s">
        <v>477</v>
      </c>
      <c r="M9" s="33" t="s">
        <v>478</v>
      </c>
      <c r="N9" s="33" t="s">
        <v>479</v>
      </c>
      <c r="O9" s="33" t="s">
        <v>480</v>
      </c>
      <c r="P9" s="33" t="s">
        <v>481</v>
      </c>
      <c r="Q9" s="33" t="s">
        <v>482</v>
      </c>
      <c r="R9" s="33" t="s">
        <v>483</v>
      </c>
      <c r="S9" s="33" t="s">
        <v>484</v>
      </c>
      <c r="T9" s="162"/>
      <c r="U9" s="162"/>
      <c r="V9" s="162"/>
      <c r="W9" s="162"/>
      <c r="X9" s="162"/>
      <c r="Y9" s="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2"/>
      <c r="AO9" s="162"/>
      <c r="AP9" s="162"/>
      <c r="AQ9" s="162"/>
      <c r="AR9" s="162"/>
      <c r="AS9" s="162"/>
      <c r="AT9" s="162"/>
      <c r="AU9" s="162"/>
      <c r="AV9" s="162"/>
      <c r="AW9" s="162"/>
    </row>
    <row r="10" spans="1:49" x14ac:dyDescent="0.2">
      <c r="D10" s="2" t="s">
        <v>12</v>
      </c>
      <c r="F10" s="2" t="s">
        <v>13</v>
      </c>
      <c r="G10" s="2" t="s">
        <v>14</v>
      </c>
      <c r="H10" s="2" t="s">
        <v>366</v>
      </c>
      <c r="I10" s="2" t="s">
        <v>15</v>
      </c>
      <c r="J10" s="2" t="s">
        <v>16</v>
      </c>
      <c r="K10" s="2" t="s">
        <v>59</v>
      </c>
      <c r="L10" s="2" t="s">
        <v>61</v>
      </c>
      <c r="M10" s="2" t="s">
        <v>62</v>
      </c>
      <c r="N10" s="2" t="s">
        <v>82</v>
      </c>
      <c r="O10" s="120" t="s">
        <v>143</v>
      </c>
      <c r="P10" s="120" t="s">
        <v>144</v>
      </c>
      <c r="Q10" s="120" t="s">
        <v>145</v>
      </c>
      <c r="R10" s="120" t="s">
        <v>184</v>
      </c>
      <c r="S10" s="2" t="s">
        <v>193</v>
      </c>
      <c r="T10" s="120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1:49" x14ac:dyDescent="0.2"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1:49" x14ac:dyDescent="0.2">
      <c r="A12" s="2">
        <v>1</v>
      </c>
      <c r="B12" s="2"/>
      <c r="C12" s="2" t="s">
        <v>368</v>
      </c>
      <c r="D12" s="50">
        <f>SUM(F12:S12)</f>
        <v>59898.038257695516</v>
      </c>
      <c r="F12" s="79">
        <v>40880.403210612531</v>
      </c>
      <c r="G12" s="79">
        <v>12296.559378528327</v>
      </c>
      <c r="H12" s="79">
        <v>2524.801529207085</v>
      </c>
      <c r="I12" s="79">
        <v>5.4385332799912565</v>
      </c>
      <c r="J12" s="79">
        <v>10.016853710338786</v>
      </c>
      <c r="K12" s="79">
        <v>0</v>
      </c>
      <c r="L12" s="79">
        <v>3468.9933704395121</v>
      </c>
      <c r="M12" s="79">
        <v>360.42424170260324</v>
      </c>
      <c r="N12" s="79">
        <v>351.40114021512562</v>
      </c>
      <c r="O12" s="79">
        <v>0</v>
      </c>
      <c r="P12" s="79">
        <v>0</v>
      </c>
      <c r="Q12" s="79">
        <v>0</v>
      </c>
      <c r="R12" s="79">
        <v>0</v>
      </c>
      <c r="S12" s="79">
        <v>0</v>
      </c>
    </row>
    <row r="13" spans="1:49" x14ac:dyDescent="0.2">
      <c r="A13" s="2">
        <v>2</v>
      </c>
      <c r="B13" s="2" t="s">
        <v>333</v>
      </c>
      <c r="D13" s="90">
        <f>SUM(F13:S13)</f>
        <v>1</v>
      </c>
      <c r="F13" s="90">
        <f t="shared" ref="F13:S13" si="0">F12/$D12</f>
        <v>0.68249986810478458</v>
      </c>
      <c r="G13" s="90">
        <f t="shared" si="0"/>
        <v>0.20529152099482162</v>
      </c>
      <c r="H13" s="90">
        <f t="shared" si="0"/>
        <v>4.215165642562102E-2</v>
      </c>
      <c r="I13" s="90">
        <f t="shared" si="0"/>
        <v>9.0796517518543782E-5</v>
      </c>
      <c r="J13" s="90">
        <f t="shared" si="0"/>
        <v>1.6723174918089828E-4</v>
      </c>
      <c r="K13" s="90">
        <f t="shared" si="0"/>
        <v>0</v>
      </c>
      <c r="L13" s="90">
        <f t="shared" si="0"/>
        <v>5.79149747027621E-2</v>
      </c>
      <c r="M13" s="90">
        <f t="shared" si="0"/>
        <v>6.0172962618904643E-3</v>
      </c>
      <c r="N13" s="90">
        <f t="shared" si="0"/>
        <v>5.866655243420742E-3</v>
      </c>
      <c r="O13" s="90">
        <f t="shared" si="0"/>
        <v>0</v>
      </c>
      <c r="P13" s="90">
        <f t="shared" si="0"/>
        <v>0</v>
      </c>
      <c r="Q13" s="90">
        <f t="shared" si="0"/>
        <v>0</v>
      </c>
      <c r="R13" s="90">
        <f t="shared" si="0"/>
        <v>0</v>
      </c>
      <c r="S13" s="90">
        <f t="shared" si="0"/>
        <v>0</v>
      </c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</row>
    <row r="14" spans="1:49" x14ac:dyDescent="0.2"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</row>
    <row r="15" spans="1:49" x14ac:dyDescent="0.2">
      <c r="A15" s="2">
        <v>3</v>
      </c>
      <c r="B15" s="2"/>
      <c r="C15" s="2" t="s">
        <v>367</v>
      </c>
      <c r="D15" s="50">
        <f>SUM(F15:S15)</f>
        <v>3858.7118360375548</v>
      </c>
      <c r="F15" s="79">
        <v>2752.0347779873105</v>
      </c>
      <c r="G15" s="79">
        <v>18.460729644902543</v>
      </c>
      <c r="H15" s="79">
        <v>589.99680455711268</v>
      </c>
      <c r="I15" s="79">
        <v>0</v>
      </c>
      <c r="J15" s="79">
        <v>18.355456141776834</v>
      </c>
      <c r="K15" s="79">
        <v>78.666240607615023</v>
      </c>
      <c r="L15" s="79">
        <v>149.46585715446855</v>
      </c>
      <c r="M15" s="79">
        <v>10.488832081015335</v>
      </c>
      <c r="N15" s="79">
        <v>10.488832081015335</v>
      </c>
      <c r="O15" s="79">
        <v>120.62156893167636</v>
      </c>
      <c r="P15" s="79">
        <v>0</v>
      </c>
      <c r="Q15" s="79">
        <v>107.51052883040718</v>
      </c>
      <c r="R15" s="79">
        <v>0</v>
      </c>
      <c r="S15" s="79">
        <v>2.6222080202538338</v>
      </c>
    </row>
    <row r="16" spans="1:49" x14ac:dyDescent="0.2">
      <c r="A16" s="2">
        <v>4</v>
      </c>
      <c r="B16" s="2" t="s">
        <v>341</v>
      </c>
      <c r="D16" s="90">
        <f>SUM(F16:S16)</f>
        <v>0.99999999999999978</v>
      </c>
      <c r="F16" s="90">
        <f t="shared" ref="F16:S16" si="1">F15/$D15</f>
        <v>0.71320038783028894</v>
      </c>
      <c r="G16" s="90">
        <f t="shared" si="1"/>
        <v>4.784169025655865E-3</v>
      </c>
      <c r="H16" s="90">
        <f t="shared" si="1"/>
        <v>0.15289993905400573</v>
      </c>
      <c r="I16" s="90">
        <f t="shared" si="1"/>
        <v>0</v>
      </c>
      <c r="J16" s="90">
        <f t="shared" si="1"/>
        <v>4.7568869927912885E-3</v>
      </c>
      <c r="K16" s="90">
        <f t="shared" si="1"/>
        <v>2.0386658540534099E-2</v>
      </c>
      <c r="L16" s="90">
        <f t="shared" si="1"/>
        <v>3.8734651227014784E-2</v>
      </c>
      <c r="M16" s="90">
        <f t="shared" si="1"/>
        <v>2.7182211387378795E-3</v>
      </c>
      <c r="N16" s="90">
        <f t="shared" si="1"/>
        <v>2.7182211387378795E-3</v>
      </c>
      <c r="O16" s="90">
        <f t="shared" si="1"/>
        <v>3.1259543095485613E-2</v>
      </c>
      <c r="P16" s="90">
        <f t="shared" si="1"/>
        <v>0</v>
      </c>
      <c r="Q16" s="90">
        <f t="shared" si="1"/>
        <v>2.7861766672063262E-2</v>
      </c>
      <c r="R16" s="90">
        <f t="shared" si="1"/>
        <v>0</v>
      </c>
      <c r="S16" s="90">
        <f t="shared" si="1"/>
        <v>6.7955528468446988E-4</v>
      </c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</row>
    <row r="17" spans="1:49" x14ac:dyDescent="0.2"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</row>
    <row r="18" spans="1:49" x14ac:dyDescent="0.2">
      <c r="A18" s="2">
        <v>5</v>
      </c>
      <c r="B18" s="2"/>
      <c r="C18" s="2" t="s">
        <v>367</v>
      </c>
      <c r="D18" s="50">
        <f>SUM(F18:S18)</f>
        <v>31459.171171330345</v>
      </c>
      <c r="F18" s="79">
        <v>8692.6246793758164</v>
      </c>
      <c r="G18" s="79">
        <v>3521.1208750713322</v>
      </c>
      <c r="H18" s="79">
        <v>1582.5924944324856</v>
      </c>
      <c r="I18" s="79">
        <v>0.63449010209563728</v>
      </c>
      <c r="J18" s="79">
        <v>11.745262621484077</v>
      </c>
      <c r="K18" s="79">
        <v>146.85191378355623</v>
      </c>
      <c r="L18" s="79">
        <v>1902.6938259037097</v>
      </c>
      <c r="M18" s="79">
        <v>202.59947527057659</v>
      </c>
      <c r="N18" s="79">
        <v>240.11925370731123</v>
      </c>
      <c r="O18" s="79">
        <v>1049.676012030352</v>
      </c>
      <c r="P18" s="79">
        <v>100.062769852416</v>
      </c>
      <c r="Q18" s="79">
        <v>13232.797743427134</v>
      </c>
      <c r="R18" s="79">
        <v>111.33043592851214</v>
      </c>
      <c r="S18" s="79">
        <v>664.3219398235633</v>
      </c>
    </row>
    <row r="19" spans="1:49" x14ac:dyDescent="0.2">
      <c r="A19" s="2">
        <v>6</v>
      </c>
      <c r="B19" s="2" t="s">
        <v>251</v>
      </c>
      <c r="D19" s="90">
        <f>SUM(F19:S19)</f>
        <v>1</v>
      </c>
      <c r="F19" s="90">
        <f t="shared" ref="F19:S19" si="2">F18/$D18</f>
        <v>0.27631448495685917</v>
      </c>
      <c r="G19" s="90">
        <f t="shared" si="2"/>
        <v>0.11192668922823472</v>
      </c>
      <c r="H19" s="90">
        <f t="shared" si="2"/>
        <v>5.0306236162850598E-2</v>
      </c>
      <c r="I19" s="90">
        <f t="shared" si="2"/>
        <v>2.0168684630632179E-5</v>
      </c>
      <c r="J19" s="90">
        <f t="shared" si="2"/>
        <v>3.7334939809818878E-4</v>
      </c>
      <c r="K19" s="90">
        <f t="shared" si="2"/>
        <v>4.6680159812152533E-3</v>
      </c>
      <c r="L19" s="90">
        <f t="shared" si="2"/>
        <v>6.0481371729134738E-2</v>
      </c>
      <c r="M19" s="90">
        <f t="shared" si="2"/>
        <v>6.4400767002791024E-3</v>
      </c>
      <c r="N19" s="90">
        <f t="shared" si="2"/>
        <v>7.6327266347734832E-3</v>
      </c>
      <c r="O19" s="90">
        <f t="shared" si="2"/>
        <v>3.3366295835122073E-2</v>
      </c>
      <c r="P19" s="90">
        <f t="shared" si="2"/>
        <v>3.1807185671695669E-3</v>
      </c>
      <c r="Q19" s="90">
        <f t="shared" si="2"/>
        <v>0.42063402342546669</v>
      </c>
      <c r="R19" s="90">
        <f t="shared" si="2"/>
        <v>3.5388864926603914E-3</v>
      </c>
      <c r="S19" s="90">
        <f t="shared" si="2"/>
        <v>2.1116956203505424E-2</v>
      </c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</row>
    <row r="20" spans="1:49" x14ac:dyDescent="0.2"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</row>
    <row r="21" spans="1:49" x14ac:dyDescent="0.2">
      <c r="A21" s="2">
        <v>7</v>
      </c>
      <c r="C21" s="2" t="s">
        <v>367</v>
      </c>
      <c r="D21" s="50">
        <f>SUM(F21:S21)</f>
        <v>0</v>
      </c>
      <c r="F21" s="79">
        <v>0</v>
      </c>
      <c r="G21" s="79">
        <v>0</v>
      </c>
      <c r="H21" s="79">
        <v>0</v>
      </c>
      <c r="I21" s="79">
        <v>0</v>
      </c>
      <c r="J21" s="79">
        <v>0</v>
      </c>
      <c r="K21" s="79">
        <v>0</v>
      </c>
      <c r="L21" s="79">
        <v>0</v>
      </c>
      <c r="M21" s="79">
        <v>0</v>
      </c>
      <c r="N21" s="79">
        <v>0</v>
      </c>
      <c r="O21" s="79">
        <v>0</v>
      </c>
      <c r="P21" s="79">
        <v>0</v>
      </c>
      <c r="Q21" s="79">
        <v>0</v>
      </c>
      <c r="R21" s="79">
        <v>0</v>
      </c>
      <c r="S21" s="79">
        <v>0</v>
      </c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</row>
    <row r="22" spans="1:49" x14ac:dyDescent="0.2">
      <c r="A22" s="2">
        <v>8</v>
      </c>
      <c r="B22" s="18" t="s">
        <v>409</v>
      </c>
      <c r="D22" s="90">
        <f>SUM(F22:S22)</f>
        <v>0</v>
      </c>
      <c r="F22" s="90">
        <v>0</v>
      </c>
      <c r="G22" s="90">
        <v>0</v>
      </c>
      <c r="H22" s="90">
        <v>0</v>
      </c>
      <c r="I22" s="90">
        <v>0</v>
      </c>
      <c r="J22" s="90">
        <v>0</v>
      </c>
      <c r="K22" s="90">
        <v>0</v>
      </c>
      <c r="L22" s="90">
        <v>0</v>
      </c>
      <c r="M22" s="90">
        <v>0</v>
      </c>
      <c r="N22" s="90">
        <v>0</v>
      </c>
      <c r="O22" s="90">
        <v>0</v>
      </c>
      <c r="P22" s="90">
        <v>0</v>
      </c>
      <c r="Q22" s="90">
        <v>0</v>
      </c>
      <c r="R22" s="90">
        <v>0</v>
      </c>
      <c r="S22" s="90">
        <v>0</v>
      </c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</row>
    <row r="23" spans="1:49" x14ac:dyDescent="0.2"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</row>
    <row r="24" spans="1:49" x14ac:dyDescent="0.2">
      <c r="A24" s="2">
        <v>9</v>
      </c>
      <c r="C24" s="2" t="s">
        <v>367</v>
      </c>
      <c r="D24" s="50">
        <f>SUM(F24:S24)</f>
        <v>0</v>
      </c>
      <c r="F24" s="79">
        <v>0</v>
      </c>
      <c r="G24" s="79">
        <v>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0</v>
      </c>
      <c r="N24" s="79">
        <v>0</v>
      </c>
      <c r="O24" s="79">
        <v>0</v>
      </c>
      <c r="P24" s="79">
        <v>0</v>
      </c>
      <c r="Q24" s="79">
        <v>0</v>
      </c>
      <c r="R24" s="79">
        <v>0</v>
      </c>
      <c r="S24" s="79">
        <v>0</v>
      </c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</row>
    <row r="25" spans="1:49" x14ac:dyDescent="0.2">
      <c r="A25" s="2">
        <v>10</v>
      </c>
      <c r="B25" s="18" t="s">
        <v>332</v>
      </c>
      <c r="D25" s="90">
        <f>SUM(F25:S25)</f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0</v>
      </c>
      <c r="M25" s="90">
        <v>0</v>
      </c>
      <c r="N25" s="90">
        <v>0</v>
      </c>
      <c r="O25" s="90">
        <v>0</v>
      </c>
      <c r="P25" s="90">
        <v>0</v>
      </c>
      <c r="Q25" s="90">
        <v>0</v>
      </c>
      <c r="R25" s="90">
        <v>0</v>
      </c>
      <c r="S25" s="90">
        <v>0</v>
      </c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</row>
    <row r="26" spans="1:49" x14ac:dyDescent="0.2"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</row>
    <row r="27" spans="1:49" x14ac:dyDescent="0.2">
      <c r="A27" s="2">
        <v>11</v>
      </c>
      <c r="B27" s="2"/>
      <c r="C27" s="2" t="s">
        <v>367</v>
      </c>
      <c r="D27" s="50">
        <f>SUM(F27:S27)</f>
        <v>3778.8782031827782</v>
      </c>
      <c r="F27" s="79">
        <v>3261.863380412407</v>
      </c>
      <c r="G27" s="79">
        <v>21.860356366104547</v>
      </c>
      <c r="H27" s="79">
        <v>268.4572408215904</v>
      </c>
      <c r="I27" s="79">
        <v>0</v>
      </c>
      <c r="J27" s="79">
        <v>8.3520030477828122</v>
      </c>
      <c r="K27" s="79">
        <v>35.794298776212059</v>
      </c>
      <c r="L27" s="79">
        <v>68.00916767480291</v>
      </c>
      <c r="M27" s="79">
        <v>4.7725731701616079</v>
      </c>
      <c r="N27" s="79">
        <v>4.7725731701616079</v>
      </c>
      <c r="O27" s="79">
        <v>54.884591456858487</v>
      </c>
      <c r="P27" s="79">
        <v>0</v>
      </c>
      <c r="Q27" s="79">
        <v>48.918874994156475</v>
      </c>
      <c r="R27" s="79">
        <v>0</v>
      </c>
      <c r="S27" s="79">
        <v>1.193143292540402</v>
      </c>
    </row>
    <row r="28" spans="1:49" x14ac:dyDescent="0.2">
      <c r="A28" s="2">
        <v>12</v>
      </c>
      <c r="B28" s="2" t="s">
        <v>223</v>
      </c>
      <c r="D28" s="90">
        <f>SUM(F28:S28)</f>
        <v>1.0000000000000002</v>
      </c>
      <c r="F28" s="90">
        <f t="shared" ref="F28:S28" si="3">F27/$D27</f>
        <v>0.8631829884501403</v>
      </c>
      <c r="G28" s="90">
        <f t="shared" si="3"/>
        <v>5.7848798481233291E-3</v>
      </c>
      <c r="H28" s="90">
        <f t="shared" si="3"/>
        <v>7.1041517187688405E-2</v>
      </c>
      <c r="I28" s="90">
        <f t="shared" si="3"/>
        <v>0</v>
      </c>
      <c r="J28" s="90">
        <f t="shared" si="3"/>
        <v>2.2101805347280834E-3</v>
      </c>
      <c r="K28" s="90">
        <f t="shared" si="3"/>
        <v>9.4722022916917878E-3</v>
      </c>
      <c r="L28" s="90">
        <f t="shared" si="3"/>
        <v>1.7997184354214397E-2</v>
      </c>
      <c r="M28" s="90">
        <f t="shared" si="3"/>
        <v>1.262960305558905E-3</v>
      </c>
      <c r="N28" s="90">
        <f t="shared" si="3"/>
        <v>1.262960305558905E-3</v>
      </c>
      <c r="O28" s="90">
        <f t="shared" si="3"/>
        <v>1.4524043513927408E-2</v>
      </c>
      <c r="P28" s="90">
        <f t="shared" si="3"/>
        <v>0</v>
      </c>
      <c r="Q28" s="90">
        <f t="shared" si="3"/>
        <v>1.2945343131978777E-2</v>
      </c>
      <c r="R28" s="90">
        <f t="shared" si="3"/>
        <v>0</v>
      </c>
      <c r="S28" s="90">
        <f t="shared" si="3"/>
        <v>3.1574007638972626E-4</v>
      </c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</row>
    <row r="29" spans="1:49" x14ac:dyDescent="0.2">
      <c r="C29" s="2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</row>
    <row r="30" spans="1:49" x14ac:dyDescent="0.2">
      <c r="A30" s="2">
        <v>13</v>
      </c>
      <c r="B30" s="2"/>
      <c r="C30" s="2" t="s">
        <v>368</v>
      </c>
      <c r="D30" s="50">
        <f>SUM(F30:S30)</f>
        <v>415</v>
      </c>
      <c r="F30" s="79">
        <v>0</v>
      </c>
      <c r="G30" s="79">
        <v>0</v>
      </c>
      <c r="H30" s="79">
        <f t="shared" ref="H30:S30" si="4">H90</f>
        <v>225</v>
      </c>
      <c r="I30" s="79">
        <f t="shared" si="4"/>
        <v>0</v>
      </c>
      <c r="J30" s="79">
        <f t="shared" si="4"/>
        <v>7</v>
      </c>
      <c r="K30" s="79">
        <f t="shared" si="4"/>
        <v>30</v>
      </c>
      <c r="L30" s="79">
        <f t="shared" si="4"/>
        <v>57</v>
      </c>
      <c r="M30" s="79">
        <f t="shared" si="4"/>
        <v>4</v>
      </c>
      <c r="N30" s="79">
        <f t="shared" si="4"/>
        <v>4</v>
      </c>
      <c r="O30" s="79">
        <f t="shared" si="4"/>
        <v>46</v>
      </c>
      <c r="P30" s="79">
        <f t="shared" si="4"/>
        <v>0</v>
      </c>
      <c r="Q30" s="79">
        <f t="shared" si="4"/>
        <v>41</v>
      </c>
      <c r="R30" s="79">
        <f t="shared" si="4"/>
        <v>0</v>
      </c>
      <c r="S30" s="79">
        <f t="shared" si="4"/>
        <v>1</v>
      </c>
    </row>
    <row r="31" spans="1:49" x14ac:dyDescent="0.2">
      <c r="A31" s="2">
        <v>14</v>
      </c>
      <c r="B31" s="2" t="s">
        <v>272</v>
      </c>
      <c r="C31" s="2"/>
      <c r="D31" s="90">
        <f>SUM(F31:S31)</f>
        <v>0.99999999999999989</v>
      </c>
      <c r="F31" s="90">
        <f t="shared" ref="F31:S31" si="5">F30/$D30</f>
        <v>0</v>
      </c>
      <c r="G31" s="90">
        <f t="shared" si="5"/>
        <v>0</v>
      </c>
      <c r="H31" s="90">
        <f t="shared" si="5"/>
        <v>0.54216867469879515</v>
      </c>
      <c r="I31" s="90">
        <f t="shared" si="5"/>
        <v>0</v>
      </c>
      <c r="J31" s="90">
        <f t="shared" si="5"/>
        <v>1.6867469879518072E-2</v>
      </c>
      <c r="K31" s="90">
        <f t="shared" si="5"/>
        <v>7.2289156626506021E-2</v>
      </c>
      <c r="L31" s="90">
        <f t="shared" si="5"/>
        <v>0.13734939759036144</v>
      </c>
      <c r="M31" s="90">
        <f t="shared" si="5"/>
        <v>9.6385542168674707E-3</v>
      </c>
      <c r="N31" s="90">
        <f t="shared" si="5"/>
        <v>9.6385542168674707E-3</v>
      </c>
      <c r="O31" s="90">
        <f t="shared" si="5"/>
        <v>0.1108433734939759</v>
      </c>
      <c r="P31" s="90">
        <f t="shared" si="5"/>
        <v>0</v>
      </c>
      <c r="Q31" s="90">
        <f t="shared" si="5"/>
        <v>9.8795180722891562E-2</v>
      </c>
      <c r="R31" s="90">
        <f t="shared" si="5"/>
        <v>0</v>
      </c>
      <c r="S31" s="90">
        <f t="shared" si="5"/>
        <v>2.4096385542168677E-3</v>
      </c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</row>
    <row r="32" spans="1:49" x14ac:dyDescent="0.2"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</row>
    <row r="33" spans="1:49" x14ac:dyDescent="0.2">
      <c r="A33" s="2">
        <v>15</v>
      </c>
      <c r="B33" s="2"/>
      <c r="C33" s="2" t="s">
        <v>367</v>
      </c>
      <c r="D33" s="79">
        <f>SUM(F33:S33)</f>
        <v>48171.346107688376</v>
      </c>
      <c r="E33" s="79"/>
      <c r="F33" s="79">
        <v>23902.460244830952</v>
      </c>
      <c r="G33" s="79">
        <v>8698.7760397580169</v>
      </c>
      <c r="H33" s="79">
        <v>2023.5419966664936</v>
      </c>
      <c r="I33" s="79">
        <v>0</v>
      </c>
      <c r="J33" s="79">
        <v>8.3459998542839049</v>
      </c>
      <c r="K33" s="79">
        <v>0</v>
      </c>
      <c r="L33" s="79">
        <v>1568.9272497698064</v>
      </c>
      <c r="M33" s="79">
        <v>0</v>
      </c>
      <c r="N33" s="79">
        <v>485.78391987155015</v>
      </c>
      <c r="O33" s="79">
        <v>1191.7841756658154</v>
      </c>
      <c r="P33" s="79">
        <v>0</v>
      </c>
      <c r="Q33" s="79">
        <v>7737.5588454126682</v>
      </c>
      <c r="R33" s="79">
        <v>0</v>
      </c>
      <c r="S33" s="79">
        <v>2554.1676358587833</v>
      </c>
    </row>
    <row r="34" spans="1:49" x14ac:dyDescent="0.2">
      <c r="A34" s="2">
        <v>16</v>
      </c>
      <c r="B34" s="2" t="s">
        <v>533</v>
      </c>
      <c r="D34" s="90">
        <f>SUM(F34:S34)</f>
        <v>0.99999999999999989</v>
      </c>
      <c r="F34" s="90">
        <f t="shared" ref="F34:S34" si="6">F33/$D33</f>
        <v>0.49619664336131153</v>
      </c>
      <c r="G34" s="90">
        <f t="shared" si="6"/>
        <v>0.18057988291030236</v>
      </c>
      <c r="H34" s="90">
        <f t="shared" si="6"/>
        <v>4.2007171486194497E-2</v>
      </c>
      <c r="I34" s="90">
        <f t="shared" si="6"/>
        <v>0</v>
      </c>
      <c r="J34" s="90">
        <f t="shared" si="6"/>
        <v>1.7325652132755832E-4</v>
      </c>
      <c r="K34" s="90">
        <f t="shared" si="6"/>
        <v>0</v>
      </c>
      <c r="L34" s="90">
        <f t="shared" si="6"/>
        <v>3.2569719896604635E-2</v>
      </c>
      <c r="M34" s="90">
        <f t="shared" si="6"/>
        <v>0</v>
      </c>
      <c r="N34" s="90">
        <f t="shared" si="6"/>
        <v>1.0084499585823629E-2</v>
      </c>
      <c r="O34" s="90">
        <f t="shared" si="6"/>
        <v>2.4740520495349017E-2</v>
      </c>
      <c r="P34" s="90">
        <f t="shared" si="6"/>
        <v>0</v>
      </c>
      <c r="Q34" s="90">
        <f t="shared" si="6"/>
        <v>0.16062575515567162</v>
      </c>
      <c r="R34" s="90">
        <f t="shared" si="6"/>
        <v>0</v>
      </c>
      <c r="S34" s="90">
        <f t="shared" si="6"/>
        <v>5.3022550587414993E-2</v>
      </c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</row>
    <row r="35" spans="1:49" x14ac:dyDescent="0.2"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  <c r="AI35" s="154"/>
      <c r="AJ35" s="154"/>
      <c r="AK35" s="154"/>
      <c r="AL35" s="154"/>
      <c r="AM35" s="154"/>
      <c r="AN35" s="154"/>
      <c r="AO35" s="154"/>
      <c r="AP35" s="154"/>
      <c r="AQ35" s="154"/>
      <c r="AR35" s="154"/>
      <c r="AS35" s="154"/>
      <c r="AT35" s="154"/>
      <c r="AU35" s="154"/>
      <c r="AV35" s="154"/>
      <c r="AW35" s="154"/>
    </row>
    <row r="36" spans="1:49" x14ac:dyDescent="0.2">
      <c r="A36" s="2">
        <v>17</v>
      </c>
      <c r="B36" s="2"/>
      <c r="C36" s="2" t="s">
        <v>367</v>
      </c>
      <c r="D36" s="50">
        <f>SUM(F36:S36)</f>
        <v>7146.3991980796736</v>
      </c>
      <c r="F36" s="79">
        <v>1974.6536137134965</v>
      </c>
      <c r="G36" s="79">
        <v>799.8728021443693</v>
      </c>
      <c r="H36" s="79">
        <v>359.50844577260222</v>
      </c>
      <c r="I36" s="79">
        <v>0.14413347167067164</v>
      </c>
      <c r="J36" s="79">
        <v>2.6681038391724248</v>
      </c>
      <c r="K36" s="79">
        <v>33.359505664779789</v>
      </c>
      <c r="L36" s="79">
        <v>432.22402642384708</v>
      </c>
      <c r="M36" s="79">
        <v>46.023358966446168</v>
      </c>
      <c r="N36" s="79">
        <v>54.546511501906579</v>
      </c>
      <c r="O36" s="79">
        <v>238.44886979900554</v>
      </c>
      <c r="P36" s="79">
        <v>22.730684617737719</v>
      </c>
      <c r="Q36" s="79">
        <v>3006.0186476927815</v>
      </c>
      <c r="R36" s="79">
        <v>25.290295593243208</v>
      </c>
      <c r="S36" s="79">
        <v>150.91019887861472</v>
      </c>
    </row>
    <row r="37" spans="1:49" x14ac:dyDescent="0.2">
      <c r="A37" s="2">
        <v>18</v>
      </c>
      <c r="B37" s="2" t="s">
        <v>336</v>
      </c>
      <c r="D37" s="90">
        <f>SUM(F37:S37)</f>
        <v>0.99999999999999989</v>
      </c>
      <c r="F37" s="90">
        <f t="shared" ref="F37:S37" si="7">F36/$D36</f>
        <v>0.27631448495685917</v>
      </c>
      <c r="G37" s="90">
        <f t="shared" si="7"/>
        <v>0.1119266892282347</v>
      </c>
      <c r="H37" s="90">
        <f t="shared" si="7"/>
        <v>5.0306236162850598E-2</v>
      </c>
      <c r="I37" s="90">
        <f t="shared" si="7"/>
        <v>2.0168684630632179E-5</v>
      </c>
      <c r="J37" s="90">
        <f t="shared" si="7"/>
        <v>3.7334939809818872E-4</v>
      </c>
      <c r="K37" s="90">
        <f t="shared" si="7"/>
        <v>4.6680159812152533E-3</v>
      </c>
      <c r="L37" s="90">
        <f t="shared" si="7"/>
        <v>6.0481371729134731E-2</v>
      </c>
      <c r="M37" s="90">
        <f t="shared" si="7"/>
        <v>6.4400767002791024E-3</v>
      </c>
      <c r="N37" s="90">
        <f t="shared" si="7"/>
        <v>7.6327266347734823E-3</v>
      </c>
      <c r="O37" s="90">
        <f t="shared" si="7"/>
        <v>3.3366295835122073E-2</v>
      </c>
      <c r="P37" s="90">
        <f t="shared" si="7"/>
        <v>3.1807185671695664E-3</v>
      </c>
      <c r="Q37" s="90">
        <f t="shared" si="7"/>
        <v>0.42063402342546663</v>
      </c>
      <c r="R37" s="90">
        <f t="shared" si="7"/>
        <v>3.538886492660391E-3</v>
      </c>
      <c r="S37" s="90">
        <f t="shared" si="7"/>
        <v>2.111695620350542E-2</v>
      </c>
      <c r="T37" s="136"/>
      <c r="U37" s="136"/>
      <c r="V37" s="38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V37" s="136"/>
      <c r="AW37" s="136"/>
    </row>
    <row r="38" spans="1:49" x14ac:dyDescent="0.2"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</row>
    <row r="39" spans="1:49" x14ac:dyDescent="0.2">
      <c r="A39" s="2">
        <v>19</v>
      </c>
      <c r="B39" s="2"/>
      <c r="C39" s="2" t="s">
        <v>367</v>
      </c>
      <c r="D39" s="50">
        <f>SUM(F39:S39)</f>
        <v>8126.7243772646843</v>
      </c>
      <c r="F39" s="79">
        <v>4032.4533575212818</v>
      </c>
      <c r="G39" s="79">
        <v>1467.5229364907568</v>
      </c>
      <c r="H39" s="79">
        <v>341.38070453679478</v>
      </c>
      <c r="I39" s="79">
        <v>0</v>
      </c>
      <c r="J39" s="79">
        <v>1.4080079953927469</v>
      </c>
      <c r="K39" s="79">
        <v>0</v>
      </c>
      <c r="L39" s="79">
        <v>264.68513664441952</v>
      </c>
      <c r="M39" s="79">
        <v>0</v>
      </c>
      <c r="N39" s="79">
        <v>81.953948616628509</v>
      </c>
      <c r="O39" s="79">
        <v>201.05939101576942</v>
      </c>
      <c r="P39" s="79">
        <v>0</v>
      </c>
      <c r="Q39" s="79">
        <v>1305.3612400401453</v>
      </c>
      <c r="R39" s="79">
        <v>0</v>
      </c>
      <c r="S39" s="79">
        <v>430.89965440349539</v>
      </c>
    </row>
    <row r="40" spans="1:49" x14ac:dyDescent="0.2">
      <c r="A40" s="2">
        <v>20</v>
      </c>
      <c r="B40" s="2" t="s">
        <v>222</v>
      </c>
      <c r="D40" s="90">
        <f>SUM(F40:S40)</f>
        <v>1</v>
      </c>
      <c r="F40" s="90">
        <f t="shared" ref="F40:S40" si="8">F39/$D39</f>
        <v>0.49619664336131158</v>
      </c>
      <c r="G40" s="90">
        <f t="shared" si="8"/>
        <v>0.18057988291030239</v>
      </c>
      <c r="H40" s="90">
        <f t="shared" si="8"/>
        <v>4.2007171486194497E-2</v>
      </c>
      <c r="I40" s="90">
        <f t="shared" si="8"/>
        <v>0</v>
      </c>
      <c r="J40" s="90">
        <f t="shared" si="8"/>
        <v>1.7325652132755832E-4</v>
      </c>
      <c r="K40" s="90">
        <f t="shared" si="8"/>
        <v>0</v>
      </c>
      <c r="L40" s="90">
        <f t="shared" si="8"/>
        <v>3.2569719896604635E-2</v>
      </c>
      <c r="M40" s="90">
        <f t="shared" si="8"/>
        <v>0</v>
      </c>
      <c r="N40" s="90">
        <f t="shared" si="8"/>
        <v>1.0084499585823629E-2</v>
      </c>
      <c r="O40" s="90">
        <f t="shared" si="8"/>
        <v>2.4740520495349021E-2</v>
      </c>
      <c r="P40" s="90">
        <f t="shared" si="8"/>
        <v>0</v>
      </c>
      <c r="Q40" s="90">
        <f t="shared" si="8"/>
        <v>0.16062575515567165</v>
      </c>
      <c r="R40" s="90">
        <f t="shared" si="8"/>
        <v>0</v>
      </c>
      <c r="S40" s="90">
        <f t="shared" si="8"/>
        <v>5.3022550587415E-2</v>
      </c>
      <c r="T40" s="50"/>
      <c r="U40" s="50"/>
      <c r="V40" s="38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</row>
    <row r="41" spans="1:49" x14ac:dyDescent="0.2">
      <c r="A41" s="31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4"/>
      <c r="AI41" s="154"/>
      <c r="AJ41" s="154"/>
      <c r="AK41" s="154"/>
      <c r="AL41" s="154"/>
      <c r="AM41" s="154"/>
      <c r="AN41" s="154"/>
      <c r="AO41" s="154"/>
      <c r="AP41" s="154"/>
      <c r="AQ41" s="154"/>
      <c r="AR41" s="154"/>
      <c r="AS41" s="154"/>
      <c r="AT41" s="154"/>
      <c r="AU41" s="154"/>
      <c r="AV41" s="154"/>
      <c r="AW41" s="154"/>
    </row>
    <row r="42" spans="1:49" x14ac:dyDescent="0.2">
      <c r="A42" s="2">
        <v>21</v>
      </c>
      <c r="B42" s="2"/>
      <c r="C42" s="2" t="s">
        <v>367</v>
      </c>
      <c r="D42" s="50">
        <f>SUM(F42:S42)</f>
        <v>11635.383164020312</v>
      </c>
      <c r="F42" s="79">
        <v>6332.9307852433039</v>
      </c>
      <c r="G42" s="79">
        <v>1612.4654563931465</v>
      </c>
      <c r="H42" s="79">
        <v>1547.7070913660225</v>
      </c>
      <c r="I42" s="79">
        <v>0.62050390979966985</v>
      </c>
      <c r="J42" s="79">
        <v>7.1040689167862956</v>
      </c>
      <c r="K42" s="79">
        <v>88.822715140661771</v>
      </c>
      <c r="L42" s="79">
        <v>1061.0629564216324</v>
      </c>
      <c r="M42" s="79">
        <v>112.98233865764827</v>
      </c>
      <c r="N42" s="79">
        <v>2.9352648252551137</v>
      </c>
      <c r="O42" s="79">
        <v>223.82902218208093</v>
      </c>
      <c r="P42" s="79">
        <v>21.337014160755402</v>
      </c>
      <c r="Q42" s="79">
        <v>600.0678055567555</v>
      </c>
      <c r="R42" s="79">
        <v>5.0485023405184561</v>
      </c>
      <c r="S42" s="79">
        <v>18.469638905946479</v>
      </c>
    </row>
    <row r="43" spans="1:49" x14ac:dyDescent="0.2">
      <c r="A43" s="2">
        <v>22</v>
      </c>
      <c r="B43" s="2" t="s">
        <v>162</v>
      </c>
      <c r="D43" s="90">
        <f>SUM(F43:S43)</f>
        <v>1</v>
      </c>
      <c r="F43" s="90">
        <f t="shared" ref="F43:S43" si="9">F42/$D42</f>
        <v>0.54428210020847478</v>
      </c>
      <c r="G43" s="90">
        <f t="shared" si="9"/>
        <v>0.13858292706503358</v>
      </c>
      <c r="H43" s="90">
        <f t="shared" si="9"/>
        <v>0.13301728611327068</v>
      </c>
      <c r="I43" s="90">
        <f t="shared" si="9"/>
        <v>5.3329048218921779E-5</v>
      </c>
      <c r="J43" s="90">
        <f t="shared" si="9"/>
        <v>6.1055736769838049E-4</v>
      </c>
      <c r="K43" s="90">
        <f t="shared" si="9"/>
        <v>7.6338453051829997E-3</v>
      </c>
      <c r="L43" s="90">
        <f t="shared" si="9"/>
        <v>9.1192781661262365E-2</v>
      </c>
      <c r="M43" s="90">
        <f t="shared" si="9"/>
        <v>9.7102379066483693E-3</v>
      </c>
      <c r="N43" s="90">
        <f t="shared" si="9"/>
        <v>2.5227057707319258E-4</v>
      </c>
      <c r="O43" s="90">
        <f t="shared" si="9"/>
        <v>1.9236927484624623E-2</v>
      </c>
      <c r="P43" s="90">
        <f t="shared" si="9"/>
        <v>1.8338041695726106E-3</v>
      </c>
      <c r="Q43" s="90">
        <f t="shared" si="9"/>
        <v>5.157267251948558E-2</v>
      </c>
      <c r="R43" s="90">
        <f t="shared" si="9"/>
        <v>4.3389222936205172E-4</v>
      </c>
      <c r="S43" s="90">
        <f t="shared" si="9"/>
        <v>1.5873683440919674E-3</v>
      </c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</row>
    <row r="44" spans="1:49" x14ac:dyDescent="0.2"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</row>
    <row r="45" spans="1:49" x14ac:dyDescent="0.2">
      <c r="A45" s="2">
        <v>23</v>
      </c>
      <c r="B45" s="2"/>
      <c r="C45" s="2" t="s">
        <v>367</v>
      </c>
      <c r="D45" s="50">
        <f>SUM(F45:S45)</f>
        <v>54477.153079505377</v>
      </c>
      <c r="F45" s="79">
        <v>37980.187070348373</v>
      </c>
      <c r="G45" s="79">
        <v>5442.3469846328035</v>
      </c>
      <c r="H45" s="79">
        <v>3971.9828445065546</v>
      </c>
      <c r="I45" s="79">
        <v>1.5924401318716077</v>
      </c>
      <c r="J45" s="79">
        <v>22.681114251268532</v>
      </c>
      <c r="K45" s="79">
        <v>283.58370024436408</v>
      </c>
      <c r="L45" s="79">
        <v>2724.3383032579272</v>
      </c>
      <c r="M45" s="79">
        <v>290.08845416178997</v>
      </c>
      <c r="N45" s="79">
        <v>14.785348439258378</v>
      </c>
      <c r="O45" s="79">
        <v>657.329073605752</v>
      </c>
      <c r="P45" s="79">
        <v>62.661399380071074</v>
      </c>
      <c r="Q45" s="79">
        <v>2908.0758543099196</v>
      </c>
      <c r="R45" s="79">
        <v>24.466281345100832</v>
      </c>
      <c r="S45" s="79">
        <v>93.034210890312877</v>
      </c>
    </row>
    <row r="46" spans="1:49" x14ac:dyDescent="0.2">
      <c r="A46" s="2">
        <v>24</v>
      </c>
      <c r="B46" s="2" t="s">
        <v>161</v>
      </c>
      <c r="D46" s="90">
        <f>SUM(F46:S46)</f>
        <v>0.99999999999999967</v>
      </c>
      <c r="F46" s="90">
        <f t="shared" ref="F46:S46" si="10">F45/$D45</f>
        <v>0.69717642944592018</v>
      </c>
      <c r="G46" s="90">
        <f t="shared" si="10"/>
        <v>9.9901457344698255E-2</v>
      </c>
      <c r="H46" s="90">
        <f t="shared" si="10"/>
        <v>7.29109841461381E-2</v>
      </c>
      <c r="I46" s="90">
        <f t="shared" si="10"/>
        <v>2.9231339044967328E-5</v>
      </c>
      <c r="J46" s="90">
        <f t="shared" si="10"/>
        <v>4.1634176841376277E-4</v>
      </c>
      <c r="K46" s="90">
        <f t="shared" si="10"/>
        <v>5.2055528641611398E-3</v>
      </c>
      <c r="L46" s="90">
        <f t="shared" si="10"/>
        <v>5.0008822951558368E-2</v>
      </c>
      <c r="M46" s="90">
        <f t="shared" si="10"/>
        <v>5.3249562020692845E-3</v>
      </c>
      <c r="N46" s="90">
        <f t="shared" si="10"/>
        <v>2.7140457243939042E-4</v>
      </c>
      <c r="O46" s="90">
        <f t="shared" si="10"/>
        <v>1.2066142161401658E-2</v>
      </c>
      <c r="P46" s="90">
        <f t="shared" si="10"/>
        <v>1.1502326358468365E-3</v>
      </c>
      <c r="Q46" s="90">
        <f t="shared" si="10"/>
        <v>5.3381568050477932E-2</v>
      </c>
      <c r="R46" s="90">
        <f t="shared" si="10"/>
        <v>4.4911086505188886E-4</v>
      </c>
      <c r="S46" s="90">
        <f t="shared" si="10"/>
        <v>1.7077656527780798E-3</v>
      </c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</row>
    <row r="47" spans="1:49" x14ac:dyDescent="0.2">
      <c r="B47" s="2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  <c r="AH47" s="154"/>
      <c r="AI47" s="154"/>
      <c r="AJ47" s="154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</row>
    <row r="48" spans="1:49" x14ac:dyDescent="0.2">
      <c r="A48" s="2">
        <v>25</v>
      </c>
      <c r="B48" s="2"/>
      <c r="C48" s="2" t="s">
        <v>367</v>
      </c>
      <c r="D48" s="50">
        <f>SUM(F48:S48)</f>
        <v>51102.431286945066</v>
      </c>
      <c r="F48" s="79">
        <v>31068.213753157546</v>
      </c>
      <c r="G48" s="79">
        <v>11504.669206177352</v>
      </c>
      <c r="H48" s="79">
        <v>3248.0027116628326</v>
      </c>
      <c r="I48" s="79">
        <v>0</v>
      </c>
      <c r="J48" s="79">
        <v>35.991999999999997</v>
      </c>
      <c r="K48" s="79">
        <v>0</v>
      </c>
      <c r="L48" s="79">
        <v>3155.2994684403502</v>
      </c>
      <c r="M48" s="79">
        <v>0</v>
      </c>
      <c r="N48" s="79">
        <v>215.65283074876896</v>
      </c>
      <c r="O48" s="79">
        <v>1426.3807426520982</v>
      </c>
      <c r="P48" s="79">
        <v>0</v>
      </c>
      <c r="Q48" s="79">
        <v>448.22057410611524</v>
      </c>
      <c r="R48" s="79">
        <v>0</v>
      </c>
      <c r="S48" s="79">
        <v>0</v>
      </c>
    </row>
    <row r="49" spans="1:49" x14ac:dyDescent="0.2">
      <c r="A49" s="2">
        <v>26</v>
      </c>
      <c r="B49" s="2" t="s">
        <v>291</v>
      </c>
      <c r="D49" s="90">
        <f>SUM(F49:S49)</f>
        <v>0.99999999999999989</v>
      </c>
      <c r="F49" s="90">
        <f t="shared" ref="F49:S49" si="11">F48/$D48</f>
        <v>0.60795960134864302</v>
      </c>
      <c r="G49" s="90">
        <f t="shared" si="11"/>
        <v>0.22512958613607889</v>
      </c>
      <c r="H49" s="90">
        <f t="shared" si="11"/>
        <v>6.3558672843274031E-2</v>
      </c>
      <c r="I49" s="90">
        <f t="shared" si="11"/>
        <v>0</v>
      </c>
      <c r="J49" s="90">
        <f t="shared" si="11"/>
        <v>7.0431091229107004E-4</v>
      </c>
      <c r="K49" s="90">
        <f t="shared" si="11"/>
        <v>0</v>
      </c>
      <c r="L49" s="90">
        <f t="shared" si="11"/>
        <v>6.1744605667058E-2</v>
      </c>
      <c r="M49" s="90">
        <f t="shared" si="11"/>
        <v>0</v>
      </c>
      <c r="N49" s="90">
        <f t="shared" si="11"/>
        <v>4.2200111681156144E-3</v>
      </c>
      <c r="O49" s="90">
        <f t="shared" si="11"/>
        <v>2.7912189434644179E-2</v>
      </c>
      <c r="P49" s="90">
        <f t="shared" si="11"/>
        <v>0</v>
      </c>
      <c r="Q49" s="90">
        <f t="shared" si="11"/>
        <v>8.7710224898951208E-3</v>
      </c>
      <c r="R49" s="90">
        <f t="shared" si="11"/>
        <v>0</v>
      </c>
      <c r="S49" s="90">
        <f t="shared" si="11"/>
        <v>0</v>
      </c>
      <c r="T49" s="50"/>
      <c r="U49" s="50"/>
      <c r="V49" s="38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</row>
    <row r="50" spans="1:49" x14ac:dyDescent="0.2">
      <c r="A50" s="31"/>
      <c r="B50" s="2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154"/>
      <c r="AE50" s="154"/>
      <c r="AF50" s="154"/>
      <c r="AG50" s="154"/>
      <c r="AH50" s="154"/>
      <c r="AI50" s="154"/>
      <c r="AJ50" s="154"/>
      <c r="AK50" s="154"/>
      <c r="AL50" s="154"/>
      <c r="AM50" s="154"/>
      <c r="AN50" s="154"/>
      <c r="AO50" s="154"/>
      <c r="AP50" s="154"/>
      <c r="AQ50" s="154"/>
      <c r="AR50" s="154"/>
      <c r="AS50" s="154"/>
      <c r="AT50" s="154"/>
      <c r="AU50" s="154"/>
      <c r="AV50" s="154"/>
      <c r="AW50" s="154"/>
    </row>
    <row r="51" spans="1:49" x14ac:dyDescent="0.2">
      <c r="A51" s="2">
        <v>27</v>
      </c>
      <c r="B51" s="2"/>
      <c r="C51" s="2" t="s">
        <v>367</v>
      </c>
      <c r="D51" s="50">
        <f>SUM(F51:S51)</f>
        <v>84167.505843646053</v>
      </c>
      <c r="F51" s="79">
        <v>31068.213753157546</v>
      </c>
      <c r="G51" s="79">
        <v>11504.669206177352</v>
      </c>
      <c r="H51" s="79">
        <v>4097.108159164427</v>
      </c>
      <c r="I51" s="79">
        <v>0</v>
      </c>
      <c r="J51" s="79">
        <v>35.991999999999997</v>
      </c>
      <c r="K51" s="79">
        <v>0</v>
      </c>
      <c r="L51" s="79">
        <v>6060.3452081553614</v>
      </c>
      <c r="M51" s="79">
        <v>0</v>
      </c>
      <c r="N51" s="79">
        <v>494.7475905824183</v>
      </c>
      <c r="O51" s="79">
        <v>2076.5472265942708</v>
      </c>
      <c r="P51" s="79">
        <v>0</v>
      </c>
      <c r="Q51" s="79">
        <v>26228.585637287655</v>
      </c>
      <c r="R51" s="79">
        <v>0</v>
      </c>
      <c r="S51" s="79">
        <v>2601.29706252702</v>
      </c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154"/>
      <c r="AE51" s="154"/>
      <c r="AF51" s="154"/>
      <c r="AG51" s="154"/>
      <c r="AH51" s="154"/>
      <c r="AI51" s="154"/>
      <c r="AJ51" s="154"/>
      <c r="AK51" s="154"/>
      <c r="AL51" s="154"/>
      <c r="AM51" s="154"/>
      <c r="AN51" s="154"/>
      <c r="AO51" s="154"/>
      <c r="AP51" s="154"/>
      <c r="AQ51" s="154"/>
      <c r="AR51" s="154"/>
      <c r="AS51" s="154"/>
      <c r="AT51" s="154"/>
      <c r="AU51" s="154"/>
      <c r="AV51" s="154"/>
      <c r="AW51" s="154"/>
    </row>
    <row r="52" spans="1:49" x14ac:dyDescent="0.2">
      <c r="A52" s="2">
        <v>28</v>
      </c>
      <c r="B52" s="2" t="s">
        <v>290</v>
      </c>
      <c r="D52" s="90">
        <f>SUM(F52:S52)</f>
        <v>1</v>
      </c>
      <c r="F52" s="90">
        <f t="shared" ref="F52:S52" si="12">F51/$D51</f>
        <v>0.36912361179944525</v>
      </c>
      <c r="G52" s="90">
        <f t="shared" si="12"/>
        <v>0.13668777624881776</v>
      </c>
      <c r="H52" s="90">
        <f t="shared" si="12"/>
        <v>4.8678027441794801E-2</v>
      </c>
      <c r="I52" s="90">
        <f t="shared" si="12"/>
        <v>0</v>
      </c>
      <c r="J52" s="90">
        <f t="shared" si="12"/>
        <v>4.2762345918697666E-4</v>
      </c>
      <c r="K52" s="90">
        <f t="shared" si="12"/>
        <v>0</v>
      </c>
      <c r="L52" s="90">
        <f t="shared" si="12"/>
        <v>7.2003383579090183E-2</v>
      </c>
      <c r="M52" s="90">
        <f t="shared" si="12"/>
        <v>0</v>
      </c>
      <c r="N52" s="90">
        <f t="shared" si="12"/>
        <v>5.8781305876104634E-3</v>
      </c>
      <c r="O52" s="90">
        <f t="shared" si="12"/>
        <v>2.4671602250538032E-2</v>
      </c>
      <c r="P52" s="90">
        <f t="shared" si="12"/>
        <v>0</v>
      </c>
      <c r="Q52" s="90">
        <f t="shared" si="12"/>
        <v>0.31162365302841744</v>
      </c>
      <c r="R52" s="90">
        <f t="shared" si="12"/>
        <v>0</v>
      </c>
      <c r="S52" s="90">
        <f t="shared" si="12"/>
        <v>3.0906191605099064E-2</v>
      </c>
      <c r="T52" s="50"/>
      <c r="U52" s="50"/>
      <c r="V52" s="38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</row>
    <row r="53" spans="1:49" x14ac:dyDescent="0.2">
      <c r="B53" s="2"/>
      <c r="T53" s="154"/>
      <c r="U53" s="154"/>
      <c r="V53" s="154"/>
      <c r="W53" s="154"/>
      <c r="X53" s="154"/>
      <c r="Y53" s="154"/>
      <c r="Z53" s="154"/>
      <c r="AA53" s="154"/>
      <c r="AB53" s="154"/>
      <c r="AC53" s="154"/>
      <c r="AD53" s="154"/>
      <c r="AE53" s="154"/>
      <c r="AF53" s="154"/>
      <c r="AG53" s="154"/>
      <c r="AH53" s="154"/>
      <c r="AI53" s="154"/>
      <c r="AJ53" s="154"/>
      <c r="AK53" s="154"/>
      <c r="AL53" s="154"/>
      <c r="AM53" s="154"/>
      <c r="AN53" s="154"/>
      <c r="AO53" s="154"/>
      <c r="AP53" s="154"/>
      <c r="AQ53" s="154"/>
      <c r="AR53" s="154"/>
      <c r="AS53" s="154"/>
      <c r="AT53" s="154"/>
      <c r="AU53" s="154"/>
      <c r="AV53" s="154"/>
      <c r="AW53" s="154"/>
    </row>
    <row r="54" spans="1:49" x14ac:dyDescent="0.2">
      <c r="A54" s="2">
        <v>29</v>
      </c>
      <c r="B54" s="2"/>
      <c r="C54" s="2" t="s">
        <v>367</v>
      </c>
      <c r="D54" s="79">
        <f>SUM(F54:S54)</f>
        <v>3822.5726057215438</v>
      </c>
      <c r="F54" s="79">
        <v>1896.7476959639328</v>
      </c>
      <c r="G54" s="79">
        <v>690.27971355732609</v>
      </c>
      <c r="H54" s="79">
        <v>160.57546296697427</v>
      </c>
      <c r="I54" s="79">
        <v>0</v>
      </c>
      <c r="J54" s="79">
        <v>0.66228563218933501</v>
      </c>
      <c r="K54" s="79">
        <v>0</v>
      </c>
      <c r="L54" s="79">
        <v>124.50011905278483</v>
      </c>
      <c r="M54" s="79">
        <v>0</v>
      </c>
      <c r="N54" s="79">
        <v>38.548731859179675</v>
      </c>
      <c r="O54" s="79">
        <v>94.572435896813573</v>
      </c>
      <c r="P54" s="79">
        <v>0</v>
      </c>
      <c r="Q54" s="79">
        <v>614.00361143140651</v>
      </c>
      <c r="R54" s="79">
        <v>0</v>
      </c>
      <c r="S54" s="79">
        <v>202.68254936093737</v>
      </c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154"/>
      <c r="AE54" s="154"/>
      <c r="AF54" s="154"/>
      <c r="AG54" s="154"/>
      <c r="AH54" s="154"/>
      <c r="AI54" s="154"/>
      <c r="AJ54" s="154"/>
      <c r="AK54" s="154"/>
      <c r="AL54" s="154"/>
      <c r="AM54" s="154"/>
      <c r="AN54" s="154"/>
      <c r="AO54" s="154"/>
      <c r="AP54" s="154"/>
      <c r="AQ54" s="154"/>
      <c r="AR54" s="154"/>
      <c r="AS54" s="154"/>
      <c r="AT54" s="154"/>
      <c r="AU54" s="154"/>
      <c r="AV54" s="154"/>
      <c r="AW54" s="154"/>
    </row>
    <row r="55" spans="1:49" x14ac:dyDescent="0.2">
      <c r="A55" s="2">
        <v>30</v>
      </c>
      <c r="B55" s="2" t="s">
        <v>218</v>
      </c>
      <c r="D55" s="90">
        <f>SUM(F55:S55)</f>
        <v>1.0000000000000002</v>
      </c>
      <c r="F55" s="90">
        <f t="shared" ref="F55:S55" si="13">F54/$D54</f>
        <v>0.4961966433613117</v>
      </c>
      <c r="G55" s="90">
        <f t="shared" si="13"/>
        <v>0.18057988291030244</v>
      </c>
      <c r="H55" s="90">
        <f t="shared" si="13"/>
        <v>4.2007171486194504E-2</v>
      </c>
      <c r="I55" s="90">
        <f t="shared" si="13"/>
        <v>0</v>
      </c>
      <c r="J55" s="90">
        <f t="shared" si="13"/>
        <v>1.7325652132755838E-4</v>
      </c>
      <c r="K55" s="90">
        <f t="shared" si="13"/>
        <v>0</v>
      </c>
      <c r="L55" s="90">
        <f t="shared" si="13"/>
        <v>3.2569719896604642E-2</v>
      </c>
      <c r="M55" s="90">
        <f t="shared" si="13"/>
        <v>0</v>
      </c>
      <c r="N55" s="90">
        <f t="shared" si="13"/>
        <v>1.0084499585823633E-2</v>
      </c>
      <c r="O55" s="90">
        <f t="shared" si="13"/>
        <v>2.4740520495349024E-2</v>
      </c>
      <c r="P55" s="90">
        <f t="shared" si="13"/>
        <v>0</v>
      </c>
      <c r="Q55" s="90">
        <f t="shared" si="13"/>
        <v>0.16062575515567165</v>
      </c>
      <c r="R55" s="90">
        <f t="shared" si="13"/>
        <v>0</v>
      </c>
      <c r="S55" s="90">
        <f t="shared" si="13"/>
        <v>5.3022550587415014E-2</v>
      </c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</row>
    <row r="56" spans="1:49" x14ac:dyDescent="0.2">
      <c r="A56" s="31"/>
      <c r="B56" s="2"/>
      <c r="T56" s="154"/>
      <c r="U56" s="154"/>
      <c r="V56" s="154"/>
      <c r="W56" s="154"/>
      <c r="X56" s="154"/>
      <c r="Y56" s="154"/>
      <c r="Z56" s="154"/>
      <c r="AA56" s="154"/>
      <c r="AB56" s="154"/>
      <c r="AC56" s="154"/>
      <c r="AD56" s="154"/>
      <c r="AE56" s="154"/>
      <c r="AF56" s="154"/>
      <c r="AG56" s="154"/>
      <c r="AH56" s="154"/>
      <c r="AI56" s="154"/>
      <c r="AJ56" s="154"/>
      <c r="AK56" s="154"/>
      <c r="AL56" s="154"/>
      <c r="AM56" s="154"/>
      <c r="AN56" s="154"/>
      <c r="AO56" s="154"/>
      <c r="AP56" s="154"/>
      <c r="AQ56" s="154"/>
      <c r="AR56" s="154"/>
      <c r="AS56" s="154"/>
      <c r="AT56" s="154"/>
      <c r="AU56" s="154"/>
      <c r="AV56" s="154"/>
      <c r="AW56" s="154"/>
    </row>
    <row r="57" spans="1:49" x14ac:dyDescent="0.2">
      <c r="A57" s="2">
        <v>31</v>
      </c>
      <c r="B57" s="2"/>
      <c r="C57" s="2" t="s">
        <v>367</v>
      </c>
      <c r="D57" s="50">
        <f>SUM(F57:S57)</f>
        <v>0</v>
      </c>
      <c r="F57" s="79">
        <v>0</v>
      </c>
      <c r="G57" s="79">
        <v>0</v>
      </c>
      <c r="H57" s="79">
        <v>0</v>
      </c>
      <c r="I57" s="79">
        <v>0</v>
      </c>
      <c r="J57" s="79">
        <v>0</v>
      </c>
      <c r="K57" s="79">
        <v>0</v>
      </c>
      <c r="L57" s="79">
        <v>0</v>
      </c>
      <c r="M57" s="79">
        <v>0</v>
      </c>
      <c r="N57" s="79">
        <v>0</v>
      </c>
      <c r="O57" s="79">
        <v>0</v>
      </c>
      <c r="P57" s="79">
        <v>0</v>
      </c>
      <c r="Q57" s="79">
        <v>0</v>
      </c>
      <c r="R57" s="79">
        <v>0</v>
      </c>
      <c r="S57" s="79">
        <v>0</v>
      </c>
      <c r="T57" s="154"/>
      <c r="U57" s="154"/>
      <c r="V57" s="154"/>
      <c r="W57" s="154"/>
      <c r="X57" s="154"/>
      <c r="Y57" s="154"/>
      <c r="Z57" s="154"/>
      <c r="AA57" s="154"/>
      <c r="AB57" s="154"/>
      <c r="AC57" s="154"/>
      <c r="AD57" s="154"/>
      <c r="AE57" s="154"/>
      <c r="AF57" s="154"/>
      <c r="AG57" s="154"/>
      <c r="AH57" s="154"/>
      <c r="AI57" s="154"/>
      <c r="AJ57" s="154"/>
      <c r="AK57" s="154"/>
      <c r="AL57" s="154"/>
      <c r="AM57" s="154"/>
      <c r="AN57" s="154"/>
      <c r="AO57" s="154"/>
      <c r="AP57" s="154"/>
      <c r="AQ57" s="154"/>
      <c r="AR57" s="154"/>
      <c r="AS57" s="154"/>
      <c r="AT57" s="154"/>
      <c r="AU57" s="154"/>
      <c r="AV57" s="154"/>
      <c r="AW57" s="154"/>
    </row>
    <row r="58" spans="1:49" x14ac:dyDescent="0.2">
      <c r="A58" s="2">
        <v>32</v>
      </c>
      <c r="B58" s="18" t="s">
        <v>263</v>
      </c>
      <c r="D58" s="90">
        <f>SUM(F58:S58)</f>
        <v>0</v>
      </c>
      <c r="F58" s="90">
        <v>0</v>
      </c>
      <c r="G58" s="90">
        <v>0</v>
      </c>
      <c r="H58" s="90">
        <v>0</v>
      </c>
      <c r="I58" s="90">
        <v>0</v>
      </c>
      <c r="J58" s="90">
        <v>0</v>
      </c>
      <c r="K58" s="90">
        <v>0</v>
      </c>
      <c r="L58" s="90">
        <v>0</v>
      </c>
      <c r="M58" s="90">
        <v>0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154"/>
      <c r="U58" s="154"/>
      <c r="V58" s="154"/>
      <c r="W58" s="154"/>
      <c r="X58" s="154"/>
      <c r="Y58" s="154"/>
      <c r="Z58" s="154"/>
      <c r="AA58" s="154"/>
      <c r="AB58" s="154"/>
      <c r="AC58" s="154"/>
      <c r="AD58" s="154"/>
      <c r="AE58" s="154"/>
      <c r="AF58" s="154"/>
      <c r="AG58" s="154"/>
      <c r="AH58" s="154"/>
      <c r="AI58" s="154"/>
      <c r="AJ58" s="154"/>
      <c r="AK58" s="154"/>
      <c r="AL58" s="154"/>
      <c r="AM58" s="154"/>
      <c r="AN58" s="154"/>
      <c r="AO58" s="154"/>
      <c r="AP58" s="154"/>
      <c r="AQ58" s="154"/>
      <c r="AR58" s="154"/>
      <c r="AS58" s="154"/>
      <c r="AT58" s="154"/>
      <c r="AU58" s="154"/>
      <c r="AV58" s="154"/>
      <c r="AW58" s="154"/>
    </row>
    <row r="59" spans="1:49" x14ac:dyDescent="0.2">
      <c r="B59" s="2"/>
      <c r="T59" s="154"/>
      <c r="U59" s="154"/>
      <c r="V59" s="154"/>
      <c r="W59" s="154"/>
      <c r="X59" s="154"/>
      <c r="Y59" s="154"/>
      <c r="Z59" s="154"/>
      <c r="AA59" s="154"/>
      <c r="AB59" s="154"/>
      <c r="AC59" s="154"/>
      <c r="AD59" s="154"/>
      <c r="AE59" s="154"/>
      <c r="AF59" s="154"/>
      <c r="AG59" s="154"/>
      <c r="AH59" s="154"/>
      <c r="AI59" s="154"/>
      <c r="AJ59" s="154"/>
      <c r="AK59" s="154"/>
      <c r="AL59" s="154"/>
      <c r="AM59" s="154"/>
      <c r="AN59" s="154"/>
      <c r="AO59" s="154"/>
      <c r="AP59" s="154"/>
      <c r="AQ59" s="154"/>
      <c r="AR59" s="154"/>
      <c r="AS59" s="154"/>
      <c r="AT59" s="154"/>
      <c r="AU59" s="154"/>
      <c r="AV59" s="154"/>
      <c r="AW59" s="154"/>
    </row>
    <row r="60" spans="1:49" x14ac:dyDescent="0.2">
      <c r="A60" s="2">
        <v>33</v>
      </c>
      <c r="B60" s="2"/>
      <c r="C60" s="2" t="s">
        <v>367</v>
      </c>
      <c r="D60" s="50">
        <f>SUM(F60:S60)</f>
        <v>48598.675495859796</v>
      </c>
      <c r="F60" s="79">
        <v>31068.213753157546</v>
      </c>
      <c r="G60" s="79">
        <v>11504.669206177352</v>
      </c>
      <c r="H60" s="79">
        <v>2538.0193452308213</v>
      </c>
      <c r="I60" s="79">
        <v>1.0290365244091797</v>
      </c>
      <c r="J60" s="79">
        <v>27.991999999999997</v>
      </c>
      <c r="K60" s="79">
        <v>19.303994908295682</v>
      </c>
      <c r="L60" s="79">
        <v>2111.0122325419179</v>
      </c>
      <c r="M60" s="79">
        <v>36.374731162711974</v>
      </c>
      <c r="N60" s="79">
        <v>0</v>
      </c>
      <c r="O60" s="79">
        <v>807.28860333248974</v>
      </c>
      <c r="P60" s="79">
        <v>6.9085889963061566</v>
      </c>
      <c r="Q60" s="79">
        <v>263.45854234396222</v>
      </c>
      <c r="R60" s="79">
        <v>214.40546148398428</v>
      </c>
      <c r="S60" s="79">
        <v>0</v>
      </c>
    </row>
    <row r="61" spans="1:49" x14ac:dyDescent="0.2">
      <c r="A61" s="2">
        <v>34</v>
      </c>
      <c r="B61" s="2" t="s">
        <v>292</v>
      </c>
      <c r="D61" s="90">
        <f>SUM(F61:S61)</f>
        <v>1.0000000000000002</v>
      </c>
      <c r="F61" s="90">
        <f t="shared" ref="F61:S61" si="14">F60/$D60</f>
        <v>0.63928107990935479</v>
      </c>
      <c r="G61" s="90">
        <f t="shared" si="14"/>
        <v>0.23672804019437638</v>
      </c>
      <c r="H61" s="90">
        <f t="shared" si="14"/>
        <v>5.2224043543059921E-2</v>
      </c>
      <c r="I61" s="90">
        <f t="shared" si="14"/>
        <v>2.1174168100462841E-5</v>
      </c>
      <c r="J61" s="90">
        <f t="shared" si="14"/>
        <v>5.7598277554672629E-4</v>
      </c>
      <c r="K61" s="90">
        <f t="shared" si="14"/>
        <v>3.9721236661974919E-4</v>
      </c>
      <c r="L61" s="90">
        <f t="shared" si="14"/>
        <v>4.3437649503879149E-2</v>
      </c>
      <c r="M61" s="90">
        <f t="shared" si="14"/>
        <v>7.4847165671852105E-4</v>
      </c>
      <c r="N61" s="90">
        <f t="shared" si="14"/>
        <v>0</v>
      </c>
      <c r="O61" s="90">
        <f t="shared" si="14"/>
        <v>1.6611329323188324E-2</v>
      </c>
      <c r="P61" s="90">
        <f t="shared" si="14"/>
        <v>1.4215591116047415E-4</v>
      </c>
      <c r="Q61" s="90">
        <f t="shared" si="14"/>
        <v>5.421105403714278E-3</v>
      </c>
      <c r="R61" s="90">
        <f t="shared" si="14"/>
        <v>4.4117552442812947E-3</v>
      </c>
      <c r="S61" s="90">
        <f t="shared" si="14"/>
        <v>0</v>
      </c>
      <c r="T61" s="50"/>
      <c r="U61" s="50"/>
      <c r="V61" s="38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</row>
    <row r="62" spans="1:49" x14ac:dyDescent="0.2">
      <c r="B62" s="2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  <c r="AI62" s="154"/>
      <c r="AJ62" s="154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</row>
    <row r="63" spans="1:49" x14ac:dyDescent="0.2">
      <c r="A63" s="2">
        <v>35</v>
      </c>
      <c r="B63" s="2"/>
      <c r="C63" s="2" t="s">
        <v>367</v>
      </c>
      <c r="D63" s="50">
        <f>SUM(F63:S63)</f>
        <v>436420177.10165495</v>
      </c>
      <c r="F63" s="79">
        <v>388578410.1642276</v>
      </c>
      <c r="G63" s="79">
        <v>33756015.181440882</v>
      </c>
      <c r="H63" s="79">
        <v>4534474.3199999919</v>
      </c>
      <c r="I63" s="79">
        <v>0</v>
      </c>
      <c r="J63" s="79">
        <v>183899.12041666661</v>
      </c>
      <c r="K63" s="79">
        <v>788139.08749999979</v>
      </c>
      <c r="L63" s="79">
        <v>2792337.1208577962</v>
      </c>
      <c r="M63" s="79">
        <v>195953.48216545937</v>
      </c>
      <c r="N63" s="79">
        <v>108105.42</v>
      </c>
      <c r="O63" s="79">
        <v>1821596.71030303</v>
      </c>
      <c r="P63" s="79">
        <v>0</v>
      </c>
      <c r="Q63" s="79">
        <v>3556428.8280769223</v>
      </c>
      <c r="R63" s="79">
        <v>0</v>
      </c>
      <c r="S63" s="79">
        <v>104817.66666666667</v>
      </c>
    </row>
    <row r="64" spans="1:49" x14ac:dyDescent="0.2">
      <c r="A64" s="2">
        <v>36</v>
      </c>
      <c r="B64" s="2" t="s">
        <v>190</v>
      </c>
      <c r="D64" s="90">
        <f>SUM(F64:S64)</f>
        <v>1.0000000000000002</v>
      </c>
      <c r="F64" s="90">
        <f t="shared" ref="F64:S64" si="15">F63/$D63</f>
        <v>0.89037682158704679</v>
      </c>
      <c r="G64" s="90">
        <f t="shared" si="15"/>
        <v>7.7347512678310762E-2</v>
      </c>
      <c r="H64" s="90">
        <f t="shared" si="15"/>
        <v>1.039015737107815E-2</v>
      </c>
      <c r="I64" s="90">
        <f t="shared" si="15"/>
        <v>0</v>
      </c>
      <c r="J64" s="90">
        <f t="shared" si="15"/>
        <v>4.2138088490310832E-4</v>
      </c>
      <c r="K64" s="90">
        <f t="shared" si="15"/>
        <v>1.8059180781561785E-3</v>
      </c>
      <c r="L64" s="90">
        <f t="shared" si="15"/>
        <v>6.3982768610796369E-3</v>
      </c>
      <c r="M64" s="90">
        <f t="shared" si="15"/>
        <v>4.4900188498804469E-4</v>
      </c>
      <c r="N64" s="90">
        <f t="shared" si="15"/>
        <v>2.4770949115585712E-4</v>
      </c>
      <c r="O64" s="90">
        <f t="shared" si="15"/>
        <v>4.1739516316605298E-3</v>
      </c>
      <c r="P64" s="90">
        <f t="shared" si="15"/>
        <v>0</v>
      </c>
      <c r="Q64" s="90">
        <f t="shared" si="15"/>
        <v>8.1490934990581954E-3</v>
      </c>
      <c r="R64" s="90">
        <f t="shared" si="15"/>
        <v>0</v>
      </c>
      <c r="S64" s="90">
        <f t="shared" si="15"/>
        <v>2.4017603256288399E-4</v>
      </c>
      <c r="T64" s="136"/>
      <c r="U64" s="136"/>
      <c r="V64" s="38"/>
      <c r="W64" s="136"/>
      <c r="X64" s="136"/>
      <c r="Y64" s="136"/>
      <c r="Z64" s="136"/>
      <c r="AA64" s="136"/>
      <c r="AB64" s="136"/>
      <c r="AC64" s="136"/>
      <c r="AD64" s="136"/>
      <c r="AE64" s="136"/>
      <c r="AF64" s="136"/>
      <c r="AG64" s="136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6"/>
      <c r="AV64" s="136"/>
      <c r="AW64" s="136"/>
    </row>
    <row r="65" spans="1:49" x14ac:dyDescent="0.2">
      <c r="B65" s="2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4"/>
      <c r="AE65" s="154"/>
      <c r="AF65" s="154"/>
      <c r="AG65" s="154"/>
      <c r="AH65" s="154"/>
      <c r="AI65" s="154"/>
      <c r="AJ65" s="154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</row>
    <row r="66" spans="1:49" x14ac:dyDescent="0.2">
      <c r="A66" s="2">
        <v>37</v>
      </c>
      <c r="B66" s="2"/>
      <c r="C66" s="2" t="s">
        <v>367</v>
      </c>
      <c r="D66" s="50">
        <f>SUM(F66:S66)</f>
        <v>1741.4233983360587</v>
      </c>
      <c r="E66" s="79"/>
      <c r="F66" s="79">
        <v>865.97359157225947</v>
      </c>
      <c r="G66" s="79">
        <v>308.56838293790781</v>
      </c>
      <c r="H66" s="79">
        <v>96.72622525789771</v>
      </c>
      <c r="I66" s="79">
        <v>0</v>
      </c>
      <c r="J66" s="79">
        <v>0.93612556598907082</v>
      </c>
      <c r="K66" s="79">
        <v>0</v>
      </c>
      <c r="L66" s="79">
        <v>160.62827093708202</v>
      </c>
      <c r="M66" s="79">
        <v>0</v>
      </c>
      <c r="N66" s="79">
        <v>9.7170596643762064</v>
      </c>
      <c r="O66" s="79">
        <v>33.811684609040512</v>
      </c>
      <c r="P66" s="79">
        <v>0</v>
      </c>
      <c r="Q66" s="79">
        <v>210.92305779150618</v>
      </c>
      <c r="R66" s="79">
        <v>0</v>
      </c>
      <c r="S66" s="79">
        <v>54.139000000000003</v>
      </c>
    </row>
    <row r="67" spans="1:49" x14ac:dyDescent="0.2">
      <c r="A67" s="2">
        <v>38</v>
      </c>
      <c r="B67" s="2" t="s">
        <v>156</v>
      </c>
      <c r="D67" s="90">
        <f>SUM(F67:S67)</f>
        <v>1</v>
      </c>
      <c r="F67" s="90">
        <f t="shared" ref="F67:S67" si="16">F66/$D66</f>
        <v>0.49727917541460787</v>
      </c>
      <c r="G67" s="90">
        <f t="shared" si="16"/>
        <v>0.17719319909951073</v>
      </c>
      <c r="H67" s="90">
        <f t="shared" si="16"/>
        <v>5.554434685460196E-2</v>
      </c>
      <c r="I67" s="90">
        <f t="shared" si="16"/>
        <v>0</v>
      </c>
      <c r="J67" s="90">
        <f t="shared" si="16"/>
        <v>5.3756344774254488E-4</v>
      </c>
      <c r="K67" s="90">
        <f t="shared" si="16"/>
        <v>0</v>
      </c>
      <c r="L67" s="90">
        <f t="shared" si="16"/>
        <v>9.223964205980198E-2</v>
      </c>
      <c r="M67" s="90">
        <f t="shared" si="16"/>
        <v>0</v>
      </c>
      <c r="N67" s="90">
        <f t="shared" si="16"/>
        <v>5.579952396218473E-3</v>
      </c>
      <c r="O67" s="90">
        <f t="shared" si="16"/>
        <v>1.9416119389085846E-2</v>
      </c>
      <c r="P67" s="90">
        <f t="shared" si="16"/>
        <v>0</v>
      </c>
      <c r="Q67" s="90">
        <f t="shared" si="16"/>
        <v>0.12112106567136087</v>
      </c>
      <c r="R67" s="90">
        <f t="shared" si="16"/>
        <v>0</v>
      </c>
      <c r="S67" s="90">
        <f t="shared" si="16"/>
        <v>3.1088935667069922E-2</v>
      </c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</row>
    <row r="68" spans="1:49" x14ac:dyDescent="0.2">
      <c r="B68" s="2"/>
    </row>
    <row r="69" spans="1:49" x14ac:dyDescent="0.2">
      <c r="A69" s="2">
        <v>39</v>
      </c>
      <c r="B69" s="2"/>
      <c r="C69" s="2" t="s">
        <v>367</v>
      </c>
      <c r="D69" s="50">
        <f>SUM(F69:S69)</f>
        <v>116429.5176359258</v>
      </c>
      <c r="F69" s="79">
        <v>71212.114126204338</v>
      </c>
      <c r="G69" s="79">
        <v>24463.237984682768</v>
      </c>
      <c r="H69" s="79">
        <v>2203.318142855092</v>
      </c>
      <c r="I69" s="79">
        <v>3.1467396834869761</v>
      </c>
      <c r="J69" s="79">
        <v>12.078981286311951</v>
      </c>
      <c r="K69" s="79">
        <v>47.560338255991489</v>
      </c>
      <c r="L69" s="79">
        <v>2973.5062209549496</v>
      </c>
      <c r="M69" s="79">
        <v>260.53854593047402</v>
      </c>
      <c r="N69" s="79">
        <v>307.09363390157176</v>
      </c>
      <c r="O69" s="79">
        <v>1336.0839713170467</v>
      </c>
      <c r="P69" s="79">
        <v>0</v>
      </c>
      <c r="Q69" s="79">
        <v>11464.031457634606</v>
      </c>
      <c r="R69" s="79">
        <v>0</v>
      </c>
      <c r="S69" s="79">
        <v>2146.8074932191666</v>
      </c>
    </row>
    <row r="70" spans="1:49" x14ac:dyDescent="0.2">
      <c r="A70" s="2">
        <v>40</v>
      </c>
      <c r="B70" s="2" t="s">
        <v>346</v>
      </c>
      <c r="D70" s="90">
        <f>SUM(F70:S70)</f>
        <v>1.0000000000000002</v>
      </c>
      <c r="F70" s="90">
        <f t="shared" ref="F70:S70" si="17">F69/$D69</f>
        <v>0.61163281934126079</v>
      </c>
      <c r="G70" s="90">
        <f t="shared" si="17"/>
        <v>0.21011199291556909</v>
      </c>
      <c r="H70" s="90">
        <f t="shared" si="17"/>
        <v>1.8924051113437149E-2</v>
      </c>
      <c r="I70" s="90">
        <f t="shared" si="17"/>
        <v>2.7026992358817517E-5</v>
      </c>
      <c r="J70" s="90">
        <f t="shared" si="17"/>
        <v>1.0374500841000502E-4</v>
      </c>
      <c r="K70" s="90">
        <f t="shared" si="17"/>
        <v>4.0849038303767863E-4</v>
      </c>
      <c r="L70" s="90">
        <f t="shared" si="17"/>
        <v>2.5539109680528613E-2</v>
      </c>
      <c r="M70" s="90">
        <f t="shared" si="17"/>
        <v>2.2377361962898105E-3</v>
      </c>
      <c r="N70" s="90">
        <f t="shared" si="17"/>
        <v>2.6375925979685937E-3</v>
      </c>
      <c r="O70" s="90">
        <f t="shared" si="17"/>
        <v>1.1475474591374421E-2</v>
      </c>
      <c r="P70" s="90">
        <f t="shared" si="17"/>
        <v>0</v>
      </c>
      <c r="Q70" s="90">
        <f t="shared" si="17"/>
        <v>9.8463273664695095E-2</v>
      </c>
      <c r="R70" s="90">
        <f t="shared" si="17"/>
        <v>0</v>
      </c>
      <c r="S70" s="90">
        <f t="shared" si="17"/>
        <v>1.8438687515069992E-2</v>
      </c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</row>
    <row r="71" spans="1:49" x14ac:dyDescent="0.2">
      <c r="A71" s="31"/>
      <c r="B71" s="2"/>
      <c r="T71" s="154"/>
      <c r="U71" s="154"/>
      <c r="V71" s="154"/>
      <c r="W71" s="154"/>
      <c r="X71" s="154"/>
      <c r="Y71" s="154"/>
      <c r="Z71" s="154"/>
      <c r="AA71" s="154"/>
      <c r="AB71" s="154"/>
      <c r="AC71" s="154"/>
      <c r="AD71" s="154"/>
      <c r="AE71" s="154"/>
      <c r="AF71" s="154"/>
      <c r="AG71" s="154"/>
      <c r="AH71" s="154"/>
      <c r="AI71" s="154"/>
      <c r="AJ71" s="154"/>
      <c r="AK71" s="154"/>
      <c r="AL71" s="154"/>
      <c r="AM71" s="154"/>
      <c r="AN71" s="154"/>
      <c r="AO71" s="154"/>
      <c r="AP71" s="154"/>
      <c r="AQ71" s="154"/>
      <c r="AR71" s="154"/>
      <c r="AS71" s="154"/>
      <c r="AT71" s="154"/>
      <c r="AU71" s="154"/>
      <c r="AV71" s="154"/>
      <c r="AW71" s="154"/>
    </row>
    <row r="72" spans="1:49" x14ac:dyDescent="0.2">
      <c r="A72" s="2">
        <v>41</v>
      </c>
      <c r="B72" s="2"/>
      <c r="C72" s="2" t="s">
        <v>367</v>
      </c>
      <c r="D72" s="50">
        <f>SUM(F72:S72)</f>
        <v>34971.355447270296</v>
      </c>
      <c r="F72" s="79">
        <v>6534.2331674622756</v>
      </c>
      <c r="G72" s="79">
        <v>2576.8848314816091</v>
      </c>
      <c r="H72" s="79">
        <v>2127.7604884449711</v>
      </c>
      <c r="I72" s="79">
        <v>0</v>
      </c>
      <c r="J72" s="79">
        <v>27.492000000000001</v>
      </c>
      <c r="K72" s="79">
        <v>0</v>
      </c>
      <c r="L72" s="79">
        <v>4618.5620938817201</v>
      </c>
      <c r="M72" s="79">
        <v>0</v>
      </c>
      <c r="N72" s="79">
        <v>0</v>
      </c>
      <c r="O72" s="79">
        <v>782.49428410373923</v>
      </c>
      <c r="P72" s="79">
        <v>0</v>
      </c>
      <c r="Q72" s="79">
        <v>18303.92858189598</v>
      </c>
      <c r="R72" s="79">
        <v>0</v>
      </c>
      <c r="S72" s="79">
        <v>0</v>
      </c>
    </row>
    <row r="73" spans="1:49" x14ac:dyDescent="0.2">
      <c r="A73" s="2">
        <v>42</v>
      </c>
      <c r="B73" s="2" t="s">
        <v>229</v>
      </c>
      <c r="D73" s="90">
        <f>SUM(F73:S73)</f>
        <v>1</v>
      </c>
      <c r="F73" s="90">
        <f t="shared" ref="F73:S73" si="18">F72/$D72</f>
        <v>0.18684529335199981</v>
      </c>
      <c r="G73" s="90">
        <f t="shared" si="18"/>
        <v>7.3685586347004145E-2</v>
      </c>
      <c r="H73" s="90">
        <f t="shared" si="18"/>
        <v>6.0842951645188645E-2</v>
      </c>
      <c r="I73" s="90">
        <f t="shared" si="18"/>
        <v>0</v>
      </c>
      <c r="J73" s="90">
        <f t="shared" si="18"/>
        <v>7.8612909475162765E-4</v>
      </c>
      <c r="K73" s="90">
        <f t="shared" si="18"/>
        <v>0</v>
      </c>
      <c r="L73" s="90">
        <f t="shared" si="18"/>
        <v>0.13206700268868829</v>
      </c>
      <c r="M73" s="90">
        <f t="shared" si="18"/>
        <v>0</v>
      </c>
      <c r="N73" s="90">
        <f t="shared" si="18"/>
        <v>0</v>
      </c>
      <c r="O73" s="90">
        <f t="shared" si="18"/>
        <v>2.2375291838018167E-2</v>
      </c>
      <c r="P73" s="90">
        <f t="shared" si="18"/>
        <v>0</v>
      </c>
      <c r="Q73" s="90">
        <f t="shared" si="18"/>
        <v>0.52339774503434922</v>
      </c>
      <c r="R73" s="90">
        <f t="shared" si="18"/>
        <v>0</v>
      </c>
      <c r="S73" s="90">
        <f t="shared" si="18"/>
        <v>0</v>
      </c>
      <c r="T73" s="50"/>
      <c r="U73" s="50"/>
      <c r="V73" s="38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</row>
    <row r="74" spans="1:49" x14ac:dyDescent="0.2">
      <c r="B74" s="2"/>
      <c r="T74" s="154"/>
      <c r="U74" s="154"/>
      <c r="V74" s="154"/>
      <c r="W74" s="154"/>
      <c r="X74" s="154"/>
      <c r="Y74" s="154"/>
      <c r="Z74" s="154"/>
      <c r="AA74" s="154"/>
      <c r="AB74" s="154"/>
      <c r="AC74" s="154"/>
      <c r="AD74" s="154"/>
      <c r="AE74" s="154"/>
      <c r="AF74" s="154"/>
      <c r="AG74" s="154"/>
      <c r="AH74" s="154"/>
      <c r="AI74" s="154"/>
      <c r="AJ74" s="154"/>
      <c r="AK74" s="154"/>
      <c r="AL74" s="154"/>
      <c r="AM74" s="154"/>
      <c r="AN74" s="154"/>
      <c r="AO74" s="154"/>
      <c r="AP74" s="154"/>
      <c r="AQ74" s="154"/>
      <c r="AR74" s="154"/>
      <c r="AS74" s="154"/>
      <c r="AT74" s="154"/>
      <c r="AU74" s="154"/>
      <c r="AV74" s="154"/>
      <c r="AW74" s="154"/>
    </row>
    <row r="75" spans="1:49" x14ac:dyDescent="0.2">
      <c r="A75" s="2">
        <v>43</v>
      </c>
      <c r="B75" s="2"/>
      <c r="C75" s="2" t="s">
        <v>367</v>
      </c>
      <c r="D75" s="50">
        <f>SUM(F75:S75)</f>
        <v>0</v>
      </c>
      <c r="F75" s="79">
        <v>0</v>
      </c>
      <c r="G75" s="79">
        <v>0</v>
      </c>
      <c r="H75" s="79">
        <v>0</v>
      </c>
      <c r="I75" s="79">
        <v>0</v>
      </c>
      <c r="J75" s="79">
        <v>0</v>
      </c>
      <c r="K75" s="79">
        <v>0</v>
      </c>
      <c r="L75" s="79">
        <v>0</v>
      </c>
      <c r="M75" s="79">
        <v>0</v>
      </c>
      <c r="N75" s="79">
        <v>0</v>
      </c>
      <c r="O75" s="79">
        <v>0</v>
      </c>
      <c r="P75" s="79">
        <v>0</v>
      </c>
      <c r="Q75" s="79">
        <v>0</v>
      </c>
      <c r="R75" s="79">
        <v>0</v>
      </c>
      <c r="S75" s="79">
        <v>0</v>
      </c>
      <c r="T75" s="154"/>
      <c r="U75" s="154"/>
      <c r="V75" s="154"/>
      <c r="W75" s="154"/>
      <c r="X75" s="154"/>
      <c r="Y75" s="154"/>
      <c r="Z75" s="154"/>
      <c r="AA75" s="154"/>
      <c r="AB75" s="154"/>
      <c r="AC75" s="154"/>
      <c r="AD75" s="154"/>
      <c r="AE75" s="154"/>
      <c r="AF75" s="154"/>
      <c r="AG75" s="154"/>
      <c r="AH75" s="154"/>
      <c r="AI75" s="154"/>
      <c r="AJ75" s="154"/>
      <c r="AK75" s="154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4"/>
    </row>
    <row r="76" spans="1:49" x14ac:dyDescent="0.2">
      <c r="A76" s="2">
        <v>44</v>
      </c>
      <c r="B76" s="18" t="s">
        <v>230</v>
      </c>
      <c r="D76" s="90">
        <f>SUM(F76:S76)</f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0</v>
      </c>
      <c r="M76" s="90">
        <v>0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154"/>
      <c r="U76" s="154"/>
      <c r="V76" s="154"/>
      <c r="W76" s="154"/>
      <c r="X76" s="154"/>
      <c r="Y76" s="154"/>
      <c r="Z76" s="154"/>
      <c r="AA76" s="154"/>
      <c r="AB76" s="154"/>
      <c r="AC76" s="154"/>
      <c r="AD76" s="154"/>
      <c r="AE76" s="154"/>
      <c r="AF76" s="154"/>
      <c r="AG76" s="154"/>
      <c r="AH76" s="154"/>
      <c r="AI76" s="154"/>
      <c r="AJ76" s="154"/>
      <c r="AK76" s="154"/>
      <c r="AL76" s="154"/>
      <c r="AM76" s="154"/>
      <c r="AN76" s="154"/>
      <c r="AO76" s="154"/>
      <c r="AP76" s="154"/>
      <c r="AQ76" s="154"/>
      <c r="AR76" s="154"/>
      <c r="AS76" s="154"/>
      <c r="AT76" s="154"/>
      <c r="AU76" s="154"/>
      <c r="AV76" s="154"/>
      <c r="AW76" s="154"/>
    </row>
    <row r="77" spans="1:49" x14ac:dyDescent="0.2">
      <c r="B77" s="2"/>
      <c r="T77" s="154"/>
      <c r="U77" s="154"/>
      <c r="V77" s="154"/>
      <c r="W77" s="154"/>
      <c r="X77" s="154"/>
      <c r="Y77" s="154"/>
      <c r="Z77" s="154"/>
      <c r="AA77" s="154"/>
      <c r="AB77" s="154"/>
      <c r="AC77" s="154"/>
      <c r="AD77" s="154"/>
      <c r="AE77" s="154"/>
      <c r="AF77" s="154"/>
      <c r="AG77" s="154"/>
      <c r="AH77" s="154"/>
      <c r="AI77" s="154"/>
      <c r="AJ77" s="154"/>
      <c r="AK77" s="154"/>
      <c r="AL77" s="154"/>
      <c r="AM77" s="154"/>
      <c r="AN77" s="154"/>
      <c r="AO77" s="154"/>
      <c r="AP77" s="154"/>
      <c r="AQ77" s="154"/>
      <c r="AR77" s="154"/>
      <c r="AS77" s="154"/>
      <c r="AT77" s="154"/>
      <c r="AU77" s="154"/>
      <c r="AV77" s="154"/>
      <c r="AW77" s="154"/>
    </row>
    <row r="78" spans="1:49" x14ac:dyDescent="0.2">
      <c r="A78" s="2">
        <v>45</v>
      </c>
      <c r="B78" s="2"/>
      <c r="C78" s="2" t="s">
        <v>367</v>
      </c>
      <c r="D78" s="50">
        <f>SUM(F78:S78)</f>
        <v>301076395.33922148</v>
      </c>
      <c r="F78" s="79">
        <v>96713961.468837276</v>
      </c>
      <c r="G78" s="79">
        <v>123334170.60913539</v>
      </c>
      <c r="H78" s="79">
        <v>7936401.4415739933</v>
      </c>
      <c r="I78" s="79">
        <v>0</v>
      </c>
      <c r="J78" s="79">
        <v>397972.27230632806</v>
      </c>
      <c r="K78" s="79">
        <v>1705595.4527414057</v>
      </c>
      <c r="L78" s="79">
        <v>19396072.29075798</v>
      </c>
      <c r="M78" s="79">
        <v>1361127.8800531914</v>
      </c>
      <c r="N78" s="79">
        <v>769124.95438400004</v>
      </c>
      <c r="O78" s="79">
        <v>5404159.7797908895</v>
      </c>
      <c r="P78" s="79">
        <v>0</v>
      </c>
      <c r="Q78" s="79">
        <v>40562930.429428443</v>
      </c>
      <c r="R78" s="79">
        <v>0</v>
      </c>
      <c r="S78" s="79">
        <v>3494878.760212617</v>
      </c>
    </row>
    <row r="79" spans="1:49" x14ac:dyDescent="0.2">
      <c r="A79" s="2">
        <v>46</v>
      </c>
      <c r="B79" s="2" t="s">
        <v>191</v>
      </c>
      <c r="D79" s="90">
        <f>SUM(F79:S79)</f>
        <v>1.0000000000000002</v>
      </c>
      <c r="F79" s="90">
        <f t="shared" ref="F79:S79" si="19">F78/$D78</f>
        <v>0.32122731295447482</v>
      </c>
      <c r="G79" s="90">
        <f t="shared" si="19"/>
        <v>0.4096441053446761</v>
      </c>
      <c r="H79" s="90">
        <f t="shared" si="19"/>
        <v>2.6360091871805772E-2</v>
      </c>
      <c r="I79" s="90">
        <f t="shared" si="19"/>
        <v>0</v>
      </c>
      <c r="J79" s="90">
        <f t="shared" si="19"/>
        <v>1.3218315300272357E-3</v>
      </c>
      <c r="K79" s="90">
        <f t="shared" si="19"/>
        <v>5.6649922715452956E-3</v>
      </c>
      <c r="L79" s="90">
        <f t="shared" si="19"/>
        <v>6.4422427633041471E-2</v>
      </c>
      <c r="M79" s="90">
        <f t="shared" si="19"/>
        <v>4.5208721145994007E-3</v>
      </c>
      <c r="N79" s="90">
        <f t="shared" si="19"/>
        <v>2.5545840400986275E-3</v>
      </c>
      <c r="O79" s="90">
        <f t="shared" si="19"/>
        <v>1.7949463536329528E-2</v>
      </c>
      <c r="P79" s="90">
        <f t="shared" si="19"/>
        <v>0</v>
      </c>
      <c r="Q79" s="90">
        <f t="shared" si="19"/>
        <v>0.13472637196857085</v>
      </c>
      <c r="R79" s="90">
        <f t="shared" si="19"/>
        <v>0</v>
      </c>
      <c r="S79" s="90">
        <f t="shared" si="19"/>
        <v>1.1607946734831046E-2</v>
      </c>
      <c r="T79" s="136"/>
      <c r="U79" s="136"/>
      <c r="V79" s="38"/>
      <c r="W79" s="136"/>
      <c r="X79" s="136"/>
      <c r="Y79" s="136"/>
      <c r="Z79" s="136"/>
      <c r="AA79" s="38"/>
      <c r="AB79" s="136"/>
      <c r="AC79" s="136"/>
      <c r="AD79" s="136"/>
      <c r="AE79" s="136"/>
      <c r="AF79" s="136"/>
      <c r="AG79" s="136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6"/>
      <c r="AV79" s="136"/>
      <c r="AW79" s="136"/>
    </row>
    <row r="80" spans="1:49" x14ac:dyDescent="0.2">
      <c r="A80" s="31"/>
      <c r="B80" s="2"/>
      <c r="T80" s="154"/>
      <c r="U80" s="154"/>
      <c r="V80" s="154"/>
      <c r="W80" s="154"/>
      <c r="X80" s="154"/>
      <c r="Y80" s="154"/>
      <c r="Z80" s="154"/>
      <c r="AA80" s="154"/>
      <c r="AB80" s="154"/>
      <c r="AC80" s="154"/>
      <c r="AD80" s="154"/>
      <c r="AE80" s="154"/>
      <c r="AF80" s="154"/>
      <c r="AG80" s="154"/>
      <c r="AH80" s="154"/>
      <c r="AI80" s="154"/>
      <c r="AJ80" s="154"/>
      <c r="AK80" s="154"/>
      <c r="AL80" s="154"/>
      <c r="AM80" s="154"/>
      <c r="AN80" s="154"/>
      <c r="AO80" s="154"/>
      <c r="AP80" s="154"/>
      <c r="AQ80" s="154"/>
      <c r="AR80" s="154"/>
      <c r="AS80" s="154"/>
      <c r="AT80" s="154"/>
      <c r="AU80" s="154"/>
      <c r="AV80" s="154"/>
      <c r="AW80" s="154"/>
    </row>
    <row r="81" spans="1:49" x14ac:dyDescent="0.2">
      <c r="A81" s="2">
        <v>47</v>
      </c>
      <c r="B81" s="2"/>
      <c r="C81" s="2" t="s">
        <v>367</v>
      </c>
      <c r="D81" s="50">
        <f>SUM(F81:S81)</f>
        <v>74296.060660261384</v>
      </c>
      <c r="F81" s="79">
        <v>41087.985820247763</v>
      </c>
      <c r="G81" s="79">
        <v>12358.998877282265</v>
      </c>
      <c r="H81" s="79">
        <v>2537.6219724777566</v>
      </c>
      <c r="I81" s="79">
        <v>5.4661490773461026</v>
      </c>
      <c r="J81" s="79">
        <v>10.067717314173953</v>
      </c>
      <c r="K81" s="79">
        <v>0</v>
      </c>
      <c r="L81" s="79">
        <v>3486.6082333099503</v>
      </c>
      <c r="M81" s="79">
        <v>362.25440478301539</v>
      </c>
      <c r="N81" s="79">
        <v>353.18548576912735</v>
      </c>
      <c r="O81" s="79">
        <v>1484.604</v>
      </c>
      <c r="P81" s="79">
        <v>0</v>
      </c>
      <c r="Q81" s="79">
        <v>9403.2469999999994</v>
      </c>
      <c r="R81" s="79">
        <v>0</v>
      </c>
      <c r="S81" s="79">
        <v>3206.0210000000002</v>
      </c>
      <c r="T81" s="50"/>
      <c r="U81" s="50"/>
      <c r="V81" s="50"/>
      <c r="W81" s="50"/>
      <c r="X81" s="50"/>
      <c r="Y81" s="50"/>
      <c r="Z81" s="50"/>
      <c r="AA81" s="50"/>
    </row>
    <row r="82" spans="1:49" x14ac:dyDescent="0.2">
      <c r="A82" s="2">
        <v>48</v>
      </c>
      <c r="B82" s="2" t="s">
        <v>157</v>
      </c>
      <c r="D82" s="90">
        <f>SUM(F82:S82)</f>
        <v>1</v>
      </c>
      <c r="F82" s="90">
        <f t="shared" ref="F82:S82" si="20">F81/$D81</f>
        <v>0.55303047638196556</v>
      </c>
      <c r="G82" s="90">
        <f t="shared" si="20"/>
        <v>0.16634797010028693</v>
      </c>
      <c r="H82" s="90">
        <f t="shared" si="20"/>
        <v>3.4155538664179141E-2</v>
      </c>
      <c r="I82" s="90">
        <f t="shared" si="20"/>
        <v>7.3572528997755776E-5</v>
      </c>
      <c r="J82" s="90">
        <f t="shared" si="20"/>
        <v>1.3550809053270379E-4</v>
      </c>
      <c r="K82" s="90">
        <f t="shared" si="20"/>
        <v>0</v>
      </c>
      <c r="L82" s="90">
        <f t="shared" si="20"/>
        <v>4.6928574709410226E-2</v>
      </c>
      <c r="M82" s="90">
        <f t="shared" si="20"/>
        <v>4.8758225074613387E-3</v>
      </c>
      <c r="N82" s="90">
        <f t="shared" si="20"/>
        <v>4.7537579062793449E-3</v>
      </c>
      <c r="O82" s="90">
        <f t="shared" si="20"/>
        <v>1.9982270753071945E-2</v>
      </c>
      <c r="P82" s="90">
        <f t="shared" si="20"/>
        <v>0</v>
      </c>
      <c r="Q82" s="90">
        <f t="shared" si="20"/>
        <v>0.12656454348231008</v>
      </c>
      <c r="R82" s="90">
        <f t="shared" si="20"/>
        <v>0</v>
      </c>
      <c r="S82" s="90">
        <f t="shared" si="20"/>
        <v>4.3151964875505162E-2</v>
      </c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</row>
    <row r="83" spans="1:49" x14ac:dyDescent="0.2">
      <c r="B83" s="2"/>
      <c r="T83" s="154"/>
      <c r="U83" s="154"/>
      <c r="V83" s="154"/>
      <c r="W83" s="154"/>
      <c r="X83" s="154"/>
      <c r="Y83" s="154"/>
      <c r="Z83" s="154"/>
      <c r="AA83" s="154"/>
      <c r="AB83" s="154"/>
      <c r="AC83" s="154"/>
      <c r="AD83" s="154"/>
      <c r="AE83" s="154"/>
      <c r="AF83" s="154"/>
      <c r="AG83" s="154"/>
      <c r="AH83" s="154"/>
      <c r="AI83" s="154"/>
      <c r="AJ83" s="154"/>
      <c r="AK83" s="154"/>
      <c r="AL83" s="154"/>
      <c r="AM83" s="154"/>
      <c r="AN83" s="154"/>
      <c r="AO83" s="154"/>
      <c r="AP83" s="154"/>
      <c r="AQ83" s="154"/>
      <c r="AR83" s="154"/>
      <c r="AS83" s="154"/>
      <c r="AT83" s="154"/>
      <c r="AU83" s="154"/>
      <c r="AV83" s="154"/>
      <c r="AW83" s="154"/>
    </row>
    <row r="84" spans="1:49" x14ac:dyDescent="0.2">
      <c r="A84" s="2">
        <v>49</v>
      </c>
      <c r="B84" s="2"/>
      <c r="C84" s="2" t="s">
        <v>367</v>
      </c>
      <c r="D84" s="50">
        <f>SUM(F84:S84)</f>
        <v>4608928.0421786597</v>
      </c>
      <c r="F84" s="79">
        <v>1903457.2589222249</v>
      </c>
      <c r="G84" s="79">
        <v>771033.29965448019</v>
      </c>
      <c r="H84" s="155">
        <v>346546.32893452549</v>
      </c>
      <c r="I84" s="79">
        <v>138.93672338272017</v>
      </c>
      <c r="J84" s="79">
        <v>2571.9050596829738</v>
      </c>
      <c r="K84" s="79">
        <v>32156.7249925258</v>
      </c>
      <c r="L84" s="79">
        <v>416640.14127007907</v>
      </c>
      <c r="M84" s="79">
        <v>44363.981660520069</v>
      </c>
      <c r="N84" s="79">
        <v>52579.830987133842</v>
      </c>
      <c r="O84" s="79">
        <v>76502.058477047089</v>
      </c>
      <c r="P84" s="79">
        <v>0</v>
      </c>
      <c r="Q84" s="79">
        <v>798319.51185324986</v>
      </c>
      <c r="R84" s="79">
        <v>0</v>
      </c>
      <c r="S84" s="79">
        <v>164618.06364380757</v>
      </c>
      <c r="Z84" s="43"/>
      <c r="AB84" s="43"/>
      <c r="AD84" s="43"/>
      <c r="AF84" s="43"/>
      <c r="AH84" s="43"/>
      <c r="AI84" s="43"/>
      <c r="AK84" s="43"/>
      <c r="AM84" s="43"/>
      <c r="AN84" s="43"/>
      <c r="AO84" s="43"/>
      <c r="AP84" s="43"/>
      <c r="AQ84" s="43"/>
    </row>
    <row r="85" spans="1:49" x14ac:dyDescent="0.2">
      <c r="A85" s="2">
        <v>50</v>
      </c>
      <c r="B85" s="2" t="s">
        <v>334</v>
      </c>
      <c r="D85" s="90">
        <f>SUM(F85:S85)</f>
        <v>0.99999999999999989</v>
      </c>
      <c r="F85" s="90">
        <f t="shared" ref="F85:S85" si="21">F84/$D84</f>
        <v>0.41299348601295421</v>
      </c>
      <c r="G85" s="90">
        <f t="shared" si="21"/>
        <v>0.167291242692088</v>
      </c>
      <c r="H85" s="90">
        <f t="shared" si="21"/>
        <v>7.5190223358469185E-2</v>
      </c>
      <c r="I85" s="90">
        <f t="shared" si="21"/>
        <v>3.0145127481106041E-5</v>
      </c>
      <c r="J85" s="90">
        <f t="shared" si="21"/>
        <v>5.5802673336319297E-4</v>
      </c>
      <c r="K85" s="90">
        <f t="shared" si="21"/>
        <v>6.9770507801907838E-3</v>
      </c>
      <c r="L85" s="90">
        <f t="shared" si="21"/>
        <v>9.0398491245077345E-2</v>
      </c>
      <c r="M85" s="90">
        <f t="shared" si="21"/>
        <v>9.6256615973438001E-3</v>
      </c>
      <c r="N85" s="90">
        <f t="shared" si="21"/>
        <v>1.1408255999214762E-2</v>
      </c>
      <c r="O85" s="90">
        <f t="shared" si="21"/>
        <v>1.6598666279216683E-2</v>
      </c>
      <c r="P85" s="90">
        <f t="shared" si="21"/>
        <v>0</v>
      </c>
      <c r="Q85" s="90">
        <f t="shared" si="21"/>
        <v>0.17321153737863107</v>
      </c>
      <c r="R85" s="90">
        <f t="shared" si="21"/>
        <v>0</v>
      </c>
      <c r="S85" s="90">
        <f t="shared" si="21"/>
        <v>3.5717212795969781E-2</v>
      </c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</row>
    <row r="86" spans="1:49" x14ac:dyDescent="0.2">
      <c r="B86" s="2"/>
      <c r="T86" s="154"/>
      <c r="U86" s="154"/>
      <c r="V86" s="154"/>
      <c r="W86" s="154"/>
      <c r="X86" s="154"/>
      <c r="Y86" s="154"/>
      <c r="Z86" s="154"/>
      <c r="AA86" s="154"/>
      <c r="AB86" s="154"/>
      <c r="AC86" s="154"/>
      <c r="AD86" s="154"/>
      <c r="AE86" s="154"/>
      <c r="AF86" s="154"/>
      <c r="AG86" s="154"/>
      <c r="AH86" s="154"/>
      <c r="AI86" s="154"/>
      <c r="AJ86" s="154"/>
      <c r="AK86" s="154"/>
      <c r="AL86" s="154"/>
      <c r="AM86" s="154"/>
      <c r="AN86" s="154"/>
      <c r="AO86" s="154"/>
      <c r="AP86" s="154"/>
      <c r="AQ86" s="154"/>
      <c r="AR86" s="154"/>
      <c r="AS86" s="154"/>
      <c r="AT86" s="154"/>
      <c r="AU86" s="154"/>
      <c r="AV86" s="154"/>
      <c r="AW86" s="154"/>
    </row>
    <row r="87" spans="1:49" x14ac:dyDescent="0.2">
      <c r="A87" s="2">
        <v>51</v>
      </c>
      <c r="B87" s="2"/>
      <c r="C87" s="2" t="s">
        <v>367</v>
      </c>
      <c r="D87" s="50">
        <f>SUM(F87:S87)</f>
        <v>3881709.4162234501</v>
      </c>
      <c r="F87" s="79">
        <v>3078925.7362560239</v>
      </c>
      <c r="G87" s="79">
        <v>689844.15002742561</v>
      </c>
      <c r="H87" s="79">
        <v>59361.556340000003</v>
      </c>
      <c r="I87" s="79">
        <v>0</v>
      </c>
      <c r="J87" s="79">
        <v>303.74419999999998</v>
      </c>
      <c r="K87" s="79">
        <v>1860.2217000000003</v>
      </c>
      <c r="L87" s="79">
        <v>33444.667100000006</v>
      </c>
      <c r="M87" s="79">
        <v>2174.0189</v>
      </c>
      <c r="N87" s="79">
        <v>15795.3217</v>
      </c>
      <c r="O87" s="79">
        <v>0</v>
      </c>
      <c r="P87" s="79">
        <v>0</v>
      </c>
      <c r="Q87" s="79">
        <v>0</v>
      </c>
      <c r="R87" s="79">
        <v>0</v>
      </c>
      <c r="S87" s="79">
        <v>0</v>
      </c>
    </row>
    <row r="88" spans="1:49" x14ac:dyDescent="0.2">
      <c r="A88" s="2">
        <v>52</v>
      </c>
      <c r="B88" s="2" t="s">
        <v>221</v>
      </c>
      <c r="D88" s="90">
        <f>SUM(F88:S88)</f>
        <v>0.99999999999999989</v>
      </c>
      <c r="F88" s="90">
        <f t="shared" ref="F88:S88" si="22">F87/$D87</f>
        <v>0.79318810506210902</v>
      </c>
      <c r="G88" s="90">
        <f t="shared" si="22"/>
        <v>0.1777165872190869</v>
      </c>
      <c r="H88" s="90">
        <f t="shared" si="22"/>
        <v>1.5292632697311329E-2</v>
      </c>
      <c r="I88" s="90">
        <f t="shared" si="22"/>
        <v>0</v>
      </c>
      <c r="J88" s="90">
        <f t="shared" si="22"/>
        <v>7.8250112883389259E-5</v>
      </c>
      <c r="K88" s="90">
        <f t="shared" si="22"/>
        <v>4.7922744866611542E-4</v>
      </c>
      <c r="L88" s="90">
        <f t="shared" si="22"/>
        <v>8.6159636164982751E-3</v>
      </c>
      <c r="M88" s="90">
        <f t="shared" si="22"/>
        <v>5.6006739992276974E-4</v>
      </c>
      <c r="N88" s="90">
        <f t="shared" si="22"/>
        <v>4.0691664435220428E-3</v>
      </c>
      <c r="O88" s="90">
        <f t="shared" si="22"/>
        <v>0</v>
      </c>
      <c r="P88" s="90">
        <f t="shared" si="22"/>
        <v>0</v>
      </c>
      <c r="Q88" s="90">
        <f t="shared" si="22"/>
        <v>0</v>
      </c>
      <c r="R88" s="90">
        <f t="shared" si="22"/>
        <v>0</v>
      </c>
      <c r="S88" s="90">
        <f t="shared" si="22"/>
        <v>0</v>
      </c>
      <c r="T88" s="136"/>
      <c r="U88" s="136"/>
      <c r="V88" s="38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</row>
    <row r="89" spans="1:49" x14ac:dyDescent="0.2">
      <c r="B89" s="2"/>
      <c r="T89" s="154"/>
      <c r="U89" s="154"/>
      <c r="V89" s="154"/>
      <c r="W89" s="154"/>
      <c r="X89" s="154"/>
      <c r="Y89" s="154"/>
      <c r="Z89" s="154"/>
      <c r="AA89" s="154"/>
      <c r="AB89" s="154"/>
      <c r="AC89" s="154"/>
      <c r="AD89" s="154"/>
      <c r="AE89" s="154"/>
      <c r="AF89" s="154"/>
      <c r="AG89" s="154"/>
      <c r="AH89" s="154"/>
      <c r="AI89" s="154"/>
      <c r="AJ89" s="154"/>
      <c r="AK89" s="154"/>
      <c r="AL89" s="154"/>
      <c r="AM89" s="154"/>
      <c r="AN89" s="154"/>
      <c r="AO89" s="154"/>
      <c r="AP89" s="154"/>
      <c r="AQ89" s="154"/>
      <c r="AR89" s="154"/>
      <c r="AS89" s="154"/>
      <c r="AT89" s="154"/>
      <c r="AU89" s="154"/>
      <c r="AV89" s="154"/>
      <c r="AW89" s="154"/>
    </row>
    <row r="90" spans="1:49" x14ac:dyDescent="0.2">
      <c r="A90" s="2">
        <v>53</v>
      </c>
      <c r="B90" s="2"/>
      <c r="C90" s="2" t="s">
        <v>367</v>
      </c>
      <c r="D90" s="50">
        <f>SUM(F90:S90)</f>
        <v>1213690.5833333333</v>
      </c>
      <c r="F90" s="79">
        <v>1205198.5833333333</v>
      </c>
      <c r="G90" s="79">
        <v>8077</v>
      </c>
      <c r="H90" s="79">
        <v>225</v>
      </c>
      <c r="I90" s="79">
        <v>0</v>
      </c>
      <c r="J90" s="79">
        <v>7</v>
      </c>
      <c r="K90" s="79">
        <v>30</v>
      </c>
      <c r="L90" s="79">
        <v>57</v>
      </c>
      <c r="M90" s="79">
        <v>4</v>
      </c>
      <c r="N90" s="79">
        <v>4</v>
      </c>
      <c r="O90" s="79">
        <v>46</v>
      </c>
      <c r="P90" s="79">
        <v>0</v>
      </c>
      <c r="Q90" s="79">
        <v>41</v>
      </c>
      <c r="R90" s="79">
        <v>0</v>
      </c>
      <c r="S90" s="79">
        <v>1</v>
      </c>
    </row>
    <row r="91" spans="1:49" x14ac:dyDescent="0.2">
      <c r="A91" s="2">
        <v>54</v>
      </c>
      <c r="B91" s="2" t="s">
        <v>220</v>
      </c>
      <c r="D91" s="90">
        <f>SUM(F91:S91)</f>
        <v>0.99999999999999978</v>
      </c>
      <c r="F91" s="90">
        <f t="shared" ref="F91:S91" si="23">F90/$D90</f>
        <v>0.99300315902865688</v>
      </c>
      <c r="G91" s="90">
        <f t="shared" si="23"/>
        <v>6.6549086817638244E-3</v>
      </c>
      <c r="H91" s="90">
        <f t="shared" si="23"/>
        <v>1.8538497627793246E-4</v>
      </c>
      <c r="I91" s="90">
        <f t="shared" si="23"/>
        <v>0</v>
      </c>
      <c r="J91" s="90">
        <f t="shared" si="23"/>
        <v>5.7675325953134547E-6</v>
      </c>
      <c r="K91" s="90">
        <f t="shared" si="23"/>
        <v>2.4717996837057662E-5</v>
      </c>
      <c r="L91" s="90">
        <f t="shared" si="23"/>
        <v>4.6964193990409558E-5</v>
      </c>
      <c r="M91" s="90">
        <f t="shared" si="23"/>
        <v>3.2957329116076882E-6</v>
      </c>
      <c r="N91" s="90">
        <f t="shared" si="23"/>
        <v>3.2957329116076882E-6</v>
      </c>
      <c r="O91" s="90">
        <f t="shared" si="23"/>
        <v>3.7900928483488417E-5</v>
      </c>
      <c r="P91" s="90">
        <f t="shared" si="23"/>
        <v>0</v>
      </c>
      <c r="Q91" s="90">
        <f t="shared" si="23"/>
        <v>3.3781262343978803E-5</v>
      </c>
      <c r="R91" s="90">
        <f t="shared" si="23"/>
        <v>0</v>
      </c>
      <c r="S91" s="90">
        <f t="shared" si="23"/>
        <v>8.2393322790192206E-7</v>
      </c>
      <c r="T91" s="136"/>
      <c r="U91" s="136"/>
      <c r="V91" s="38"/>
      <c r="W91" s="136"/>
      <c r="X91" s="136"/>
      <c r="Y91" s="136"/>
      <c r="Z91" s="136"/>
      <c r="AA91" s="136"/>
      <c r="AB91" s="136"/>
      <c r="AC91" s="136"/>
      <c r="AD91" s="136"/>
      <c r="AE91" s="136"/>
      <c r="AF91" s="136"/>
      <c r="AG91" s="136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6"/>
      <c r="AV91" s="136"/>
      <c r="AW91" s="136"/>
    </row>
    <row r="92" spans="1:49" x14ac:dyDescent="0.2">
      <c r="B92" s="2"/>
    </row>
    <row r="93" spans="1:49" x14ac:dyDescent="0.2">
      <c r="A93" s="2">
        <v>55</v>
      </c>
      <c r="B93" s="2"/>
      <c r="C93" s="2" t="s">
        <v>367</v>
      </c>
      <c r="D93" s="50">
        <f>SUM(F93:S93)</f>
        <v>1143.5864065573762</v>
      </c>
      <c r="F93" s="79">
        <v>315.98948893156683</v>
      </c>
      <c r="G93" s="79">
        <v>127.99784033238114</v>
      </c>
      <c r="H93" s="79">
        <v>57.529527840901054</v>
      </c>
      <c r="I93" s="79">
        <v>2.3064633581733641E-2</v>
      </c>
      <c r="J93" s="79">
        <v>0.42695729656146714</v>
      </c>
      <c r="K93" s="79">
        <v>5.338279621710357</v>
      </c>
      <c r="L93" s="79">
        <v>69.165674559382097</v>
      </c>
      <c r="M93" s="79">
        <v>7.3647841716260647</v>
      </c>
      <c r="N93" s="79">
        <v>8.7286824244953838</v>
      </c>
      <c r="O93" s="79">
        <v>38.157242354217608</v>
      </c>
      <c r="P93" s="79">
        <v>3.6374265164997719</v>
      </c>
      <c r="Q93" s="79">
        <v>481.0313513249007</v>
      </c>
      <c r="R93" s="79">
        <v>4.0470224873559344</v>
      </c>
      <c r="S93" s="79">
        <v>24.149064062196263</v>
      </c>
      <c r="T93" s="137"/>
      <c r="U93" s="137"/>
      <c r="V93" s="137"/>
      <c r="W93" s="137"/>
      <c r="X93" s="137"/>
      <c r="Y93" s="137"/>
      <c r="Z93" s="137"/>
      <c r="AA93" s="137"/>
      <c r="AB93" s="137"/>
      <c r="AC93" s="137"/>
      <c r="AD93" s="137"/>
      <c r="AE93" s="137"/>
      <c r="AF93" s="137"/>
      <c r="AG93" s="137"/>
      <c r="AH93" s="137"/>
      <c r="AI93" s="137"/>
      <c r="AJ93" s="137"/>
      <c r="AK93" s="137"/>
      <c r="AL93" s="137"/>
      <c r="AM93" s="137"/>
      <c r="AN93" s="137"/>
      <c r="AO93" s="137"/>
      <c r="AP93" s="137"/>
      <c r="AQ93" s="137"/>
      <c r="AR93" s="137"/>
      <c r="AS93" s="137"/>
      <c r="AT93" s="137"/>
      <c r="AU93" s="137"/>
      <c r="AV93" s="137"/>
      <c r="AW93" s="137"/>
    </row>
    <row r="94" spans="1:49" x14ac:dyDescent="0.2">
      <c r="A94" s="2">
        <v>56</v>
      </c>
      <c r="B94" s="2" t="s">
        <v>262</v>
      </c>
      <c r="D94" s="90">
        <f>SUM(F94:S94)</f>
        <v>1.0000000000000002</v>
      </c>
      <c r="F94" s="90">
        <f t="shared" ref="F94:S94" si="24">F93/$D93</f>
        <v>0.27631448495685923</v>
      </c>
      <c r="G94" s="90">
        <f t="shared" si="24"/>
        <v>0.11192668922823473</v>
      </c>
      <c r="H94" s="90">
        <f t="shared" si="24"/>
        <v>5.0306236162850605E-2</v>
      </c>
      <c r="I94" s="90">
        <f t="shared" si="24"/>
        <v>2.0168684630632182E-5</v>
      </c>
      <c r="J94" s="90">
        <f t="shared" si="24"/>
        <v>3.7334939809818889E-4</v>
      </c>
      <c r="K94" s="90">
        <f t="shared" si="24"/>
        <v>4.6680159812152542E-3</v>
      </c>
      <c r="L94" s="90">
        <f t="shared" si="24"/>
        <v>6.0481371729134752E-2</v>
      </c>
      <c r="M94" s="90">
        <f t="shared" si="24"/>
        <v>6.4400767002791032E-3</v>
      </c>
      <c r="N94" s="90">
        <f t="shared" si="24"/>
        <v>7.632726634773484E-3</v>
      </c>
      <c r="O94" s="90">
        <f t="shared" si="24"/>
        <v>3.336629583512208E-2</v>
      </c>
      <c r="P94" s="90">
        <f t="shared" si="24"/>
        <v>3.1807185671695673E-3</v>
      </c>
      <c r="Q94" s="90">
        <f t="shared" si="24"/>
        <v>0.42063402342546674</v>
      </c>
      <c r="R94" s="90">
        <f t="shared" si="24"/>
        <v>3.5388864926603923E-3</v>
      </c>
      <c r="S94" s="90">
        <f t="shared" si="24"/>
        <v>2.1116956203505427E-2</v>
      </c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</row>
    <row r="95" spans="1:49" x14ac:dyDescent="0.2">
      <c r="B95" s="2"/>
      <c r="T95" s="154"/>
      <c r="U95" s="154"/>
      <c r="V95" s="154"/>
      <c r="W95" s="154"/>
      <c r="X95" s="154"/>
      <c r="Y95" s="154"/>
      <c r="Z95" s="154"/>
      <c r="AA95" s="154"/>
      <c r="AB95" s="154"/>
      <c r="AC95" s="154"/>
      <c r="AD95" s="154"/>
      <c r="AE95" s="154"/>
      <c r="AF95" s="154"/>
      <c r="AG95" s="154"/>
      <c r="AH95" s="154"/>
      <c r="AI95" s="154"/>
      <c r="AJ95" s="154"/>
      <c r="AK95" s="154"/>
      <c r="AL95" s="154"/>
      <c r="AM95" s="154"/>
      <c r="AN95" s="154"/>
      <c r="AO95" s="154"/>
      <c r="AP95" s="154"/>
      <c r="AQ95" s="154"/>
      <c r="AR95" s="154"/>
      <c r="AS95" s="154"/>
      <c r="AT95" s="154"/>
      <c r="AU95" s="154"/>
      <c r="AV95" s="154"/>
      <c r="AW95" s="154"/>
    </row>
    <row r="96" spans="1:49" x14ac:dyDescent="0.2">
      <c r="A96" s="2">
        <v>57</v>
      </c>
      <c r="B96" s="2"/>
      <c r="C96" s="2" t="s">
        <v>367</v>
      </c>
      <c r="D96" s="50">
        <f>SUM(F96:S96)</f>
        <v>121.83135768851579</v>
      </c>
      <c r="F96" s="79">
        <v>33.663768851297121</v>
      </c>
      <c r="G96" s="79">
        <v>13.636180510256411</v>
      </c>
      <c r="H96" s="79">
        <v>6.1288770519191988</v>
      </c>
      <c r="I96" s="79">
        <v>2.4571782313414199E-3</v>
      </c>
      <c r="J96" s="79">
        <v>4.5485664062492513E-2</v>
      </c>
      <c r="K96" s="79">
        <v>0.56871072470314354</v>
      </c>
      <c r="L96" s="79">
        <v>7.3685276326243008</v>
      </c>
      <c r="M96" s="79">
        <v>0.78460328801317969</v>
      </c>
      <c r="N96" s="79">
        <v>0.92990544877974957</v>
      </c>
      <c r="O96" s="79">
        <v>4.0650611226295918</v>
      </c>
      <c r="P96" s="79">
        <v>0.38751126146333892</v>
      </c>
      <c r="Q96" s="79">
        <v>51.246414163907559</v>
      </c>
      <c r="R96" s="79">
        <v>0.43114734610636524</v>
      </c>
      <c r="S96" s="79">
        <v>2.5727074445219911</v>
      </c>
    </row>
    <row r="97" spans="1:49" x14ac:dyDescent="0.2">
      <c r="A97" s="2">
        <v>58</v>
      </c>
      <c r="B97" s="2" t="s">
        <v>264</v>
      </c>
      <c r="D97" s="90">
        <f>SUM(F97:S97)</f>
        <v>0.99999999999999989</v>
      </c>
      <c r="F97" s="90">
        <f t="shared" ref="F97:S97" si="25">F96/$D96</f>
        <v>0.27631448495685912</v>
      </c>
      <c r="G97" s="90">
        <f t="shared" si="25"/>
        <v>0.1119266892282347</v>
      </c>
      <c r="H97" s="90">
        <f t="shared" si="25"/>
        <v>5.0306236162850591E-2</v>
      </c>
      <c r="I97" s="90">
        <f t="shared" si="25"/>
        <v>2.0168684630632179E-5</v>
      </c>
      <c r="J97" s="90">
        <f t="shared" si="25"/>
        <v>3.7334939809818878E-4</v>
      </c>
      <c r="K97" s="90">
        <f t="shared" si="25"/>
        <v>4.6680159812152533E-3</v>
      </c>
      <c r="L97" s="90">
        <f t="shared" si="25"/>
        <v>6.0481371729134731E-2</v>
      </c>
      <c r="M97" s="90">
        <f t="shared" si="25"/>
        <v>6.4400767002791015E-3</v>
      </c>
      <c r="N97" s="90">
        <f t="shared" si="25"/>
        <v>7.6327266347734823E-3</v>
      </c>
      <c r="O97" s="90">
        <f t="shared" si="25"/>
        <v>3.3366295835122073E-2</v>
      </c>
      <c r="P97" s="90">
        <f t="shared" si="25"/>
        <v>3.1807185671695664E-3</v>
      </c>
      <c r="Q97" s="90">
        <f t="shared" si="25"/>
        <v>0.42063402342546663</v>
      </c>
      <c r="R97" s="90">
        <f t="shared" si="25"/>
        <v>3.538886492660391E-3</v>
      </c>
      <c r="S97" s="90">
        <f t="shared" si="25"/>
        <v>2.1116956203505417E-2</v>
      </c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</row>
    <row r="98" spans="1:49" x14ac:dyDescent="0.2">
      <c r="A98" s="31"/>
      <c r="B98" s="2"/>
      <c r="T98" s="154"/>
      <c r="U98" s="154"/>
      <c r="V98" s="154"/>
      <c r="W98" s="154"/>
      <c r="X98" s="154"/>
      <c r="Y98" s="154"/>
      <c r="Z98" s="154"/>
      <c r="AA98" s="154"/>
      <c r="AB98" s="154"/>
      <c r="AC98" s="154"/>
      <c r="AD98" s="154"/>
      <c r="AE98" s="154"/>
      <c r="AF98" s="154"/>
      <c r="AG98" s="154"/>
      <c r="AH98" s="154"/>
      <c r="AI98" s="154"/>
      <c r="AJ98" s="154"/>
      <c r="AK98" s="154"/>
      <c r="AL98" s="154"/>
      <c r="AM98" s="154"/>
      <c r="AN98" s="154"/>
      <c r="AO98" s="154"/>
      <c r="AP98" s="154"/>
      <c r="AQ98" s="154"/>
      <c r="AR98" s="154"/>
      <c r="AS98" s="154"/>
      <c r="AT98" s="154"/>
      <c r="AU98" s="154"/>
      <c r="AV98" s="154"/>
      <c r="AW98" s="154"/>
    </row>
    <row r="99" spans="1:49" x14ac:dyDescent="0.2">
      <c r="A99" s="2">
        <v>59</v>
      </c>
      <c r="B99" s="2"/>
      <c r="C99" s="2" t="s">
        <v>367</v>
      </c>
      <c r="D99" s="50">
        <f>SUM(F99:S99)</f>
        <v>207.7425625381062</v>
      </c>
      <c r="F99" s="79">
        <v>57.402279171334918</v>
      </c>
      <c r="G99" s="79">
        <v>23.251937236679726</v>
      </c>
      <c r="H99" s="79">
        <v>10.450746412117729</v>
      </c>
      <c r="I99" s="79">
        <v>4.189894228190447E-3</v>
      </c>
      <c r="J99" s="79">
        <v>7.7560560682977286E-2</v>
      </c>
      <c r="K99" s="79">
        <v>0.96974560190648895</v>
      </c>
      <c r="L99" s="79">
        <v>12.56455514883022</v>
      </c>
      <c r="M99" s="79">
        <v>1.3378780366579319</v>
      </c>
      <c r="N99" s="79">
        <v>1.585642190260699</v>
      </c>
      <c r="O99" s="79">
        <v>6.9315997991927976</v>
      </c>
      <c r="P99" s="79">
        <v>0.66077062585633917</v>
      </c>
      <c r="Q99" s="79">
        <v>87.383589917120233</v>
      </c>
      <c r="R99" s="79">
        <v>0.73517734851676053</v>
      </c>
      <c r="S99" s="79">
        <v>4.3868905947211738</v>
      </c>
    </row>
    <row r="100" spans="1:49" x14ac:dyDescent="0.2">
      <c r="A100" s="2">
        <v>60</v>
      </c>
      <c r="B100" s="2" t="s">
        <v>335</v>
      </c>
      <c r="D100" s="90">
        <f>SUM(F100:S100)</f>
        <v>0.99999999999999989</v>
      </c>
      <c r="F100" s="90">
        <f t="shared" ref="F100:S100" si="26">F99/$D99</f>
        <v>0.27631448495685917</v>
      </c>
      <c r="G100" s="90">
        <f t="shared" si="26"/>
        <v>0.1119266892282347</v>
      </c>
      <c r="H100" s="90">
        <f t="shared" si="26"/>
        <v>5.0306236162850591E-2</v>
      </c>
      <c r="I100" s="90">
        <f t="shared" si="26"/>
        <v>2.0168684630632179E-5</v>
      </c>
      <c r="J100" s="90">
        <f t="shared" si="26"/>
        <v>3.7334939809818878E-4</v>
      </c>
      <c r="K100" s="90">
        <f t="shared" si="26"/>
        <v>4.6680159812152533E-3</v>
      </c>
      <c r="L100" s="90">
        <f t="shared" si="26"/>
        <v>6.0481371729134731E-2</v>
      </c>
      <c r="M100" s="90">
        <f t="shared" si="26"/>
        <v>6.4400767002791015E-3</v>
      </c>
      <c r="N100" s="90">
        <f t="shared" si="26"/>
        <v>7.6327266347734823E-3</v>
      </c>
      <c r="O100" s="90">
        <f t="shared" si="26"/>
        <v>3.3366295835122066E-2</v>
      </c>
      <c r="P100" s="90">
        <f t="shared" si="26"/>
        <v>3.1807185671695664E-3</v>
      </c>
      <c r="Q100" s="90">
        <f t="shared" si="26"/>
        <v>0.42063402342546663</v>
      </c>
      <c r="R100" s="90">
        <f t="shared" si="26"/>
        <v>3.5388864926603905E-3</v>
      </c>
      <c r="S100" s="90">
        <f t="shared" si="26"/>
        <v>2.1116956203505417E-2</v>
      </c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</row>
    <row r="101" spans="1:49" x14ac:dyDescent="0.2">
      <c r="B101" s="2"/>
      <c r="T101" s="154"/>
      <c r="U101" s="154"/>
      <c r="V101" s="154"/>
      <c r="W101" s="154"/>
      <c r="X101" s="154"/>
      <c r="Y101" s="154"/>
      <c r="Z101" s="154"/>
      <c r="AA101" s="154"/>
      <c r="AB101" s="154"/>
      <c r="AC101" s="154"/>
      <c r="AD101" s="154"/>
      <c r="AE101" s="154"/>
      <c r="AF101" s="154"/>
      <c r="AG101" s="154"/>
      <c r="AH101" s="154"/>
      <c r="AI101" s="154"/>
      <c r="AJ101" s="154"/>
      <c r="AK101" s="154"/>
      <c r="AL101" s="154"/>
      <c r="AM101" s="154"/>
      <c r="AN101" s="154"/>
      <c r="AO101" s="154"/>
      <c r="AP101" s="154"/>
      <c r="AQ101" s="154"/>
      <c r="AR101" s="154"/>
      <c r="AS101" s="154"/>
      <c r="AT101" s="154"/>
      <c r="AU101" s="154"/>
      <c r="AV101" s="154"/>
      <c r="AW101" s="154"/>
    </row>
    <row r="102" spans="1:49" x14ac:dyDescent="0.2">
      <c r="B102" s="2"/>
    </row>
    <row r="103" spans="1:49" x14ac:dyDescent="0.2">
      <c r="B103" s="2"/>
    </row>
    <row r="104" spans="1:49" x14ac:dyDescent="0.2">
      <c r="B104" s="2"/>
    </row>
    <row r="105" spans="1:49" x14ac:dyDescent="0.2">
      <c r="B105" s="2"/>
    </row>
    <row r="119" spans="2:19" x14ac:dyDescent="0.2">
      <c r="B119" s="2"/>
      <c r="D119" s="89"/>
      <c r="F119" s="87"/>
      <c r="H119" s="87"/>
      <c r="J119" s="87"/>
      <c r="L119" s="87"/>
      <c r="N119" s="87"/>
      <c r="O119" s="87"/>
      <c r="Q119" s="87"/>
      <c r="S119" s="87"/>
    </row>
    <row r="122" spans="2:19" x14ac:dyDescent="0.2">
      <c r="B122" s="137"/>
      <c r="D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</row>
    <row r="125" spans="2:19" x14ac:dyDescent="0.2">
      <c r="B125" s="137"/>
      <c r="D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</row>
    <row r="128" spans="2:19" x14ac:dyDescent="0.2">
      <c r="B128" s="137"/>
      <c r="D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</row>
    <row r="167" spans="6:19" x14ac:dyDescent="0.2"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</row>
    <row r="170" spans="6:19" x14ac:dyDescent="0.2"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</row>
    <row r="210" spans="1:1" x14ac:dyDescent="0.2">
      <c r="A210" s="31"/>
    </row>
    <row r="211" spans="1:1" x14ac:dyDescent="0.2">
      <c r="A211" s="31"/>
    </row>
    <row r="213" spans="1:1" x14ac:dyDescent="0.2">
      <c r="A213" s="31"/>
    </row>
    <row r="214" spans="1:1" x14ac:dyDescent="0.2">
      <c r="A214" s="31"/>
    </row>
    <row r="216" spans="1:1" x14ac:dyDescent="0.2">
      <c r="A216" s="31"/>
    </row>
    <row r="217" spans="1:1" x14ac:dyDescent="0.2">
      <c r="A217" s="31"/>
    </row>
  </sheetData>
  <mergeCells count="7">
    <mergeCell ref="B5:S5"/>
    <mergeCell ref="B6:S6"/>
    <mergeCell ref="AI9:AM9"/>
    <mergeCell ref="AO9:AW9"/>
    <mergeCell ref="F8:S8"/>
    <mergeCell ref="T9:X9"/>
    <mergeCell ref="Z9:AH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95A14-7FAA-4918-9D1A-1C890189386C}">
  <sheetPr>
    <tabColor theme="0" tint="-0.249977111117893"/>
    <pageSetUpPr fitToPage="1"/>
  </sheetPr>
  <dimension ref="B5:AK184"/>
  <sheetViews>
    <sheetView zoomScale="80" zoomScaleNormal="80" workbookViewId="0">
      <selection activeCell="G47" sqref="G47"/>
    </sheetView>
  </sheetViews>
  <sheetFormatPr defaultColWidth="9.140625" defaultRowHeight="12.75" x14ac:dyDescent="0.2"/>
  <cols>
    <col min="1" max="1" width="1.7109375" style="1" customWidth="1"/>
    <col min="2" max="2" width="5.5703125" style="18" bestFit="1" customWidth="1"/>
    <col min="3" max="3" width="1.7109375" style="1" customWidth="1"/>
    <col min="4" max="4" width="46" style="1" bestFit="1" customWidth="1"/>
    <col min="5" max="5" width="1.7109375" style="1" customWidth="1"/>
    <col min="6" max="6" width="19.7109375" style="31" customWidth="1"/>
    <col min="7" max="7" width="1.7109375" style="31" customWidth="1"/>
    <col min="8" max="8" width="13.140625" style="31" customWidth="1"/>
    <col min="9" max="9" width="1.7109375" style="31" customWidth="1"/>
    <col min="10" max="10" width="19.28515625" style="31" customWidth="1"/>
    <col min="11" max="11" width="1.7109375" style="31" customWidth="1"/>
    <col min="12" max="12" width="13.28515625" style="31" customWidth="1"/>
    <col min="13" max="13" width="1.7109375" style="31" customWidth="1"/>
    <col min="14" max="14" width="19.85546875" style="31" customWidth="1"/>
    <col min="15" max="15" width="1.7109375" style="74" customWidth="1"/>
    <col min="16" max="16" width="15.42578125" style="1" customWidth="1"/>
    <col min="17" max="17" width="1.7109375" style="1" customWidth="1"/>
    <col min="18" max="18" width="15.42578125" style="1" customWidth="1"/>
    <col min="19" max="19" width="1.7109375" style="1" customWidth="1"/>
    <col min="20" max="20" width="15.42578125" style="1" customWidth="1"/>
    <col min="21" max="21" width="1.7109375" style="1" customWidth="1"/>
    <col min="22" max="22" width="15.42578125" style="1" customWidth="1"/>
    <col min="23" max="23" width="1.7109375" style="1" customWidth="1"/>
    <col min="24" max="24" width="15.42578125" style="1" customWidth="1"/>
    <col min="25" max="25" width="1.7109375" style="1" customWidth="1"/>
    <col min="26" max="26" width="15.42578125" style="1" customWidth="1"/>
    <col min="27" max="27" width="1.7109375" style="1" customWidth="1"/>
    <col min="28" max="28" width="15.42578125" style="1" hidden="1" customWidth="1"/>
    <col min="29" max="29" width="9.140625" style="1"/>
    <col min="30" max="30" width="0" style="1" hidden="1" customWidth="1"/>
    <col min="31" max="16384" width="9.140625" style="1"/>
  </cols>
  <sheetData>
    <row r="5" spans="2:31" ht="15" customHeight="1" x14ac:dyDescent="0.2"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</row>
    <row r="6" spans="2:31" ht="15" customHeight="1" x14ac:dyDescent="0.2">
      <c r="B6" s="158" t="s">
        <v>511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</row>
    <row r="7" spans="2:31" ht="15" customHeight="1" x14ac:dyDescent="0.2">
      <c r="B7" s="157" t="s">
        <v>375</v>
      </c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</row>
    <row r="10" spans="2:31" x14ac:dyDescent="0.2">
      <c r="H10" s="2" t="s">
        <v>11</v>
      </c>
      <c r="J10" s="2" t="s">
        <v>130</v>
      </c>
      <c r="L10" s="2" t="s">
        <v>137</v>
      </c>
      <c r="N10" s="2" t="s">
        <v>7</v>
      </c>
      <c r="W10" s="3"/>
    </row>
    <row r="11" spans="2:31" x14ac:dyDescent="0.2">
      <c r="B11" s="18" t="s">
        <v>2</v>
      </c>
      <c r="F11" s="2" t="s">
        <v>3</v>
      </c>
      <c r="H11" s="2" t="s">
        <v>130</v>
      </c>
      <c r="J11" s="2" t="s">
        <v>131</v>
      </c>
      <c r="L11" s="2" t="s">
        <v>138</v>
      </c>
      <c r="N11" s="2" t="s">
        <v>141</v>
      </c>
      <c r="P11" s="18" t="s">
        <v>7</v>
      </c>
      <c r="Q11" s="18"/>
      <c r="R11" s="2" t="s">
        <v>116</v>
      </c>
      <c r="S11" s="2"/>
      <c r="T11" s="2" t="s">
        <v>116</v>
      </c>
      <c r="U11" s="3"/>
      <c r="V11" s="2" t="s">
        <v>113</v>
      </c>
      <c r="W11" s="3"/>
      <c r="X11" s="18" t="s">
        <v>113</v>
      </c>
      <c r="Y11" s="18"/>
      <c r="Z11" s="18"/>
    </row>
    <row r="12" spans="2:31" x14ac:dyDescent="0.2">
      <c r="B12" s="4" t="s">
        <v>4</v>
      </c>
      <c r="D12" s="5" t="s">
        <v>374</v>
      </c>
      <c r="F12" s="33" t="s">
        <v>5</v>
      </c>
      <c r="H12" s="33" t="s">
        <v>131</v>
      </c>
      <c r="J12" s="33" t="s">
        <v>6</v>
      </c>
      <c r="L12" s="33" t="s">
        <v>322</v>
      </c>
      <c r="N12" s="33" t="s">
        <v>6</v>
      </c>
      <c r="O12" s="73" t="s">
        <v>253</v>
      </c>
      <c r="P12" s="4" t="s">
        <v>49</v>
      </c>
      <c r="Q12" s="18"/>
      <c r="R12" s="4" t="s">
        <v>286</v>
      </c>
      <c r="S12" s="18"/>
      <c r="T12" s="4" t="s">
        <v>49</v>
      </c>
      <c r="U12" s="18"/>
      <c r="V12" s="4" t="s">
        <v>114</v>
      </c>
      <c r="W12" s="18"/>
      <c r="X12" s="4" t="s">
        <v>49</v>
      </c>
      <c r="Y12" s="18"/>
      <c r="Z12" s="4" t="s">
        <v>135</v>
      </c>
      <c r="AB12" s="4" t="s">
        <v>11</v>
      </c>
      <c r="AD12" s="26" t="s">
        <v>84</v>
      </c>
      <c r="AE12" s="19"/>
    </row>
    <row r="13" spans="2:31" x14ac:dyDescent="0.2">
      <c r="F13" s="2" t="s">
        <v>12</v>
      </c>
      <c r="H13" s="2" t="s">
        <v>13</v>
      </c>
      <c r="J13" s="2" t="s">
        <v>14</v>
      </c>
      <c r="L13" s="2" t="s">
        <v>147</v>
      </c>
      <c r="N13" s="2" t="s">
        <v>15</v>
      </c>
      <c r="O13" s="73"/>
      <c r="P13" s="18" t="s">
        <v>16</v>
      </c>
      <c r="Q13" s="18"/>
      <c r="R13" s="18" t="s">
        <v>59</v>
      </c>
      <c r="S13" s="18"/>
      <c r="T13" s="18" t="s">
        <v>61</v>
      </c>
      <c r="U13" s="18"/>
      <c r="V13" s="18" t="s">
        <v>62</v>
      </c>
      <c r="W13" s="18"/>
      <c r="X13" s="18" t="s">
        <v>82</v>
      </c>
      <c r="Y13" s="18"/>
      <c r="Z13" s="18" t="s">
        <v>143</v>
      </c>
      <c r="AB13" s="18" t="s">
        <v>285</v>
      </c>
      <c r="AD13" s="27"/>
    </row>
    <row r="14" spans="2:31" s="74" customFormat="1" x14ac:dyDescent="0.2">
      <c r="B14" s="73"/>
      <c r="F14" s="31"/>
      <c r="G14" s="31"/>
      <c r="H14" s="31"/>
      <c r="I14" s="31"/>
      <c r="J14" s="31"/>
      <c r="K14" s="31"/>
      <c r="L14" s="31"/>
      <c r="M14" s="31"/>
      <c r="N14" s="31"/>
      <c r="P14" s="74">
        <v>4</v>
      </c>
      <c r="R14" s="74">
        <v>6</v>
      </c>
      <c r="T14" s="74">
        <v>8</v>
      </c>
      <c r="V14" s="74">
        <v>10</v>
      </c>
      <c r="X14" s="74">
        <v>12</v>
      </c>
      <c r="Y14" s="73"/>
      <c r="Z14" s="74">
        <v>14</v>
      </c>
      <c r="AD14" s="75"/>
    </row>
    <row r="15" spans="2:31" x14ac:dyDescent="0.2">
      <c r="D15" s="6"/>
      <c r="E15" s="6"/>
      <c r="F15" s="77"/>
      <c r="Y15" s="18"/>
      <c r="AD15" s="25"/>
    </row>
    <row r="16" spans="2:31" x14ac:dyDescent="0.2">
      <c r="D16" s="6" t="s">
        <v>295</v>
      </c>
      <c r="E16" s="7"/>
      <c r="F16" s="78"/>
      <c r="J16" s="2"/>
      <c r="Z16" s="51"/>
    </row>
    <row r="17" spans="2:37" x14ac:dyDescent="0.2">
      <c r="J17" s="2"/>
      <c r="Z17" s="51"/>
    </row>
    <row r="18" spans="2:37" x14ac:dyDescent="0.2">
      <c r="B18" s="18">
        <v>1</v>
      </c>
      <c r="D18" s="1" t="s">
        <v>76</v>
      </c>
      <c r="F18" s="50">
        <f ca="1">Function!P18</f>
        <v>0</v>
      </c>
      <c r="H18" s="50"/>
      <c r="J18" s="2"/>
      <c r="L18" s="50">
        <f ca="1">F18-H18</f>
        <v>0</v>
      </c>
      <c r="N18" s="2"/>
      <c r="O18" s="73">
        <v>0</v>
      </c>
      <c r="P18" s="20">
        <f ca="1">OFFSET('Gas Supply Factors'!$B$14,$O18-1,P$14)*$L18+OFFSET('Gas Supply Factors'!$B$14,$K18-1,P$14)*$H18</f>
        <v>0</v>
      </c>
      <c r="R18" s="20">
        <f ca="1">OFFSET('Gas Supply Factors'!$B$14,$O18-1,R$14)*$L18+OFFSET('Gas Supply Factors'!$B$14,$K18-1,R$14)*$H18</f>
        <v>0</v>
      </c>
      <c r="S18" s="20"/>
      <c r="T18" s="20">
        <f ca="1">OFFSET('Gas Supply Factors'!$B$14,$O18-1,T$14)*$L18+OFFSET('Gas Supply Factors'!$B$14,$K18-1,T$14)*$H18</f>
        <v>0</v>
      </c>
      <c r="U18" s="20"/>
      <c r="V18" s="20">
        <f ca="1">OFFSET('Gas Supply Factors'!$B$14,$O18-1,V$14)*$L18+OFFSET('Gas Supply Factors'!$B$14,$K18-1,V$14)*$H18</f>
        <v>0</v>
      </c>
      <c r="W18" s="20"/>
      <c r="X18" s="20">
        <f ca="1">OFFSET('Gas Supply Factors'!$B$14,$O18-1,X$14)*$L18+OFFSET('Gas Supply Factors'!$B$14,$K18-1,X$14)*$H18</f>
        <v>0</v>
      </c>
      <c r="Z18" s="20">
        <f ca="1">OFFSET('Gas Supply Factors'!$B$14,$O18-1,Z$14)*$L18+OFFSET('Gas Supply Factors'!$B$14,$K18-1,Z$14)*$H18</f>
        <v>0</v>
      </c>
      <c r="AB18" s="20">
        <f ca="1">P18+R18+V18+X18+Z18+T18</f>
        <v>0</v>
      </c>
      <c r="AD18" s="25" t="str">
        <f ca="1">IF(ROUND(F18,4)=ROUND(AB18,4), "", "check")</f>
        <v/>
      </c>
    </row>
    <row r="19" spans="2:37" x14ac:dyDescent="0.2">
      <c r="B19" s="18">
        <f>B18+1</f>
        <v>2</v>
      </c>
      <c r="D19" s="1" t="s">
        <v>75</v>
      </c>
      <c r="F19" s="50">
        <f ca="1">Function!P19</f>
        <v>0</v>
      </c>
      <c r="H19" s="50"/>
      <c r="J19" s="2"/>
      <c r="L19" s="50">
        <f t="shared" ref="L19:L30" ca="1" si="0">F19-H19</f>
        <v>0</v>
      </c>
      <c r="N19" s="2"/>
      <c r="O19" s="73">
        <v>0</v>
      </c>
      <c r="P19" s="20">
        <f ca="1">OFFSET('Gas Supply Factors'!$B$14,$O19-1,P$14)*$L19+OFFSET('Gas Supply Factors'!$B$14,$K19-1,P$14)*$H19</f>
        <v>0</v>
      </c>
      <c r="R19" s="20">
        <f ca="1">OFFSET('Gas Supply Factors'!$B$14,$O19-1,R$14)*$L19+OFFSET('Gas Supply Factors'!$B$14,$K19-1,R$14)*$H19</f>
        <v>0</v>
      </c>
      <c r="S19" s="20"/>
      <c r="T19" s="20">
        <f ca="1">OFFSET('Gas Supply Factors'!$B$14,$O19-1,T$14)*$L19+OFFSET('Gas Supply Factors'!$B$14,$K19-1,T$14)*$H19</f>
        <v>0</v>
      </c>
      <c r="U19" s="20"/>
      <c r="V19" s="20">
        <f ca="1">OFFSET('Gas Supply Factors'!$B$14,$O19-1,V$14)*$L19+OFFSET('Gas Supply Factors'!$B$14,$K19-1,V$14)*$H19</f>
        <v>0</v>
      </c>
      <c r="W19" s="20"/>
      <c r="X19" s="20">
        <f ca="1">OFFSET('Gas Supply Factors'!$B$14,$O19-1,X$14)*$L19+OFFSET('Gas Supply Factors'!$B$14,$K19-1,X$14)*$H19</f>
        <v>0</v>
      </c>
      <c r="Z19" s="20">
        <f ca="1">OFFSET('Gas Supply Factors'!$B$14,$O19-1,Z$14)*$L19+OFFSET('Gas Supply Factors'!$B$14,$K19-1,Z$14)*$H19</f>
        <v>0</v>
      </c>
      <c r="AB19" s="20">
        <f t="shared" ref="AB19:AB30" ca="1" si="1">P19+R19+V19+X19+Z19+T19</f>
        <v>0</v>
      </c>
      <c r="AD19" s="25"/>
    </row>
    <row r="20" spans="2:37" x14ac:dyDescent="0.2">
      <c r="B20" s="18">
        <f t="shared" ref="B20:B31" si="2">B19+1</f>
        <v>3</v>
      </c>
      <c r="D20" s="1" t="s">
        <v>19</v>
      </c>
      <c r="F20" s="50">
        <f ca="1">Function!P20</f>
        <v>0</v>
      </c>
      <c r="H20" s="50"/>
      <c r="J20" s="2"/>
      <c r="L20" s="50">
        <f t="shared" ca="1" si="0"/>
        <v>0</v>
      </c>
      <c r="N20" s="2"/>
      <c r="O20" s="73">
        <v>0</v>
      </c>
      <c r="P20" s="20">
        <f ca="1">OFFSET('Gas Supply Factors'!$B$14,$O20-1,P$14)*$L20+OFFSET('Gas Supply Factors'!$B$14,$K20-1,P$14)*$H20</f>
        <v>0</v>
      </c>
      <c r="R20" s="20">
        <f ca="1">OFFSET('Gas Supply Factors'!$B$14,$O20-1,R$14)*$L20+OFFSET('Gas Supply Factors'!$B$14,$K20-1,R$14)*$H20</f>
        <v>0</v>
      </c>
      <c r="S20" s="20"/>
      <c r="T20" s="20">
        <f ca="1">OFFSET('Gas Supply Factors'!$B$14,$O20-1,T$14)*$L20+OFFSET('Gas Supply Factors'!$B$14,$K20-1,T$14)*$H20</f>
        <v>0</v>
      </c>
      <c r="U20" s="20"/>
      <c r="V20" s="20">
        <f ca="1">OFFSET('Gas Supply Factors'!$B$14,$O20-1,V$14)*$L20+OFFSET('Gas Supply Factors'!$B$14,$K20-1,V$14)*$H20</f>
        <v>0</v>
      </c>
      <c r="W20" s="20"/>
      <c r="X20" s="20">
        <f ca="1">OFFSET('Gas Supply Factors'!$B$14,$O20-1,X$14)*$L20+OFFSET('Gas Supply Factors'!$B$14,$K20-1,X$14)*$H20</f>
        <v>0</v>
      </c>
      <c r="Z20" s="20">
        <f ca="1">OFFSET('Gas Supply Factors'!$B$14,$O20-1,Z$14)*$L20+OFFSET('Gas Supply Factors'!$B$14,$K20-1,Z$14)*$H20</f>
        <v>0</v>
      </c>
      <c r="AB20" s="20">
        <f t="shared" ca="1" si="1"/>
        <v>0</v>
      </c>
      <c r="AD20" s="25" t="str">
        <f t="shared" ref="AD20:AD23" ca="1" si="3">IF(ROUND(F20,4)=ROUND(AB20,4), "", "check")</f>
        <v/>
      </c>
    </row>
    <row r="21" spans="2:37" x14ac:dyDescent="0.2">
      <c r="B21" s="18">
        <f t="shared" si="2"/>
        <v>4</v>
      </c>
      <c r="D21" s="1" t="s">
        <v>21</v>
      </c>
      <c r="F21" s="50">
        <f ca="1">Function!P21</f>
        <v>0</v>
      </c>
      <c r="H21" s="50"/>
      <c r="J21" s="2"/>
      <c r="L21" s="50">
        <f t="shared" ca="1" si="0"/>
        <v>0</v>
      </c>
      <c r="N21" s="2"/>
      <c r="O21" s="73">
        <v>0</v>
      </c>
      <c r="P21" s="20">
        <f ca="1">OFFSET('Gas Supply Factors'!$B$14,$O21-1,P$14)*$L21+OFFSET('Gas Supply Factors'!$B$14,$K21-1,P$14)*$H21</f>
        <v>0</v>
      </c>
      <c r="R21" s="20">
        <f ca="1">OFFSET('Gas Supply Factors'!$B$14,$O21-1,R$14)*$L21+OFFSET('Gas Supply Factors'!$B$14,$K21-1,R$14)*$H21</f>
        <v>0</v>
      </c>
      <c r="S21" s="20"/>
      <c r="T21" s="20">
        <f ca="1">OFFSET('Gas Supply Factors'!$B$14,$O21-1,T$14)*$L21+OFFSET('Gas Supply Factors'!$B$14,$K21-1,T$14)*$H21</f>
        <v>0</v>
      </c>
      <c r="U21" s="20"/>
      <c r="V21" s="20">
        <f ca="1">OFFSET('Gas Supply Factors'!$B$14,$O21-1,V$14)*$L21+OFFSET('Gas Supply Factors'!$B$14,$K21-1,V$14)*$H21</f>
        <v>0</v>
      </c>
      <c r="W21" s="20"/>
      <c r="X21" s="20">
        <f ca="1">OFFSET('Gas Supply Factors'!$B$14,$O21-1,X$14)*$L21+OFFSET('Gas Supply Factors'!$B$14,$K21-1,X$14)*$H21</f>
        <v>0</v>
      </c>
      <c r="Z21" s="20">
        <f ca="1">OFFSET('Gas Supply Factors'!$B$14,$O21-1,Z$14)*$L21+OFFSET('Gas Supply Factors'!$B$14,$K21-1,Z$14)*$H21</f>
        <v>0</v>
      </c>
      <c r="AB21" s="20">
        <f t="shared" ca="1" si="1"/>
        <v>0</v>
      </c>
      <c r="AD21" s="25" t="str">
        <f t="shared" ca="1" si="3"/>
        <v/>
      </c>
    </row>
    <row r="22" spans="2:37" x14ac:dyDescent="0.2">
      <c r="B22" s="18">
        <f t="shared" si="2"/>
        <v>5</v>
      </c>
      <c r="D22" s="1" t="s">
        <v>23</v>
      </c>
      <c r="F22" s="50">
        <f ca="1">Function!P22</f>
        <v>0</v>
      </c>
      <c r="H22" s="50"/>
      <c r="J22" s="2"/>
      <c r="L22" s="50">
        <f t="shared" ca="1" si="0"/>
        <v>0</v>
      </c>
      <c r="N22" s="2"/>
      <c r="O22" s="73">
        <v>0</v>
      </c>
      <c r="P22" s="20">
        <f ca="1">OFFSET('Gas Supply Factors'!$B$14,$O22-1,P$14)*$L22+OFFSET('Gas Supply Factors'!$B$14,$K22-1,P$14)*$H22</f>
        <v>0</v>
      </c>
      <c r="R22" s="20">
        <f ca="1">OFFSET('Gas Supply Factors'!$B$14,$O22-1,R$14)*$L22+OFFSET('Gas Supply Factors'!$B$14,$K22-1,R$14)*$H22</f>
        <v>0</v>
      </c>
      <c r="S22" s="20"/>
      <c r="T22" s="20">
        <f ca="1">OFFSET('Gas Supply Factors'!$B$14,$O22-1,T$14)*$L22+OFFSET('Gas Supply Factors'!$B$14,$K22-1,T$14)*$H22</f>
        <v>0</v>
      </c>
      <c r="U22" s="20"/>
      <c r="V22" s="20">
        <f ca="1">OFFSET('Gas Supply Factors'!$B$14,$O22-1,V$14)*$L22+OFFSET('Gas Supply Factors'!$B$14,$K22-1,V$14)*$H22</f>
        <v>0</v>
      </c>
      <c r="W22" s="20"/>
      <c r="X22" s="20">
        <f ca="1">OFFSET('Gas Supply Factors'!$B$14,$O22-1,X$14)*$L22+OFFSET('Gas Supply Factors'!$B$14,$K22-1,X$14)*$H22</f>
        <v>0</v>
      </c>
      <c r="Z22" s="20">
        <f ca="1">OFFSET('Gas Supply Factors'!$B$14,$O22-1,Z$14)*$L22+OFFSET('Gas Supply Factors'!$B$14,$K22-1,Z$14)*$H22</f>
        <v>0</v>
      </c>
      <c r="AB22" s="20">
        <f t="shared" ca="1" si="1"/>
        <v>0</v>
      </c>
      <c r="AD22" s="25" t="str">
        <f t="shared" ca="1" si="3"/>
        <v/>
      </c>
    </row>
    <row r="23" spans="2:37" x14ac:dyDescent="0.2">
      <c r="B23" s="18">
        <f t="shared" si="2"/>
        <v>6</v>
      </c>
      <c r="D23" s="1" t="s">
        <v>25</v>
      </c>
      <c r="F23" s="50">
        <f ca="1">Function!P23</f>
        <v>0</v>
      </c>
      <c r="H23" s="50"/>
      <c r="L23" s="50">
        <f t="shared" ca="1" si="0"/>
        <v>0</v>
      </c>
      <c r="N23" s="2"/>
      <c r="O23" s="73">
        <v>0</v>
      </c>
      <c r="P23" s="20">
        <f ca="1">OFFSET('Gas Supply Factors'!$B$14,$O23-1,P$14)*$L23+OFFSET('Gas Supply Factors'!$B$14,$K23-1,P$14)*$H23</f>
        <v>0</v>
      </c>
      <c r="R23" s="20">
        <f ca="1">OFFSET('Gas Supply Factors'!$B$14,$O23-1,R$14)*$L23+OFFSET('Gas Supply Factors'!$B$14,$K23-1,R$14)*$H23</f>
        <v>0</v>
      </c>
      <c r="S23" s="20"/>
      <c r="T23" s="20">
        <f ca="1">OFFSET('Gas Supply Factors'!$B$14,$O23-1,T$14)*$L23+OFFSET('Gas Supply Factors'!$B$14,$K23-1,T$14)*$H23</f>
        <v>0</v>
      </c>
      <c r="U23" s="20"/>
      <c r="V23" s="20">
        <f ca="1">OFFSET('Gas Supply Factors'!$B$14,$O23-1,V$14)*$L23+OFFSET('Gas Supply Factors'!$B$14,$K23-1,V$14)*$H23</f>
        <v>0</v>
      </c>
      <c r="W23" s="20"/>
      <c r="X23" s="20">
        <f ca="1">OFFSET('Gas Supply Factors'!$B$14,$O23-1,X$14)*$L23+OFFSET('Gas Supply Factors'!$B$14,$K23-1,X$14)*$H23</f>
        <v>0</v>
      </c>
      <c r="Z23" s="20">
        <f ca="1">OFFSET('Gas Supply Factors'!$B$14,$O23-1,Z$14)*$L23+OFFSET('Gas Supply Factors'!$B$14,$K23-1,Z$14)*$H23</f>
        <v>0</v>
      </c>
      <c r="AB23" s="20">
        <f t="shared" ca="1" si="1"/>
        <v>0</v>
      </c>
      <c r="AD23" s="25" t="str">
        <f t="shared" ca="1" si="3"/>
        <v/>
      </c>
      <c r="AK23" s="15"/>
    </row>
    <row r="24" spans="2:37" x14ac:dyDescent="0.2">
      <c r="B24" s="18">
        <f t="shared" si="2"/>
        <v>7</v>
      </c>
      <c r="D24" s="1" t="s">
        <v>27</v>
      </c>
      <c r="F24" s="50">
        <f ca="1">Function!P24</f>
        <v>0</v>
      </c>
      <c r="H24" s="50"/>
      <c r="L24" s="50">
        <f t="shared" ca="1" si="0"/>
        <v>0</v>
      </c>
      <c r="N24" s="2"/>
      <c r="O24" s="73">
        <v>0</v>
      </c>
      <c r="P24" s="20">
        <f ca="1">OFFSET('Gas Supply Factors'!$B$14,$O24-1,P$14)*$L24+OFFSET('Gas Supply Factors'!$B$14,$K24-1,P$14)*$H24</f>
        <v>0</v>
      </c>
      <c r="R24" s="20">
        <f ca="1">OFFSET('Gas Supply Factors'!$B$14,$O24-1,R$14)*$L24+OFFSET('Gas Supply Factors'!$B$14,$K24-1,R$14)*$H24</f>
        <v>0</v>
      </c>
      <c r="S24" s="20"/>
      <c r="T24" s="20">
        <f ca="1">OFFSET('Gas Supply Factors'!$B$14,$O24-1,T$14)*$L24+OFFSET('Gas Supply Factors'!$B$14,$K24-1,T$14)*$H24</f>
        <v>0</v>
      </c>
      <c r="U24" s="20"/>
      <c r="V24" s="20">
        <f ca="1">OFFSET('Gas Supply Factors'!$B$14,$O24-1,V$14)*$L24+OFFSET('Gas Supply Factors'!$B$14,$K24-1,V$14)*$H24</f>
        <v>0</v>
      </c>
      <c r="W24" s="20"/>
      <c r="X24" s="20">
        <f ca="1">OFFSET('Gas Supply Factors'!$B$14,$O24-1,X$14)*$L24+OFFSET('Gas Supply Factors'!$B$14,$K24-1,X$14)*$H24</f>
        <v>0</v>
      </c>
      <c r="Z24" s="20">
        <f ca="1">OFFSET('Gas Supply Factors'!$B$14,$O24-1,Z$14)*$L24+OFFSET('Gas Supply Factors'!$B$14,$K24-1,Z$14)*$H24</f>
        <v>0</v>
      </c>
      <c r="AB24" s="20">
        <f t="shared" ca="1" si="1"/>
        <v>0</v>
      </c>
      <c r="AD24" s="25" t="str">
        <f ca="1">IF(ROUND(F24,4)=ROUND(AB24,4), "", "check")</f>
        <v/>
      </c>
      <c r="AK24" s="15"/>
    </row>
    <row r="25" spans="2:37" x14ac:dyDescent="0.2">
      <c r="B25" s="18">
        <f t="shared" si="2"/>
        <v>8</v>
      </c>
      <c r="D25" s="1" t="s">
        <v>29</v>
      </c>
      <c r="F25" s="50">
        <f ca="1">Function!P25</f>
        <v>0</v>
      </c>
      <c r="H25" s="50"/>
      <c r="L25" s="50">
        <f t="shared" ca="1" si="0"/>
        <v>0</v>
      </c>
      <c r="N25" s="2"/>
      <c r="O25" s="73">
        <v>0</v>
      </c>
      <c r="P25" s="20">
        <f ca="1">OFFSET('Gas Supply Factors'!$B$14,$O25-1,P$14)*$L25+OFFSET('Gas Supply Factors'!$B$14,$K25-1,P$14)*$H25</f>
        <v>0</v>
      </c>
      <c r="R25" s="20">
        <f ca="1">OFFSET('Gas Supply Factors'!$B$14,$O25-1,R$14)*$L25+OFFSET('Gas Supply Factors'!$B$14,$K25-1,R$14)*$H25</f>
        <v>0</v>
      </c>
      <c r="S25" s="20"/>
      <c r="T25" s="20">
        <f ca="1">OFFSET('Gas Supply Factors'!$B$14,$O25-1,T$14)*$L25+OFFSET('Gas Supply Factors'!$B$14,$K25-1,T$14)*$H25</f>
        <v>0</v>
      </c>
      <c r="U25" s="20"/>
      <c r="V25" s="20">
        <f ca="1">OFFSET('Gas Supply Factors'!$B$14,$O25-1,V$14)*$L25+OFFSET('Gas Supply Factors'!$B$14,$K25-1,V$14)*$H25</f>
        <v>0</v>
      </c>
      <c r="W25" s="20"/>
      <c r="X25" s="20">
        <f ca="1">OFFSET('Gas Supply Factors'!$B$14,$O25-1,X$14)*$L25+OFFSET('Gas Supply Factors'!$B$14,$K25-1,X$14)*$H25</f>
        <v>0</v>
      </c>
      <c r="Z25" s="20">
        <f ca="1">OFFSET('Gas Supply Factors'!$B$14,$O25-1,Z$14)*$L25+OFFSET('Gas Supply Factors'!$B$14,$K25-1,Z$14)*$H25</f>
        <v>0</v>
      </c>
      <c r="AB25" s="20">
        <f t="shared" ca="1" si="1"/>
        <v>0</v>
      </c>
      <c r="AD25" s="25" t="str">
        <f t="shared" ref="AD25:AD35" ca="1" si="4">IF(ROUND(F25,4)=ROUND(AB25,4), "", "check")</f>
        <v/>
      </c>
    </row>
    <row r="26" spans="2:37" x14ac:dyDescent="0.2">
      <c r="B26" s="18">
        <f t="shared" si="2"/>
        <v>9</v>
      </c>
      <c r="D26" s="1" t="s">
        <v>30</v>
      </c>
      <c r="F26" s="50">
        <f ca="1">Function!P26</f>
        <v>0</v>
      </c>
      <c r="H26" s="50"/>
      <c r="L26" s="50">
        <f t="shared" ca="1" si="0"/>
        <v>0</v>
      </c>
      <c r="N26" s="2"/>
      <c r="O26" s="73">
        <v>0</v>
      </c>
      <c r="P26" s="20">
        <f ca="1">OFFSET('Gas Supply Factors'!$B$14,$O26-1,P$14)*$L26+OFFSET('Gas Supply Factors'!$B$14,$K26-1,P$14)*$H26</f>
        <v>0</v>
      </c>
      <c r="R26" s="20">
        <f ca="1">OFFSET('Gas Supply Factors'!$B$14,$O26-1,R$14)*$L26+OFFSET('Gas Supply Factors'!$B$14,$K26-1,R$14)*$H26</f>
        <v>0</v>
      </c>
      <c r="S26" s="20"/>
      <c r="T26" s="20">
        <f ca="1">OFFSET('Gas Supply Factors'!$B$14,$O26-1,T$14)*$L26+OFFSET('Gas Supply Factors'!$B$14,$K26-1,T$14)*$H26</f>
        <v>0</v>
      </c>
      <c r="U26" s="20"/>
      <c r="V26" s="20">
        <f ca="1">OFFSET('Gas Supply Factors'!$B$14,$O26-1,V$14)*$L26+OFFSET('Gas Supply Factors'!$B$14,$K26-1,V$14)*$H26</f>
        <v>0</v>
      </c>
      <c r="W26" s="20"/>
      <c r="X26" s="20">
        <f ca="1">OFFSET('Gas Supply Factors'!$B$14,$O26-1,X$14)*$L26+OFFSET('Gas Supply Factors'!$B$14,$K26-1,X$14)*$H26</f>
        <v>0</v>
      </c>
      <c r="Z26" s="20">
        <f ca="1">OFFSET('Gas Supply Factors'!$B$14,$O26-1,Z$14)*$L26+OFFSET('Gas Supply Factors'!$B$14,$K26-1,Z$14)*$H26</f>
        <v>0</v>
      </c>
      <c r="AB26" s="20">
        <f t="shared" ca="1" si="1"/>
        <v>0</v>
      </c>
      <c r="AD26" s="25" t="str">
        <f t="shared" ca="1" si="4"/>
        <v/>
      </c>
    </row>
    <row r="27" spans="2:37" x14ac:dyDescent="0.2">
      <c r="B27" s="18">
        <f t="shared" si="2"/>
        <v>10</v>
      </c>
      <c r="D27" s="1" t="s">
        <v>31</v>
      </c>
      <c r="F27" s="50">
        <f ca="1">Function!P27</f>
        <v>0</v>
      </c>
      <c r="H27" s="50"/>
      <c r="L27" s="50">
        <f t="shared" ca="1" si="0"/>
        <v>0</v>
      </c>
      <c r="N27" s="2"/>
      <c r="O27" s="73">
        <v>0</v>
      </c>
      <c r="P27" s="20">
        <f ca="1">OFFSET('Gas Supply Factors'!$B$14,$O27-1,P$14)*$L27+OFFSET('Gas Supply Factors'!$B$14,$K27-1,P$14)*$H27</f>
        <v>0</v>
      </c>
      <c r="R27" s="20">
        <f ca="1">OFFSET('Gas Supply Factors'!$B$14,$O27-1,R$14)*$L27+OFFSET('Gas Supply Factors'!$B$14,$K27-1,R$14)*$H27</f>
        <v>0</v>
      </c>
      <c r="S27" s="20"/>
      <c r="T27" s="20">
        <f ca="1">OFFSET('Gas Supply Factors'!$B$14,$O27-1,T$14)*$L27+OFFSET('Gas Supply Factors'!$B$14,$K27-1,T$14)*$H27</f>
        <v>0</v>
      </c>
      <c r="U27" s="20"/>
      <c r="V27" s="20">
        <f ca="1">OFFSET('Gas Supply Factors'!$B$14,$O27-1,V$14)*$L27+OFFSET('Gas Supply Factors'!$B$14,$K27-1,V$14)*$H27</f>
        <v>0</v>
      </c>
      <c r="W27" s="20"/>
      <c r="X27" s="20">
        <f ca="1">OFFSET('Gas Supply Factors'!$B$14,$O27-1,X$14)*$L27+OFFSET('Gas Supply Factors'!$B$14,$K27-1,X$14)*$H27</f>
        <v>0</v>
      </c>
      <c r="Z27" s="20">
        <f ca="1">OFFSET('Gas Supply Factors'!$B$14,$O27-1,Z$14)*$L27+OFFSET('Gas Supply Factors'!$B$14,$K27-1,Z$14)*$H27</f>
        <v>0</v>
      </c>
      <c r="AB27" s="20">
        <f t="shared" ca="1" si="1"/>
        <v>0</v>
      </c>
      <c r="AD27" s="25" t="str">
        <f t="shared" ca="1" si="4"/>
        <v/>
      </c>
    </row>
    <row r="28" spans="2:37" x14ac:dyDescent="0.2">
      <c r="B28" s="18">
        <f t="shared" si="2"/>
        <v>11</v>
      </c>
      <c r="D28" s="1" t="s">
        <v>293</v>
      </c>
      <c r="F28" s="50">
        <f ca="1">Function!P28</f>
        <v>0</v>
      </c>
      <c r="H28" s="50"/>
      <c r="L28" s="50">
        <f t="shared" ca="1" si="0"/>
        <v>0</v>
      </c>
      <c r="N28" s="2"/>
      <c r="O28" s="73">
        <v>0</v>
      </c>
      <c r="P28" s="20">
        <f ca="1">OFFSET('Gas Supply Factors'!$B$14,$O28-1,P$14)*$L28+OFFSET('Gas Supply Factors'!$B$14,$K28-1,P$14)*$H28</f>
        <v>0</v>
      </c>
      <c r="R28" s="20">
        <f ca="1">OFFSET('Gas Supply Factors'!$B$14,$O28-1,R$14)*$L28+OFFSET('Gas Supply Factors'!$B$14,$K28-1,R$14)*$H28</f>
        <v>0</v>
      </c>
      <c r="S28" s="20"/>
      <c r="T28" s="20">
        <f ca="1">OFFSET('Gas Supply Factors'!$B$14,$O28-1,T$14)*$L28+OFFSET('Gas Supply Factors'!$B$14,$K28-1,T$14)*$H28</f>
        <v>0</v>
      </c>
      <c r="U28" s="20"/>
      <c r="V28" s="20">
        <f ca="1">OFFSET('Gas Supply Factors'!$B$14,$O28-1,V$14)*$L28+OFFSET('Gas Supply Factors'!$B$14,$K28-1,V$14)*$H28</f>
        <v>0</v>
      </c>
      <c r="W28" s="20"/>
      <c r="X28" s="20">
        <f ca="1">OFFSET('Gas Supply Factors'!$B$14,$O28-1,X$14)*$L28+OFFSET('Gas Supply Factors'!$B$14,$K28-1,X$14)*$H28</f>
        <v>0</v>
      </c>
      <c r="Z28" s="20">
        <f ca="1">OFFSET('Gas Supply Factors'!$B$14,$O28-1,Z$14)*$L28+OFFSET('Gas Supply Factors'!$B$14,$K28-1,Z$14)*$H28</f>
        <v>0</v>
      </c>
      <c r="AB28" s="20">
        <f t="shared" ca="1" si="1"/>
        <v>0</v>
      </c>
      <c r="AD28" s="25" t="str">
        <f t="shared" ca="1" si="4"/>
        <v/>
      </c>
    </row>
    <row r="29" spans="2:37" x14ac:dyDescent="0.2">
      <c r="B29" s="18">
        <f>B28+1</f>
        <v>12</v>
      </c>
      <c r="D29" s="1" t="s">
        <v>34</v>
      </c>
      <c r="F29" s="50">
        <f ca="1">Function!P29</f>
        <v>0</v>
      </c>
      <c r="H29" s="50"/>
      <c r="L29" s="50">
        <f t="shared" ca="1" si="0"/>
        <v>0</v>
      </c>
      <c r="N29" s="2"/>
      <c r="O29" s="73">
        <v>0</v>
      </c>
      <c r="P29" s="20">
        <f ca="1">OFFSET('Gas Supply Factors'!$B$14,$O29-1,P$14)*$L29+OFFSET('Gas Supply Factors'!$B$14,$K29-1,P$14)*$H29</f>
        <v>0</v>
      </c>
      <c r="R29" s="20">
        <f ca="1">OFFSET('Gas Supply Factors'!$B$14,$O29-1,R$14)*$L29+OFFSET('Gas Supply Factors'!$B$14,$K29-1,R$14)*$H29</f>
        <v>0</v>
      </c>
      <c r="S29" s="20"/>
      <c r="T29" s="20">
        <f ca="1">OFFSET('Gas Supply Factors'!$B$14,$O29-1,T$14)*$L29+OFFSET('Gas Supply Factors'!$B$14,$K29-1,T$14)*$H29</f>
        <v>0</v>
      </c>
      <c r="U29" s="20"/>
      <c r="V29" s="20">
        <f ca="1">OFFSET('Gas Supply Factors'!$B$14,$O29-1,V$14)*$L29+OFFSET('Gas Supply Factors'!$B$14,$K29-1,V$14)*$H29</f>
        <v>0</v>
      </c>
      <c r="W29" s="20"/>
      <c r="X29" s="20">
        <f ca="1">OFFSET('Gas Supply Factors'!$B$14,$O29-1,X$14)*$L29+OFFSET('Gas Supply Factors'!$B$14,$K29-1,X$14)*$H29</f>
        <v>0</v>
      </c>
      <c r="Z29" s="20">
        <f ca="1">OFFSET('Gas Supply Factors'!$B$14,$O29-1,Z$14)*$L29+OFFSET('Gas Supply Factors'!$B$14,$K29-1,Z$14)*$H29</f>
        <v>0</v>
      </c>
      <c r="AB29" s="20">
        <f t="shared" ca="1" si="1"/>
        <v>0</v>
      </c>
      <c r="AD29" s="25" t="str">
        <f t="shared" ca="1" si="4"/>
        <v/>
      </c>
    </row>
    <row r="30" spans="2:37" x14ac:dyDescent="0.2">
      <c r="B30" s="18">
        <f>B29+1</f>
        <v>13</v>
      </c>
      <c r="D30" s="1" t="s">
        <v>77</v>
      </c>
      <c r="F30" s="50">
        <f ca="1">Function!P30</f>
        <v>0</v>
      </c>
      <c r="H30" s="50"/>
      <c r="L30" s="50">
        <f t="shared" ca="1" si="0"/>
        <v>0</v>
      </c>
      <c r="N30" s="2"/>
      <c r="O30" s="73">
        <v>0</v>
      </c>
      <c r="P30" s="20">
        <f ca="1">OFFSET('Gas Supply Factors'!$B$14,$O30-1,P$14)*$L30+OFFSET('Gas Supply Factors'!$B$14,$K30-1,P$14)*$H30</f>
        <v>0</v>
      </c>
      <c r="R30" s="20">
        <f ca="1">OFFSET('Gas Supply Factors'!$B$14,$O30-1,R$14)*$L30+OFFSET('Gas Supply Factors'!$B$14,$K30-1,R$14)*$H30</f>
        <v>0</v>
      </c>
      <c r="S30" s="20"/>
      <c r="T30" s="20">
        <f ca="1">OFFSET('Gas Supply Factors'!$B$14,$O30-1,T$14)*$L30+OFFSET('Gas Supply Factors'!$B$14,$K30-1,T$14)*$H30</f>
        <v>0</v>
      </c>
      <c r="U30" s="20"/>
      <c r="V30" s="20">
        <f ca="1">OFFSET('Gas Supply Factors'!$B$14,$O30-1,V$14)*$L30+OFFSET('Gas Supply Factors'!$B$14,$K30-1,V$14)*$H30</f>
        <v>0</v>
      </c>
      <c r="W30" s="20"/>
      <c r="X30" s="20">
        <f ca="1">OFFSET('Gas Supply Factors'!$B$14,$O30-1,X$14)*$L30+OFFSET('Gas Supply Factors'!$B$14,$K30-1,X$14)*$H30</f>
        <v>0</v>
      </c>
      <c r="Z30" s="20">
        <f ca="1">OFFSET('Gas Supply Factors'!$B$14,$O30-1,Z$14)*$L30+OFFSET('Gas Supply Factors'!$B$14,$K30-1,Z$14)*$H30</f>
        <v>0</v>
      </c>
      <c r="AB30" s="20">
        <f t="shared" ca="1" si="1"/>
        <v>0</v>
      </c>
      <c r="AD30" s="25" t="str">
        <f t="shared" ca="1" si="4"/>
        <v/>
      </c>
    </row>
    <row r="31" spans="2:37" x14ac:dyDescent="0.2">
      <c r="B31" s="18">
        <f t="shared" si="2"/>
        <v>14</v>
      </c>
      <c r="D31" s="1" t="s">
        <v>297</v>
      </c>
      <c r="F31" s="41">
        <f ca="1">SUM(F18:F30)</f>
        <v>0</v>
      </c>
      <c r="H31" s="41">
        <f>SUM(H18:H30)</f>
        <v>0</v>
      </c>
      <c r="L31" s="41">
        <f ca="1">SUM(L18:L30)</f>
        <v>0</v>
      </c>
      <c r="P31" s="28">
        <f ca="1">SUM(P18:P30)</f>
        <v>0</v>
      </c>
      <c r="Q31" s="23"/>
      <c r="R31" s="28">
        <f ca="1">SUM(R18:R30)</f>
        <v>0</v>
      </c>
      <c r="S31" s="22"/>
      <c r="T31" s="28">
        <f ca="1">SUM(T18:T30)</f>
        <v>0</v>
      </c>
      <c r="U31" s="22"/>
      <c r="V31" s="28">
        <f ca="1">SUM(V18:V30)</f>
        <v>0</v>
      </c>
      <c r="W31" s="22"/>
      <c r="X31" s="28">
        <f ca="1">SUM(X18:X30)</f>
        <v>0</v>
      </c>
      <c r="Y31" s="18"/>
      <c r="Z31" s="28">
        <f ca="1">SUM(Z18:Z30)</f>
        <v>0</v>
      </c>
      <c r="AB31" s="28">
        <f ca="1">SUM(AB18:AB30)</f>
        <v>0</v>
      </c>
      <c r="AD31" s="25" t="str">
        <f t="shared" ca="1" si="4"/>
        <v/>
      </c>
    </row>
    <row r="32" spans="2:37" x14ac:dyDescent="0.2">
      <c r="Y32" s="18"/>
      <c r="AB32" s="8"/>
      <c r="AD32" s="25" t="str">
        <f t="shared" si="4"/>
        <v/>
      </c>
    </row>
    <row r="33" spans="2:37" x14ac:dyDescent="0.2">
      <c r="B33" s="18">
        <f>B31+1</f>
        <v>15</v>
      </c>
      <c r="D33" s="1" t="s">
        <v>196</v>
      </c>
      <c r="F33" s="50">
        <f ca="1">Function!P33</f>
        <v>0</v>
      </c>
      <c r="H33" s="50"/>
      <c r="L33" s="50">
        <f t="shared" ref="L33" ca="1" si="5">F33-H33</f>
        <v>0</v>
      </c>
      <c r="N33" s="2"/>
      <c r="O33" s="73">
        <v>0</v>
      </c>
      <c r="P33" s="20">
        <f ca="1">OFFSET('Gas Supply Factors'!$B$14,$O33-1,P$14)*$L33+OFFSET('Gas Supply Factors'!$B$14,$K33-1,P$14)*$H33</f>
        <v>0</v>
      </c>
      <c r="R33" s="20">
        <f ca="1">OFFSET('Gas Supply Factors'!$B$14,$O33-1,R$14)*$L33+OFFSET('Gas Supply Factors'!$B$14,$K33-1,R$14)*$H33</f>
        <v>0</v>
      </c>
      <c r="S33" s="20"/>
      <c r="T33" s="20">
        <f ca="1">OFFSET('Gas Supply Factors'!$B$14,$O33-1,T$14)*$L33+OFFSET('Gas Supply Factors'!$B$14,$K33-1,T$14)*$H33</f>
        <v>0</v>
      </c>
      <c r="U33" s="20"/>
      <c r="V33" s="20">
        <f ca="1">OFFSET('Gas Supply Factors'!$B$14,$O33-1,V$14)*$L33+OFFSET('Gas Supply Factors'!$B$14,$K33-1,V$14)*$H33</f>
        <v>0</v>
      </c>
      <c r="W33" s="20"/>
      <c r="X33" s="20">
        <f ca="1">OFFSET('Gas Supply Factors'!$B$14,$O33-1,X$14)*$L33+OFFSET('Gas Supply Factors'!$B$14,$K33-1,X$14)*$H33</f>
        <v>0</v>
      </c>
      <c r="Z33" s="20">
        <f ca="1">OFFSET('Gas Supply Factors'!$B$14,$O33-1,Z$14)*$L33+OFFSET('Gas Supply Factors'!$B$14,$K33-1,Z$14)*$H33</f>
        <v>0</v>
      </c>
      <c r="AB33" s="20">
        <f ca="1">P33+R33+V33+X33+Z33+T33</f>
        <v>0</v>
      </c>
      <c r="AD33" s="25" t="str">
        <f t="shared" ca="1" si="4"/>
        <v/>
      </c>
    </row>
    <row r="34" spans="2:37" x14ac:dyDescent="0.2">
      <c r="Y34" s="18"/>
      <c r="AB34" s="8"/>
      <c r="AD34" s="25" t="str">
        <f t="shared" si="4"/>
        <v/>
      </c>
    </row>
    <row r="35" spans="2:37" x14ac:dyDescent="0.2">
      <c r="B35" s="18">
        <f>B33+1</f>
        <v>16</v>
      </c>
      <c r="D35" s="1" t="s">
        <v>392</v>
      </c>
      <c r="F35" s="41">
        <f ca="1">F31+F33</f>
        <v>0</v>
      </c>
      <c r="H35" s="41">
        <f>H31+H33</f>
        <v>0</v>
      </c>
      <c r="L35" s="41">
        <f ca="1">L31+L33</f>
        <v>0</v>
      </c>
      <c r="P35" s="10">
        <f ca="1">P31+P33</f>
        <v>0</v>
      </c>
      <c r="Q35" s="14"/>
      <c r="R35" s="10">
        <f ca="1">R31+R33</f>
        <v>0</v>
      </c>
      <c r="S35" s="8"/>
      <c r="T35" s="10">
        <f ca="1">T31+T33</f>
        <v>0</v>
      </c>
      <c r="U35" s="8"/>
      <c r="V35" s="10">
        <f ca="1">V31+V33</f>
        <v>0</v>
      </c>
      <c r="W35" s="8"/>
      <c r="X35" s="10">
        <f ca="1">X31+X33</f>
        <v>0</v>
      </c>
      <c r="Y35" s="18"/>
      <c r="Z35" s="10">
        <f ca="1">Z31+Z33</f>
        <v>0</v>
      </c>
      <c r="AB35" s="10">
        <f ca="1">AB31+AB33</f>
        <v>0</v>
      </c>
      <c r="AD35" s="25" t="str">
        <f t="shared" ca="1" si="4"/>
        <v/>
      </c>
    </row>
    <row r="36" spans="2:37" x14ac:dyDescent="0.2">
      <c r="D36" s="6"/>
      <c r="E36" s="6"/>
      <c r="F36" s="77"/>
      <c r="H36" s="77"/>
      <c r="J36" s="2"/>
      <c r="L36" s="77"/>
    </row>
    <row r="37" spans="2:37" x14ac:dyDescent="0.2">
      <c r="F37" s="50"/>
      <c r="J37" s="2"/>
    </row>
    <row r="38" spans="2:37" x14ac:dyDescent="0.2">
      <c r="D38" s="6" t="s">
        <v>296</v>
      </c>
      <c r="E38" s="7"/>
      <c r="F38" s="78"/>
      <c r="J38" s="2"/>
    </row>
    <row r="39" spans="2:37" x14ac:dyDescent="0.2">
      <c r="J39" s="2"/>
    </row>
    <row r="40" spans="2:37" x14ac:dyDescent="0.2">
      <c r="B40" s="18">
        <f>B35+1</f>
        <v>17</v>
      </c>
      <c r="D40" s="1" t="s">
        <v>76</v>
      </c>
      <c r="F40" s="50">
        <f ca="1">Function!P40</f>
        <v>0</v>
      </c>
      <c r="H40" s="50"/>
      <c r="J40" s="2"/>
      <c r="L40" s="50">
        <f ca="1">F40-H40</f>
        <v>0</v>
      </c>
      <c r="N40" s="2"/>
      <c r="O40" s="73">
        <v>0</v>
      </c>
      <c r="P40" s="20">
        <f ca="1">OFFSET('Gas Supply Factors'!$B$14,$O40-1,P$14)*$L40+OFFSET('Gas Supply Factors'!$B$14,$K40-1,P$14)*$H40</f>
        <v>0</v>
      </c>
      <c r="R40" s="20">
        <f ca="1">OFFSET('Gas Supply Factors'!$B$14,$O40-1,R$14)*$L40+OFFSET('Gas Supply Factors'!$B$14,$K40-1,R$14)*$H40</f>
        <v>0</v>
      </c>
      <c r="S40" s="20"/>
      <c r="T40" s="20">
        <f ca="1">OFFSET('Gas Supply Factors'!$B$14,$O40-1,T$14)*$L40+OFFSET('Gas Supply Factors'!$B$14,$K40-1,T$14)*$H40</f>
        <v>0</v>
      </c>
      <c r="U40" s="20"/>
      <c r="V40" s="20">
        <f ca="1">OFFSET('Gas Supply Factors'!$B$14,$O40-1,V$14)*$L40+OFFSET('Gas Supply Factors'!$B$14,$K40-1,V$14)*$H40</f>
        <v>0</v>
      </c>
      <c r="W40" s="20"/>
      <c r="X40" s="20">
        <f ca="1">OFFSET('Gas Supply Factors'!$B$14,$O40-1,X$14)*$L40+OFFSET('Gas Supply Factors'!$B$14,$K40-1,X$14)*$H40</f>
        <v>0</v>
      </c>
      <c r="Z40" s="20">
        <f ca="1">OFFSET('Gas Supply Factors'!$B$14,$O40-1,Z$14)*$L40+OFFSET('Gas Supply Factors'!$B$14,$K40-1,Z$14)*$H40</f>
        <v>0</v>
      </c>
      <c r="AB40" s="20">
        <f ca="1">P40+R40+V40+X40+Z40+T40</f>
        <v>0</v>
      </c>
      <c r="AD40" s="25" t="str">
        <f ca="1">IF(ROUND(F40,4)=ROUND(AB40,4), "", "check")</f>
        <v/>
      </c>
    </row>
    <row r="41" spans="2:37" x14ac:dyDescent="0.2">
      <c r="B41" s="18">
        <f>B40+1</f>
        <v>18</v>
      </c>
      <c r="D41" s="1" t="s">
        <v>75</v>
      </c>
      <c r="F41" s="50">
        <f ca="1">Function!P41</f>
        <v>0</v>
      </c>
      <c r="H41" s="50"/>
      <c r="J41" s="2"/>
      <c r="L41" s="50">
        <f t="shared" ref="L41:L52" ca="1" si="6">F41-H41</f>
        <v>0</v>
      </c>
      <c r="N41" s="2"/>
      <c r="O41" s="73">
        <v>0</v>
      </c>
      <c r="P41" s="20">
        <f ca="1">OFFSET('Gas Supply Factors'!$B$14,$O41-1,P$14)*$L41+OFFSET('Gas Supply Factors'!$B$14,$K41-1,P$14)*$H41</f>
        <v>0</v>
      </c>
      <c r="R41" s="20">
        <f ca="1">OFFSET('Gas Supply Factors'!$B$14,$O41-1,R$14)*$L41+OFFSET('Gas Supply Factors'!$B$14,$K41-1,R$14)*$H41</f>
        <v>0</v>
      </c>
      <c r="S41" s="20"/>
      <c r="T41" s="20">
        <f ca="1">OFFSET('Gas Supply Factors'!$B$14,$O41-1,T$14)*$L41+OFFSET('Gas Supply Factors'!$B$14,$K41-1,T$14)*$H41</f>
        <v>0</v>
      </c>
      <c r="U41" s="20"/>
      <c r="V41" s="20">
        <f ca="1">OFFSET('Gas Supply Factors'!$B$14,$O41-1,V$14)*$L41+OFFSET('Gas Supply Factors'!$B$14,$K41-1,V$14)*$H41</f>
        <v>0</v>
      </c>
      <c r="W41" s="20"/>
      <c r="X41" s="20">
        <f ca="1">OFFSET('Gas Supply Factors'!$B$14,$O41-1,X$14)*$L41+OFFSET('Gas Supply Factors'!$B$14,$K41-1,X$14)*$H41</f>
        <v>0</v>
      </c>
      <c r="Z41" s="20">
        <f ca="1">OFFSET('Gas Supply Factors'!$B$14,$O41-1,Z$14)*$L41+OFFSET('Gas Supply Factors'!$B$14,$K41-1,Z$14)*$H41</f>
        <v>0</v>
      </c>
      <c r="AB41" s="20">
        <f t="shared" ref="AB41:AB52" ca="1" si="7">P41+R41+V41+X41+Z41+T41</f>
        <v>0</v>
      </c>
      <c r="AD41" s="25"/>
    </row>
    <row r="42" spans="2:37" x14ac:dyDescent="0.2">
      <c r="B42" s="18">
        <f t="shared" ref="B42:B53" si="8">B41+1</f>
        <v>19</v>
      </c>
      <c r="D42" s="1" t="s">
        <v>19</v>
      </c>
      <c r="F42" s="50">
        <f ca="1">Function!P42</f>
        <v>0</v>
      </c>
      <c r="H42" s="50"/>
      <c r="J42" s="2"/>
      <c r="L42" s="50">
        <f t="shared" ca="1" si="6"/>
        <v>0</v>
      </c>
      <c r="N42" s="2"/>
      <c r="O42" s="73">
        <v>0</v>
      </c>
      <c r="P42" s="20">
        <f ca="1">OFFSET('Gas Supply Factors'!$B$14,$O42-1,P$14)*$L42+OFFSET('Gas Supply Factors'!$B$14,$K42-1,P$14)*$H42</f>
        <v>0</v>
      </c>
      <c r="R42" s="20">
        <f ca="1">OFFSET('Gas Supply Factors'!$B$14,$O42-1,R$14)*$L42+OFFSET('Gas Supply Factors'!$B$14,$K42-1,R$14)*$H42</f>
        <v>0</v>
      </c>
      <c r="S42" s="20"/>
      <c r="T42" s="20">
        <f ca="1">OFFSET('Gas Supply Factors'!$B$14,$O42-1,T$14)*$L42+OFFSET('Gas Supply Factors'!$B$14,$K42-1,T$14)*$H42</f>
        <v>0</v>
      </c>
      <c r="U42" s="20"/>
      <c r="V42" s="20">
        <f ca="1">OFFSET('Gas Supply Factors'!$B$14,$O42-1,V$14)*$L42+OFFSET('Gas Supply Factors'!$B$14,$K42-1,V$14)*$H42</f>
        <v>0</v>
      </c>
      <c r="W42" s="20"/>
      <c r="X42" s="20">
        <f ca="1">OFFSET('Gas Supply Factors'!$B$14,$O42-1,X$14)*$L42+OFFSET('Gas Supply Factors'!$B$14,$K42-1,X$14)*$H42</f>
        <v>0</v>
      </c>
      <c r="Z42" s="20">
        <f ca="1">OFFSET('Gas Supply Factors'!$B$14,$O42-1,Z$14)*$L42+OFFSET('Gas Supply Factors'!$B$14,$K42-1,Z$14)*$H42</f>
        <v>0</v>
      </c>
      <c r="AB42" s="20">
        <f t="shared" ca="1" si="7"/>
        <v>0</v>
      </c>
      <c r="AD42" s="25" t="str">
        <f t="shared" ref="AD42:AD45" ca="1" si="9">IF(ROUND(F42,4)=ROUND(AB42,4), "", "check")</f>
        <v/>
      </c>
    </row>
    <row r="43" spans="2:37" x14ac:dyDescent="0.2">
      <c r="B43" s="18">
        <f t="shared" si="8"/>
        <v>20</v>
      </c>
      <c r="D43" s="1" t="s">
        <v>21</v>
      </c>
      <c r="F43" s="50">
        <f ca="1">Function!P43</f>
        <v>0</v>
      </c>
      <c r="H43" s="50"/>
      <c r="J43" s="2"/>
      <c r="L43" s="50">
        <f t="shared" ca="1" si="6"/>
        <v>0</v>
      </c>
      <c r="N43" s="2"/>
      <c r="O43" s="73">
        <v>0</v>
      </c>
      <c r="P43" s="20">
        <f ca="1">OFFSET('Gas Supply Factors'!$B$14,$O43-1,P$14)*$L43+OFFSET('Gas Supply Factors'!$B$14,$K43-1,P$14)*$H43</f>
        <v>0</v>
      </c>
      <c r="R43" s="20">
        <f ca="1">OFFSET('Gas Supply Factors'!$B$14,$O43-1,R$14)*$L43+OFFSET('Gas Supply Factors'!$B$14,$K43-1,R$14)*$H43</f>
        <v>0</v>
      </c>
      <c r="S43" s="20"/>
      <c r="T43" s="20">
        <f ca="1">OFFSET('Gas Supply Factors'!$B$14,$O43-1,T$14)*$L43+OFFSET('Gas Supply Factors'!$B$14,$K43-1,T$14)*$H43</f>
        <v>0</v>
      </c>
      <c r="U43" s="20"/>
      <c r="V43" s="20">
        <f ca="1">OFFSET('Gas Supply Factors'!$B$14,$O43-1,V$14)*$L43+OFFSET('Gas Supply Factors'!$B$14,$K43-1,V$14)*$H43</f>
        <v>0</v>
      </c>
      <c r="W43" s="20"/>
      <c r="X43" s="20">
        <f ca="1">OFFSET('Gas Supply Factors'!$B$14,$O43-1,X$14)*$L43+OFFSET('Gas Supply Factors'!$B$14,$K43-1,X$14)*$H43</f>
        <v>0</v>
      </c>
      <c r="Z43" s="20">
        <f ca="1">OFFSET('Gas Supply Factors'!$B$14,$O43-1,Z$14)*$L43+OFFSET('Gas Supply Factors'!$B$14,$K43-1,Z$14)*$H43</f>
        <v>0</v>
      </c>
      <c r="AB43" s="20">
        <f t="shared" ca="1" si="7"/>
        <v>0</v>
      </c>
      <c r="AD43" s="25" t="str">
        <f t="shared" ca="1" si="9"/>
        <v/>
      </c>
    </row>
    <row r="44" spans="2:37" x14ac:dyDescent="0.2">
      <c r="B44" s="18">
        <f t="shared" si="8"/>
        <v>21</v>
      </c>
      <c r="D44" s="1" t="s">
        <v>23</v>
      </c>
      <c r="F44" s="50">
        <f ca="1">Function!P44</f>
        <v>0</v>
      </c>
      <c r="H44" s="50"/>
      <c r="J44" s="2"/>
      <c r="L44" s="50">
        <f t="shared" ca="1" si="6"/>
        <v>0</v>
      </c>
      <c r="N44" s="2"/>
      <c r="O44" s="73">
        <v>0</v>
      </c>
      <c r="P44" s="20">
        <f ca="1">OFFSET('Gas Supply Factors'!$B$14,$O44-1,P$14)*$L44+OFFSET('Gas Supply Factors'!$B$14,$K44-1,P$14)*$H44</f>
        <v>0</v>
      </c>
      <c r="R44" s="20">
        <f ca="1">OFFSET('Gas Supply Factors'!$B$14,$O44-1,R$14)*$L44+OFFSET('Gas Supply Factors'!$B$14,$K44-1,R$14)*$H44</f>
        <v>0</v>
      </c>
      <c r="S44" s="20"/>
      <c r="T44" s="20">
        <f ca="1">OFFSET('Gas Supply Factors'!$B$14,$O44-1,T$14)*$L44+OFFSET('Gas Supply Factors'!$B$14,$K44-1,T$14)*$H44</f>
        <v>0</v>
      </c>
      <c r="U44" s="20"/>
      <c r="V44" s="20">
        <f ca="1">OFFSET('Gas Supply Factors'!$B$14,$O44-1,V$14)*$L44+OFFSET('Gas Supply Factors'!$B$14,$K44-1,V$14)*$H44</f>
        <v>0</v>
      </c>
      <c r="W44" s="20"/>
      <c r="X44" s="20">
        <f ca="1">OFFSET('Gas Supply Factors'!$B$14,$O44-1,X$14)*$L44+OFFSET('Gas Supply Factors'!$B$14,$K44-1,X$14)*$H44</f>
        <v>0</v>
      </c>
      <c r="Z44" s="20">
        <f ca="1">OFFSET('Gas Supply Factors'!$B$14,$O44-1,Z$14)*$L44+OFFSET('Gas Supply Factors'!$B$14,$K44-1,Z$14)*$H44</f>
        <v>0</v>
      </c>
      <c r="AB44" s="20">
        <f t="shared" ca="1" si="7"/>
        <v>0</v>
      </c>
      <c r="AD44" s="25" t="str">
        <f t="shared" ca="1" si="9"/>
        <v/>
      </c>
    </row>
    <row r="45" spans="2:37" x14ac:dyDescent="0.2">
      <c r="B45" s="18">
        <f t="shared" si="8"/>
        <v>22</v>
      </c>
      <c r="D45" s="1" t="s">
        <v>25</v>
      </c>
      <c r="F45" s="50">
        <f ca="1">Function!P45</f>
        <v>0</v>
      </c>
      <c r="H45" s="50"/>
      <c r="L45" s="50">
        <f t="shared" ca="1" si="6"/>
        <v>0</v>
      </c>
      <c r="N45" s="2"/>
      <c r="O45" s="73">
        <v>0</v>
      </c>
      <c r="P45" s="20">
        <f ca="1">OFFSET('Gas Supply Factors'!$B$14,$O45-1,P$14)*$L45+OFFSET('Gas Supply Factors'!$B$14,$K45-1,P$14)*$H45</f>
        <v>0</v>
      </c>
      <c r="R45" s="20">
        <f ca="1">OFFSET('Gas Supply Factors'!$B$14,$O45-1,R$14)*$L45+OFFSET('Gas Supply Factors'!$B$14,$K45-1,R$14)*$H45</f>
        <v>0</v>
      </c>
      <c r="S45" s="20"/>
      <c r="T45" s="20">
        <f ca="1">OFFSET('Gas Supply Factors'!$B$14,$O45-1,T$14)*$L45+OFFSET('Gas Supply Factors'!$B$14,$K45-1,T$14)*$H45</f>
        <v>0</v>
      </c>
      <c r="U45" s="20"/>
      <c r="V45" s="20">
        <f ca="1">OFFSET('Gas Supply Factors'!$B$14,$O45-1,V$14)*$L45+OFFSET('Gas Supply Factors'!$B$14,$K45-1,V$14)*$H45</f>
        <v>0</v>
      </c>
      <c r="W45" s="20"/>
      <c r="X45" s="20">
        <f ca="1">OFFSET('Gas Supply Factors'!$B$14,$O45-1,X$14)*$L45+OFFSET('Gas Supply Factors'!$B$14,$K45-1,X$14)*$H45</f>
        <v>0</v>
      </c>
      <c r="Z45" s="20">
        <f ca="1">OFFSET('Gas Supply Factors'!$B$14,$O45-1,Z$14)*$L45+OFFSET('Gas Supply Factors'!$B$14,$K45-1,Z$14)*$H45</f>
        <v>0</v>
      </c>
      <c r="AB45" s="20">
        <f t="shared" ca="1" si="7"/>
        <v>0</v>
      </c>
      <c r="AD45" s="25" t="str">
        <f t="shared" ca="1" si="9"/>
        <v/>
      </c>
      <c r="AK45" s="15"/>
    </row>
    <row r="46" spans="2:37" x14ac:dyDescent="0.2">
      <c r="B46" s="18">
        <f t="shared" si="8"/>
        <v>23</v>
      </c>
      <c r="D46" s="1" t="s">
        <v>27</v>
      </c>
      <c r="F46" s="50">
        <f ca="1">Function!P46</f>
        <v>0</v>
      </c>
      <c r="H46" s="50"/>
      <c r="L46" s="50">
        <f t="shared" ca="1" si="6"/>
        <v>0</v>
      </c>
      <c r="N46" s="2"/>
      <c r="O46" s="73">
        <v>0</v>
      </c>
      <c r="P46" s="20">
        <f ca="1">OFFSET('Gas Supply Factors'!$B$14,$O46-1,P$14)*$L46+OFFSET('Gas Supply Factors'!$B$14,$K46-1,P$14)*$H46</f>
        <v>0</v>
      </c>
      <c r="R46" s="20">
        <f ca="1">OFFSET('Gas Supply Factors'!$B$14,$O46-1,R$14)*$L46+OFFSET('Gas Supply Factors'!$B$14,$K46-1,R$14)*$H46</f>
        <v>0</v>
      </c>
      <c r="S46" s="20"/>
      <c r="T46" s="20">
        <f ca="1">OFFSET('Gas Supply Factors'!$B$14,$O46-1,T$14)*$L46+OFFSET('Gas Supply Factors'!$B$14,$K46-1,T$14)*$H46</f>
        <v>0</v>
      </c>
      <c r="U46" s="20"/>
      <c r="V46" s="20">
        <f ca="1">OFFSET('Gas Supply Factors'!$B$14,$O46-1,V$14)*$L46+OFFSET('Gas Supply Factors'!$B$14,$K46-1,V$14)*$H46</f>
        <v>0</v>
      </c>
      <c r="W46" s="20"/>
      <c r="X46" s="20">
        <f ca="1">OFFSET('Gas Supply Factors'!$B$14,$O46-1,X$14)*$L46+OFFSET('Gas Supply Factors'!$B$14,$K46-1,X$14)*$H46</f>
        <v>0</v>
      </c>
      <c r="Z46" s="20">
        <f ca="1">OFFSET('Gas Supply Factors'!$B$14,$O46-1,Z$14)*$L46+OFFSET('Gas Supply Factors'!$B$14,$K46-1,Z$14)*$H46</f>
        <v>0</v>
      </c>
      <c r="AB46" s="20">
        <f t="shared" ca="1" si="7"/>
        <v>0</v>
      </c>
      <c r="AD46" s="25" t="str">
        <f ca="1">IF(ROUND(F46,4)=ROUND(AB46,4), "", "check")</f>
        <v/>
      </c>
      <c r="AK46" s="15"/>
    </row>
    <row r="47" spans="2:37" x14ac:dyDescent="0.2">
      <c r="B47" s="18">
        <f t="shared" si="8"/>
        <v>24</v>
      </c>
      <c r="D47" s="1" t="s">
        <v>29</v>
      </c>
      <c r="F47" s="50">
        <f ca="1">Function!P47</f>
        <v>0</v>
      </c>
      <c r="H47" s="50"/>
      <c r="L47" s="50">
        <f t="shared" ca="1" si="6"/>
        <v>0</v>
      </c>
      <c r="N47" s="2"/>
      <c r="O47" s="73">
        <v>0</v>
      </c>
      <c r="P47" s="20">
        <f ca="1">OFFSET('Gas Supply Factors'!$B$14,$O47-1,P$14)*$L47+OFFSET('Gas Supply Factors'!$B$14,$K47-1,P$14)*$H47</f>
        <v>0</v>
      </c>
      <c r="R47" s="20">
        <f ca="1">OFFSET('Gas Supply Factors'!$B$14,$O47-1,R$14)*$L47+OFFSET('Gas Supply Factors'!$B$14,$K47-1,R$14)*$H47</f>
        <v>0</v>
      </c>
      <c r="S47" s="20"/>
      <c r="T47" s="20">
        <f ca="1">OFFSET('Gas Supply Factors'!$B$14,$O47-1,T$14)*$L47+OFFSET('Gas Supply Factors'!$B$14,$K47-1,T$14)*$H47</f>
        <v>0</v>
      </c>
      <c r="U47" s="20"/>
      <c r="V47" s="20">
        <f ca="1">OFFSET('Gas Supply Factors'!$B$14,$O47-1,V$14)*$L47+OFFSET('Gas Supply Factors'!$B$14,$K47-1,V$14)*$H47</f>
        <v>0</v>
      </c>
      <c r="W47" s="20"/>
      <c r="X47" s="20">
        <f ca="1">OFFSET('Gas Supply Factors'!$B$14,$O47-1,X$14)*$L47+OFFSET('Gas Supply Factors'!$B$14,$K47-1,X$14)*$H47</f>
        <v>0</v>
      </c>
      <c r="Z47" s="20">
        <f ca="1">OFFSET('Gas Supply Factors'!$B$14,$O47-1,Z$14)*$L47+OFFSET('Gas Supply Factors'!$B$14,$K47-1,Z$14)*$H47</f>
        <v>0</v>
      </c>
      <c r="AB47" s="20">
        <f t="shared" ca="1" si="7"/>
        <v>0</v>
      </c>
      <c r="AD47" s="25" t="str">
        <f t="shared" ref="AD47:AD57" ca="1" si="10">IF(ROUND(F47,4)=ROUND(AB47,4), "", "check")</f>
        <v/>
      </c>
    </row>
    <row r="48" spans="2:37" x14ac:dyDescent="0.2">
      <c r="B48" s="18">
        <f t="shared" si="8"/>
        <v>25</v>
      </c>
      <c r="D48" s="1" t="s">
        <v>30</v>
      </c>
      <c r="F48" s="50">
        <f ca="1">Function!P48</f>
        <v>0</v>
      </c>
      <c r="H48" s="50"/>
      <c r="L48" s="50">
        <f t="shared" ca="1" si="6"/>
        <v>0</v>
      </c>
      <c r="N48" s="2"/>
      <c r="O48" s="73">
        <v>0</v>
      </c>
      <c r="P48" s="20">
        <f ca="1">OFFSET('Gas Supply Factors'!$B$14,$O48-1,P$14)*$L48+OFFSET('Gas Supply Factors'!$B$14,$K48-1,P$14)*$H48</f>
        <v>0</v>
      </c>
      <c r="R48" s="20">
        <f ca="1">OFFSET('Gas Supply Factors'!$B$14,$O48-1,R$14)*$L48+OFFSET('Gas Supply Factors'!$B$14,$K48-1,R$14)*$H48</f>
        <v>0</v>
      </c>
      <c r="S48" s="20"/>
      <c r="T48" s="20">
        <f ca="1">OFFSET('Gas Supply Factors'!$B$14,$O48-1,T$14)*$L48+OFFSET('Gas Supply Factors'!$B$14,$K48-1,T$14)*$H48</f>
        <v>0</v>
      </c>
      <c r="U48" s="20"/>
      <c r="V48" s="20">
        <f ca="1">OFFSET('Gas Supply Factors'!$B$14,$O48-1,V$14)*$L48+OFFSET('Gas Supply Factors'!$B$14,$K48-1,V$14)*$H48</f>
        <v>0</v>
      </c>
      <c r="W48" s="20"/>
      <c r="X48" s="20">
        <f ca="1">OFFSET('Gas Supply Factors'!$B$14,$O48-1,X$14)*$L48+OFFSET('Gas Supply Factors'!$B$14,$K48-1,X$14)*$H48</f>
        <v>0</v>
      </c>
      <c r="Z48" s="20">
        <f ca="1">OFFSET('Gas Supply Factors'!$B$14,$O48-1,Z$14)*$L48+OFFSET('Gas Supply Factors'!$B$14,$K48-1,Z$14)*$H48</f>
        <v>0</v>
      </c>
      <c r="AB48" s="20">
        <f t="shared" ca="1" si="7"/>
        <v>0</v>
      </c>
      <c r="AD48" s="25" t="str">
        <f t="shared" ca="1" si="10"/>
        <v/>
      </c>
    </row>
    <row r="49" spans="2:30" x14ac:dyDescent="0.2">
      <c r="B49" s="18">
        <f t="shared" si="8"/>
        <v>26</v>
      </c>
      <c r="D49" s="1" t="s">
        <v>31</v>
      </c>
      <c r="F49" s="50">
        <f ca="1">Function!P49</f>
        <v>0</v>
      </c>
      <c r="H49" s="50"/>
      <c r="L49" s="50">
        <f t="shared" ca="1" si="6"/>
        <v>0</v>
      </c>
      <c r="N49" s="2"/>
      <c r="O49" s="73">
        <v>0</v>
      </c>
      <c r="P49" s="20">
        <f ca="1">OFFSET('Gas Supply Factors'!$B$14,$O49-1,P$14)*$L49+OFFSET('Gas Supply Factors'!$B$14,$K49-1,P$14)*$H49</f>
        <v>0</v>
      </c>
      <c r="R49" s="20">
        <f ca="1">OFFSET('Gas Supply Factors'!$B$14,$O49-1,R$14)*$L49+OFFSET('Gas Supply Factors'!$B$14,$K49-1,R$14)*$H49</f>
        <v>0</v>
      </c>
      <c r="S49" s="20"/>
      <c r="T49" s="20">
        <f ca="1">OFFSET('Gas Supply Factors'!$B$14,$O49-1,T$14)*$L49+OFFSET('Gas Supply Factors'!$B$14,$K49-1,T$14)*$H49</f>
        <v>0</v>
      </c>
      <c r="U49" s="20"/>
      <c r="V49" s="20">
        <f ca="1">OFFSET('Gas Supply Factors'!$B$14,$O49-1,V$14)*$L49+OFFSET('Gas Supply Factors'!$B$14,$K49-1,V$14)*$H49</f>
        <v>0</v>
      </c>
      <c r="W49" s="20"/>
      <c r="X49" s="20">
        <f ca="1">OFFSET('Gas Supply Factors'!$B$14,$O49-1,X$14)*$L49+OFFSET('Gas Supply Factors'!$B$14,$K49-1,X$14)*$H49</f>
        <v>0</v>
      </c>
      <c r="Z49" s="20">
        <f ca="1">OFFSET('Gas Supply Factors'!$B$14,$O49-1,Z$14)*$L49+OFFSET('Gas Supply Factors'!$B$14,$K49-1,Z$14)*$H49</f>
        <v>0</v>
      </c>
      <c r="AB49" s="20">
        <f t="shared" ca="1" si="7"/>
        <v>0</v>
      </c>
      <c r="AD49" s="25" t="str">
        <f t="shared" ca="1" si="10"/>
        <v/>
      </c>
    </row>
    <row r="50" spans="2:30" x14ac:dyDescent="0.2">
      <c r="B50" s="18">
        <f t="shared" si="8"/>
        <v>27</v>
      </c>
      <c r="D50" s="1" t="s">
        <v>293</v>
      </c>
      <c r="F50" s="50">
        <f ca="1">Function!P50</f>
        <v>0</v>
      </c>
      <c r="H50" s="50"/>
      <c r="L50" s="50">
        <f t="shared" ca="1" si="6"/>
        <v>0</v>
      </c>
      <c r="N50" s="2"/>
      <c r="O50" s="73">
        <v>0</v>
      </c>
      <c r="P50" s="20">
        <f ca="1">OFFSET('Gas Supply Factors'!$B$14,$O50-1,P$14)*$L50+OFFSET('Gas Supply Factors'!$B$14,$K50-1,P$14)*$H50</f>
        <v>0</v>
      </c>
      <c r="R50" s="20">
        <f ca="1">OFFSET('Gas Supply Factors'!$B$14,$O50-1,R$14)*$L50+OFFSET('Gas Supply Factors'!$B$14,$K50-1,R$14)*$H50</f>
        <v>0</v>
      </c>
      <c r="S50" s="20"/>
      <c r="T50" s="20">
        <f ca="1">OFFSET('Gas Supply Factors'!$B$14,$O50-1,T$14)*$L50+OFFSET('Gas Supply Factors'!$B$14,$K50-1,T$14)*$H50</f>
        <v>0</v>
      </c>
      <c r="U50" s="20"/>
      <c r="V50" s="20">
        <f ca="1">OFFSET('Gas Supply Factors'!$B$14,$O50-1,V$14)*$L50+OFFSET('Gas Supply Factors'!$B$14,$K50-1,V$14)*$H50</f>
        <v>0</v>
      </c>
      <c r="W50" s="20"/>
      <c r="X50" s="20">
        <f ca="1">OFFSET('Gas Supply Factors'!$B$14,$O50-1,X$14)*$L50+OFFSET('Gas Supply Factors'!$B$14,$K50-1,X$14)*$H50</f>
        <v>0</v>
      </c>
      <c r="Z50" s="20">
        <f ca="1">OFFSET('Gas Supply Factors'!$B$14,$O50-1,Z$14)*$L50+OFFSET('Gas Supply Factors'!$B$14,$K50-1,Z$14)*$H50</f>
        <v>0</v>
      </c>
      <c r="AB50" s="20">
        <f t="shared" ca="1" si="7"/>
        <v>0</v>
      </c>
      <c r="AD50" s="25" t="str">
        <f t="shared" ca="1" si="10"/>
        <v/>
      </c>
    </row>
    <row r="51" spans="2:30" x14ac:dyDescent="0.2">
      <c r="B51" s="18">
        <f>B50+1</f>
        <v>28</v>
      </c>
      <c r="D51" s="1" t="s">
        <v>34</v>
      </c>
      <c r="F51" s="50">
        <f ca="1">Function!P51</f>
        <v>0</v>
      </c>
      <c r="H51" s="50"/>
      <c r="L51" s="50">
        <f t="shared" ca="1" si="6"/>
        <v>0</v>
      </c>
      <c r="N51" s="2"/>
      <c r="O51" s="73">
        <v>0</v>
      </c>
      <c r="P51" s="20">
        <f ca="1">OFFSET('Gas Supply Factors'!$B$14,$O51-1,P$14)*$L51+OFFSET('Gas Supply Factors'!$B$14,$K51-1,P$14)*$H51</f>
        <v>0</v>
      </c>
      <c r="R51" s="20">
        <f ca="1">OFFSET('Gas Supply Factors'!$B$14,$O51-1,R$14)*$L51+OFFSET('Gas Supply Factors'!$B$14,$K51-1,R$14)*$H51</f>
        <v>0</v>
      </c>
      <c r="S51" s="20"/>
      <c r="T51" s="20">
        <f ca="1">OFFSET('Gas Supply Factors'!$B$14,$O51-1,T$14)*$L51+OFFSET('Gas Supply Factors'!$B$14,$K51-1,T$14)*$H51</f>
        <v>0</v>
      </c>
      <c r="U51" s="20"/>
      <c r="V51" s="20">
        <f ca="1">OFFSET('Gas Supply Factors'!$B$14,$O51-1,V$14)*$L51+OFFSET('Gas Supply Factors'!$B$14,$K51-1,V$14)*$H51</f>
        <v>0</v>
      </c>
      <c r="W51" s="20"/>
      <c r="X51" s="20">
        <f ca="1">OFFSET('Gas Supply Factors'!$B$14,$O51-1,X$14)*$L51+OFFSET('Gas Supply Factors'!$B$14,$K51-1,X$14)*$H51</f>
        <v>0</v>
      </c>
      <c r="Z51" s="20">
        <f ca="1">OFFSET('Gas Supply Factors'!$B$14,$O51-1,Z$14)*$L51+OFFSET('Gas Supply Factors'!$B$14,$K51-1,Z$14)*$H51</f>
        <v>0</v>
      </c>
      <c r="AB51" s="20">
        <f t="shared" ca="1" si="7"/>
        <v>0</v>
      </c>
      <c r="AD51" s="25" t="str">
        <f t="shared" ca="1" si="10"/>
        <v/>
      </c>
    </row>
    <row r="52" spans="2:30" x14ac:dyDescent="0.2">
      <c r="B52" s="18">
        <f>B51+1</f>
        <v>29</v>
      </c>
      <c r="D52" s="1" t="s">
        <v>77</v>
      </c>
      <c r="F52" s="50">
        <f ca="1">Function!P52</f>
        <v>0</v>
      </c>
      <c r="H52" s="50"/>
      <c r="L52" s="50">
        <f t="shared" ca="1" si="6"/>
        <v>0</v>
      </c>
      <c r="N52" s="2"/>
      <c r="O52" s="73">
        <v>0</v>
      </c>
      <c r="P52" s="20">
        <f ca="1">OFFSET('Gas Supply Factors'!$B$14,$O52-1,P$14)*$L52+OFFSET('Gas Supply Factors'!$B$14,$K52-1,P$14)*$H52</f>
        <v>0</v>
      </c>
      <c r="R52" s="20">
        <f ca="1">OFFSET('Gas Supply Factors'!$B$14,$O52-1,R$14)*$L52+OFFSET('Gas Supply Factors'!$B$14,$K52-1,R$14)*$H52</f>
        <v>0</v>
      </c>
      <c r="S52" s="20"/>
      <c r="T52" s="20">
        <f ca="1">OFFSET('Gas Supply Factors'!$B$14,$O52-1,T$14)*$L52+OFFSET('Gas Supply Factors'!$B$14,$K52-1,T$14)*$H52</f>
        <v>0</v>
      </c>
      <c r="U52" s="20"/>
      <c r="V52" s="20">
        <f ca="1">OFFSET('Gas Supply Factors'!$B$14,$O52-1,V$14)*$L52+OFFSET('Gas Supply Factors'!$B$14,$K52-1,V$14)*$H52</f>
        <v>0</v>
      </c>
      <c r="W52" s="20"/>
      <c r="X52" s="20">
        <f ca="1">OFFSET('Gas Supply Factors'!$B$14,$O52-1,X$14)*$L52+OFFSET('Gas Supply Factors'!$B$14,$K52-1,X$14)*$H52</f>
        <v>0</v>
      </c>
      <c r="Z52" s="20">
        <f ca="1">OFFSET('Gas Supply Factors'!$B$14,$O52-1,Z$14)*$L52+OFFSET('Gas Supply Factors'!$B$14,$K52-1,Z$14)*$H52</f>
        <v>0</v>
      </c>
      <c r="AB52" s="20">
        <f t="shared" ca="1" si="7"/>
        <v>0</v>
      </c>
      <c r="AD52" s="25" t="str">
        <f t="shared" ca="1" si="10"/>
        <v/>
      </c>
    </row>
    <row r="53" spans="2:30" x14ac:dyDescent="0.2">
      <c r="B53" s="18">
        <f t="shared" si="8"/>
        <v>30</v>
      </c>
      <c r="D53" s="1" t="s">
        <v>298</v>
      </c>
      <c r="F53" s="41">
        <f ca="1">SUM(F40:F52)</f>
        <v>0</v>
      </c>
      <c r="H53" s="41">
        <f>SUM(H40:H52)</f>
        <v>0</v>
      </c>
      <c r="L53" s="41">
        <f ca="1">SUM(L40:L52)</f>
        <v>0</v>
      </c>
      <c r="P53" s="28">
        <f ca="1">SUM(P40:P52)</f>
        <v>0</v>
      </c>
      <c r="Q53" s="23"/>
      <c r="R53" s="28">
        <f ca="1">SUM(R40:R52)</f>
        <v>0</v>
      </c>
      <c r="S53" s="22"/>
      <c r="T53" s="28">
        <f ca="1">SUM(T40:T52)</f>
        <v>0</v>
      </c>
      <c r="U53" s="22"/>
      <c r="V53" s="28">
        <f ca="1">SUM(V40:V52)</f>
        <v>0</v>
      </c>
      <c r="W53" s="22"/>
      <c r="X53" s="28">
        <f ca="1">SUM(X40:X52)</f>
        <v>0</v>
      </c>
      <c r="Y53" s="18"/>
      <c r="Z53" s="28">
        <f ca="1">SUM(Z40:Z52)</f>
        <v>0</v>
      </c>
      <c r="AB53" s="28">
        <f ca="1">SUM(AB40:AB52)</f>
        <v>0</v>
      </c>
      <c r="AD53" s="25" t="str">
        <f t="shared" ca="1" si="10"/>
        <v/>
      </c>
    </row>
    <row r="54" spans="2:30" x14ac:dyDescent="0.2">
      <c r="Y54" s="18"/>
      <c r="AB54" s="8"/>
      <c r="AD54" s="25" t="str">
        <f t="shared" si="10"/>
        <v/>
      </c>
    </row>
    <row r="55" spans="2:30" x14ac:dyDescent="0.2">
      <c r="B55" s="18">
        <f>B53+1</f>
        <v>31</v>
      </c>
      <c r="D55" s="1" t="s">
        <v>196</v>
      </c>
      <c r="F55" s="50">
        <f ca="1">Function!P55</f>
        <v>0</v>
      </c>
      <c r="H55" s="50"/>
      <c r="L55" s="50">
        <f t="shared" ref="L55" ca="1" si="11">F55-H55</f>
        <v>0</v>
      </c>
      <c r="N55" s="2"/>
      <c r="O55" s="73">
        <v>0</v>
      </c>
      <c r="P55" s="20">
        <f ca="1">OFFSET('Gas Supply Factors'!$B$14,$O55-1,P$14)*$L55+OFFSET('Gas Supply Factors'!$B$14,$K55-1,P$14)*$H55</f>
        <v>0</v>
      </c>
      <c r="R55" s="20">
        <f ca="1">OFFSET('Gas Supply Factors'!$B$14,$O55-1,R$14)*$L55+OFFSET('Gas Supply Factors'!$B$14,$K55-1,R$14)*$H55</f>
        <v>0</v>
      </c>
      <c r="S55" s="20"/>
      <c r="T55" s="20">
        <f ca="1">OFFSET('Gas Supply Factors'!$B$14,$O55-1,T$14)*$L55+OFFSET('Gas Supply Factors'!$B$14,$K55-1,T$14)*$H55</f>
        <v>0</v>
      </c>
      <c r="U55" s="20"/>
      <c r="V55" s="20">
        <f ca="1">OFFSET('Gas Supply Factors'!$B$14,$O55-1,V$14)*$L55+OFFSET('Gas Supply Factors'!$B$14,$K55-1,V$14)*$H55</f>
        <v>0</v>
      </c>
      <c r="W55" s="20"/>
      <c r="X55" s="20">
        <f ca="1">OFFSET('Gas Supply Factors'!$B$14,$O55-1,X$14)*$L55+OFFSET('Gas Supply Factors'!$B$14,$K55-1,X$14)*$H55</f>
        <v>0</v>
      </c>
      <c r="Z55" s="20">
        <f ca="1">OFFSET('Gas Supply Factors'!$B$14,$O55-1,Z$14)*$L55+OFFSET('Gas Supply Factors'!$B$14,$K55-1,Z$14)*$H55</f>
        <v>0</v>
      </c>
      <c r="AB55" s="20">
        <f ca="1">P55+R55+V55+X55+Z55+T55</f>
        <v>0</v>
      </c>
      <c r="AD55" s="25" t="str">
        <f t="shared" ca="1" si="10"/>
        <v/>
      </c>
    </row>
    <row r="56" spans="2:30" x14ac:dyDescent="0.2">
      <c r="Y56" s="18"/>
      <c r="AB56" s="8"/>
      <c r="AD56" s="25" t="str">
        <f t="shared" si="10"/>
        <v/>
      </c>
    </row>
    <row r="57" spans="2:30" x14ac:dyDescent="0.2">
      <c r="B57" s="18">
        <f>B55+1</f>
        <v>32</v>
      </c>
      <c r="D57" s="1" t="s">
        <v>393</v>
      </c>
      <c r="F57" s="41">
        <f ca="1">F53+F55</f>
        <v>0</v>
      </c>
      <c r="H57" s="41">
        <f>H53+H55</f>
        <v>0</v>
      </c>
      <c r="L57" s="41">
        <f ca="1">L53+L55</f>
        <v>0</v>
      </c>
      <c r="P57" s="10">
        <f ca="1">P53+P55</f>
        <v>0</v>
      </c>
      <c r="Q57" s="14"/>
      <c r="R57" s="10">
        <f ca="1">R53+R55</f>
        <v>0</v>
      </c>
      <c r="S57" s="8"/>
      <c r="T57" s="10">
        <f ca="1">T53+T55</f>
        <v>0</v>
      </c>
      <c r="U57" s="8"/>
      <c r="V57" s="10">
        <f ca="1">V53+V55</f>
        <v>0</v>
      </c>
      <c r="W57" s="8"/>
      <c r="X57" s="10">
        <f ca="1">X53+X55</f>
        <v>0</v>
      </c>
      <c r="Y57" s="18"/>
      <c r="Z57" s="10">
        <f ca="1">Z53+Z55</f>
        <v>0</v>
      </c>
      <c r="AB57" s="10">
        <f ca="1">AB53+AB55</f>
        <v>0</v>
      </c>
      <c r="AD57" s="25" t="str">
        <f t="shared" ca="1" si="10"/>
        <v/>
      </c>
    </row>
    <row r="58" spans="2:30" x14ac:dyDescent="0.2">
      <c r="D58" s="6"/>
      <c r="E58" s="6"/>
      <c r="F58" s="77"/>
      <c r="H58" s="77"/>
      <c r="J58" s="2"/>
      <c r="L58" s="77"/>
    </row>
    <row r="59" spans="2:30" x14ac:dyDescent="0.2">
      <c r="F59" s="50"/>
      <c r="J59" s="2"/>
    </row>
    <row r="60" spans="2:30" x14ac:dyDescent="0.2">
      <c r="D60" s="6" t="s">
        <v>17</v>
      </c>
      <c r="E60" s="7"/>
      <c r="F60" s="78"/>
      <c r="Y60" s="18"/>
      <c r="AD60" s="27"/>
    </row>
    <row r="61" spans="2:30" x14ac:dyDescent="0.2">
      <c r="Y61" s="18"/>
      <c r="AD61" s="27"/>
    </row>
    <row r="62" spans="2:30" x14ac:dyDescent="0.2">
      <c r="B62" s="18">
        <f>B57+1</f>
        <v>33</v>
      </c>
      <c r="D62" s="1" t="s">
        <v>76</v>
      </c>
      <c r="F62" s="50">
        <f ca="1">Function!P62</f>
        <v>0</v>
      </c>
      <c r="H62" s="50"/>
      <c r="J62" s="2"/>
      <c r="L62" s="50">
        <f ca="1">F62-H62</f>
        <v>0</v>
      </c>
      <c r="N62" s="2"/>
      <c r="O62" s="73">
        <v>0</v>
      </c>
      <c r="P62" s="20">
        <f ca="1">P18+P40</f>
        <v>0</v>
      </c>
      <c r="R62" s="20">
        <f ca="1">R18+R40</f>
        <v>0</v>
      </c>
      <c r="S62" s="20"/>
      <c r="T62" s="20">
        <f ca="1">T18+T40</f>
        <v>0</v>
      </c>
      <c r="U62" s="20"/>
      <c r="V62" s="20">
        <f ca="1">V18+V40</f>
        <v>0</v>
      </c>
      <c r="W62" s="20"/>
      <c r="X62" s="20">
        <f ca="1">X18+X40</f>
        <v>0</v>
      </c>
      <c r="Z62" s="20">
        <f ca="1">Z18+Z40</f>
        <v>0</v>
      </c>
      <c r="AB62" s="20">
        <f ca="1">P62+R62+V62+X62+Z62+T62</f>
        <v>0</v>
      </c>
      <c r="AD62" s="25" t="str">
        <f ca="1">IF(ROUND(F62,4)=ROUND(AB62,4), "", "check")</f>
        <v/>
      </c>
    </row>
    <row r="63" spans="2:30" x14ac:dyDescent="0.2">
      <c r="B63" s="18">
        <f>B62+1</f>
        <v>34</v>
      </c>
      <c r="D63" s="1" t="s">
        <v>75</v>
      </c>
      <c r="F63" s="50">
        <f ca="1">Function!P63</f>
        <v>0</v>
      </c>
      <c r="H63" s="50"/>
      <c r="J63" s="2"/>
      <c r="L63" s="50">
        <f t="shared" ref="L63:L74" ca="1" si="12">F63-H63</f>
        <v>0</v>
      </c>
      <c r="N63" s="2"/>
      <c r="O63" s="73">
        <v>0</v>
      </c>
      <c r="P63" s="20">
        <f t="shared" ref="P63:P74" ca="1" si="13">P19+P41</f>
        <v>0</v>
      </c>
      <c r="R63" s="20">
        <f t="shared" ref="R63:R74" ca="1" si="14">R19+R41</f>
        <v>0</v>
      </c>
      <c r="S63" s="20"/>
      <c r="T63" s="20">
        <f t="shared" ref="T63:T74" ca="1" si="15">T19+T41</f>
        <v>0</v>
      </c>
      <c r="U63" s="20"/>
      <c r="V63" s="20">
        <f t="shared" ref="V63:V74" ca="1" si="16">V19+V41</f>
        <v>0</v>
      </c>
      <c r="W63" s="20"/>
      <c r="X63" s="20">
        <f t="shared" ref="X63:X74" ca="1" si="17">X19+X41</f>
        <v>0</v>
      </c>
      <c r="Z63" s="20">
        <f t="shared" ref="Z63:Z74" ca="1" si="18">Z19+Z41</f>
        <v>0</v>
      </c>
      <c r="AB63" s="20">
        <f t="shared" ref="AB63:AB74" ca="1" si="19">P63+R63+V63+X63+Z63+T63</f>
        <v>0</v>
      </c>
      <c r="AD63" s="25"/>
    </row>
    <row r="64" spans="2:30" x14ac:dyDescent="0.2">
      <c r="B64" s="18">
        <f t="shared" ref="B64:B75" si="20">B63+1</f>
        <v>35</v>
      </c>
      <c r="D64" s="1" t="s">
        <v>19</v>
      </c>
      <c r="F64" s="50">
        <f ca="1">Function!P64</f>
        <v>0</v>
      </c>
      <c r="H64" s="50"/>
      <c r="J64" s="2"/>
      <c r="L64" s="50">
        <f t="shared" ca="1" si="12"/>
        <v>0</v>
      </c>
      <c r="N64" s="2"/>
      <c r="O64" s="73">
        <v>0</v>
      </c>
      <c r="P64" s="20">
        <f t="shared" ca="1" si="13"/>
        <v>0</v>
      </c>
      <c r="R64" s="20">
        <f t="shared" ca="1" si="14"/>
        <v>0</v>
      </c>
      <c r="S64" s="20"/>
      <c r="T64" s="20">
        <f t="shared" ca="1" si="15"/>
        <v>0</v>
      </c>
      <c r="U64" s="20"/>
      <c r="V64" s="20">
        <f t="shared" ca="1" si="16"/>
        <v>0</v>
      </c>
      <c r="W64" s="20"/>
      <c r="X64" s="20">
        <f t="shared" ca="1" si="17"/>
        <v>0</v>
      </c>
      <c r="Z64" s="20">
        <f t="shared" ca="1" si="18"/>
        <v>0</v>
      </c>
      <c r="AB64" s="20">
        <f t="shared" ca="1" si="19"/>
        <v>0</v>
      </c>
      <c r="AD64" s="25" t="str">
        <f t="shared" ref="AD64:AD152" ca="1" si="21">IF(ROUND(F64,4)=ROUND(AB64,4), "", "check")</f>
        <v/>
      </c>
    </row>
    <row r="65" spans="2:30" x14ac:dyDescent="0.2">
      <c r="B65" s="18">
        <f t="shared" si="20"/>
        <v>36</v>
      </c>
      <c r="D65" s="1" t="s">
        <v>21</v>
      </c>
      <c r="F65" s="50">
        <f ca="1">Function!P65</f>
        <v>0</v>
      </c>
      <c r="H65" s="50"/>
      <c r="J65" s="2"/>
      <c r="L65" s="50">
        <f t="shared" ca="1" si="12"/>
        <v>0</v>
      </c>
      <c r="N65" s="2"/>
      <c r="O65" s="73">
        <v>0</v>
      </c>
      <c r="P65" s="20">
        <f t="shared" ca="1" si="13"/>
        <v>0</v>
      </c>
      <c r="R65" s="20">
        <f t="shared" ca="1" si="14"/>
        <v>0</v>
      </c>
      <c r="S65" s="20"/>
      <c r="T65" s="20">
        <f t="shared" ca="1" si="15"/>
        <v>0</v>
      </c>
      <c r="U65" s="20"/>
      <c r="V65" s="20">
        <f t="shared" ca="1" si="16"/>
        <v>0</v>
      </c>
      <c r="W65" s="20"/>
      <c r="X65" s="20">
        <f t="shared" ca="1" si="17"/>
        <v>0</v>
      </c>
      <c r="Z65" s="20">
        <f t="shared" ca="1" si="18"/>
        <v>0</v>
      </c>
      <c r="AB65" s="20">
        <f t="shared" ca="1" si="19"/>
        <v>0</v>
      </c>
      <c r="AD65" s="25" t="str">
        <f t="shared" ca="1" si="21"/>
        <v/>
      </c>
    </row>
    <row r="66" spans="2:30" x14ac:dyDescent="0.2">
      <c r="B66" s="18">
        <f t="shared" si="20"/>
        <v>37</v>
      </c>
      <c r="D66" s="1" t="s">
        <v>23</v>
      </c>
      <c r="F66" s="50">
        <f ca="1">Function!P66</f>
        <v>0</v>
      </c>
      <c r="H66" s="50"/>
      <c r="J66" s="2"/>
      <c r="L66" s="50">
        <f t="shared" ca="1" si="12"/>
        <v>0</v>
      </c>
      <c r="N66" s="2"/>
      <c r="O66" s="73">
        <v>0</v>
      </c>
      <c r="P66" s="20">
        <f t="shared" ca="1" si="13"/>
        <v>0</v>
      </c>
      <c r="R66" s="20">
        <f t="shared" ca="1" si="14"/>
        <v>0</v>
      </c>
      <c r="S66" s="20"/>
      <c r="T66" s="20">
        <f t="shared" ca="1" si="15"/>
        <v>0</v>
      </c>
      <c r="U66" s="20"/>
      <c r="V66" s="20">
        <f t="shared" ca="1" si="16"/>
        <v>0</v>
      </c>
      <c r="W66" s="20"/>
      <c r="X66" s="20">
        <f t="shared" ca="1" si="17"/>
        <v>0</v>
      </c>
      <c r="Z66" s="20">
        <f t="shared" ca="1" si="18"/>
        <v>0</v>
      </c>
      <c r="AB66" s="20">
        <f t="shared" ca="1" si="19"/>
        <v>0</v>
      </c>
      <c r="AD66" s="25" t="str">
        <f t="shared" ca="1" si="21"/>
        <v/>
      </c>
    </row>
    <row r="67" spans="2:30" x14ac:dyDescent="0.2">
      <c r="B67" s="18">
        <f t="shared" si="20"/>
        <v>38</v>
      </c>
      <c r="D67" s="1" t="s">
        <v>25</v>
      </c>
      <c r="F67" s="50">
        <f ca="1">Function!P67</f>
        <v>0</v>
      </c>
      <c r="H67" s="50"/>
      <c r="L67" s="50">
        <f t="shared" ca="1" si="12"/>
        <v>0</v>
      </c>
      <c r="N67" s="2"/>
      <c r="O67" s="73">
        <v>0</v>
      </c>
      <c r="P67" s="20">
        <f t="shared" ca="1" si="13"/>
        <v>0</v>
      </c>
      <c r="R67" s="20">
        <f t="shared" ca="1" si="14"/>
        <v>0</v>
      </c>
      <c r="S67" s="20"/>
      <c r="T67" s="20">
        <f t="shared" ca="1" si="15"/>
        <v>0</v>
      </c>
      <c r="U67" s="20"/>
      <c r="V67" s="20">
        <f t="shared" ca="1" si="16"/>
        <v>0</v>
      </c>
      <c r="W67" s="20"/>
      <c r="X67" s="20">
        <f t="shared" ca="1" si="17"/>
        <v>0</v>
      </c>
      <c r="Z67" s="20">
        <f t="shared" ca="1" si="18"/>
        <v>0</v>
      </c>
      <c r="AB67" s="20">
        <f t="shared" ca="1" si="19"/>
        <v>0</v>
      </c>
      <c r="AD67" s="25" t="str">
        <f t="shared" ca="1" si="21"/>
        <v/>
      </c>
    </row>
    <row r="68" spans="2:30" x14ac:dyDescent="0.2">
      <c r="B68" s="18">
        <f t="shared" si="20"/>
        <v>39</v>
      </c>
      <c r="D68" s="1" t="s">
        <v>27</v>
      </c>
      <c r="F68" s="50">
        <f ca="1">Function!P68</f>
        <v>0</v>
      </c>
      <c r="H68" s="50"/>
      <c r="L68" s="50">
        <f t="shared" ca="1" si="12"/>
        <v>0</v>
      </c>
      <c r="N68" s="2"/>
      <c r="O68" s="73">
        <v>0</v>
      </c>
      <c r="P68" s="20">
        <f t="shared" ca="1" si="13"/>
        <v>0</v>
      </c>
      <c r="R68" s="20">
        <f t="shared" ca="1" si="14"/>
        <v>0</v>
      </c>
      <c r="S68" s="20"/>
      <c r="T68" s="20">
        <f t="shared" ca="1" si="15"/>
        <v>0</v>
      </c>
      <c r="U68" s="20"/>
      <c r="V68" s="20">
        <f t="shared" ca="1" si="16"/>
        <v>0</v>
      </c>
      <c r="W68" s="20"/>
      <c r="X68" s="20">
        <f t="shared" ca="1" si="17"/>
        <v>0</v>
      </c>
      <c r="Z68" s="20">
        <f t="shared" ca="1" si="18"/>
        <v>0</v>
      </c>
      <c r="AB68" s="20">
        <f t="shared" ca="1" si="19"/>
        <v>0</v>
      </c>
      <c r="AD68" s="25" t="str">
        <f ca="1">IF(ROUND(F68,4)=ROUND(AB68,4), "", "check")</f>
        <v/>
      </c>
    </row>
    <row r="69" spans="2:30" x14ac:dyDescent="0.2">
      <c r="B69" s="18">
        <f t="shared" si="20"/>
        <v>40</v>
      </c>
      <c r="D69" s="1" t="s">
        <v>29</v>
      </c>
      <c r="F69" s="50">
        <f ca="1">Function!P69</f>
        <v>0</v>
      </c>
      <c r="H69" s="50"/>
      <c r="L69" s="50">
        <f t="shared" ca="1" si="12"/>
        <v>0</v>
      </c>
      <c r="N69" s="2"/>
      <c r="O69" s="73">
        <v>0</v>
      </c>
      <c r="P69" s="20">
        <f t="shared" ca="1" si="13"/>
        <v>0</v>
      </c>
      <c r="R69" s="20">
        <f t="shared" ca="1" si="14"/>
        <v>0</v>
      </c>
      <c r="S69" s="20"/>
      <c r="T69" s="20">
        <f t="shared" ca="1" si="15"/>
        <v>0</v>
      </c>
      <c r="U69" s="20"/>
      <c r="V69" s="20">
        <f t="shared" ca="1" si="16"/>
        <v>0</v>
      </c>
      <c r="W69" s="20"/>
      <c r="X69" s="20">
        <f t="shared" ca="1" si="17"/>
        <v>0</v>
      </c>
      <c r="Z69" s="20">
        <f t="shared" ca="1" si="18"/>
        <v>0</v>
      </c>
      <c r="AB69" s="20">
        <f t="shared" ca="1" si="19"/>
        <v>0</v>
      </c>
      <c r="AD69" s="25" t="str">
        <f t="shared" ca="1" si="21"/>
        <v/>
      </c>
    </row>
    <row r="70" spans="2:30" x14ac:dyDescent="0.2">
      <c r="B70" s="18">
        <f t="shared" si="20"/>
        <v>41</v>
      </c>
      <c r="D70" s="1" t="s">
        <v>30</v>
      </c>
      <c r="F70" s="50">
        <f ca="1">Function!P70</f>
        <v>0</v>
      </c>
      <c r="H70" s="50"/>
      <c r="L70" s="50">
        <f t="shared" ca="1" si="12"/>
        <v>0</v>
      </c>
      <c r="N70" s="2"/>
      <c r="O70" s="73">
        <v>0</v>
      </c>
      <c r="P70" s="20">
        <f t="shared" ca="1" si="13"/>
        <v>0</v>
      </c>
      <c r="R70" s="20">
        <f t="shared" ca="1" si="14"/>
        <v>0</v>
      </c>
      <c r="S70" s="20"/>
      <c r="T70" s="20">
        <f t="shared" ca="1" si="15"/>
        <v>0</v>
      </c>
      <c r="U70" s="20"/>
      <c r="V70" s="20">
        <f t="shared" ca="1" si="16"/>
        <v>0</v>
      </c>
      <c r="W70" s="20"/>
      <c r="X70" s="20">
        <f t="shared" ca="1" si="17"/>
        <v>0</v>
      </c>
      <c r="Z70" s="20">
        <f t="shared" ca="1" si="18"/>
        <v>0</v>
      </c>
      <c r="AB70" s="20">
        <f t="shared" ca="1" si="19"/>
        <v>0</v>
      </c>
      <c r="AD70" s="25" t="str">
        <f t="shared" ca="1" si="21"/>
        <v/>
      </c>
    </row>
    <row r="71" spans="2:30" x14ac:dyDescent="0.2">
      <c r="B71" s="18">
        <f t="shared" si="20"/>
        <v>42</v>
      </c>
      <c r="D71" s="1" t="s">
        <v>31</v>
      </c>
      <c r="F71" s="50">
        <f ca="1">Function!P71</f>
        <v>0</v>
      </c>
      <c r="H71" s="50"/>
      <c r="L71" s="50">
        <f t="shared" ca="1" si="12"/>
        <v>0</v>
      </c>
      <c r="N71" s="2"/>
      <c r="O71" s="73">
        <v>0</v>
      </c>
      <c r="P71" s="20">
        <f t="shared" ca="1" si="13"/>
        <v>0</v>
      </c>
      <c r="R71" s="20">
        <f t="shared" ca="1" si="14"/>
        <v>0</v>
      </c>
      <c r="S71" s="20"/>
      <c r="T71" s="20">
        <f t="shared" ca="1" si="15"/>
        <v>0</v>
      </c>
      <c r="U71" s="20"/>
      <c r="V71" s="20">
        <f t="shared" ca="1" si="16"/>
        <v>0</v>
      </c>
      <c r="W71" s="20"/>
      <c r="X71" s="20">
        <f t="shared" ca="1" si="17"/>
        <v>0</v>
      </c>
      <c r="Z71" s="20">
        <f t="shared" ca="1" si="18"/>
        <v>0</v>
      </c>
      <c r="AB71" s="20">
        <f t="shared" ca="1" si="19"/>
        <v>0</v>
      </c>
      <c r="AD71" s="25" t="str">
        <f t="shared" ca="1" si="21"/>
        <v/>
      </c>
    </row>
    <row r="72" spans="2:30" x14ac:dyDescent="0.2">
      <c r="B72" s="18">
        <f t="shared" si="20"/>
        <v>43</v>
      </c>
      <c r="D72" s="1" t="s">
        <v>293</v>
      </c>
      <c r="F72" s="50">
        <f ca="1">Function!P72</f>
        <v>0</v>
      </c>
      <c r="H72" s="50"/>
      <c r="L72" s="50">
        <f t="shared" ca="1" si="12"/>
        <v>0</v>
      </c>
      <c r="N72" s="2"/>
      <c r="O72" s="73">
        <v>0</v>
      </c>
      <c r="P72" s="20">
        <f t="shared" ca="1" si="13"/>
        <v>0</v>
      </c>
      <c r="R72" s="20">
        <f t="shared" ca="1" si="14"/>
        <v>0</v>
      </c>
      <c r="S72" s="20"/>
      <c r="T72" s="20">
        <f t="shared" ca="1" si="15"/>
        <v>0</v>
      </c>
      <c r="U72" s="20"/>
      <c r="V72" s="20">
        <f t="shared" ca="1" si="16"/>
        <v>0</v>
      </c>
      <c r="W72" s="20"/>
      <c r="X72" s="20">
        <f t="shared" ca="1" si="17"/>
        <v>0</v>
      </c>
      <c r="Z72" s="20">
        <f t="shared" ca="1" si="18"/>
        <v>0</v>
      </c>
      <c r="AB72" s="20">
        <f t="shared" ca="1" si="19"/>
        <v>0</v>
      </c>
      <c r="AD72" s="25" t="str">
        <f t="shared" ca="1" si="21"/>
        <v/>
      </c>
    </row>
    <row r="73" spans="2:30" x14ac:dyDescent="0.2">
      <c r="B73" s="18">
        <f>B72+1</f>
        <v>44</v>
      </c>
      <c r="D73" s="1" t="s">
        <v>34</v>
      </c>
      <c r="F73" s="50">
        <f ca="1">Function!P73</f>
        <v>0</v>
      </c>
      <c r="H73" s="50"/>
      <c r="L73" s="50">
        <f t="shared" ca="1" si="12"/>
        <v>0</v>
      </c>
      <c r="N73" s="2"/>
      <c r="O73" s="73">
        <v>0</v>
      </c>
      <c r="P73" s="20">
        <f t="shared" ca="1" si="13"/>
        <v>0</v>
      </c>
      <c r="R73" s="20">
        <f t="shared" ca="1" si="14"/>
        <v>0</v>
      </c>
      <c r="S73" s="20"/>
      <c r="T73" s="20">
        <f t="shared" ca="1" si="15"/>
        <v>0</v>
      </c>
      <c r="U73" s="20"/>
      <c r="V73" s="20">
        <f t="shared" ca="1" si="16"/>
        <v>0</v>
      </c>
      <c r="W73" s="20"/>
      <c r="X73" s="20">
        <f t="shared" ca="1" si="17"/>
        <v>0</v>
      </c>
      <c r="Z73" s="20">
        <f t="shared" ca="1" si="18"/>
        <v>0</v>
      </c>
      <c r="AB73" s="20">
        <f t="shared" ca="1" si="19"/>
        <v>0</v>
      </c>
      <c r="AD73" s="25" t="str">
        <f t="shared" ca="1" si="21"/>
        <v/>
      </c>
    </row>
    <row r="74" spans="2:30" x14ac:dyDescent="0.2">
      <c r="B74" s="18">
        <f>B73+1</f>
        <v>45</v>
      </c>
      <c r="D74" s="1" t="s">
        <v>77</v>
      </c>
      <c r="F74" s="50">
        <f ca="1">Function!P74</f>
        <v>0</v>
      </c>
      <c r="H74" s="50"/>
      <c r="L74" s="50">
        <f t="shared" ca="1" si="12"/>
        <v>0</v>
      </c>
      <c r="N74" s="2"/>
      <c r="O74" s="73">
        <v>0</v>
      </c>
      <c r="P74" s="20">
        <f t="shared" ca="1" si="13"/>
        <v>0</v>
      </c>
      <c r="R74" s="20">
        <f t="shared" ca="1" si="14"/>
        <v>0</v>
      </c>
      <c r="S74" s="20"/>
      <c r="T74" s="20">
        <f t="shared" ca="1" si="15"/>
        <v>0</v>
      </c>
      <c r="U74" s="20"/>
      <c r="V74" s="20">
        <f t="shared" ca="1" si="16"/>
        <v>0</v>
      </c>
      <c r="W74" s="20"/>
      <c r="X74" s="20">
        <f t="shared" ca="1" si="17"/>
        <v>0</v>
      </c>
      <c r="Z74" s="20">
        <f t="shared" ca="1" si="18"/>
        <v>0</v>
      </c>
      <c r="AB74" s="20">
        <f t="shared" ca="1" si="19"/>
        <v>0</v>
      </c>
      <c r="AD74" s="25" t="str">
        <f t="shared" ca="1" si="21"/>
        <v/>
      </c>
    </row>
    <row r="75" spans="2:30" x14ac:dyDescent="0.2">
      <c r="B75" s="18">
        <f t="shared" si="20"/>
        <v>46</v>
      </c>
      <c r="D75" s="1" t="s">
        <v>394</v>
      </c>
      <c r="F75" s="41">
        <f ca="1">SUM(F62:F74)</f>
        <v>0</v>
      </c>
      <c r="H75" s="41">
        <f>SUM(H62:H74)</f>
        <v>0</v>
      </c>
      <c r="L75" s="41">
        <f ca="1">SUM(L62:L74)</f>
        <v>0</v>
      </c>
      <c r="P75" s="28">
        <f ca="1">SUM(P62:P74)</f>
        <v>0</v>
      </c>
      <c r="Q75" s="23"/>
      <c r="R75" s="28">
        <f ca="1">SUM(R62:R74)</f>
        <v>0</v>
      </c>
      <c r="S75" s="22"/>
      <c r="T75" s="28">
        <f ca="1">SUM(T62:T74)</f>
        <v>0</v>
      </c>
      <c r="U75" s="22"/>
      <c r="V75" s="28">
        <f ca="1">SUM(V62:V74)</f>
        <v>0</v>
      </c>
      <c r="W75" s="22"/>
      <c r="X75" s="28">
        <f ca="1">SUM(X62:X74)</f>
        <v>0</v>
      </c>
      <c r="Y75" s="18"/>
      <c r="Z75" s="28">
        <f ca="1">SUM(Z62:Z74)</f>
        <v>0</v>
      </c>
      <c r="AB75" s="28">
        <f ca="1">SUM(AB62:AB74)</f>
        <v>0</v>
      </c>
      <c r="AD75" s="25" t="str">
        <f t="shared" ca="1" si="21"/>
        <v/>
      </c>
    </row>
    <row r="76" spans="2:30" x14ac:dyDescent="0.2">
      <c r="Y76" s="18"/>
      <c r="AB76" s="8"/>
      <c r="AD76" s="25" t="str">
        <f t="shared" si="21"/>
        <v/>
      </c>
    </row>
    <row r="77" spans="2:30" x14ac:dyDescent="0.2">
      <c r="B77" s="18">
        <f>B75+1</f>
        <v>47</v>
      </c>
      <c r="D77" s="1" t="s">
        <v>196</v>
      </c>
      <c r="F77" s="50">
        <f ca="1">Function!P77</f>
        <v>0</v>
      </c>
      <c r="H77" s="50"/>
      <c r="L77" s="50">
        <f t="shared" ref="L77" ca="1" si="22">F77-H77</f>
        <v>0</v>
      </c>
      <c r="N77" s="2"/>
      <c r="O77" s="73">
        <v>0</v>
      </c>
      <c r="P77" s="20">
        <f t="shared" ref="P77" ca="1" si="23">P33+P55</f>
        <v>0</v>
      </c>
      <c r="R77" s="20">
        <f t="shared" ref="R77" ca="1" si="24">R33+R55</f>
        <v>0</v>
      </c>
      <c r="S77" s="20"/>
      <c r="T77" s="20">
        <f t="shared" ref="T77" ca="1" si="25">T33+T55</f>
        <v>0</v>
      </c>
      <c r="U77" s="20"/>
      <c r="V77" s="20">
        <f t="shared" ref="V77" ca="1" si="26">V33+V55</f>
        <v>0</v>
      </c>
      <c r="W77" s="20"/>
      <c r="X77" s="20">
        <f t="shared" ref="X77" ca="1" si="27">X33+X55</f>
        <v>0</v>
      </c>
      <c r="Z77" s="20">
        <f t="shared" ref="Z77" ca="1" si="28">Z33+Z55</f>
        <v>0</v>
      </c>
      <c r="AB77" s="20">
        <f ca="1">P77+R77+V77+X77+Z77+T77</f>
        <v>0</v>
      </c>
      <c r="AD77" s="25" t="str">
        <f t="shared" ca="1" si="21"/>
        <v/>
      </c>
    </row>
    <row r="78" spans="2:30" x14ac:dyDescent="0.2">
      <c r="Y78" s="18"/>
      <c r="AB78" s="8"/>
      <c r="AD78" s="25" t="str">
        <f t="shared" si="21"/>
        <v/>
      </c>
    </row>
    <row r="79" spans="2:30" x14ac:dyDescent="0.2">
      <c r="B79" s="18">
        <f>B77+1</f>
        <v>48</v>
      </c>
      <c r="D79" s="1" t="s">
        <v>395</v>
      </c>
      <c r="F79" s="41">
        <f ca="1">F75+F77</f>
        <v>0</v>
      </c>
      <c r="H79" s="41">
        <f>H75+H77</f>
        <v>0</v>
      </c>
      <c r="L79" s="41">
        <f ca="1">L75+L77</f>
        <v>0</v>
      </c>
      <c r="P79" s="10">
        <f ca="1">P75+P77</f>
        <v>0</v>
      </c>
      <c r="Q79" s="14"/>
      <c r="R79" s="10">
        <f ca="1">R75+R77</f>
        <v>0</v>
      </c>
      <c r="S79" s="8"/>
      <c r="T79" s="10">
        <f ca="1">T75+T77</f>
        <v>0</v>
      </c>
      <c r="U79" s="8"/>
      <c r="V79" s="10">
        <f ca="1">V75+V77</f>
        <v>0</v>
      </c>
      <c r="W79" s="8"/>
      <c r="X79" s="10">
        <f ca="1">X75+X77</f>
        <v>0</v>
      </c>
      <c r="Y79" s="18"/>
      <c r="Z79" s="10">
        <f ca="1">Z75+Z77</f>
        <v>0</v>
      </c>
      <c r="AB79" s="10">
        <f ca="1">AB75+AB77</f>
        <v>0</v>
      </c>
      <c r="AD79" s="25" t="str">
        <f t="shared" ca="1" si="21"/>
        <v/>
      </c>
    </row>
    <row r="80" spans="2:30" x14ac:dyDescent="0.2">
      <c r="D80" s="6"/>
      <c r="E80" s="6"/>
      <c r="F80" s="77"/>
      <c r="H80" s="77"/>
      <c r="L80" s="77"/>
      <c r="Y80" s="18"/>
      <c r="AD80" s="25" t="str">
        <f t="shared" si="21"/>
        <v/>
      </c>
    </row>
    <row r="81" spans="2:30" x14ac:dyDescent="0.2">
      <c r="F81" s="50"/>
      <c r="J81" s="2"/>
      <c r="AD81" s="25" t="str">
        <f t="shared" si="21"/>
        <v/>
      </c>
    </row>
    <row r="82" spans="2:30" x14ac:dyDescent="0.2">
      <c r="D82" s="6" t="s">
        <v>36</v>
      </c>
      <c r="F82" s="78"/>
      <c r="Y82" s="18"/>
      <c r="AD82" s="25" t="str">
        <f t="shared" si="21"/>
        <v/>
      </c>
    </row>
    <row r="83" spans="2:30" x14ac:dyDescent="0.2">
      <c r="Y83" s="18"/>
      <c r="AD83" s="25" t="str">
        <f t="shared" si="21"/>
        <v/>
      </c>
    </row>
    <row r="84" spans="2:30" x14ac:dyDescent="0.2">
      <c r="B84" s="18">
        <f>B79+1</f>
        <v>49</v>
      </c>
      <c r="D84" s="1" t="s">
        <v>41</v>
      </c>
      <c r="F84" s="50">
        <f ca="1">Function!P84</f>
        <v>0</v>
      </c>
      <c r="H84" s="50"/>
      <c r="L84" s="50">
        <f t="shared" ref="L84:L88" ca="1" si="29">F84-H84</f>
        <v>0</v>
      </c>
      <c r="N84" s="2"/>
      <c r="O84" s="73">
        <v>0</v>
      </c>
      <c r="P84" s="20">
        <f ca="1">OFFSET('Gas Supply Factors'!$B$14,$O84-1,P$14)*$L84+OFFSET('Gas Supply Factors'!$B$14,$K84-1,P$14)*$H84</f>
        <v>0</v>
      </c>
      <c r="R84" s="20">
        <f ca="1">OFFSET('Gas Supply Factors'!$B$14,$O84-1,R$14)*$L84+OFFSET('Gas Supply Factors'!$B$14,$K84-1,R$14)*$H84</f>
        <v>0</v>
      </c>
      <c r="S84" s="20"/>
      <c r="T84" s="20">
        <f ca="1">OFFSET('Gas Supply Factors'!$B$14,$O84-1,T$14)*$L84+OFFSET('Gas Supply Factors'!$B$14,$K84-1,T$14)*$H84</f>
        <v>0</v>
      </c>
      <c r="U84" s="20"/>
      <c r="V84" s="20">
        <f ca="1">OFFSET('Gas Supply Factors'!$B$14,$O84-1,V$14)*$L84+OFFSET('Gas Supply Factors'!$B$14,$K84-1,V$14)*$H84</f>
        <v>0</v>
      </c>
      <c r="W84" s="20"/>
      <c r="X84" s="20">
        <f ca="1">OFFSET('Gas Supply Factors'!$B$14,$O84-1,X$14)*$L84+OFFSET('Gas Supply Factors'!$B$14,$K84-1,X$14)*$H84</f>
        <v>0</v>
      </c>
      <c r="Z84" s="20">
        <f ca="1">OFFSET('Gas Supply Factors'!$B$14,$O84-1,Z$14)*$L84+OFFSET('Gas Supply Factors'!$B$14,$K84-1,Z$14)*$H84</f>
        <v>0</v>
      </c>
      <c r="AB84" s="20">
        <f t="shared" ref="AB84:AB88" ca="1" si="30">P84+R84+V84+X84+Z84+T84</f>
        <v>0</v>
      </c>
      <c r="AD84" s="25" t="str">
        <f t="shared" ca="1" si="21"/>
        <v/>
      </c>
    </row>
    <row r="85" spans="2:30" x14ac:dyDescent="0.2">
      <c r="B85" s="18">
        <f>B84+1</f>
        <v>50</v>
      </c>
      <c r="D85" s="1" t="s">
        <v>379</v>
      </c>
      <c r="F85" s="50">
        <f ca="1">Function!P85</f>
        <v>0</v>
      </c>
      <c r="H85" s="50"/>
      <c r="L85" s="50">
        <f t="shared" ca="1" si="29"/>
        <v>0</v>
      </c>
      <c r="N85" s="2"/>
      <c r="O85" s="73">
        <v>0</v>
      </c>
      <c r="P85" s="20">
        <f ca="1">OFFSET('Gas Supply Factors'!$B$14,$O85-1,P$14)*$L85+OFFSET('Gas Supply Factors'!$B$14,$K85-1,P$14)*$H85</f>
        <v>0</v>
      </c>
      <c r="R85" s="20">
        <f ca="1">OFFSET('Gas Supply Factors'!$B$14,$O85-1,R$14)*$L85+OFFSET('Gas Supply Factors'!$B$14,$K85-1,R$14)*$H85</f>
        <v>0</v>
      </c>
      <c r="S85" s="20"/>
      <c r="T85" s="20">
        <f ca="1">OFFSET('Gas Supply Factors'!$B$14,$O85-1,T$14)*$L85+OFFSET('Gas Supply Factors'!$B$14,$K85-1,T$14)*$H85</f>
        <v>0</v>
      </c>
      <c r="U85" s="20"/>
      <c r="V85" s="20">
        <f ca="1">OFFSET('Gas Supply Factors'!$B$14,$O85-1,V$14)*$L85+OFFSET('Gas Supply Factors'!$B$14,$K85-1,V$14)*$H85</f>
        <v>0</v>
      </c>
      <c r="W85" s="20"/>
      <c r="X85" s="20">
        <f ca="1">OFFSET('Gas Supply Factors'!$B$14,$O85-1,X$14)*$L85+OFFSET('Gas Supply Factors'!$B$14,$K85-1,X$14)*$H85</f>
        <v>0</v>
      </c>
      <c r="Z85" s="20">
        <f ca="1">OFFSET('Gas Supply Factors'!$B$14,$O85-1,Z$14)*$L85+OFFSET('Gas Supply Factors'!$B$14,$K85-1,Z$14)*$H85</f>
        <v>0</v>
      </c>
      <c r="AB85" s="20">
        <f t="shared" ca="1" si="30"/>
        <v>0</v>
      </c>
      <c r="AD85" s="25" t="str">
        <f t="shared" ca="1" si="21"/>
        <v/>
      </c>
    </row>
    <row r="86" spans="2:30" x14ac:dyDescent="0.2">
      <c r="B86" s="18">
        <f t="shared" ref="B86:B89" si="31">B85+1</f>
        <v>51</v>
      </c>
      <c r="D86" s="1" t="s">
        <v>42</v>
      </c>
      <c r="F86" s="50">
        <f ca="1">Function!P86</f>
        <v>0</v>
      </c>
      <c r="H86" s="50"/>
      <c r="L86" s="50">
        <f t="shared" ca="1" si="29"/>
        <v>0</v>
      </c>
      <c r="N86" s="2"/>
      <c r="O86" s="73">
        <v>0</v>
      </c>
      <c r="P86" s="20">
        <f ca="1">OFFSET('Gas Supply Factors'!$B$14,$O86-1,P$14)*$L86+OFFSET('Gas Supply Factors'!$B$14,$K86-1,P$14)*$H86</f>
        <v>0</v>
      </c>
      <c r="R86" s="20">
        <f ca="1">OFFSET('Gas Supply Factors'!$B$14,$O86-1,R$14)*$L86+OFFSET('Gas Supply Factors'!$B$14,$K86-1,R$14)*$H86</f>
        <v>0</v>
      </c>
      <c r="S86" s="20"/>
      <c r="T86" s="20">
        <f ca="1">OFFSET('Gas Supply Factors'!$B$14,$O86-1,T$14)*$L86+OFFSET('Gas Supply Factors'!$B$14,$K86-1,T$14)*$H86</f>
        <v>0</v>
      </c>
      <c r="U86" s="20"/>
      <c r="V86" s="20">
        <f ca="1">OFFSET('Gas Supply Factors'!$B$14,$O86-1,V$14)*$L86+OFFSET('Gas Supply Factors'!$B$14,$K86-1,V$14)*$H86</f>
        <v>0</v>
      </c>
      <c r="W86" s="20"/>
      <c r="X86" s="20">
        <f ca="1">OFFSET('Gas Supply Factors'!$B$14,$O86-1,X$14)*$L86+OFFSET('Gas Supply Factors'!$B$14,$K86-1,X$14)*$H86</f>
        <v>0</v>
      </c>
      <c r="Z86" s="20">
        <f ca="1">OFFSET('Gas Supply Factors'!$B$14,$O86-1,Z$14)*$L86+OFFSET('Gas Supply Factors'!$B$14,$K86-1,Z$14)*$H86</f>
        <v>0</v>
      </c>
      <c r="AB86" s="20">
        <f t="shared" ca="1" si="30"/>
        <v>0</v>
      </c>
      <c r="AD86" s="25" t="str">
        <f t="shared" ca="1" si="21"/>
        <v/>
      </c>
    </row>
    <row r="87" spans="2:30" x14ac:dyDescent="0.2">
      <c r="B87" s="18">
        <f t="shared" si="31"/>
        <v>52</v>
      </c>
      <c r="D87" s="1" t="s">
        <v>380</v>
      </c>
      <c r="F87" s="50">
        <f ca="1">Function!P87</f>
        <v>0</v>
      </c>
      <c r="H87" s="50"/>
      <c r="L87" s="50">
        <f t="shared" ca="1" si="29"/>
        <v>0</v>
      </c>
      <c r="N87" s="2"/>
      <c r="O87" s="73">
        <v>0</v>
      </c>
      <c r="P87" s="20">
        <f ca="1">OFFSET('Gas Supply Factors'!$B$14,$O87-1,P$14)*$L87+OFFSET('Gas Supply Factors'!$B$14,$K87-1,P$14)*$H87</f>
        <v>0</v>
      </c>
      <c r="R87" s="20">
        <f ca="1">OFFSET('Gas Supply Factors'!$B$14,$O87-1,R$14)*$L87+OFFSET('Gas Supply Factors'!$B$14,$K87-1,R$14)*$H87</f>
        <v>0</v>
      </c>
      <c r="S87" s="20"/>
      <c r="T87" s="20">
        <f ca="1">OFFSET('Gas Supply Factors'!$B$14,$O87-1,T$14)*$L87+OFFSET('Gas Supply Factors'!$B$14,$K87-1,T$14)*$H87</f>
        <v>0</v>
      </c>
      <c r="U87" s="20"/>
      <c r="V87" s="20">
        <f ca="1">OFFSET('Gas Supply Factors'!$B$14,$O87-1,V$14)*$L87+OFFSET('Gas Supply Factors'!$B$14,$K87-1,V$14)*$H87</f>
        <v>0</v>
      </c>
      <c r="W87" s="20"/>
      <c r="X87" s="20">
        <f ca="1">OFFSET('Gas Supply Factors'!$B$14,$O87-1,X$14)*$L87+OFFSET('Gas Supply Factors'!$B$14,$K87-1,X$14)*$H87</f>
        <v>0</v>
      </c>
      <c r="Z87" s="20">
        <f ca="1">OFFSET('Gas Supply Factors'!$B$14,$O87-1,Z$14)*$L87+OFFSET('Gas Supply Factors'!$B$14,$K87-1,Z$14)*$H87</f>
        <v>0</v>
      </c>
      <c r="AB87" s="20">
        <f t="shared" ca="1" si="30"/>
        <v>0</v>
      </c>
      <c r="AD87" s="25" t="str">
        <f t="shared" ca="1" si="21"/>
        <v/>
      </c>
    </row>
    <row r="88" spans="2:30" x14ac:dyDescent="0.2">
      <c r="B88" s="18">
        <f t="shared" si="31"/>
        <v>53</v>
      </c>
      <c r="D88" s="1" t="s">
        <v>381</v>
      </c>
      <c r="F88" s="50">
        <f ca="1">Function!P88</f>
        <v>0</v>
      </c>
      <c r="H88" s="50"/>
      <c r="L88" s="50">
        <f t="shared" ca="1" si="29"/>
        <v>0</v>
      </c>
      <c r="O88" s="73">
        <v>0</v>
      </c>
      <c r="P88" s="20">
        <f ca="1">OFFSET('Gas Supply Factors'!$B$14,$O88-1,P$14)*$L88+OFFSET('Gas Supply Factors'!$B$14,$K88-1,P$14)*$H88</f>
        <v>0</v>
      </c>
      <c r="R88" s="20">
        <f ca="1">OFFSET('Gas Supply Factors'!$B$14,$O88-1,R$14)*$L88+OFFSET('Gas Supply Factors'!$B$14,$K88-1,R$14)*$H88</f>
        <v>0</v>
      </c>
      <c r="S88" s="20"/>
      <c r="T88" s="20">
        <f ca="1">OFFSET('Gas Supply Factors'!$B$14,$O88-1,T$14)*$L88+OFFSET('Gas Supply Factors'!$B$14,$K88-1,T$14)*$H88</f>
        <v>0</v>
      </c>
      <c r="U88" s="20"/>
      <c r="V88" s="20">
        <f ca="1">OFFSET('Gas Supply Factors'!$B$14,$O88-1,V$14)*$L88+OFFSET('Gas Supply Factors'!$B$14,$K88-1,V$14)*$H88</f>
        <v>0</v>
      </c>
      <c r="W88" s="20"/>
      <c r="X88" s="20">
        <f ca="1">OFFSET('Gas Supply Factors'!$B$14,$O88-1,X$14)*$L88+OFFSET('Gas Supply Factors'!$B$14,$K88-1,X$14)*$H88</f>
        <v>0</v>
      </c>
      <c r="Z88" s="20">
        <f ca="1">OFFSET('Gas Supply Factors'!$B$14,$O88-1,Z$14)*$L88+OFFSET('Gas Supply Factors'!$B$14,$K88-1,Z$14)*$H88</f>
        <v>0</v>
      </c>
      <c r="AB88" s="20">
        <f t="shared" ca="1" si="30"/>
        <v>0</v>
      </c>
      <c r="AD88" s="25" t="str">
        <f t="shared" ca="1" si="21"/>
        <v/>
      </c>
    </row>
    <row r="89" spans="2:30" x14ac:dyDescent="0.2">
      <c r="B89" s="18">
        <f t="shared" si="31"/>
        <v>54</v>
      </c>
      <c r="D89" s="1" t="s">
        <v>396</v>
      </c>
      <c r="F89" s="41">
        <f ca="1">SUM(F82:F88)</f>
        <v>0</v>
      </c>
      <c r="H89" s="41">
        <f>SUM(H82:H88)</f>
        <v>0</v>
      </c>
      <c r="L89" s="41">
        <f ca="1">SUM(L82:L88)</f>
        <v>0</v>
      </c>
      <c r="P89" s="29">
        <f ca="1">SUM(P82:P88)</f>
        <v>0</v>
      </c>
      <c r="Q89" s="23"/>
      <c r="R89" s="29">
        <f ca="1">SUM(R82:R88)</f>
        <v>0</v>
      </c>
      <c r="S89" s="23"/>
      <c r="T89" s="29">
        <f ca="1">SUM(T82:T88)</f>
        <v>0</v>
      </c>
      <c r="U89" s="23"/>
      <c r="V89" s="29">
        <f ca="1">SUM(V82:V88)</f>
        <v>0</v>
      </c>
      <c r="W89" s="23"/>
      <c r="X89" s="29">
        <f ca="1">SUM(X82:X88)</f>
        <v>0</v>
      </c>
      <c r="Y89" s="18"/>
      <c r="Z89" s="29">
        <f ca="1">SUM(Z82:Z88)</f>
        <v>0</v>
      </c>
      <c r="AB89" s="29">
        <f ca="1">SUM(AB82:AB88)</f>
        <v>0</v>
      </c>
      <c r="AD89" s="25" t="str">
        <f t="shared" ca="1" si="21"/>
        <v/>
      </c>
    </row>
    <row r="90" spans="2:30" x14ac:dyDescent="0.2">
      <c r="Y90" s="18"/>
      <c r="AD90" s="25" t="str">
        <f t="shared" si="21"/>
        <v/>
      </c>
    </row>
    <row r="91" spans="2:30" x14ac:dyDescent="0.2">
      <c r="AD91" s="25" t="str">
        <f t="shared" si="21"/>
        <v/>
      </c>
    </row>
    <row r="92" spans="2:30" x14ac:dyDescent="0.2">
      <c r="B92" s="18">
        <f>B89+1</f>
        <v>55</v>
      </c>
      <c r="D92" s="1" t="s">
        <v>397</v>
      </c>
      <c r="F92" s="41">
        <f ca="1">F79+F89</f>
        <v>0</v>
      </c>
      <c r="H92" s="41">
        <f>H79+H89</f>
        <v>0</v>
      </c>
      <c r="L92" s="41">
        <f ca="1">L79+L89</f>
        <v>0</v>
      </c>
      <c r="P92" s="28">
        <f ca="1">P79+P89</f>
        <v>0</v>
      </c>
      <c r="Q92" s="8"/>
      <c r="R92" s="10">
        <f ca="1">R79+R89</f>
        <v>0</v>
      </c>
      <c r="S92" s="8"/>
      <c r="T92" s="10">
        <f ca="1">T79+T89</f>
        <v>0</v>
      </c>
      <c r="U92" s="8"/>
      <c r="V92" s="10">
        <f ca="1">V79+V89</f>
        <v>0</v>
      </c>
      <c r="W92" s="8"/>
      <c r="X92" s="10">
        <f ca="1">X79+X89</f>
        <v>0</v>
      </c>
      <c r="Y92" s="8"/>
      <c r="Z92" s="10">
        <f ca="1">Z79+Z89</f>
        <v>0</v>
      </c>
      <c r="AA92" s="8"/>
      <c r="AB92" s="10">
        <f ca="1">AB79+AB89</f>
        <v>0</v>
      </c>
      <c r="AD92" s="25" t="str">
        <f t="shared" ca="1" si="21"/>
        <v/>
      </c>
    </row>
    <row r="93" spans="2:30" x14ac:dyDescent="0.2">
      <c r="AD93" s="25" t="str">
        <f t="shared" si="21"/>
        <v/>
      </c>
    </row>
    <row r="94" spans="2:30" x14ac:dyDescent="0.2">
      <c r="AD94" s="25" t="str">
        <f t="shared" si="21"/>
        <v/>
      </c>
    </row>
    <row r="95" spans="2:30" x14ac:dyDescent="0.2">
      <c r="B95" s="18">
        <f>B92+1</f>
        <v>56</v>
      </c>
      <c r="D95" s="1" t="s">
        <v>38</v>
      </c>
      <c r="F95" s="87">
        <f>Function!P95</f>
        <v>6.0821321807016528E-2</v>
      </c>
      <c r="H95" s="87">
        <v>6.0821321807016528E-2</v>
      </c>
      <c r="L95" s="87">
        <v>6.0821321807016528E-2</v>
      </c>
      <c r="P95" s="24">
        <f>$F$95</f>
        <v>6.0821321807016528E-2</v>
      </c>
      <c r="R95" s="24">
        <f>$F$95</f>
        <v>6.0821321807016528E-2</v>
      </c>
      <c r="S95" s="24"/>
      <c r="T95" s="24">
        <f>$F$95</f>
        <v>6.0821321807016528E-2</v>
      </c>
      <c r="V95" s="24">
        <f>$F$95</f>
        <v>6.0821321807016528E-2</v>
      </c>
      <c r="X95" s="24">
        <f>$F$95</f>
        <v>6.0821321807016528E-2</v>
      </c>
      <c r="Y95" s="24"/>
      <c r="Z95" s="24">
        <f>$F$95</f>
        <v>6.0821321807016528E-2</v>
      </c>
      <c r="AB95" s="24">
        <f>F95</f>
        <v>6.0821321807016528E-2</v>
      </c>
      <c r="AD95" s="25" t="str">
        <f t="shared" si="21"/>
        <v/>
      </c>
    </row>
    <row r="96" spans="2:30" x14ac:dyDescent="0.2">
      <c r="AD96" s="25" t="str">
        <f t="shared" si="21"/>
        <v/>
      </c>
    </row>
    <row r="97" spans="2:30" x14ac:dyDescent="0.2">
      <c r="B97" s="18">
        <f>B95+1</f>
        <v>57</v>
      </c>
      <c r="D97" s="1" t="s">
        <v>398</v>
      </c>
      <c r="F97" s="41">
        <f ca="1">F92*F95</f>
        <v>0</v>
      </c>
      <c r="H97" s="41">
        <f>H92*H95</f>
        <v>0</v>
      </c>
      <c r="L97" s="41">
        <f ca="1">L92*L95</f>
        <v>0</v>
      </c>
      <c r="P97" s="10">
        <f ca="1">P92*P95</f>
        <v>0</v>
      </c>
      <c r="R97" s="10">
        <f ca="1">R92*R95</f>
        <v>0</v>
      </c>
      <c r="S97" s="8"/>
      <c r="T97" s="10">
        <f ca="1">T92*T95</f>
        <v>0</v>
      </c>
      <c r="V97" s="10">
        <f ca="1">V92*V95</f>
        <v>0</v>
      </c>
      <c r="X97" s="10">
        <f ca="1">X92*X95</f>
        <v>0</v>
      </c>
      <c r="Z97" s="10">
        <f ca="1">Z92*Z95</f>
        <v>0</v>
      </c>
      <c r="AB97" s="10">
        <f t="shared" ref="AB97" ca="1" si="32">P97+R97+V97+X97+Z97+T97</f>
        <v>0</v>
      </c>
      <c r="AD97" s="25" t="str">
        <f t="shared" ca="1" si="21"/>
        <v/>
      </c>
    </row>
    <row r="98" spans="2:30" x14ac:dyDescent="0.2">
      <c r="F98" s="50"/>
      <c r="H98" s="50"/>
      <c r="L98" s="50"/>
      <c r="AD98" s="25" t="str">
        <f t="shared" si="21"/>
        <v/>
      </c>
    </row>
    <row r="99" spans="2:30" x14ac:dyDescent="0.2">
      <c r="F99" s="50"/>
      <c r="H99" s="50"/>
      <c r="L99" s="50"/>
      <c r="AD99" s="25" t="str">
        <f t="shared" si="21"/>
        <v/>
      </c>
    </row>
    <row r="100" spans="2:30" x14ac:dyDescent="0.2">
      <c r="D100" s="6" t="s">
        <v>70</v>
      </c>
      <c r="AD100" s="25" t="str">
        <f t="shared" si="21"/>
        <v/>
      </c>
    </row>
    <row r="101" spans="2:30" x14ac:dyDescent="0.2">
      <c r="AD101" s="25" t="str">
        <f t="shared" si="21"/>
        <v/>
      </c>
    </row>
    <row r="102" spans="2:30" x14ac:dyDescent="0.2">
      <c r="B102" s="18">
        <f>B97+1</f>
        <v>58</v>
      </c>
      <c r="D102" s="1" t="s">
        <v>195</v>
      </c>
      <c r="F102" s="50">
        <f ca="1">Function!P102</f>
        <v>0</v>
      </c>
      <c r="H102" s="50"/>
      <c r="L102" s="50">
        <f t="shared" ref="L102:L103" ca="1" si="33">F102-H102</f>
        <v>0</v>
      </c>
      <c r="O102" s="73">
        <v>0</v>
      </c>
      <c r="P102" s="20">
        <f ca="1">OFFSET('Gas Supply Factors'!$B$14,$O102-1,P$14)*$L102+OFFSET('Gas Supply Factors'!$B$14,$K102-1,P$14)*$H102</f>
        <v>0</v>
      </c>
      <c r="R102" s="20">
        <f ca="1">OFFSET('Gas Supply Factors'!$B$14,$O102-1,R$14)*$L102+OFFSET('Gas Supply Factors'!$B$14,$K102-1,R$14)*$H102</f>
        <v>0</v>
      </c>
      <c r="S102" s="20"/>
      <c r="T102" s="20">
        <f ca="1">OFFSET('Gas Supply Factors'!$B$14,$O102-1,T$14)*$L102+OFFSET('Gas Supply Factors'!$B$14,$K102-1,T$14)*$H102</f>
        <v>0</v>
      </c>
      <c r="U102" s="20"/>
      <c r="V102" s="20">
        <f ca="1">OFFSET('Gas Supply Factors'!$B$14,$O102-1,V$14)*$L102+OFFSET('Gas Supply Factors'!$B$14,$K102-1,V$14)*$H102</f>
        <v>0</v>
      </c>
      <c r="W102" s="20"/>
      <c r="X102" s="20">
        <f ca="1">OFFSET('Gas Supply Factors'!$B$14,$O102-1,X$14)*$L102+OFFSET('Gas Supply Factors'!$B$14,$K102-1,X$14)*$H102</f>
        <v>0</v>
      </c>
      <c r="Z102" s="20">
        <f ca="1">OFFSET('Gas Supply Factors'!$B$14,$O102-1,Z$14)*$L102+OFFSET('Gas Supply Factors'!$B$14,$K102-1,Z$14)*$H102</f>
        <v>0</v>
      </c>
      <c r="AB102" s="20">
        <f t="shared" ref="AB102:AB103" ca="1" si="34">P102+R102+V102+X102+Z102+T102</f>
        <v>0</v>
      </c>
      <c r="AD102" s="25" t="str">
        <f t="shared" ca="1" si="21"/>
        <v/>
      </c>
    </row>
    <row r="103" spans="2:30" x14ac:dyDescent="0.2">
      <c r="B103" s="18">
        <f>B102+1</f>
        <v>59</v>
      </c>
      <c r="D103" s="1" t="s">
        <v>196</v>
      </c>
      <c r="F103" s="50">
        <f ca="1">Function!P103</f>
        <v>0</v>
      </c>
      <c r="H103" s="50"/>
      <c r="L103" s="50">
        <f t="shared" ca="1" si="33"/>
        <v>0</v>
      </c>
      <c r="N103" s="2"/>
      <c r="O103" s="73">
        <v>0</v>
      </c>
      <c r="P103" s="20">
        <f ca="1">OFFSET('Gas Supply Factors'!$B$14,$O103-1,P$14)*$L103+OFFSET('Gas Supply Factors'!$B$14,$K103-1,P$14)*$H103</f>
        <v>0</v>
      </c>
      <c r="R103" s="20">
        <f ca="1">OFFSET('Gas Supply Factors'!$B$14,$O103-1,R$14)*$L103+OFFSET('Gas Supply Factors'!$B$14,$K103-1,R$14)*$H103</f>
        <v>0</v>
      </c>
      <c r="S103" s="20"/>
      <c r="T103" s="20">
        <f ca="1">OFFSET('Gas Supply Factors'!$B$14,$O103-1,T$14)*$L103+OFFSET('Gas Supply Factors'!$B$14,$K103-1,T$14)*$H103</f>
        <v>0</v>
      </c>
      <c r="U103" s="20"/>
      <c r="V103" s="20">
        <f ca="1">OFFSET('Gas Supply Factors'!$B$14,$O103-1,V$14)*$L103+OFFSET('Gas Supply Factors'!$B$14,$K103-1,V$14)*$H103</f>
        <v>0</v>
      </c>
      <c r="W103" s="20"/>
      <c r="X103" s="20">
        <f ca="1">OFFSET('Gas Supply Factors'!$B$14,$O103-1,X$14)*$L103+OFFSET('Gas Supply Factors'!$B$14,$K103-1,X$14)*$H103</f>
        <v>0</v>
      </c>
      <c r="Z103" s="20">
        <f ca="1">OFFSET('Gas Supply Factors'!$B$14,$O103-1,Z$14)*$L103+OFFSET('Gas Supply Factors'!$B$14,$K103-1,Z$14)*$H103</f>
        <v>0</v>
      </c>
      <c r="AB103" s="20">
        <f t="shared" ca="1" si="34"/>
        <v>0</v>
      </c>
      <c r="AD103" s="25" t="str">
        <f t="shared" ca="1" si="21"/>
        <v/>
      </c>
    </row>
    <row r="104" spans="2:30" x14ac:dyDescent="0.2">
      <c r="B104" s="18">
        <f>B103+1</f>
        <v>60</v>
      </c>
      <c r="D104" s="1" t="s">
        <v>197</v>
      </c>
      <c r="F104" s="41">
        <f ca="1">F102+F103</f>
        <v>0</v>
      </c>
      <c r="H104" s="41">
        <f>H102+H103</f>
        <v>0</v>
      </c>
      <c r="L104" s="41">
        <f ca="1">L102+L103</f>
        <v>0</v>
      </c>
      <c r="P104" s="41">
        <f ca="1">P102+P103</f>
        <v>0</v>
      </c>
      <c r="R104" s="41">
        <f ca="1">R102+R103</f>
        <v>0</v>
      </c>
      <c r="S104" s="50"/>
      <c r="T104" s="41">
        <f ca="1">T102+T103</f>
        <v>0</v>
      </c>
      <c r="U104" s="20"/>
      <c r="V104" s="41">
        <f ca="1">V102+V103</f>
        <v>0</v>
      </c>
      <c r="W104" s="20"/>
      <c r="X104" s="41">
        <f ca="1">X102+X103</f>
        <v>0</v>
      </c>
      <c r="Z104" s="41">
        <f ca="1">Z102+Z103</f>
        <v>0</v>
      </c>
      <c r="AB104" s="41">
        <f ca="1">AB102+AB103</f>
        <v>0</v>
      </c>
      <c r="AD104" s="25" t="str">
        <f t="shared" ca="1" si="21"/>
        <v/>
      </c>
    </row>
    <row r="105" spans="2:30" x14ac:dyDescent="0.2">
      <c r="AD105" s="25" t="str">
        <f t="shared" si="21"/>
        <v/>
      </c>
    </row>
    <row r="106" spans="2:30" x14ac:dyDescent="0.2">
      <c r="D106" s="6" t="s">
        <v>69</v>
      </c>
      <c r="F106" s="50"/>
      <c r="H106" s="50"/>
      <c r="L106" s="50"/>
      <c r="AD106" s="25" t="str">
        <f t="shared" si="21"/>
        <v/>
      </c>
    </row>
    <row r="107" spans="2:30" x14ac:dyDescent="0.2">
      <c r="F107" s="50"/>
      <c r="H107" s="50"/>
      <c r="L107" s="50"/>
      <c r="AD107" s="25" t="str">
        <f t="shared" si="21"/>
        <v/>
      </c>
    </row>
    <row r="108" spans="2:30" x14ac:dyDescent="0.2">
      <c r="B108" s="18">
        <f>B104+1</f>
        <v>61</v>
      </c>
      <c r="D108" s="1" t="s">
        <v>39</v>
      </c>
      <c r="F108" s="50">
        <f ca="1">Function!P108</f>
        <v>0</v>
      </c>
      <c r="H108" s="50"/>
      <c r="L108" s="50">
        <f t="shared" ref="L108:L109" ca="1" si="35">F108-H108</f>
        <v>0</v>
      </c>
      <c r="N108" s="2"/>
      <c r="O108" s="73">
        <v>0</v>
      </c>
      <c r="P108" s="20">
        <f ca="1">OFFSET('Gas Supply Factors'!$B$14,$O108-1,P$14)*$L108+OFFSET('Gas Supply Factors'!$B$14,$K108-1,P$14)*$H108</f>
        <v>0</v>
      </c>
      <c r="R108" s="20">
        <f ca="1">OFFSET('Gas Supply Factors'!$B$14,$O108-1,R$14)*$L108+OFFSET('Gas Supply Factors'!$B$14,$K108-1,R$14)*$H108</f>
        <v>0</v>
      </c>
      <c r="S108" s="20"/>
      <c r="T108" s="20">
        <f ca="1">OFFSET('Gas Supply Factors'!$B$14,$O108-1,T$14)*$L108+OFFSET('Gas Supply Factors'!$B$14,$K108-1,T$14)*$H108</f>
        <v>0</v>
      </c>
      <c r="U108" s="20"/>
      <c r="V108" s="20">
        <f ca="1">OFFSET('Gas Supply Factors'!$B$14,$O108-1,V$14)*$L108+OFFSET('Gas Supply Factors'!$B$14,$K108-1,V$14)*$H108</f>
        <v>0</v>
      </c>
      <c r="W108" s="20"/>
      <c r="X108" s="20">
        <f ca="1">OFFSET('Gas Supply Factors'!$B$14,$O108-1,X$14)*$L108+OFFSET('Gas Supply Factors'!$B$14,$K108-1,X$14)*$H108</f>
        <v>0</v>
      </c>
      <c r="Z108" s="20">
        <f ca="1">OFFSET('Gas Supply Factors'!$B$14,$O108-1,Z$14)*$L108+OFFSET('Gas Supply Factors'!$B$14,$K108-1,Z$14)*$H108</f>
        <v>0</v>
      </c>
      <c r="AB108" s="20">
        <f t="shared" ref="AB108:AB109" ca="1" si="36">P108+R108+V108+X108+Z108+T108</f>
        <v>0</v>
      </c>
      <c r="AD108" s="25" t="str">
        <f t="shared" ca="1" si="21"/>
        <v/>
      </c>
    </row>
    <row r="109" spans="2:30" x14ac:dyDescent="0.2">
      <c r="B109" s="18">
        <f>B108+1</f>
        <v>62</v>
      </c>
      <c r="D109" s="1" t="s">
        <v>40</v>
      </c>
      <c r="F109" s="50">
        <f ca="1">Function!P109</f>
        <v>0</v>
      </c>
      <c r="H109" s="50"/>
      <c r="L109" s="50">
        <f t="shared" ca="1" si="35"/>
        <v>0</v>
      </c>
      <c r="O109" s="73">
        <v>0</v>
      </c>
      <c r="P109" s="20">
        <f ca="1">OFFSET('Gas Supply Factors'!$B$14,$O109-1,P$14)*$L109+OFFSET('Gas Supply Factors'!$B$14,$K109-1,P$14)*$H109</f>
        <v>0</v>
      </c>
      <c r="R109" s="20">
        <f ca="1">OFFSET('Gas Supply Factors'!$B$14,$O109-1,R$14)*$L109+OFFSET('Gas Supply Factors'!$B$14,$K109-1,R$14)*$H109</f>
        <v>0</v>
      </c>
      <c r="S109" s="20"/>
      <c r="T109" s="20">
        <f ca="1">OFFSET('Gas Supply Factors'!$B$14,$O109-1,T$14)*$L109+OFFSET('Gas Supply Factors'!$B$14,$K109-1,T$14)*$H109</f>
        <v>0</v>
      </c>
      <c r="U109" s="20"/>
      <c r="V109" s="20">
        <f ca="1">OFFSET('Gas Supply Factors'!$B$14,$O109-1,V$14)*$L109+OFFSET('Gas Supply Factors'!$B$14,$K109-1,V$14)*$H109</f>
        <v>0</v>
      </c>
      <c r="W109" s="20"/>
      <c r="X109" s="20">
        <f ca="1">OFFSET('Gas Supply Factors'!$B$14,$O109-1,X$14)*$L109+OFFSET('Gas Supply Factors'!$B$14,$K109-1,X$14)*$H109</f>
        <v>0</v>
      </c>
      <c r="Z109" s="20">
        <f ca="1">OFFSET('Gas Supply Factors'!$B$14,$O109-1,Z$14)*$L109+OFFSET('Gas Supply Factors'!$B$14,$K109-1,Z$14)*$H109</f>
        <v>0</v>
      </c>
      <c r="AB109" s="20">
        <f t="shared" ca="1" si="36"/>
        <v>0</v>
      </c>
      <c r="AD109" s="25" t="str">
        <f t="shared" ca="1" si="21"/>
        <v/>
      </c>
    </row>
    <row r="110" spans="2:30" x14ac:dyDescent="0.2">
      <c r="B110" s="18">
        <f>B109+1</f>
        <v>63</v>
      </c>
      <c r="D110" s="1" t="s">
        <v>294</v>
      </c>
      <c r="F110" s="41">
        <f ca="1">F108+F109</f>
        <v>0</v>
      </c>
      <c r="H110" s="41">
        <f>H108+H109</f>
        <v>0</v>
      </c>
      <c r="L110" s="41">
        <f ca="1">L108+L109</f>
        <v>0</v>
      </c>
      <c r="P110" s="41">
        <f ca="1">P108+P109</f>
        <v>0</v>
      </c>
      <c r="R110" s="41">
        <f ca="1">R108+R109</f>
        <v>0</v>
      </c>
      <c r="S110" s="50"/>
      <c r="T110" s="41">
        <f ca="1">T108+T109</f>
        <v>0</v>
      </c>
      <c r="U110" s="20"/>
      <c r="V110" s="41">
        <f ca="1">V108+V109</f>
        <v>0</v>
      </c>
      <c r="W110" s="20"/>
      <c r="X110" s="41">
        <f ca="1">X108+X109</f>
        <v>0</v>
      </c>
      <c r="Z110" s="41">
        <f ca="1">Z108+Z109</f>
        <v>0</v>
      </c>
      <c r="AB110" s="41">
        <f ca="1">AB108+AB109</f>
        <v>0</v>
      </c>
      <c r="AD110" s="25" t="str">
        <f t="shared" ca="1" si="21"/>
        <v/>
      </c>
    </row>
    <row r="111" spans="2:30" x14ac:dyDescent="0.2">
      <c r="AD111" s="25" t="str">
        <f t="shared" si="21"/>
        <v/>
      </c>
    </row>
    <row r="112" spans="2:30" x14ac:dyDescent="0.2">
      <c r="AD112" s="25" t="str">
        <f t="shared" si="21"/>
        <v/>
      </c>
    </row>
    <row r="113" spans="2:30" x14ac:dyDescent="0.2">
      <c r="D113" s="6" t="s">
        <v>74</v>
      </c>
      <c r="AD113" s="25" t="str">
        <f t="shared" si="21"/>
        <v/>
      </c>
    </row>
    <row r="114" spans="2:30" x14ac:dyDescent="0.2">
      <c r="AD114" s="25" t="str">
        <f t="shared" si="21"/>
        <v/>
      </c>
    </row>
    <row r="115" spans="2:30" x14ac:dyDescent="0.2">
      <c r="D115" s="1" t="s">
        <v>7</v>
      </c>
      <c r="AD115" s="25" t="str">
        <f t="shared" si="21"/>
        <v/>
      </c>
    </row>
    <row r="116" spans="2:30" x14ac:dyDescent="0.2">
      <c r="B116" s="18">
        <f>B110+1</f>
        <v>64</v>
      </c>
      <c r="D116" s="36" t="s">
        <v>309</v>
      </c>
      <c r="F116" s="50">
        <f ca="1">Function!P116</f>
        <v>2247538.0139059885</v>
      </c>
      <c r="H116" s="79"/>
      <c r="L116" s="50">
        <f t="shared" ref="L116:L160" ca="1" si="37">F116-H116</f>
        <v>2247538.0139059885</v>
      </c>
      <c r="N116" s="2" t="s">
        <v>356</v>
      </c>
      <c r="O116" s="73">
        <v>4</v>
      </c>
      <c r="P116" s="20">
        <f ca="1">OFFSET('Gas Supply Factors'!$B$14,$O116-1,P$14)*$L116+OFFSET('Gas Supply Factors'!$B$14,$K116-1,P$14)*$H116</f>
        <v>1878311.1040714213</v>
      </c>
      <c r="R116" s="20">
        <f ca="1">OFFSET('Gas Supply Factors'!$B$14,$O116-1,R$14)*$L116+OFFSET('Gas Supply Factors'!$B$14,$K116-1,R$14)*$H116</f>
        <v>161486.41315728414</v>
      </c>
      <c r="S116" s="20"/>
      <c r="T116" s="20">
        <f ca="1">OFFSET('Gas Supply Factors'!$B$14,$O116-1,T$14)*$L116+OFFSET('Gas Supply Factors'!$B$14,$K116-1,T$14)*$H116</f>
        <v>40328.527901042762</v>
      </c>
      <c r="U116" s="20"/>
      <c r="V116" s="20">
        <f ca="1">OFFSET('Gas Supply Factors'!$B$14,$O116-1,V$14)*$L116+OFFSET('Gas Supply Factors'!$B$14,$K116-1,V$14)*$H116</f>
        <v>152523.42553920622</v>
      </c>
      <c r="W116" s="20"/>
      <c r="X116" s="20">
        <f ca="1">OFFSET('Gas Supply Factors'!$B$14,$O116-1,X$14)*$L116+OFFSET('Gas Supply Factors'!$B$14,$K116-1,X$14)*$H116</f>
        <v>14888.543237034275</v>
      </c>
      <c r="Z116" s="20">
        <f ca="1">OFFSET('Gas Supply Factors'!$B$14,$O116-1,Z$14)*$L116+OFFSET('Gas Supply Factors'!$B$14,$K116-1,Z$14)*$H116</f>
        <v>0</v>
      </c>
      <c r="AB116" s="20">
        <f t="shared" ref="AB116:AB131" ca="1" si="38">P116+R116+V116+X116+Z116+T116</f>
        <v>2247538.0139059885</v>
      </c>
      <c r="AD116" s="25" t="str">
        <f t="shared" ca="1" si="21"/>
        <v/>
      </c>
    </row>
    <row r="117" spans="2:30" x14ac:dyDescent="0.2">
      <c r="B117" s="18">
        <f t="shared" ref="B117:B122" si="39">B116+1</f>
        <v>65</v>
      </c>
      <c r="D117" s="36" t="s">
        <v>105</v>
      </c>
      <c r="F117" s="50">
        <f ca="1">Function!P117</f>
        <v>0</v>
      </c>
      <c r="H117" s="79"/>
      <c r="L117" s="50">
        <f t="shared" ca="1" si="37"/>
        <v>0</v>
      </c>
      <c r="O117" s="73">
        <v>0</v>
      </c>
      <c r="P117" s="20">
        <f ca="1">OFFSET('Gas Supply Factors'!$B$14,$O117-1,P$14)*$L117+OFFSET('Gas Supply Factors'!$B$14,$K117-1,P$14)*$H117</f>
        <v>0</v>
      </c>
      <c r="R117" s="20">
        <f ca="1">OFFSET('Gas Supply Factors'!$B$14,$O117-1,R$14)*$L117+OFFSET('Gas Supply Factors'!$B$14,$K117-1,R$14)*$H117</f>
        <v>0</v>
      </c>
      <c r="S117" s="20"/>
      <c r="T117" s="20">
        <f ca="1">OFFSET('Gas Supply Factors'!$B$14,$O117-1,T$14)*$L117+OFFSET('Gas Supply Factors'!$B$14,$K117-1,T$14)*$H117</f>
        <v>0</v>
      </c>
      <c r="U117" s="20"/>
      <c r="V117" s="20">
        <f ca="1">OFFSET('Gas Supply Factors'!$B$14,$O117-1,V$14)*$L117+OFFSET('Gas Supply Factors'!$B$14,$K117-1,V$14)*$H117</f>
        <v>0</v>
      </c>
      <c r="W117" s="20"/>
      <c r="X117" s="20">
        <f ca="1">OFFSET('Gas Supply Factors'!$B$14,$O117-1,X$14)*$L117+OFFSET('Gas Supply Factors'!$B$14,$K117-1,X$14)*$H117</f>
        <v>0</v>
      </c>
      <c r="Z117" s="20">
        <f ca="1">OFFSET('Gas Supply Factors'!$B$14,$O117-1,Z$14)*$L117+OFFSET('Gas Supply Factors'!$B$14,$K117-1,Z$14)*$H117</f>
        <v>0</v>
      </c>
      <c r="AB117" s="20">
        <f t="shared" ca="1" si="38"/>
        <v>0</v>
      </c>
      <c r="AD117" s="25" t="str">
        <f t="shared" ca="1" si="21"/>
        <v/>
      </c>
    </row>
    <row r="118" spans="2:30" x14ac:dyDescent="0.2">
      <c r="B118" s="18">
        <f t="shared" si="39"/>
        <v>66</v>
      </c>
      <c r="D118" s="36" t="s">
        <v>106</v>
      </c>
      <c r="F118" s="50">
        <f ca="1">Function!P118</f>
        <v>0</v>
      </c>
      <c r="H118" s="79"/>
      <c r="L118" s="50">
        <f t="shared" ca="1" si="37"/>
        <v>0</v>
      </c>
      <c r="O118" s="73">
        <v>0</v>
      </c>
      <c r="P118" s="20">
        <f ca="1">OFFSET('Gas Supply Factors'!$B$14,$O118-1,P$14)*$L118+OFFSET('Gas Supply Factors'!$B$14,$K118-1,P$14)*$H118</f>
        <v>0</v>
      </c>
      <c r="R118" s="20">
        <f ca="1">OFFSET('Gas Supply Factors'!$B$14,$O118-1,R$14)*$L118+OFFSET('Gas Supply Factors'!$B$14,$K118-1,R$14)*$H118</f>
        <v>0</v>
      </c>
      <c r="S118" s="20"/>
      <c r="T118" s="20">
        <f ca="1">OFFSET('Gas Supply Factors'!$B$14,$O118-1,T$14)*$L118+OFFSET('Gas Supply Factors'!$B$14,$K118-1,T$14)*$H118</f>
        <v>0</v>
      </c>
      <c r="U118" s="20"/>
      <c r="V118" s="20">
        <f ca="1">OFFSET('Gas Supply Factors'!$B$14,$O118-1,V$14)*$L118+OFFSET('Gas Supply Factors'!$B$14,$K118-1,V$14)*$H118</f>
        <v>0</v>
      </c>
      <c r="W118" s="20"/>
      <c r="X118" s="20">
        <f ca="1">OFFSET('Gas Supply Factors'!$B$14,$O118-1,X$14)*$L118+OFFSET('Gas Supply Factors'!$B$14,$K118-1,X$14)*$H118</f>
        <v>0</v>
      </c>
      <c r="Z118" s="20">
        <f ca="1">OFFSET('Gas Supply Factors'!$B$14,$O118-1,Z$14)*$L118+OFFSET('Gas Supply Factors'!$B$14,$K118-1,Z$14)*$H118</f>
        <v>0</v>
      </c>
      <c r="AB118" s="20">
        <f t="shared" ca="1" si="38"/>
        <v>0</v>
      </c>
      <c r="AD118" s="25" t="str">
        <f t="shared" ca="1" si="21"/>
        <v/>
      </c>
    </row>
    <row r="119" spans="2:30" x14ac:dyDescent="0.2">
      <c r="B119" s="18">
        <f t="shared" si="39"/>
        <v>67</v>
      </c>
      <c r="D119" s="36" t="s">
        <v>224</v>
      </c>
      <c r="F119" s="50">
        <f ca="1">Function!P119</f>
        <v>0</v>
      </c>
      <c r="H119" s="79"/>
      <c r="L119" s="50">
        <f t="shared" ca="1" si="37"/>
        <v>0</v>
      </c>
      <c r="N119" s="2"/>
      <c r="O119" s="73">
        <v>0</v>
      </c>
      <c r="P119" s="20">
        <f ca="1">OFFSET('Gas Supply Factors'!$B$14,$O119-1,P$14)*$L119+OFFSET('Gas Supply Factors'!$B$14,$K119-1,P$14)*$H119</f>
        <v>0</v>
      </c>
      <c r="R119" s="20">
        <f ca="1">OFFSET('Gas Supply Factors'!$B$14,$O119-1,R$14)*$L119+OFFSET('Gas Supply Factors'!$B$14,$K119-1,R$14)*$H119</f>
        <v>0</v>
      </c>
      <c r="S119" s="20"/>
      <c r="T119" s="20">
        <f ca="1">OFFSET('Gas Supply Factors'!$B$14,$O119-1,T$14)*$L119+OFFSET('Gas Supply Factors'!$B$14,$K119-1,T$14)*$H119</f>
        <v>0</v>
      </c>
      <c r="U119" s="20"/>
      <c r="V119" s="20">
        <f ca="1">OFFSET('Gas Supply Factors'!$B$14,$O119-1,V$14)*$L119+OFFSET('Gas Supply Factors'!$B$14,$K119-1,V$14)*$H119</f>
        <v>0</v>
      </c>
      <c r="W119" s="20"/>
      <c r="X119" s="20">
        <f ca="1">OFFSET('Gas Supply Factors'!$B$14,$O119-1,X$14)*$L119+OFFSET('Gas Supply Factors'!$B$14,$K119-1,X$14)*$H119</f>
        <v>0</v>
      </c>
      <c r="Z119" s="20">
        <f ca="1">OFFSET('Gas Supply Factors'!$B$14,$O119-1,Z$14)*$L119+OFFSET('Gas Supply Factors'!$B$14,$K119-1,Z$14)*$H119</f>
        <v>0</v>
      </c>
      <c r="AB119" s="20">
        <f t="shared" ca="1" si="38"/>
        <v>0</v>
      </c>
      <c r="AD119" s="25" t="str">
        <f t="shared" ca="1" si="21"/>
        <v/>
      </c>
    </row>
    <row r="120" spans="2:30" x14ac:dyDescent="0.2">
      <c r="B120" s="18">
        <f t="shared" si="39"/>
        <v>68</v>
      </c>
      <c r="D120" s="36" t="s">
        <v>337</v>
      </c>
      <c r="F120" s="50">
        <f ca="1">Function!P120</f>
        <v>0</v>
      </c>
      <c r="H120" s="79"/>
      <c r="L120" s="50">
        <f t="shared" ca="1" si="37"/>
        <v>0</v>
      </c>
      <c r="N120" s="31" t="s">
        <v>225</v>
      </c>
      <c r="O120" s="73">
        <v>0</v>
      </c>
      <c r="P120" s="20">
        <f ca="1">OFFSET('Gas Supply Factors'!$B$14,$O120-1,P$14)*$L120+OFFSET('Gas Supply Factors'!$B$14,$K120-1,P$14)*$H120</f>
        <v>0</v>
      </c>
      <c r="R120" s="20">
        <f ca="1">OFFSET('Gas Supply Factors'!$B$14,$O120-1,R$14)*$L120+OFFSET('Gas Supply Factors'!$B$14,$K120-1,R$14)*$H120</f>
        <v>0</v>
      </c>
      <c r="S120" s="20"/>
      <c r="T120" s="20">
        <f ca="1">OFFSET('Gas Supply Factors'!$B$14,$O120-1,T$14)*$L120+OFFSET('Gas Supply Factors'!$B$14,$K120-1,T$14)*$H120</f>
        <v>0</v>
      </c>
      <c r="U120" s="20"/>
      <c r="V120" s="20">
        <f ca="1">OFFSET('Gas Supply Factors'!$B$14,$O120-1,V$14)*$L120+OFFSET('Gas Supply Factors'!$B$14,$K120-1,V$14)*$H120</f>
        <v>0</v>
      </c>
      <c r="W120" s="20"/>
      <c r="X120" s="20">
        <f ca="1">OFFSET('Gas Supply Factors'!$B$14,$O120-1,X$14)*$L120+OFFSET('Gas Supply Factors'!$B$14,$K120-1,X$14)*$H120</f>
        <v>0</v>
      </c>
      <c r="Z120" s="20">
        <f ca="1">OFFSET('Gas Supply Factors'!$B$14,$O120-1,Z$14)*$L120+OFFSET('Gas Supply Factors'!$B$14,$K120-1,Z$14)*$H120</f>
        <v>0</v>
      </c>
      <c r="AB120" s="20">
        <f t="shared" ca="1" si="38"/>
        <v>0</v>
      </c>
      <c r="AD120" s="25" t="str">
        <f t="shared" ca="1" si="21"/>
        <v/>
      </c>
    </row>
    <row r="121" spans="2:30" x14ac:dyDescent="0.2">
      <c r="B121" s="18">
        <f t="shared" si="39"/>
        <v>69</v>
      </c>
      <c r="D121" s="36" t="s">
        <v>203</v>
      </c>
      <c r="F121" s="50">
        <f ca="1">Function!P121</f>
        <v>0</v>
      </c>
      <c r="H121" s="79"/>
      <c r="L121" s="50">
        <f t="shared" ca="1" si="37"/>
        <v>0</v>
      </c>
      <c r="O121" s="73">
        <v>0</v>
      </c>
      <c r="P121" s="20">
        <f ca="1">OFFSET('Gas Supply Factors'!$B$14,$O121-1,P$14)*$L121+OFFSET('Gas Supply Factors'!$B$14,$K121-1,P$14)*$H121</f>
        <v>0</v>
      </c>
      <c r="R121" s="20">
        <f ca="1">OFFSET('Gas Supply Factors'!$B$14,$O121-1,R$14)*$L121+OFFSET('Gas Supply Factors'!$B$14,$K121-1,R$14)*$H121</f>
        <v>0</v>
      </c>
      <c r="S121" s="20"/>
      <c r="T121" s="20">
        <f ca="1">OFFSET('Gas Supply Factors'!$B$14,$O121-1,T$14)*$L121+OFFSET('Gas Supply Factors'!$B$14,$K121-1,T$14)*$H121</f>
        <v>0</v>
      </c>
      <c r="U121" s="20"/>
      <c r="V121" s="20">
        <f ca="1">OFFSET('Gas Supply Factors'!$B$14,$O121-1,V$14)*$L121+OFFSET('Gas Supply Factors'!$B$14,$K121-1,V$14)*$H121</f>
        <v>0</v>
      </c>
      <c r="W121" s="20"/>
      <c r="X121" s="20">
        <f ca="1">OFFSET('Gas Supply Factors'!$B$14,$O121-1,X$14)*$L121+OFFSET('Gas Supply Factors'!$B$14,$K121-1,X$14)*$H121</f>
        <v>0</v>
      </c>
      <c r="Z121" s="20">
        <f ca="1">OFFSET('Gas Supply Factors'!$B$14,$O121-1,Z$14)*$L121+OFFSET('Gas Supply Factors'!$B$14,$K121-1,Z$14)*$H121</f>
        <v>0</v>
      </c>
      <c r="AB121" s="20">
        <f t="shared" ca="1" si="38"/>
        <v>0</v>
      </c>
      <c r="AD121" s="25" t="str">
        <f t="shared" ca="1" si="21"/>
        <v/>
      </c>
    </row>
    <row r="122" spans="2:30" x14ac:dyDescent="0.2">
      <c r="B122" s="18">
        <f t="shared" si="39"/>
        <v>70</v>
      </c>
      <c r="D122" s="36" t="s">
        <v>117</v>
      </c>
      <c r="F122" s="50">
        <f ca="1">Function!P122</f>
        <v>0</v>
      </c>
      <c r="H122" s="79"/>
      <c r="L122" s="50">
        <f t="shared" ca="1" si="37"/>
        <v>0</v>
      </c>
      <c r="O122" s="73">
        <v>0</v>
      </c>
      <c r="P122" s="20">
        <f ca="1">OFFSET('Gas Supply Factors'!$B$14,$O122-1,P$14)*$L122+OFFSET('Gas Supply Factors'!$B$14,$K122-1,P$14)*$H122</f>
        <v>0</v>
      </c>
      <c r="R122" s="20">
        <f ca="1">OFFSET('Gas Supply Factors'!$B$14,$O122-1,R$14)*$L122+OFFSET('Gas Supply Factors'!$B$14,$K122-1,R$14)*$H122</f>
        <v>0</v>
      </c>
      <c r="S122" s="20"/>
      <c r="T122" s="20">
        <f ca="1">OFFSET('Gas Supply Factors'!$B$14,$O122-1,T$14)*$L122+OFFSET('Gas Supply Factors'!$B$14,$K122-1,T$14)*$H122</f>
        <v>0</v>
      </c>
      <c r="U122" s="20"/>
      <c r="V122" s="20">
        <f ca="1">OFFSET('Gas Supply Factors'!$B$14,$O122-1,V$14)*$L122+OFFSET('Gas Supply Factors'!$B$14,$K122-1,V$14)*$H122</f>
        <v>0</v>
      </c>
      <c r="W122" s="20"/>
      <c r="X122" s="20">
        <f ca="1">OFFSET('Gas Supply Factors'!$B$14,$O122-1,X$14)*$L122+OFFSET('Gas Supply Factors'!$B$14,$K122-1,X$14)*$H122</f>
        <v>0</v>
      </c>
      <c r="Z122" s="20">
        <f ca="1">OFFSET('Gas Supply Factors'!$B$14,$O122-1,Z$14)*$L122+OFFSET('Gas Supply Factors'!$B$14,$K122-1,Z$14)*$H122</f>
        <v>0</v>
      </c>
      <c r="AB122" s="20">
        <f t="shared" ca="1" si="38"/>
        <v>0</v>
      </c>
      <c r="AD122" s="25" t="str">
        <f t="shared" ca="1" si="21"/>
        <v/>
      </c>
    </row>
    <row r="123" spans="2:30" x14ac:dyDescent="0.2">
      <c r="D123" s="1" t="s">
        <v>8</v>
      </c>
      <c r="T123" s="20"/>
      <c r="AD123" s="25" t="str">
        <f t="shared" si="21"/>
        <v/>
      </c>
    </row>
    <row r="124" spans="2:30" x14ac:dyDescent="0.2">
      <c r="B124" s="18">
        <f>B122+1</f>
        <v>71</v>
      </c>
      <c r="D124" s="36" t="s">
        <v>71</v>
      </c>
      <c r="F124" s="50">
        <f ca="1">Function!P124</f>
        <v>0</v>
      </c>
      <c r="H124" s="79"/>
      <c r="L124" s="50">
        <f t="shared" ca="1" si="37"/>
        <v>0</v>
      </c>
      <c r="O124" s="73">
        <v>0</v>
      </c>
      <c r="P124" s="20">
        <f ca="1">OFFSET('Gas Supply Factors'!$B$14,$O124-1,P$14)*$L124+OFFSET('Gas Supply Factors'!$B$14,$K124-1,P$14)*$H124</f>
        <v>0</v>
      </c>
      <c r="R124" s="20">
        <f ca="1">OFFSET('Gas Supply Factors'!$B$14,$O124-1,R$14)*$L124+OFFSET('Gas Supply Factors'!$B$14,$K124-1,R$14)*$H124</f>
        <v>0</v>
      </c>
      <c r="S124" s="20"/>
      <c r="T124" s="20">
        <f ca="1">OFFSET('Gas Supply Factors'!$B$14,$O124-1,T$14)*$L124+OFFSET('Gas Supply Factors'!$B$14,$K124-1,T$14)*$H124</f>
        <v>0</v>
      </c>
      <c r="U124" s="20"/>
      <c r="V124" s="20">
        <f ca="1">OFFSET('Gas Supply Factors'!$B$14,$O124-1,V$14)*$L124+OFFSET('Gas Supply Factors'!$B$14,$K124-1,V$14)*$H124</f>
        <v>0</v>
      </c>
      <c r="W124" s="20"/>
      <c r="X124" s="20">
        <f ca="1">OFFSET('Gas Supply Factors'!$B$14,$O124-1,X$14)*$L124+OFFSET('Gas Supply Factors'!$B$14,$K124-1,X$14)*$H124</f>
        <v>0</v>
      </c>
      <c r="Z124" s="20">
        <f ca="1">OFFSET('Gas Supply Factors'!$B$14,$O124-1,Z$14)*$L124+OFFSET('Gas Supply Factors'!$B$14,$K124-1,Z$14)*$H124</f>
        <v>0</v>
      </c>
      <c r="AB124" s="20">
        <f t="shared" ca="1" si="38"/>
        <v>0</v>
      </c>
      <c r="AD124" s="25" t="str">
        <f t="shared" ca="1" si="21"/>
        <v/>
      </c>
    </row>
    <row r="125" spans="2:30" x14ac:dyDescent="0.2">
      <c r="B125" s="18">
        <f t="shared" ref="B125:B131" si="40">B124+1</f>
        <v>72</v>
      </c>
      <c r="D125" s="36" t="s">
        <v>171</v>
      </c>
      <c r="F125" s="50">
        <f ca="1">Function!P125</f>
        <v>0</v>
      </c>
      <c r="H125" s="79"/>
      <c r="L125" s="50">
        <f t="shared" ca="1" si="37"/>
        <v>0</v>
      </c>
      <c r="O125" s="73">
        <v>0</v>
      </c>
      <c r="P125" s="20">
        <f ca="1">OFFSET('Gas Supply Factors'!$B$14,$O125-1,P$14)*$L125+OFFSET('Gas Supply Factors'!$B$14,$K125-1,P$14)*$H125</f>
        <v>0</v>
      </c>
      <c r="R125" s="20">
        <f ca="1">OFFSET('Gas Supply Factors'!$B$14,$O125-1,R$14)*$L125+OFFSET('Gas Supply Factors'!$B$14,$K125-1,R$14)*$H125</f>
        <v>0</v>
      </c>
      <c r="S125" s="20"/>
      <c r="T125" s="20">
        <f ca="1">OFFSET('Gas Supply Factors'!$B$14,$O125-1,T$14)*$L125+OFFSET('Gas Supply Factors'!$B$14,$K125-1,T$14)*$H125</f>
        <v>0</v>
      </c>
      <c r="U125" s="20"/>
      <c r="V125" s="20">
        <f ca="1">OFFSET('Gas Supply Factors'!$B$14,$O125-1,V$14)*$L125+OFFSET('Gas Supply Factors'!$B$14,$K125-1,V$14)*$H125</f>
        <v>0</v>
      </c>
      <c r="W125" s="20"/>
      <c r="X125" s="20">
        <f ca="1">OFFSET('Gas Supply Factors'!$B$14,$O125-1,X$14)*$L125+OFFSET('Gas Supply Factors'!$B$14,$K125-1,X$14)*$H125</f>
        <v>0</v>
      </c>
      <c r="Z125" s="20">
        <f ca="1">OFFSET('Gas Supply Factors'!$B$14,$O125-1,Z$14)*$L125+OFFSET('Gas Supply Factors'!$B$14,$K125-1,Z$14)*$H125</f>
        <v>0</v>
      </c>
      <c r="AB125" s="20">
        <f t="shared" ca="1" si="38"/>
        <v>0</v>
      </c>
      <c r="AD125" s="25" t="str">
        <f t="shared" ca="1" si="21"/>
        <v/>
      </c>
    </row>
    <row r="126" spans="2:30" x14ac:dyDescent="0.2">
      <c r="B126" s="18">
        <f t="shared" si="40"/>
        <v>73</v>
      </c>
      <c r="D126" s="36" t="s">
        <v>179</v>
      </c>
      <c r="F126" s="50">
        <f ca="1">Function!P126</f>
        <v>0</v>
      </c>
      <c r="H126" s="79"/>
      <c r="L126" s="50">
        <f t="shared" ca="1" si="37"/>
        <v>0</v>
      </c>
      <c r="O126" s="73">
        <v>0</v>
      </c>
      <c r="P126" s="20">
        <f ca="1">OFFSET('Gas Supply Factors'!$B$14,$O126-1,P$14)*$L126+OFFSET('Gas Supply Factors'!$B$14,$K126-1,P$14)*$H126</f>
        <v>0</v>
      </c>
      <c r="R126" s="20">
        <f ca="1">OFFSET('Gas Supply Factors'!$B$14,$O126-1,R$14)*$L126+OFFSET('Gas Supply Factors'!$B$14,$K126-1,R$14)*$H126</f>
        <v>0</v>
      </c>
      <c r="S126" s="20"/>
      <c r="T126" s="20">
        <f ca="1">OFFSET('Gas Supply Factors'!$B$14,$O126-1,T$14)*$L126+OFFSET('Gas Supply Factors'!$B$14,$K126-1,T$14)*$H126</f>
        <v>0</v>
      </c>
      <c r="U126" s="20"/>
      <c r="V126" s="20">
        <f ca="1">OFFSET('Gas Supply Factors'!$B$14,$O126-1,V$14)*$L126+OFFSET('Gas Supply Factors'!$B$14,$K126-1,V$14)*$H126</f>
        <v>0</v>
      </c>
      <c r="W126" s="20"/>
      <c r="X126" s="20">
        <f ca="1">OFFSET('Gas Supply Factors'!$B$14,$O126-1,X$14)*$L126+OFFSET('Gas Supply Factors'!$B$14,$K126-1,X$14)*$H126</f>
        <v>0</v>
      </c>
      <c r="Z126" s="20">
        <f ca="1">OFFSET('Gas Supply Factors'!$B$14,$O126-1,Z$14)*$L126+OFFSET('Gas Supply Factors'!$B$14,$K126-1,Z$14)*$H126</f>
        <v>0</v>
      </c>
      <c r="AB126" s="20">
        <f t="shared" ca="1" si="38"/>
        <v>0</v>
      </c>
      <c r="AD126" s="25" t="str">
        <f t="shared" ca="1" si="21"/>
        <v/>
      </c>
    </row>
    <row r="127" spans="2:30" x14ac:dyDescent="0.2">
      <c r="B127" s="18">
        <f t="shared" si="40"/>
        <v>74</v>
      </c>
      <c r="D127" s="36" t="s">
        <v>199</v>
      </c>
      <c r="F127" s="50">
        <f ca="1">Function!P127</f>
        <v>0</v>
      </c>
      <c r="H127" s="79"/>
      <c r="L127" s="50">
        <f t="shared" ca="1" si="37"/>
        <v>0</v>
      </c>
      <c r="O127" s="73">
        <v>0</v>
      </c>
      <c r="P127" s="20">
        <f ca="1">OFFSET('Gas Supply Factors'!$B$14,$O127-1,P$14)*$L127+OFFSET('Gas Supply Factors'!$B$14,$K127-1,P$14)*$H127</f>
        <v>0</v>
      </c>
      <c r="R127" s="20">
        <f ca="1">OFFSET('Gas Supply Factors'!$B$14,$O127-1,R$14)*$L127+OFFSET('Gas Supply Factors'!$B$14,$K127-1,R$14)*$H127</f>
        <v>0</v>
      </c>
      <c r="S127" s="20"/>
      <c r="T127" s="20">
        <f ca="1">OFFSET('Gas Supply Factors'!$B$14,$O127-1,T$14)*$L127+OFFSET('Gas Supply Factors'!$B$14,$K127-1,T$14)*$H127</f>
        <v>0</v>
      </c>
      <c r="U127" s="20"/>
      <c r="V127" s="20">
        <f ca="1">OFFSET('Gas Supply Factors'!$B$14,$O127-1,V$14)*$L127+OFFSET('Gas Supply Factors'!$B$14,$K127-1,V$14)*$H127</f>
        <v>0</v>
      </c>
      <c r="W127" s="20"/>
      <c r="X127" s="20">
        <f ca="1">OFFSET('Gas Supply Factors'!$B$14,$O127-1,X$14)*$L127+OFFSET('Gas Supply Factors'!$B$14,$K127-1,X$14)*$H127</f>
        <v>0</v>
      </c>
      <c r="Z127" s="20">
        <f ca="1">OFFSET('Gas Supply Factors'!$B$14,$O127-1,Z$14)*$L127+OFFSET('Gas Supply Factors'!$B$14,$K127-1,Z$14)*$H127</f>
        <v>0</v>
      </c>
      <c r="AB127" s="20">
        <f t="shared" ca="1" si="38"/>
        <v>0</v>
      </c>
      <c r="AD127" s="25" t="str">
        <f t="shared" ca="1" si="21"/>
        <v/>
      </c>
    </row>
    <row r="128" spans="2:30" x14ac:dyDescent="0.2">
      <c r="B128" s="18">
        <f t="shared" si="40"/>
        <v>75</v>
      </c>
      <c r="D128" s="36" t="s">
        <v>21</v>
      </c>
      <c r="F128" s="50">
        <f ca="1">Function!P128</f>
        <v>0</v>
      </c>
      <c r="H128" s="79"/>
      <c r="L128" s="50">
        <f t="shared" ca="1" si="37"/>
        <v>0</v>
      </c>
      <c r="O128" s="73">
        <v>0</v>
      </c>
      <c r="P128" s="20">
        <f ca="1">OFFSET('Gas Supply Factors'!$B$14,$O128-1,P$14)*$L128+OFFSET('Gas Supply Factors'!$B$14,$K128-1,P$14)*$H128</f>
        <v>0</v>
      </c>
      <c r="R128" s="20">
        <f ca="1">OFFSET('Gas Supply Factors'!$B$14,$O128-1,R$14)*$L128+OFFSET('Gas Supply Factors'!$B$14,$K128-1,R$14)*$H128</f>
        <v>0</v>
      </c>
      <c r="S128" s="20"/>
      <c r="T128" s="20">
        <f ca="1">OFFSET('Gas Supply Factors'!$B$14,$O128-1,T$14)*$L128+OFFSET('Gas Supply Factors'!$B$14,$K128-1,T$14)*$H128</f>
        <v>0</v>
      </c>
      <c r="U128" s="20"/>
      <c r="V128" s="20">
        <f ca="1">OFFSET('Gas Supply Factors'!$B$14,$O128-1,V$14)*$L128+OFFSET('Gas Supply Factors'!$B$14,$K128-1,V$14)*$H128</f>
        <v>0</v>
      </c>
      <c r="W128" s="20"/>
      <c r="X128" s="20">
        <f ca="1">OFFSET('Gas Supply Factors'!$B$14,$O128-1,X$14)*$L128+OFFSET('Gas Supply Factors'!$B$14,$K128-1,X$14)*$H128</f>
        <v>0</v>
      </c>
      <c r="Z128" s="20">
        <f ca="1">OFFSET('Gas Supply Factors'!$B$14,$O128-1,Z$14)*$L128+OFFSET('Gas Supply Factors'!$B$14,$K128-1,Z$14)*$H128</f>
        <v>0</v>
      </c>
      <c r="AB128" s="20">
        <f t="shared" ca="1" si="38"/>
        <v>0</v>
      </c>
      <c r="AD128" s="25" t="str">
        <f t="shared" ca="1" si="21"/>
        <v/>
      </c>
    </row>
    <row r="129" spans="2:30" x14ac:dyDescent="0.2">
      <c r="B129" s="18">
        <f t="shared" si="40"/>
        <v>76</v>
      </c>
      <c r="D129" s="36" t="s">
        <v>200</v>
      </c>
      <c r="F129" s="50">
        <f ca="1">Function!P129</f>
        <v>0</v>
      </c>
      <c r="H129" s="79"/>
      <c r="L129" s="50">
        <f t="shared" ca="1" si="37"/>
        <v>0</v>
      </c>
      <c r="O129" s="73">
        <v>0</v>
      </c>
      <c r="P129" s="20">
        <f ca="1">OFFSET('Gas Supply Factors'!$B$14,$O129-1,P$14)*$L129+OFFSET('Gas Supply Factors'!$B$14,$K129-1,P$14)*$H129</f>
        <v>0</v>
      </c>
      <c r="R129" s="20">
        <f ca="1">OFFSET('Gas Supply Factors'!$B$14,$O129-1,R$14)*$L129+OFFSET('Gas Supply Factors'!$B$14,$K129-1,R$14)*$H129</f>
        <v>0</v>
      </c>
      <c r="S129" s="20"/>
      <c r="T129" s="20">
        <f ca="1">OFFSET('Gas Supply Factors'!$B$14,$O129-1,T$14)*$L129+OFFSET('Gas Supply Factors'!$B$14,$K129-1,T$14)*$H129</f>
        <v>0</v>
      </c>
      <c r="U129" s="20"/>
      <c r="V129" s="20">
        <f ca="1">OFFSET('Gas Supply Factors'!$B$14,$O129-1,V$14)*$L129+OFFSET('Gas Supply Factors'!$B$14,$K129-1,V$14)*$H129</f>
        <v>0</v>
      </c>
      <c r="W129" s="20"/>
      <c r="X129" s="20">
        <f ca="1">OFFSET('Gas Supply Factors'!$B$14,$O129-1,X$14)*$L129+OFFSET('Gas Supply Factors'!$B$14,$K129-1,X$14)*$H129</f>
        <v>0</v>
      </c>
      <c r="Z129" s="20">
        <f ca="1">OFFSET('Gas Supply Factors'!$B$14,$O129-1,Z$14)*$L129+OFFSET('Gas Supply Factors'!$B$14,$K129-1,Z$14)*$H129</f>
        <v>0</v>
      </c>
      <c r="AB129" s="20">
        <f t="shared" ca="1" si="38"/>
        <v>0</v>
      </c>
      <c r="AD129" s="25" t="str">
        <f t="shared" ca="1" si="21"/>
        <v/>
      </c>
    </row>
    <row r="130" spans="2:30" x14ac:dyDescent="0.2">
      <c r="B130" s="18">
        <f t="shared" si="40"/>
        <v>77</v>
      </c>
      <c r="D130" s="36" t="s">
        <v>180</v>
      </c>
      <c r="F130" s="50">
        <f ca="1">Function!P130</f>
        <v>0</v>
      </c>
      <c r="H130" s="79"/>
      <c r="L130" s="50">
        <f t="shared" ca="1" si="37"/>
        <v>0</v>
      </c>
      <c r="O130" s="73">
        <v>0</v>
      </c>
      <c r="P130" s="20">
        <f ca="1">OFFSET('Gas Supply Factors'!$B$14,$O130-1,P$14)*$L130+OFFSET('Gas Supply Factors'!$B$14,$K130-1,P$14)*$H130</f>
        <v>0</v>
      </c>
      <c r="R130" s="20">
        <f ca="1">OFFSET('Gas Supply Factors'!$B$14,$O130-1,R$14)*$L130+OFFSET('Gas Supply Factors'!$B$14,$K130-1,R$14)*$H130</f>
        <v>0</v>
      </c>
      <c r="S130" s="20"/>
      <c r="T130" s="20">
        <f ca="1">OFFSET('Gas Supply Factors'!$B$14,$O130-1,T$14)*$L130+OFFSET('Gas Supply Factors'!$B$14,$K130-1,T$14)*$H130</f>
        <v>0</v>
      </c>
      <c r="U130" s="20"/>
      <c r="V130" s="20">
        <f ca="1">OFFSET('Gas Supply Factors'!$B$14,$O130-1,V$14)*$L130+OFFSET('Gas Supply Factors'!$B$14,$K130-1,V$14)*$H130</f>
        <v>0</v>
      </c>
      <c r="W130" s="20"/>
      <c r="X130" s="20">
        <f ca="1">OFFSET('Gas Supply Factors'!$B$14,$O130-1,X$14)*$L130+OFFSET('Gas Supply Factors'!$B$14,$K130-1,X$14)*$H130</f>
        <v>0</v>
      </c>
      <c r="Z130" s="20">
        <f ca="1">OFFSET('Gas Supply Factors'!$B$14,$O130-1,Z$14)*$L130+OFFSET('Gas Supply Factors'!$B$14,$K130-1,Z$14)*$H130</f>
        <v>0</v>
      </c>
      <c r="AB130" s="20">
        <f t="shared" ca="1" si="38"/>
        <v>0</v>
      </c>
      <c r="AD130" s="25" t="str">
        <f t="shared" ca="1" si="21"/>
        <v/>
      </c>
    </row>
    <row r="131" spans="2:30" x14ac:dyDescent="0.2">
      <c r="B131" s="18">
        <f t="shared" si="40"/>
        <v>78</v>
      </c>
      <c r="D131" s="36" t="s">
        <v>201</v>
      </c>
      <c r="F131" s="50">
        <f ca="1">Function!P131</f>
        <v>0</v>
      </c>
      <c r="H131" s="79"/>
      <c r="L131" s="50">
        <f t="shared" ca="1" si="37"/>
        <v>0</v>
      </c>
      <c r="O131" s="73">
        <v>0</v>
      </c>
      <c r="P131" s="20">
        <f ca="1">OFFSET('Gas Supply Factors'!$B$14,$O131-1,P$14)*$L131+OFFSET('Gas Supply Factors'!$B$14,$K131-1,P$14)*$H131</f>
        <v>0</v>
      </c>
      <c r="R131" s="20">
        <f ca="1">OFFSET('Gas Supply Factors'!$B$14,$O131-1,R$14)*$L131+OFFSET('Gas Supply Factors'!$B$14,$K131-1,R$14)*$H131</f>
        <v>0</v>
      </c>
      <c r="S131" s="20"/>
      <c r="T131" s="20">
        <f ca="1">OFFSET('Gas Supply Factors'!$B$14,$O131-1,T$14)*$L131+OFFSET('Gas Supply Factors'!$B$14,$K131-1,T$14)*$H131</f>
        <v>0</v>
      </c>
      <c r="U131" s="20"/>
      <c r="V131" s="20">
        <f ca="1">OFFSET('Gas Supply Factors'!$B$14,$O131-1,V$14)*$L131+OFFSET('Gas Supply Factors'!$B$14,$K131-1,V$14)*$H131</f>
        <v>0</v>
      </c>
      <c r="W131" s="20"/>
      <c r="X131" s="20">
        <f ca="1">OFFSET('Gas Supply Factors'!$B$14,$O131-1,X$14)*$L131+OFFSET('Gas Supply Factors'!$B$14,$K131-1,X$14)*$H131</f>
        <v>0</v>
      </c>
      <c r="Z131" s="20">
        <f ca="1">OFFSET('Gas Supply Factors'!$B$14,$O131-1,Z$14)*$L131+OFFSET('Gas Supply Factors'!$B$14,$K131-1,Z$14)*$H131</f>
        <v>0</v>
      </c>
      <c r="AB131" s="20">
        <f t="shared" ca="1" si="38"/>
        <v>0</v>
      </c>
      <c r="AD131" s="25" t="str">
        <f t="shared" ca="1" si="21"/>
        <v/>
      </c>
    </row>
    <row r="132" spans="2:30" x14ac:dyDescent="0.2">
      <c r="D132" s="1" t="s">
        <v>9</v>
      </c>
      <c r="T132" s="20"/>
      <c r="AD132" s="25" t="str">
        <f t="shared" si="21"/>
        <v/>
      </c>
    </row>
    <row r="133" spans="2:30" x14ac:dyDescent="0.2">
      <c r="B133" s="18">
        <f>B131+1</f>
        <v>79</v>
      </c>
      <c r="D133" s="1" t="s">
        <v>214</v>
      </c>
      <c r="F133" s="50">
        <f ca="1">Function!P133</f>
        <v>0</v>
      </c>
      <c r="L133" s="50">
        <f t="shared" ca="1" si="37"/>
        <v>0</v>
      </c>
      <c r="P133" s="20">
        <f ca="1">OFFSET('Gas Supply Factors'!$B$14,$O133-1,P$14)*$L133+OFFSET('Gas Supply Factors'!$B$14,$K133-1,P$14)*$H133</f>
        <v>0</v>
      </c>
      <c r="R133" s="20">
        <f ca="1">OFFSET('Gas Supply Factors'!$B$14,$O133-1,R$14)*$L133+OFFSET('Gas Supply Factors'!$B$14,$K133-1,R$14)*$H133</f>
        <v>0</v>
      </c>
      <c r="S133" s="20"/>
      <c r="T133" s="20">
        <f ca="1">OFFSET('Gas Supply Factors'!$B$14,$O133-1,T$14)*$L133+OFFSET('Gas Supply Factors'!$B$14,$K133-1,T$14)*$H133</f>
        <v>0</v>
      </c>
      <c r="U133" s="20"/>
      <c r="V133" s="20">
        <f ca="1">OFFSET('Gas Supply Factors'!$B$14,$O133-1,V$14)*$L133+OFFSET('Gas Supply Factors'!$B$14,$K133-1,V$14)*$H133</f>
        <v>0</v>
      </c>
      <c r="W133" s="20"/>
      <c r="X133" s="20">
        <f ca="1">OFFSET('Gas Supply Factors'!$B$14,$O133-1,X$14)*$L133+OFFSET('Gas Supply Factors'!$B$14,$K133-1,X$14)*$H133</f>
        <v>0</v>
      </c>
      <c r="Z133" s="20">
        <f ca="1">OFFSET('Gas Supply Factors'!$B$14,$O133-1,Z$14)*$L133+OFFSET('Gas Supply Factors'!$B$14,$K133-1,Z$14)*$H133</f>
        <v>0</v>
      </c>
      <c r="AD133" s="25" t="str">
        <f t="shared" ca="1" si="21"/>
        <v/>
      </c>
    </row>
    <row r="134" spans="2:30" x14ac:dyDescent="0.2">
      <c r="B134" s="18">
        <f>B133+1</f>
        <v>80</v>
      </c>
      <c r="D134" s="36" t="s">
        <v>202</v>
      </c>
      <c r="F134" s="50">
        <f ca="1">Function!P134</f>
        <v>0</v>
      </c>
      <c r="H134" s="79"/>
      <c r="L134" s="50">
        <f t="shared" ca="1" si="37"/>
        <v>0</v>
      </c>
      <c r="O134" s="73">
        <v>0</v>
      </c>
      <c r="P134" s="20">
        <f ca="1">OFFSET('Gas Supply Factors'!$B$14,$O134-1,P$14)*$L134+OFFSET('Gas Supply Factors'!$B$14,$K134-1,P$14)*$H134</f>
        <v>0</v>
      </c>
      <c r="R134" s="20">
        <f ca="1">OFFSET('Gas Supply Factors'!$B$14,$O134-1,R$14)*$L134+OFFSET('Gas Supply Factors'!$B$14,$K134-1,R$14)*$H134</f>
        <v>0</v>
      </c>
      <c r="S134" s="20"/>
      <c r="T134" s="20">
        <f ca="1">OFFSET('Gas Supply Factors'!$B$14,$O134-1,T$14)*$L134+OFFSET('Gas Supply Factors'!$B$14,$K134-1,T$14)*$H134</f>
        <v>0</v>
      </c>
      <c r="U134" s="20"/>
      <c r="V134" s="20">
        <f ca="1">OFFSET('Gas Supply Factors'!$B$14,$O134-1,V$14)*$L134+OFFSET('Gas Supply Factors'!$B$14,$K134-1,V$14)*$H134</f>
        <v>0</v>
      </c>
      <c r="W134" s="20"/>
      <c r="X134" s="20">
        <f ca="1">OFFSET('Gas Supply Factors'!$B$14,$O134-1,X$14)*$L134+OFFSET('Gas Supply Factors'!$B$14,$K134-1,X$14)*$H134</f>
        <v>0</v>
      </c>
      <c r="Z134" s="20">
        <f ca="1">OFFSET('Gas Supply Factors'!$B$14,$O134-1,Z$14)*$L134+OFFSET('Gas Supply Factors'!$B$14,$K134-1,Z$14)*$H134</f>
        <v>0</v>
      </c>
      <c r="AB134" s="20">
        <f t="shared" ref="AB134:AB136" ca="1" si="41">P134+R134+V134+X134+Z134+T134</f>
        <v>0</v>
      </c>
      <c r="AD134" s="25" t="str">
        <f t="shared" ca="1" si="21"/>
        <v/>
      </c>
    </row>
    <row r="135" spans="2:30" x14ac:dyDescent="0.2">
      <c r="B135" s="18">
        <f t="shared" ref="B135:B136" si="42">B134+1</f>
        <v>81</v>
      </c>
      <c r="D135" s="36" t="s">
        <v>199</v>
      </c>
      <c r="F135" s="50">
        <f ca="1">Function!P135</f>
        <v>0</v>
      </c>
      <c r="H135" s="79"/>
      <c r="L135" s="50">
        <f t="shared" ca="1" si="37"/>
        <v>0</v>
      </c>
      <c r="O135" s="73">
        <v>0</v>
      </c>
      <c r="P135" s="20">
        <f ca="1">OFFSET('Gas Supply Factors'!$B$14,$O135-1,P$14)*$L135+OFFSET('Gas Supply Factors'!$B$14,$K135-1,P$14)*$H135</f>
        <v>0</v>
      </c>
      <c r="R135" s="20">
        <f ca="1">OFFSET('Gas Supply Factors'!$B$14,$O135-1,R$14)*$L135+OFFSET('Gas Supply Factors'!$B$14,$K135-1,R$14)*$H135</f>
        <v>0</v>
      </c>
      <c r="S135" s="20"/>
      <c r="T135" s="20">
        <f ca="1">OFFSET('Gas Supply Factors'!$B$14,$O135-1,T$14)*$L135+OFFSET('Gas Supply Factors'!$B$14,$K135-1,T$14)*$H135</f>
        <v>0</v>
      </c>
      <c r="U135" s="20"/>
      <c r="V135" s="20">
        <f ca="1">OFFSET('Gas Supply Factors'!$B$14,$O135-1,V$14)*$L135+OFFSET('Gas Supply Factors'!$B$14,$K135-1,V$14)*$H135</f>
        <v>0</v>
      </c>
      <c r="W135" s="20"/>
      <c r="X135" s="20">
        <f ca="1">OFFSET('Gas Supply Factors'!$B$14,$O135-1,X$14)*$L135+OFFSET('Gas Supply Factors'!$B$14,$K135-1,X$14)*$H135</f>
        <v>0</v>
      </c>
      <c r="Z135" s="20">
        <f ca="1">OFFSET('Gas Supply Factors'!$B$14,$O135-1,Z$14)*$L135+OFFSET('Gas Supply Factors'!$B$14,$K135-1,Z$14)*$H135</f>
        <v>0</v>
      </c>
      <c r="AB135" s="20">
        <f t="shared" ca="1" si="41"/>
        <v>0</v>
      </c>
      <c r="AD135" s="25" t="str">
        <f t="shared" ca="1" si="21"/>
        <v/>
      </c>
    </row>
    <row r="136" spans="2:30" x14ac:dyDescent="0.2">
      <c r="B136" s="18">
        <f t="shared" si="42"/>
        <v>82</v>
      </c>
      <c r="D136" s="36" t="s">
        <v>21</v>
      </c>
      <c r="F136" s="50">
        <f ca="1">Function!P136</f>
        <v>0</v>
      </c>
      <c r="H136" s="79"/>
      <c r="L136" s="50">
        <f t="shared" ca="1" si="37"/>
        <v>0</v>
      </c>
      <c r="O136" s="73">
        <v>0</v>
      </c>
      <c r="P136" s="20">
        <f ca="1">OFFSET('Gas Supply Factors'!$B$14,$O136-1,P$14)*$L136+OFFSET('Gas Supply Factors'!$B$14,$K136-1,P$14)*$H136</f>
        <v>0</v>
      </c>
      <c r="R136" s="20">
        <f ca="1">OFFSET('Gas Supply Factors'!$B$14,$O136-1,R$14)*$L136+OFFSET('Gas Supply Factors'!$B$14,$K136-1,R$14)*$H136</f>
        <v>0</v>
      </c>
      <c r="S136" s="20"/>
      <c r="T136" s="20">
        <f ca="1">OFFSET('Gas Supply Factors'!$B$14,$O136-1,T$14)*$L136+OFFSET('Gas Supply Factors'!$B$14,$K136-1,T$14)*$H136</f>
        <v>0</v>
      </c>
      <c r="U136" s="20"/>
      <c r="V136" s="20">
        <f ca="1">OFFSET('Gas Supply Factors'!$B$14,$O136-1,V$14)*$L136+OFFSET('Gas Supply Factors'!$B$14,$K136-1,V$14)*$H136</f>
        <v>0</v>
      </c>
      <c r="W136" s="20"/>
      <c r="X136" s="20">
        <f ca="1">OFFSET('Gas Supply Factors'!$B$14,$O136-1,X$14)*$L136+OFFSET('Gas Supply Factors'!$B$14,$K136-1,X$14)*$H136</f>
        <v>0</v>
      </c>
      <c r="Z136" s="20">
        <f ca="1">OFFSET('Gas Supply Factors'!$B$14,$O136-1,Z$14)*$L136+OFFSET('Gas Supply Factors'!$B$14,$K136-1,Z$14)*$H136</f>
        <v>0</v>
      </c>
      <c r="AB136" s="20">
        <f t="shared" ca="1" si="41"/>
        <v>0</v>
      </c>
      <c r="AD136" s="25" t="str">
        <f t="shared" ca="1" si="21"/>
        <v/>
      </c>
    </row>
    <row r="137" spans="2:30" x14ac:dyDescent="0.2">
      <c r="D137" s="1" t="s">
        <v>10</v>
      </c>
      <c r="T137" s="20"/>
      <c r="AD137" s="25" t="str">
        <f t="shared" si="21"/>
        <v/>
      </c>
    </row>
    <row r="138" spans="2:30" x14ac:dyDescent="0.2">
      <c r="B138" s="18">
        <f>B136+1</f>
        <v>83</v>
      </c>
      <c r="D138" s="1" t="s">
        <v>217</v>
      </c>
      <c r="F138" s="50">
        <f ca="1">Function!P138</f>
        <v>0</v>
      </c>
      <c r="L138" s="50">
        <f t="shared" ca="1" si="37"/>
        <v>0</v>
      </c>
      <c r="O138" s="73"/>
      <c r="P138" s="20">
        <f ca="1">OFFSET('Gas Supply Factors'!$B$14,$O138-1,P$14)*$L138+OFFSET('Gas Supply Factors'!$B$14,$K138-1,P$14)*$H138</f>
        <v>0</v>
      </c>
      <c r="R138" s="20">
        <f ca="1">OFFSET('Gas Supply Factors'!$B$14,$O138-1,R$14)*$L138+OFFSET('Gas Supply Factors'!$B$14,$K138-1,R$14)*$H138</f>
        <v>0</v>
      </c>
      <c r="S138" s="20"/>
      <c r="T138" s="20">
        <f ca="1">OFFSET('Gas Supply Factors'!$B$14,$O138-1,T$14)*$L138+OFFSET('Gas Supply Factors'!$B$14,$K138-1,T$14)*$H138</f>
        <v>0</v>
      </c>
      <c r="U138" s="20"/>
      <c r="V138" s="20">
        <f ca="1">OFFSET('Gas Supply Factors'!$B$14,$O138-1,V$14)*$L138+OFFSET('Gas Supply Factors'!$B$14,$K138-1,V$14)*$H138</f>
        <v>0</v>
      </c>
      <c r="W138" s="20"/>
      <c r="X138" s="20">
        <f ca="1">OFFSET('Gas Supply Factors'!$B$14,$O138-1,X$14)*$L138+OFFSET('Gas Supply Factors'!$B$14,$K138-1,X$14)*$H138</f>
        <v>0</v>
      </c>
      <c r="Z138" s="20">
        <f ca="1">OFFSET('Gas Supply Factors'!$B$14,$O138-1,Z$14)*$L138+OFFSET('Gas Supply Factors'!$B$14,$K138-1,Z$14)*$H138</f>
        <v>0</v>
      </c>
      <c r="AD138" s="25" t="str">
        <f t="shared" ca="1" si="21"/>
        <v/>
      </c>
    </row>
    <row r="139" spans="2:30" x14ac:dyDescent="0.2">
      <c r="B139" s="18">
        <f>B138+1</f>
        <v>84</v>
      </c>
      <c r="D139" s="36" t="s">
        <v>204</v>
      </c>
      <c r="F139" s="50">
        <f ca="1">Function!P139</f>
        <v>0</v>
      </c>
      <c r="H139" s="79"/>
      <c r="L139" s="50">
        <f t="shared" ca="1" si="37"/>
        <v>0</v>
      </c>
      <c r="O139" s="73">
        <v>0</v>
      </c>
      <c r="P139" s="20">
        <f ca="1">OFFSET('Gas Supply Factors'!$B$14,$O139-1,P$14)*$L139+OFFSET('Gas Supply Factors'!$B$14,$K139-1,P$14)*$H139</f>
        <v>0</v>
      </c>
      <c r="R139" s="20">
        <f ca="1">OFFSET('Gas Supply Factors'!$B$14,$O139-1,R$14)*$L139+OFFSET('Gas Supply Factors'!$B$14,$K139-1,R$14)*$H139</f>
        <v>0</v>
      </c>
      <c r="S139" s="20"/>
      <c r="T139" s="20">
        <f ca="1">OFFSET('Gas Supply Factors'!$B$14,$O139-1,T$14)*$L139+OFFSET('Gas Supply Factors'!$B$14,$K139-1,T$14)*$H139</f>
        <v>0</v>
      </c>
      <c r="U139" s="20"/>
      <c r="V139" s="20">
        <f ca="1">OFFSET('Gas Supply Factors'!$B$14,$O139-1,V$14)*$L139+OFFSET('Gas Supply Factors'!$B$14,$K139-1,V$14)*$H139</f>
        <v>0</v>
      </c>
      <c r="W139" s="20"/>
      <c r="X139" s="20">
        <f ca="1">OFFSET('Gas Supply Factors'!$B$14,$O139-1,X$14)*$L139+OFFSET('Gas Supply Factors'!$B$14,$K139-1,X$14)*$H139</f>
        <v>0</v>
      </c>
      <c r="Z139" s="20">
        <f ca="1">OFFSET('Gas Supply Factors'!$B$14,$O139-1,Z$14)*$L139+OFFSET('Gas Supply Factors'!$B$14,$K139-1,Z$14)*$H139</f>
        <v>0</v>
      </c>
      <c r="AB139" s="20">
        <f t="shared" ref="AB139:AB143" ca="1" si="43">P139+R139+V139+X139+Z139+T139</f>
        <v>0</v>
      </c>
      <c r="AD139" s="25" t="str">
        <f t="shared" ca="1" si="21"/>
        <v/>
      </c>
    </row>
    <row r="140" spans="2:30" x14ac:dyDescent="0.2">
      <c r="B140" s="18">
        <f t="shared" ref="B140:B143" si="44">B139+1</f>
        <v>85</v>
      </c>
      <c r="D140" s="36" t="s">
        <v>178</v>
      </c>
      <c r="F140" s="50">
        <f ca="1">Function!P140</f>
        <v>0</v>
      </c>
      <c r="H140" s="79"/>
      <c r="L140" s="50">
        <f t="shared" ca="1" si="37"/>
        <v>0</v>
      </c>
      <c r="O140" s="73">
        <v>0</v>
      </c>
      <c r="P140" s="20">
        <f ca="1">OFFSET('Gas Supply Factors'!$B$14,$O140-1,P$14)*$L140+OFFSET('Gas Supply Factors'!$B$14,$K140-1,P$14)*$H140</f>
        <v>0</v>
      </c>
      <c r="R140" s="20">
        <f ca="1">OFFSET('Gas Supply Factors'!$B$14,$O140-1,R$14)*$L140+OFFSET('Gas Supply Factors'!$B$14,$K140-1,R$14)*$H140</f>
        <v>0</v>
      </c>
      <c r="S140" s="20"/>
      <c r="T140" s="20">
        <f ca="1">OFFSET('Gas Supply Factors'!$B$14,$O140-1,T$14)*$L140+OFFSET('Gas Supply Factors'!$B$14,$K140-1,T$14)*$H140</f>
        <v>0</v>
      </c>
      <c r="U140" s="20"/>
      <c r="V140" s="20">
        <f ca="1">OFFSET('Gas Supply Factors'!$B$14,$O140-1,V$14)*$L140+OFFSET('Gas Supply Factors'!$B$14,$K140-1,V$14)*$H140</f>
        <v>0</v>
      </c>
      <c r="W140" s="20"/>
      <c r="X140" s="20">
        <f ca="1">OFFSET('Gas Supply Factors'!$B$14,$O140-1,X$14)*$L140+OFFSET('Gas Supply Factors'!$B$14,$K140-1,X$14)*$H140</f>
        <v>0</v>
      </c>
      <c r="Z140" s="20">
        <f ca="1">OFFSET('Gas Supply Factors'!$B$14,$O140-1,Z$14)*$L140+OFFSET('Gas Supply Factors'!$B$14,$K140-1,Z$14)*$H140</f>
        <v>0</v>
      </c>
      <c r="AB140" s="20">
        <f t="shared" ca="1" si="43"/>
        <v>0</v>
      </c>
      <c r="AD140" s="25" t="str">
        <f t="shared" ca="1" si="21"/>
        <v/>
      </c>
    </row>
    <row r="141" spans="2:30" x14ac:dyDescent="0.2">
      <c r="B141" s="18">
        <f t="shared" si="44"/>
        <v>86</v>
      </c>
      <c r="D141" s="36" t="s">
        <v>205</v>
      </c>
      <c r="F141" s="50">
        <f ca="1">Function!P141</f>
        <v>0</v>
      </c>
      <c r="H141" s="79"/>
      <c r="L141" s="50">
        <f t="shared" ca="1" si="37"/>
        <v>0</v>
      </c>
      <c r="O141" s="73">
        <v>0</v>
      </c>
      <c r="P141" s="20">
        <f ca="1">OFFSET('Gas Supply Factors'!$B$14,$O141-1,P$14)*$L141+OFFSET('Gas Supply Factors'!$B$14,$K141-1,P$14)*$H141</f>
        <v>0</v>
      </c>
      <c r="R141" s="20">
        <f ca="1">OFFSET('Gas Supply Factors'!$B$14,$O141-1,R$14)*$L141+OFFSET('Gas Supply Factors'!$B$14,$K141-1,R$14)*$H141</f>
        <v>0</v>
      </c>
      <c r="S141" s="20"/>
      <c r="T141" s="20">
        <f ca="1">OFFSET('Gas Supply Factors'!$B$14,$O141-1,T$14)*$L141+OFFSET('Gas Supply Factors'!$B$14,$K141-1,T$14)*$H141</f>
        <v>0</v>
      </c>
      <c r="U141" s="20"/>
      <c r="V141" s="20">
        <f ca="1">OFFSET('Gas Supply Factors'!$B$14,$O141-1,V$14)*$L141+OFFSET('Gas Supply Factors'!$B$14,$K141-1,V$14)*$H141</f>
        <v>0</v>
      </c>
      <c r="W141" s="20"/>
      <c r="X141" s="20">
        <f ca="1">OFFSET('Gas Supply Factors'!$B$14,$O141-1,X$14)*$L141+OFFSET('Gas Supply Factors'!$B$14,$K141-1,X$14)*$H141</f>
        <v>0</v>
      </c>
      <c r="Z141" s="20">
        <f ca="1">OFFSET('Gas Supply Factors'!$B$14,$O141-1,Z$14)*$L141+OFFSET('Gas Supply Factors'!$B$14,$K141-1,Z$14)*$H141</f>
        <v>0</v>
      </c>
      <c r="AB141" s="20">
        <f t="shared" ca="1" si="43"/>
        <v>0</v>
      </c>
      <c r="AD141" s="25" t="str">
        <f t="shared" ca="1" si="21"/>
        <v/>
      </c>
    </row>
    <row r="142" spans="2:30" x14ac:dyDescent="0.2">
      <c r="B142" s="18">
        <f t="shared" si="44"/>
        <v>87</v>
      </c>
      <c r="D142" s="36" t="s">
        <v>21</v>
      </c>
      <c r="F142" s="50">
        <f ca="1">Function!P142</f>
        <v>0</v>
      </c>
      <c r="H142" s="79"/>
      <c r="L142" s="50">
        <f t="shared" ca="1" si="37"/>
        <v>0</v>
      </c>
      <c r="O142" s="73">
        <v>0</v>
      </c>
      <c r="P142" s="20">
        <f ca="1">OFFSET('Gas Supply Factors'!$B$14,$O142-1,P$14)*$L142+OFFSET('Gas Supply Factors'!$B$14,$K142-1,P$14)*$H142</f>
        <v>0</v>
      </c>
      <c r="R142" s="20">
        <f ca="1">OFFSET('Gas Supply Factors'!$B$14,$O142-1,R$14)*$L142+OFFSET('Gas Supply Factors'!$B$14,$K142-1,R$14)*$H142</f>
        <v>0</v>
      </c>
      <c r="S142" s="20"/>
      <c r="T142" s="20">
        <f ca="1">OFFSET('Gas Supply Factors'!$B$14,$O142-1,T$14)*$L142+OFFSET('Gas Supply Factors'!$B$14,$K142-1,T$14)*$H142</f>
        <v>0</v>
      </c>
      <c r="U142" s="20"/>
      <c r="V142" s="20">
        <f ca="1">OFFSET('Gas Supply Factors'!$B$14,$O142-1,V$14)*$L142+OFFSET('Gas Supply Factors'!$B$14,$K142-1,V$14)*$H142</f>
        <v>0</v>
      </c>
      <c r="W142" s="20"/>
      <c r="X142" s="20">
        <f ca="1">OFFSET('Gas Supply Factors'!$B$14,$O142-1,X$14)*$L142+OFFSET('Gas Supply Factors'!$B$14,$K142-1,X$14)*$H142</f>
        <v>0</v>
      </c>
      <c r="Z142" s="20">
        <f ca="1">OFFSET('Gas Supply Factors'!$B$14,$O142-1,Z$14)*$L142+OFFSET('Gas Supply Factors'!$B$14,$K142-1,Z$14)*$H142</f>
        <v>0</v>
      </c>
      <c r="AB142" s="20">
        <f t="shared" ca="1" si="43"/>
        <v>0</v>
      </c>
      <c r="AD142" s="25" t="str">
        <f t="shared" ca="1" si="21"/>
        <v/>
      </c>
    </row>
    <row r="143" spans="2:30" x14ac:dyDescent="0.2">
      <c r="B143" s="18">
        <f t="shared" si="44"/>
        <v>88</v>
      </c>
      <c r="D143" s="36" t="s">
        <v>206</v>
      </c>
      <c r="F143" s="50">
        <f ca="1">Function!P143</f>
        <v>0</v>
      </c>
      <c r="H143" s="79"/>
      <c r="L143" s="50">
        <f t="shared" ca="1" si="37"/>
        <v>0</v>
      </c>
      <c r="O143" s="73">
        <v>0</v>
      </c>
      <c r="P143" s="20">
        <f ca="1">OFFSET('Gas Supply Factors'!$B$14,$O143-1,P$14)*$L143+OFFSET('Gas Supply Factors'!$B$14,$K143-1,P$14)*$H143</f>
        <v>0</v>
      </c>
      <c r="R143" s="20">
        <f ca="1">OFFSET('Gas Supply Factors'!$B$14,$O143-1,R$14)*$L143+OFFSET('Gas Supply Factors'!$B$14,$K143-1,R$14)*$H143</f>
        <v>0</v>
      </c>
      <c r="S143" s="20"/>
      <c r="T143" s="20">
        <f ca="1">OFFSET('Gas Supply Factors'!$B$14,$O143-1,T$14)*$L143+OFFSET('Gas Supply Factors'!$B$14,$K143-1,T$14)*$H143</f>
        <v>0</v>
      </c>
      <c r="U143" s="20"/>
      <c r="V143" s="20">
        <f ca="1">OFFSET('Gas Supply Factors'!$B$14,$O143-1,V$14)*$L143+OFFSET('Gas Supply Factors'!$B$14,$K143-1,V$14)*$H143</f>
        <v>0</v>
      </c>
      <c r="W143" s="20"/>
      <c r="X143" s="20">
        <f ca="1">OFFSET('Gas Supply Factors'!$B$14,$O143-1,X$14)*$L143+OFFSET('Gas Supply Factors'!$B$14,$K143-1,X$14)*$H143</f>
        <v>0</v>
      </c>
      <c r="Z143" s="20">
        <f ca="1">OFFSET('Gas Supply Factors'!$B$14,$O143-1,Z$14)*$L143+OFFSET('Gas Supply Factors'!$B$14,$K143-1,Z$14)*$H143</f>
        <v>0</v>
      </c>
      <c r="AB143" s="20">
        <f t="shared" ca="1" si="43"/>
        <v>0</v>
      </c>
      <c r="AD143" s="25" t="str">
        <f t="shared" ca="1" si="21"/>
        <v/>
      </c>
    </row>
    <row r="144" spans="2:30" x14ac:dyDescent="0.2">
      <c r="D144" s="1" t="s">
        <v>207</v>
      </c>
      <c r="T144" s="20"/>
      <c r="AD144" s="25" t="str">
        <f t="shared" si="21"/>
        <v/>
      </c>
    </row>
    <row r="145" spans="2:30" x14ac:dyDescent="0.2">
      <c r="B145" s="18">
        <f>B143+1</f>
        <v>89</v>
      </c>
      <c r="D145" s="36" t="s">
        <v>208</v>
      </c>
      <c r="F145" s="50">
        <f ca="1">Function!P145</f>
        <v>2546.4739944630078</v>
      </c>
      <c r="H145" s="79"/>
      <c r="L145" s="50">
        <f t="shared" ca="1" si="37"/>
        <v>2546.4739944630078</v>
      </c>
      <c r="N145" s="2" t="s">
        <v>136</v>
      </c>
      <c r="O145" s="73">
        <v>1</v>
      </c>
      <c r="P145" s="20">
        <f ca="1">OFFSET('Gas Supply Factors'!$B$14,$O145-1,P$14)*$L145+OFFSET('Gas Supply Factors'!$B$14,$K145-1,P$14)*$H145</f>
        <v>0</v>
      </c>
      <c r="R145" s="20">
        <f ca="1">OFFSET('Gas Supply Factors'!$B$14,$O145-1,R$14)*$L145+OFFSET('Gas Supply Factors'!$B$14,$K145-1,R$14)*$H145</f>
        <v>0</v>
      </c>
      <c r="S145" s="20"/>
      <c r="T145" s="20">
        <f ca="1">OFFSET('Gas Supply Factors'!$B$14,$O145-1,T$14)*$L145+OFFSET('Gas Supply Factors'!$B$14,$K145-1,T$14)*$H145</f>
        <v>0</v>
      </c>
      <c r="U145" s="20"/>
      <c r="V145" s="20">
        <f ca="1">OFFSET('Gas Supply Factors'!$B$14,$O145-1,V$14)*$L145+OFFSET('Gas Supply Factors'!$B$14,$K145-1,V$14)*$H145</f>
        <v>0</v>
      </c>
      <c r="W145" s="20"/>
      <c r="X145" s="20">
        <f ca="1">OFFSET('Gas Supply Factors'!$B$14,$O145-1,X$14)*$L145+OFFSET('Gas Supply Factors'!$B$14,$K145-1,X$14)*$H145</f>
        <v>0</v>
      </c>
      <c r="Z145" s="20">
        <f ca="1">OFFSET('Gas Supply Factors'!$B$14,$O145-1,Z$14)*$L145+OFFSET('Gas Supply Factors'!$B$14,$K145-1,Z$14)*$H145</f>
        <v>2546.4739944630078</v>
      </c>
      <c r="AB145" s="20">
        <f t="shared" ref="AB145" ca="1" si="45">P145+R145+V145+X145+Z145+T145</f>
        <v>2546.4739944630078</v>
      </c>
      <c r="AD145" s="25" t="str">
        <f t="shared" ca="1" si="21"/>
        <v/>
      </c>
    </row>
    <row r="146" spans="2:30" x14ac:dyDescent="0.2">
      <c r="D146" s="1" t="s">
        <v>209</v>
      </c>
      <c r="T146" s="20"/>
      <c r="AD146" s="25" t="str">
        <f t="shared" si="21"/>
        <v/>
      </c>
    </row>
    <row r="147" spans="2:30" x14ac:dyDescent="0.2">
      <c r="B147" s="18">
        <f>B145+1</f>
        <v>90</v>
      </c>
      <c r="D147" s="36" t="s">
        <v>177</v>
      </c>
      <c r="F147" s="50">
        <f ca="1">Function!P147</f>
        <v>0</v>
      </c>
      <c r="H147" s="79"/>
      <c r="L147" s="50">
        <f t="shared" ca="1" si="37"/>
        <v>0</v>
      </c>
      <c r="O147" s="73">
        <v>0</v>
      </c>
      <c r="P147" s="20">
        <f ca="1">OFFSET('Gas Supply Factors'!$B$14,$O147-1,P$14)*$L147+OFFSET('Gas Supply Factors'!$B$14,$K147-1,P$14)*$H147</f>
        <v>0</v>
      </c>
      <c r="R147" s="20">
        <f ca="1">OFFSET('Gas Supply Factors'!$B$14,$O147-1,R$14)*$L147+OFFSET('Gas Supply Factors'!$B$14,$K147-1,R$14)*$H147</f>
        <v>0</v>
      </c>
      <c r="S147" s="20"/>
      <c r="T147" s="20">
        <f ca="1">OFFSET('Gas Supply Factors'!$B$14,$O147-1,T$14)*$L147+OFFSET('Gas Supply Factors'!$B$14,$K147-1,T$14)*$H147</f>
        <v>0</v>
      </c>
      <c r="U147" s="20"/>
      <c r="V147" s="20">
        <f ca="1">OFFSET('Gas Supply Factors'!$B$14,$O147-1,V$14)*$L147+OFFSET('Gas Supply Factors'!$B$14,$K147-1,V$14)*$H147</f>
        <v>0</v>
      </c>
      <c r="W147" s="20"/>
      <c r="X147" s="20">
        <f ca="1">OFFSET('Gas Supply Factors'!$B$14,$O147-1,X$14)*$L147+OFFSET('Gas Supply Factors'!$B$14,$K147-1,X$14)*$H147</f>
        <v>0</v>
      </c>
      <c r="Z147" s="20">
        <f ca="1">OFFSET('Gas Supply Factors'!$B$14,$O147-1,Z$14)*$L147+OFFSET('Gas Supply Factors'!$B$14,$K147-1,Z$14)*$H147</f>
        <v>0</v>
      </c>
      <c r="AB147" s="20">
        <f t="shared" ref="AB147:AB149" ca="1" si="46">P147+R147+V147+X147+Z147+T147</f>
        <v>0</v>
      </c>
      <c r="AD147" s="25" t="str">
        <f t="shared" ca="1" si="21"/>
        <v/>
      </c>
    </row>
    <row r="148" spans="2:30" x14ac:dyDescent="0.2">
      <c r="B148" s="18">
        <f>B147+1</f>
        <v>91</v>
      </c>
      <c r="D148" s="36" t="s">
        <v>122</v>
      </c>
      <c r="F148" s="50">
        <f ca="1">Function!P148</f>
        <v>0</v>
      </c>
      <c r="H148" s="79"/>
      <c r="L148" s="50">
        <f t="shared" ca="1" si="37"/>
        <v>0</v>
      </c>
      <c r="O148" s="73">
        <v>0</v>
      </c>
      <c r="P148" s="20">
        <f ca="1">OFFSET('Gas Supply Factors'!$B$14,$O148-1,P$14)*$L148+OFFSET('Gas Supply Factors'!$B$14,$K148-1,P$14)*$H148</f>
        <v>0</v>
      </c>
      <c r="R148" s="20">
        <f ca="1">OFFSET('Gas Supply Factors'!$B$14,$O148-1,R$14)*$L148+OFFSET('Gas Supply Factors'!$B$14,$K148-1,R$14)*$H148</f>
        <v>0</v>
      </c>
      <c r="S148" s="20"/>
      <c r="T148" s="20">
        <f ca="1">OFFSET('Gas Supply Factors'!$B$14,$O148-1,T$14)*$L148+OFFSET('Gas Supply Factors'!$B$14,$K148-1,T$14)*$H148</f>
        <v>0</v>
      </c>
      <c r="U148" s="20"/>
      <c r="V148" s="20">
        <f ca="1">OFFSET('Gas Supply Factors'!$B$14,$O148-1,V$14)*$L148+OFFSET('Gas Supply Factors'!$B$14,$K148-1,V$14)*$H148</f>
        <v>0</v>
      </c>
      <c r="W148" s="20"/>
      <c r="X148" s="20">
        <f ca="1">OFFSET('Gas Supply Factors'!$B$14,$O148-1,X$14)*$L148+OFFSET('Gas Supply Factors'!$B$14,$K148-1,X$14)*$H148</f>
        <v>0</v>
      </c>
      <c r="Z148" s="20">
        <f ca="1">OFFSET('Gas Supply Factors'!$B$14,$O148-1,Z$14)*$L148+OFFSET('Gas Supply Factors'!$B$14,$K148-1,Z$14)*$H148</f>
        <v>0</v>
      </c>
      <c r="AB148" s="20">
        <f t="shared" ca="1" si="46"/>
        <v>0</v>
      </c>
      <c r="AD148" s="25" t="str">
        <f t="shared" ca="1" si="21"/>
        <v/>
      </c>
    </row>
    <row r="149" spans="2:30" x14ac:dyDescent="0.2">
      <c r="B149" s="18">
        <f t="shared" ref="B149" si="47">B148+1</f>
        <v>92</v>
      </c>
      <c r="D149" s="36" t="s">
        <v>210</v>
      </c>
      <c r="F149" s="50">
        <f ca="1">Function!P149</f>
        <v>0</v>
      </c>
      <c r="H149" s="79"/>
      <c r="L149" s="50">
        <f t="shared" ca="1" si="37"/>
        <v>0</v>
      </c>
      <c r="O149" s="73">
        <v>0</v>
      </c>
      <c r="P149" s="20">
        <f ca="1">OFFSET('Gas Supply Factors'!$B$14,$O149-1,P$14)*$L149+OFFSET('Gas Supply Factors'!$B$14,$K149-1,P$14)*$H149</f>
        <v>0</v>
      </c>
      <c r="R149" s="20">
        <f ca="1">OFFSET('Gas Supply Factors'!$B$14,$O149-1,R$14)*$L149+OFFSET('Gas Supply Factors'!$B$14,$K149-1,R$14)*$H149</f>
        <v>0</v>
      </c>
      <c r="S149" s="20"/>
      <c r="T149" s="20">
        <f ca="1">OFFSET('Gas Supply Factors'!$B$14,$O149-1,T$14)*$L149+OFFSET('Gas Supply Factors'!$B$14,$K149-1,T$14)*$H149</f>
        <v>0</v>
      </c>
      <c r="U149" s="20"/>
      <c r="V149" s="20">
        <f ca="1">OFFSET('Gas Supply Factors'!$B$14,$O149-1,V$14)*$L149+OFFSET('Gas Supply Factors'!$B$14,$K149-1,V$14)*$H149</f>
        <v>0</v>
      </c>
      <c r="W149" s="20"/>
      <c r="X149" s="20">
        <f ca="1">OFFSET('Gas Supply Factors'!$B$14,$O149-1,X$14)*$L149+OFFSET('Gas Supply Factors'!$B$14,$K149-1,X$14)*$H149</f>
        <v>0</v>
      </c>
      <c r="Z149" s="20">
        <f ca="1">OFFSET('Gas Supply Factors'!$B$14,$O149-1,Z$14)*$L149+OFFSET('Gas Supply Factors'!$B$14,$K149-1,Z$14)*$H149</f>
        <v>0</v>
      </c>
      <c r="AB149" s="20">
        <f t="shared" ca="1" si="46"/>
        <v>0</v>
      </c>
      <c r="AD149" s="25" t="str">
        <f t="shared" ca="1" si="21"/>
        <v/>
      </c>
    </row>
    <row r="150" spans="2:30" x14ac:dyDescent="0.2">
      <c r="D150" s="1" t="s">
        <v>72</v>
      </c>
      <c r="T150" s="20"/>
      <c r="AD150" s="25" t="str">
        <f t="shared" si="21"/>
        <v/>
      </c>
    </row>
    <row r="151" spans="2:30" x14ac:dyDescent="0.2">
      <c r="B151" s="18">
        <f>B149+1</f>
        <v>93</v>
      </c>
      <c r="D151" s="36" t="s">
        <v>171</v>
      </c>
      <c r="F151" s="50">
        <f ca="1">Function!P151</f>
        <v>1295.4715209674002</v>
      </c>
      <c r="H151" s="79"/>
      <c r="L151" s="50">
        <f t="shared" ca="1" si="37"/>
        <v>1295.4715209674002</v>
      </c>
      <c r="N151" s="2" t="s">
        <v>136</v>
      </c>
      <c r="O151" s="73">
        <v>1</v>
      </c>
      <c r="P151" s="20">
        <f ca="1">OFFSET('Gas Supply Factors'!$B$14,$O151-1,P$14)*$L151+OFFSET('Gas Supply Factors'!$B$14,$K151-1,P$14)*$H151</f>
        <v>0</v>
      </c>
      <c r="R151" s="20">
        <f ca="1">OFFSET('Gas Supply Factors'!$B$14,$O151-1,R$14)*$L151+OFFSET('Gas Supply Factors'!$B$14,$K151-1,R$14)*$H151</f>
        <v>0</v>
      </c>
      <c r="S151" s="20"/>
      <c r="T151" s="20">
        <f ca="1">OFFSET('Gas Supply Factors'!$B$14,$O151-1,T$14)*$L151+OFFSET('Gas Supply Factors'!$B$14,$K151-1,T$14)*$H151</f>
        <v>0</v>
      </c>
      <c r="U151" s="20"/>
      <c r="V151" s="20">
        <f ca="1">OFFSET('Gas Supply Factors'!$B$14,$O151-1,V$14)*$L151+OFFSET('Gas Supply Factors'!$B$14,$K151-1,V$14)*$H151</f>
        <v>0</v>
      </c>
      <c r="W151" s="20"/>
      <c r="X151" s="20">
        <f ca="1">OFFSET('Gas Supply Factors'!$B$14,$O151-1,X$14)*$L151+OFFSET('Gas Supply Factors'!$B$14,$K151-1,X$14)*$H151</f>
        <v>0</v>
      </c>
      <c r="Z151" s="20">
        <f ca="1">OFFSET('Gas Supply Factors'!$B$14,$O151-1,Z$14)*$L151+OFFSET('Gas Supply Factors'!$B$14,$K151-1,Z$14)*$H151</f>
        <v>1295.4715209674002</v>
      </c>
      <c r="AB151" s="20">
        <f t="shared" ref="AB151:AB157" ca="1" si="48">P151+R151+V151+X151+Z151+T151</f>
        <v>1295.4715209674002</v>
      </c>
      <c r="AD151" s="25" t="str">
        <f t="shared" ca="1" si="21"/>
        <v/>
      </c>
    </row>
    <row r="152" spans="2:30" x14ac:dyDescent="0.2">
      <c r="B152" s="18">
        <f>B151+1</f>
        <v>94</v>
      </c>
      <c r="D152" s="36" t="s">
        <v>211</v>
      </c>
      <c r="F152" s="50">
        <f ca="1">Function!P152</f>
        <v>0</v>
      </c>
      <c r="H152" s="79"/>
      <c r="L152" s="50">
        <f t="shared" ca="1" si="37"/>
        <v>0</v>
      </c>
      <c r="O152" s="73">
        <v>0</v>
      </c>
      <c r="P152" s="20">
        <f ca="1">OFFSET('Gas Supply Factors'!$B$14,$O152-1,P$14)*$L152+OFFSET('Gas Supply Factors'!$B$14,$K152-1,P$14)*$H152</f>
        <v>0</v>
      </c>
      <c r="R152" s="20">
        <f ca="1">OFFSET('Gas Supply Factors'!$B$14,$O152-1,R$14)*$L152+OFFSET('Gas Supply Factors'!$B$14,$K152-1,R$14)*$H152</f>
        <v>0</v>
      </c>
      <c r="S152" s="20"/>
      <c r="T152" s="20">
        <f ca="1">OFFSET('Gas Supply Factors'!$B$14,$O152-1,T$14)*$L152+OFFSET('Gas Supply Factors'!$B$14,$K152-1,T$14)*$H152</f>
        <v>0</v>
      </c>
      <c r="U152" s="20"/>
      <c r="V152" s="20">
        <f ca="1">OFFSET('Gas Supply Factors'!$B$14,$O152-1,V$14)*$L152+OFFSET('Gas Supply Factors'!$B$14,$K152-1,V$14)*$H152</f>
        <v>0</v>
      </c>
      <c r="W152" s="20"/>
      <c r="X152" s="20">
        <f ca="1">OFFSET('Gas Supply Factors'!$B$14,$O152-1,X$14)*$L152+OFFSET('Gas Supply Factors'!$B$14,$K152-1,X$14)*$H152</f>
        <v>0</v>
      </c>
      <c r="Z152" s="20">
        <f ca="1">OFFSET('Gas Supply Factors'!$B$14,$O152-1,Z$14)*$L152+OFFSET('Gas Supply Factors'!$B$14,$K152-1,Z$14)*$H152</f>
        <v>0</v>
      </c>
      <c r="AB152" s="20">
        <f t="shared" ca="1" si="48"/>
        <v>0</v>
      </c>
      <c r="AD152" s="25" t="str">
        <f t="shared" ca="1" si="21"/>
        <v/>
      </c>
    </row>
    <row r="153" spans="2:30" x14ac:dyDescent="0.2">
      <c r="B153" s="18">
        <f>B152+1</f>
        <v>95</v>
      </c>
      <c r="D153" s="36" t="s">
        <v>172</v>
      </c>
      <c r="F153" s="50">
        <f ca="1">Function!P153</f>
        <v>0</v>
      </c>
      <c r="H153" s="79"/>
      <c r="L153" s="50">
        <f t="shared" ca="1" si="37"/>
        <v>0</v>
      </c>
      <c r="O153" s="73">
        <v>0</v>
      </c>
      <c r="P153" s="20">
        <f ca="1">OFFSET('Gas Supply Factors'!$B$14,$O153-1,P$14)*$L153+OFFSET('Gas Supply Factors'!$B$14,$K153-1,P$14)*$H153</f>
        <v>0</v>
      </c>
      <c r="R153" s="20">
        <f ca="1">OFFSET('Gas Supply Factors'!$B$14,$O153-1,R$14)*$L153+OFFSET('Gas Supply Factors'!$B$14,$K153-1,R$14)*$H153</f>
        <v>0</v>
      </c>
      <c r="S153" s="20"/>
      <c r="T153" s="20">
        <f ca="1">OFFSET('Gas Supply Factors'!$B$14,$O153-1,T$14)*$L153+OFFSET('Gas Supply Factors'!$B$14,$K153-1,T$14)*$H153</f>
        <v>0</v>
      </c>
      <c r="U153" s="20"/>
      <c r="V153" s="20">
        <f ca="1">OFFSET('Gas Supply Factors'!$B$14,$O153-1,V$14)*$L153+OFFSET('Gas Supply Factors'!$B$14,$K153-1,V$14)*$H153</f>
        <v>0</v>
      </c>
      <c r="W153" s="20"/>
      <c r="X153" s="20">
        <f ca="1">OFFSET('Gas Supply Factors'!$B$14,$O153-1,X$14)*$L153+OFFSET('Gas Supply Factors'!$B$14,$K153-1,X$14)*$H153</f>
        <v>0</v>
      </c>
      <c r="Z153" s="20">
        <f ca="1">OFFSET('Gas Supply Factors'!$B$14,$O153-1,Z$14)*$L153+OFFSET('Gas Supply Factors'!$B$14,$K153-1,Z$14)*$H153</f>
        <v>0</v>
      </c>
      <c r="AB153" s="20">
        <f t="shared" ca="1" si="48"/>
        <v>0</v>
      </c>
      <c r="AD153" s="25" t="str">
        <f t="shared" ref="AD153:AD180" ca="1" si="49">IF(ROUND(F153,4)=ROUND(AB153,4), "", "check")</f>
        <v/>
      </c>
    </row>
    <row r="154" spans="2:30" x14ac:dyDescent="0.2">
      <c r="B154" s="18">
        <f t="shared" ref="B154:B157" si="50">B153+1</f>
        <v>96</v>
      </c>
      <c r="D154" s="36" t="s">
        <v>173</v>
      </c>
      <c r="F154" s="50">
        <f ca="1">Function!P154</f>
        <v>0</v>
      </c>
      <c r="H154" s="79"/>
      <c r="L154" s="50">
        <f t="shared" ca="1" si="37"/>
        <v>0</v>
      </c>
      <c r="O154" s="73">
        <v>0</v>
      </c>
      <c r="P154" s="20">
        <f ca="1">OFFSET('Gas Supply Factors'!$B$14,$O154-1,P$14)*$L154+OFFSET('Gas Supply Factors'!$B$14,$K154-1,P$14)*$H154</f>
        <v>0</v>
      </c>
      <c r="R154" s="20">
        <f ca="1">OFFSET('Gas Supply Factors'!$B$14,$O154-1,R$14)*$L154+OFFSET('Gas Supply Factors'!$B$14,$K154-1,R$14)*$H154</f>
        <v>0</v>
      </c>
      <c r="S154" s="20"/>
      <c r="T154" s="20">
        <f ca="1">OFFSET('Gas Supply Factors'!$B$14,$O154-1,T$14)*$L154+OFFSET('Gas Supply Factors'!$B$14,$K154-1,T$14)*$H154</f>
        <v>0</v>
      </c>
      <c r="U154" s="20"/>
      <c r="V154" s="20">
        <f ca="1">OFFSET('Gas Supply Factors'!$B$14,$O154-1,V$14)*$L154+OFFSET('Gas Supply Factors'!$B$14,$K154-1,V$14)*$H154</f>
        <v>0</v>
      </c>
      <c r="W154" s="20"/>
      <c r="X154" s="20">
        <f ca="1">OFFSET('Gas Supply Factors'!$B$14,$O154-1,X$14)*$L154+OFFSET('Gas Supply Factors'!$B$14,$K154-1,X$14)*$H154</f>
        <v>0</v>
      </c>
      <c r="Z154" s="20">
        <f ca="1">OFFSET('Gas Supply Factors'!$B$14,$O154-1,Z$14)*$L154+OFFSET('Gas Supply Factors'!$B$14,$K154-1,Z$14)*$H154</f>
        <v>0</v>
      </c>
      <c r="AB154" s="20">
        <f t="shared" ca="1" si="48"/>
        <v>0</v>
      </c>
      <c r="AD154" s="25" t="str">
        <f t="shared" ca="1" si="49"/>
        <v/>
      </c>
    </row>
    <row r="155" spans="2:30" x14ac:dyDescent="0.2">
      <c r="B155" s="18">
        <f t="shared" si="50"/>
        <v>97</v>
      </c>
      <c r="D155" s="36" t="s">
        <v>174</v>
      </c>
      <c r="F155" s="50">
        <f ca="1">Function!P155</f>
        <v>0</v>
      </c>
      <c r="H155" s="79"/>
      <c r="L155" s="50">
        <f t="shared" ca="1" si="37"/>
        <v>0</v>
      </c>
      <c r="O155" s="73">
        <v>0</v>
      </c>
      <c r="P155" s="20">
        <f ca="1">OFFSET('Gas Supply Factors'!$B$14,$O155-1,P$14)*$L155+OFFSET('Gas Supply Factors'!$B$14,$K155-1,P$14)*$H155</f>
        <v>0</v>
      </c>
      <c r="R155" s="20">
        <f ca="1">OFFSET('Gas Supply Factors'!$B$14,$O155-1,R$14)*$L155+OFFSET('Gas Supply Factors'!$B$14,$K155-1,R$14)*$H155</f>
        <v>0</v>
      </c>
      <c r="S155" s="20"/>
      <c r="T155" s="20">
        <f ca="1">OFFSET('Gas Supply Factors'!$B$14,$O155-1,T$14)*$L155+OFFSET('Gas Supply Factors'!$B$14,$K155-1,T$14)*$H155</f>
        <v>0</v>
      </c>
      <c r="U155" s="20"/>
      <c r="V155" s="20">
        <f ca="1">OFFSET('Gas Supply Factors'!$B$14,$O155-1,V$14)*$L155+OFFSET('Gas Supply Factors'!$B$14,$K155-1,V$14)*$H155</f>
        <v>0</v>
      </c>
      <c r="W155" s="20"/>
      <c r="X155" s="20">
        <f ca="1">OFFSET('Gas Supply Factors'!$B$14,$O155-1,X$14)*$L155+OFFSET('Gas Supply Factors'!$B$14,$K155-1,X$14)*$H155</f>
        <v>0</v>
      </c>
      <c r="Z155" s="20">
        <f ca="1">OFFSET('Gas Supply Factors'!$B$14,$O155-1,Z$14)*$L155+OFFSET('Gas Supply Factors'!$B$14,$K155-1,Z$14)*$H155</f>
        <v>0</v>
      </c>
      <c r="AB155" s="20">
        <f t="shared" ca="1" si="48"/>
        <v>0</v>
      </c>
      <c r="AD155" s="25" t="str">
        <f t="shared" ca="1" si="49"/>
        <v/>
      </c>
    </row>
    <row r="156" spans="2:30" x14ac:dyDescent="0.2">
      <c r="B156" s="18">
        <f t="shared" si="50"/>
        <v>98</v>
      </c>
      <c r="D156" s="36" t="s">
        <v>175</v>
      </c>
      <c r="F156" s="50">
        <f ca="1">Function!P156</f>
        <v>0</v>
      </c>
      <c r="H156" s="79"/>
      <c r="L156" s="50">
        <f t="shared" ca="1" si="37"/>
        <v>0</v>
      </c>
      <c r="O156" s="73">
        <v>0</v>
      </c>
      <c r="P156" s="20">
        <f ca="1">OFFSET('Gas Supply Factors'!$B$14,$O156-1,P$14)*$L156+OFFSET('Gas Supply Factors'!$B$14,$K156-1,P$14)*$H156</f>
        <v>0</v>
      </c>
      <c r="R156" s="20">
        <f ca="1">OFFSET('Gas Supply Factors'!$B$14,$O156-1,R$14)*$L156+OFFSET('Gas Supply Factors'!$B$14,$K156-1,R$14)*$H156</f>
        <v>0</v>
      </c>
      <c r="S156" s="20"/>
      <c r="T156" s="20">
        <f ca="1">OFFSET('Gas Supply Factors'!$B$14,$O156-1,T$14)*$L156+OFFSET('Gas Supply Factors'!$B$14,$K156-1,T$14)*$H156</f>
        <v>0</v>
      </c>
      <c r="U156" s="20"/>
      <c r="V156" s="20">
        <f ca="1">OFFSET('Gas Supply Factors'!$B$14,$O156-1,V$14)*$L156+OFFSET('Gas Supply Factors'!$B$14,$K156-1,V$14)*$H156</f>
        <v>0</v>
      </c>
      <c r="W156" s="20"/>
      <c r="X156" s="20">
        <f ca="1">OFFSET('Gas Supply Factors'!$B$14,$O156-1,X$14)*$L156+OFFSET('Gas Supply Factors'!$B$14,$K156-1,X$14)*$H156</f>
        <v>0</v>
      </c>
      <c r="Z156" s="20">
        <f ca="1">OFFSET('Gas Supply Factors'!$B$14,$O156-1,Z$14)*$L156+OFFSET('Gas Supply Factors'!$B$14,$K156-1,Z$14)*$H156</f>
        <v>0</v>
      </c>
      <c r="AB156" s="20">
        <f t="shared" ca="1" si="48"/>
        <v>0</v>
      </c>
      <c r="AD156" s="25" t="str">
        <f t="shared" ca="1" si="49"/>
        <v/>
      </c>
    </row>
    <row r="157" spans="2:30" x14ac:dyDescent="0.2">
      <c r="B157" s="18">
        <f t="shared" si="50"/>
        <v>99</v>
      </c>
      <c r="D157" s="36" t="s">
        <v>176</v>
      </c>
      <c r="F157" s="50">
        <f ca="1">Function!P157</f>
        <v>10151.221525209376</v>
      </c>
      <c r="H157" s="79"/>
      <c r="L157" s="50">
        <f t="shared" ca="1" si="37"/>
        <v>10151.221525209376</v>
      </c>
      <c r="N157" s="2" t="s">
        <v>136</v>
      </c>
      <c r="O157" s="73">
        <v>1</v>
      </c>
      <c r="P157" s="20">
        <f ca="1">OFFSET('Gas Supply Factors'!$B$14,$O157-1,P$14)*$L157+OFFSET('Gas Supply Factors'!$B$14,$K157-1,P$14)*$H157</f>
        <v>0</v>
      </c>
      <c r="R157" s="20">
        <f ca="1">OFFSET('Gas Supply Factors'!$B$14,$O157-1,R$14)*$L157+OFFSET('Gas Supply Factors'!$B$14,$K157-1,R$14)*$H157</f>
        <v>0</v>
      </c>
      <c r="S157" s="20"/>
      <c r="T157" s="20">
        <f ca="1">OFFSET('Gas Supply Factors'!$B$14,$O157-1,T$14)*$L157+OFFSET('Gas Supply Factors'!$B$14,$K157-1,T$14)*$H157</f>
        <v>0</v>
      </c>
      <c r="U157" s="20"/>
      <c r="V157" s="20">
        <f ca="1">OFFSET('Gas Supply Factors'!$B$14,$O157-1,V$14)*$L157+OFFSET('Gas Supply Factors'!$B$14,$K157-1,V$14)*$H157</f>
        <v>0</v>
      </c>
      <c r="W157" s="20"/>
      <c r="X157" s="20">
        <f ca="1">OFFSET('Gas Supply Factors'!$B$14,$O157-1,X$14)*$L157+OFFSET('Gas Supply Factors'!$B$14,$K157-1,X$14)*$H157</f>
        <v>0</v>
      </c>
      <c r="Z157" s="20">
        <f ca="1">OFFSET('Gas Supply Factors'!$B$14,$O157-1,Z$14)*$L157+OFFSET('Gas Supply Factors'!$B$14,$K157-1,Z$14)*$H157</f>
        <v>10151.221525209376</v>
      </c>
      <c r="AB157" s="20">
        <f t="shared" ca="1" si="48"/>
        <v>10151.221525209376</v>
      </c>
      <c r="AD157" s="25" t="str">
        <f t="shared" ca="1" si="49"/>
        <v/>
      </c>
    </row>
    <row r="158" spans="2:30" x14ac:dyDescent="0.2">
      <c r="D158" s="1" t="s">
        <v>212</v>
      </c>
      <c r="T158" s="20"/>
      <c r="AD158" s="25" t="str">
        <f t="shared" si="49"/>
        <v/>
      </c>
    </row>
    <row r="159" spans="2:30" x14ac:dyDescent="0.2">
      <c r="B159" s="18">
        <f>B157+1</f>
        <v>100</v>
      </c>
      <c r="D159" s="36" t="s">
        <v>87</v>
      </c>
      <c r="F159" s="50">
        <f ca="1">Function!P159</f>
        <v>2104.1517941099964</v>
      </c>
      <c r="H159" s="79"/>
      <c r="L159" s="50">
        <f t="shared" ca="1" si="37"/>
        <v>2104.1517941099964</v>
      </c>
      <c r="N159" s="2" t="s">
        <v>136</v>
      </c>
      <c r="O159" s="73">
        <v>1</v>
      </c>
      <c r="P159" s="20">
        <f ca="1">OFFSET('Gas Supply Factors'!$B$14,$O159-1,P$14)*$L159+OFFSET('Gas Supply Factors'!$B$14,$K159-1,P$14)*$H159</f>
        <v>0</v>
      </c>
      <c r="R159" s="20">
        <f ca="1">OFFSET('Gas Supply Factors'!$B$14,$O159-1,R$14)*$L159+OFFSET('Gas Supply Factors'!$B$14,$K159-1,R$14)*$H159</f>
        <v>0</v>
      </c>
      <c r="S159" s="20"/>
      <c r="T159" s="20">
        <f ca="1">OFFSET('Gas Supply Factors'!$B$14,$O159-1,T$14)*$L159+OFFSET('Gas Supply Factors'!$B$14,$K159-1,T$14)*$H159</f>
        <v>0</v>
      </c>
      <c r="U159" s="20"/>
      <c r="V159" s="20">
        <f ca="1">OFFSET('Gas Supply Factors'!$B$14,$O159-1,V$14)*$L159+OFFSET('Gas Supply Factors'!$B$14,$K159-1,V$14)*$H159</f>
        <v>0</v>
      </c>
      <c r="W159" s="20"/>
      <c r="X159" s="20">
        <f ca="1">OFFSET('Gas Supply Factors'!$B$14,$O159-1,X$14)*$L159+OFFSET('Gas Supply Factors'!$B$14,$K159-1,X$14)*$H159</f>
        <v>0</v>
      </c>
      <c r="Z159" s="20">
        <f ca="1">OFFSET('Gas Supply Factors'!$B$14,$O159-1,Z$14)*$L159+OFFSET('Gas Supply Factors'!$B$14,$K159-1,Z$14)*$H159</f>
        <v>2104.1517941099964</v>
      </c>
      <c r="AB159" s="20">
        <f t="shared" ref="AB159:AB160" ca="1" si="51">P159+R159+V159+X159+Z159+T159</f>
        <v>2104.1517941099964</v>
      </c>
      <c r="AD159" s="25" t="str">
        <f t="shared" ca="1" si="49"/>
        <v/>
      </c>
    </row>
    <row r="160" spans="2:30" x14ac:dyDescent="0.2">
      <c r="B160" s="18">
        <f>B159+1</f>
        <v>101</v>
      </c>
      <c r="D160" s="36" t="s">
        <v>213</v>
      </c>
      <c r="F160" s="50">
        <f ca="1">Function!P160</f>
        <v>4758.6044086021757</v>
      </c>
      <c r="H160" s="38"/>
      <c r="L160" s="50">
        <f t="shared" ca="1" si="37"/>
        <v>4758.6044086021757</v>
      </c>
      <c r="N160" s="2" t="s">
        <v>136</v>
      </c>
      <c r="O160" s="73">
        <v>1</v>
      </c>
      <c r="P160" s="20">
        <f ca="1">OFFSET('Gas Supply Factors'!$B$14,$O160-1,P$14)*$L160+OFFSET('Gas Supply Factors'!$B$14,$K160-1,P$14)*$H160</f>
        <v>0</v>
      </c>
      <c r="R160" s="20">
        <f ca="1">OFFSET('Gas Supply Factors'!$B$14,$O160-1,R$14)*$L160+OFFSET('Gas Supply Factors'!$B$14,$K160-1,R$14)*$H160</f>
        <v>0</v>
      </c>
      <c r="S160" s="20"/>
      <c r="T160" s="20">
        <f ca="1">OFFSET('Gas Supply Factors'!$B$14,$O160-1,T$14)*$L160+OFFSET('Gas Supply Factors'!$B$14,$K160-1,T$14)*$H160</f>
        <v>0</v>
      </c>
      <c r="U160" s="20"/>
      <c r="V160" s="20">
        <f ca="1">OFFSET('Gas Supply Factors'!$B$14,$O160-1,V$14)*$L160+OFFSET('Gas Supply Factors'!$B$14,$K160-1,V$14)*$H160</f>
        <v>0</v>
      </c>
      <c r="W160" s="20"/>
      <c r="X160" s="20">
        <f ca="1">OFFSET('Gas Supply Factors'!$B$14,$O160-1,X$14)*$L160+OFFSET('Gas Supply Factors'!$B$14,$K160-1,X$14)*$H160</f>
        <v>0</v>
      </c>
      <c r="Z160" s="20">
        <f ca="1">OFFSET('Gas Supply Factors'!$B$14,$O160-1,Z$14)*$L160+OFFSET('Gas Supply Factors'!$B$14,$K160-1,Z$14)*$H160</f>
        <v>4758.6044086021757</v>
      </c>
      <c r="AB160" s="22">
        <f t="shared" ca="1" si="51"/>
        <v>4758.6044086021757</v>
      </c>
      <c r="AD160" s="25" t="str">
        <f t="shared" ca="1" si="49"/>
        <v/>
      </c>
    </row>
    <row r="161" spans="2:30" x14ac:dyDescent="0.2">
      <c r="U161" s="20"/>
      <c r="W161" s="20"/>
      <c r="AD161" s="25" t="str">
        <f t="shared" si="49"/>
        <v/>
      </c>
    </row>
    <row r="162" spans="2:30" x14ac:dyDescent="0.2">
      <c r="B162" s="18">
        <f>B160+1</f>
        <v>102</v>
      </c>
      <c r="D162" s="1" t="s">
        <v>399</v>
      </c>
      <c r="F162" s="81">
        <f ca="1">SUM(F115:F160)</f>
        <v>2268393.9371493408</v>
      </c>
      <c r="H162" s="81">
        <f>SUM(H115:H160)</f>
        <v>0</v>
      </c>
      <c r="L162" s="81">
        <f ca="1">SUM(L115:L160)</f>
        <v>2268393.9371493408</v>
      </c>
      <c r="P162" s="11">
        <f ca="1">SUM(P115:P160)</f>
        <v>1878311.1040714213</v>
      </c>
      <c r="R162" s="11">
        <f ca="1">SUM(R115:R160)</f>
        <v>161486.41315728414</v>
      </c>
      <c r="S162" s="13"/>
      <c r="T162" s="11">
        <f ca="1">SUM(T115:T160)</f>
        <v>40328.527901042762</v>
      </c>
      <c r="U162" s="20"/>
      <c r="V162" s="11">
        <f ca="1">SUM(V115:V160)</f>
        <v>152523.42553920622</v>
      </c>
      <c r="W162" s="20"/>
      <c r="X162" s="11">
        <f ca="1">SUM(X115:X160)</f>
        <v>14888.543237034275</v>
      </c>
      <c r="Z162" s="11">
        <f ca="1">SUM(Z115:Z160)</f>
        <v>20855.923243351954</v>
      </c>
      <c r="AB162" s="11">
        <f ca="1">SUM(AB115:AB160)</f>
        <v>2268393.9371493408</v>
      </c>
      <c r="AD162" s="25" t="str">
        <f t="shared" ca="1" si="49"/>
        <v/>
      </c>
    </row>
    <row r="163" spans="2:30" x14ac:dyDescent="0.2">
      <c r="U163" s="20"/>
      <c r="W163" s="20"/>
      <c r="AD163" s="25" t="str">
        <f t="shared" si="49"/>
        <v/>
      </c>
    </row>
    <row r="164" spans="2:30" ht="13.5" thickBot="1" x14ac:dyDescent="0.25">
      <c r="B164" s="18">
        <f>B162+1</f>
        <v>103</v>
      </c>
      <c r="D164" s="1" t="s">
        <v>400</v>
      </c>
      <c r="F164" s="83">
        <f ca="1">F162+F104+F109+F108+F97</f>
        <v>2268393.9371493408</v>
      </c>
      <c r="H164" s="83">
        <f>H162+H104+H109+H108+H97</f>
        <v>0</v>
      </c>
      <c r="L164" s="83">
        <f ca="1">L162+L104+L109+L108+L97</f>
        <v>2268393.9371493408</v>
      </c>
      <c r="P164" s="34">
        <f ca="1">P162+P104+P109+P108+P97</f>
        <v>1878311.1040714213</v>
      </c>
      <c r="R164" s="34">
        <f ca="1">R162+R104+R109+R108+R97</f>
        <v>161486.41315728414</v>
      </c>
      <c r="S164" s="8"/>
      <c r="T164" s="34">
        <f ca="1">T162+T104+T109+T108+T97</f>
        <v>40328.527901042762</v>
      </c>
      <c r="U164" s="20"/>
      <c r="V164" s="34">
        <f ca="1">V162+V104+V109+V108+V97</f>
        <v>152523.42553920622</v>
      </c>
      <c r="W164" s="20"/>
      <c r="X164" s="34">
        <f ca="1">X162+X104+X109+X108+X97</f>
        <v>14888.543237034275</v>
      </c>
      <c r="Z164" s="34">
        <f ca="1">Z162+Z104+Z109+Z108+Z97</f>
        <v>20855.923243351954</v>
      </c>
      <c r="AB164" s="34">
        <f ca="1">AB162+AB104+AB109+AB108+AB97</f>
        <v>2268393.9371493408</v>
      </c>
      <c r="AD164" s="25" t="str">
        <f t="shared" ca="1" si="49"/>
        <v/>
      </c>
    </row>
    <row r="165" spans="2:30" ht="13.5" thickTop="1" x14ac:dyDescent="0.2">
      <c r="F165" s="50"/>
      <c r="H165" s="50"/>
      <c r="L165" s="50"/>
      <c r="P165" s="21"/>
      <c r="R165" s="21"/>
      <c r="T165" s="21"/>
      <c r="U165" s="20"/>
      <c r="V165" s="21"/>
      <c r="W165" s="20"/>
      <c r="X165" s="21"/>
      <c r="Z165" s="21"/>
      <c r="AB165" s="21"/>
      <c r="AD165" s="25" t="str">
        <f t="shared" si="49"/>
        <v/>
      </c>
    </row>
    <row r="166" spans="2:30" x14ac:dyDescent="0.2">
      <c r="F166" s="50">
        <v>0</v>
      </c>
      <c r="H166" s="50"/>
      <c r="L166" s="50"/>
      <c r="U166" s="20"/>
      <c r="W166" s="20"/>
      <c r="AD166" s="25" t="str">
        <f t="shared" si="49"/>
        <v/>
      </c>
    </row>
    <row r="167" spans="2:30" x14ac:dyDescent="0.2">
      <c r="F167" s="50"/>
      <c r="H167" s="50"/>
      <c r="L167" s="50"/>
      <c r="U167" s="20"/>
      <c r="W167" s="20"/>
      <c r="AD167" s="25" t="str">
        <f t="shared" si="49"/>
        <v/>
      </c>
    </row>
    <row r="168" spans="2:30" x14ac:dyDescent="0.2">
      <c r="D168" s="6" t="s">
        <v>109</v>
      </c>
      <c r="U168" s="20"/>
      <c r="W168" s="20"/>
      <c r="AD168" s="25" t="str">
        <f t="shared" si="49"/>
        <v/>
      </c>
    </row>
    <row r="169" spans="2:30" x14ac:dyDescent="0.2">
      <c r="D169" s="6"/>
      <c r="F169" s="50"/>
      <c r="H169" s="79"/>
      <c r="L169" s="50"/>
      <c r="N169" s="2"/>
      <c r="O169" s="73"/>
      <c r="P169" s="20"/>
      <c r="R169" s="20"/>
      <c r="S169" s="20"/>
      <c r="T169" s="20"/>
      <c r="U169" s="20"/>
      <c r="V169" s="20"/>
      <c r="W169" s="20"/>
      <c r="X169" s="20"/>
      <c r="Z169" s="20"/>
      <c r="AB169" s="20"/>
      <c r="AD169" s="25" t="str">
        <f t="shared" si="49"/>
        <v/>
      </c>
    </row>
    <row r="170" spans="2:30" x14ac:dyDescent="0.2">
      <c r="B170" s="18">
        <f>B164+1</f>
        <v>104</v>
      </c>
      <c r="D170" s="1" t="s">
        <v>123</v>
      </c>
      <c r="F170" s="50">
        <f ca="1">Function!P170</f>
        <v>2942.6114096800702</v>
      </c>
      <c r="H170" s="79"/>
      <c r="L170" s="50">
        <f t="shared" ref="L170:L176" ca="1" si="52">F170-H170</f>
        <v>2942.6114096800702</v>
      </c>
      <c r="N170" s="2" t="s">
        <v>136</v>
      </c>
      <c r="O170" s="73">
        <v>1</v>
      </c>
      <c r="P170" s="20">
        <f ca="1">OFFSET('Gas Supply Factors'!$B$14,$O170-1,P$14)*$L170+OFFSET('Gas Supply Factors'!$B$14,$K170-1,P$14)*$H170</f>
        <v>0</v>
      </c>
      <c r="R170" s="20">
        <f ca="1">OFFSET('Gas Supply Factors'!$B$14,$O170-1,R$14)*$L170+OFFSET('Gas Supply Factors'!$B$14,$K170-1,R$14)*$H170</f>
        <v>0</v>
      </c>
      <c r="S170" s="20"/>
      <c r="T170" s="20">
        <f ca="1">OFFSET('Gas Supply Factors'!$B$14,$O170-1,T$14)*$L170+OFFSET('Gas Supply Factors'!$B$14,$K170-1,T$14)*$H170</f>
        <v>0</v>
      </c>
      <c r="U170" s="20"/>
      <c r="V170" s="20">
        <f ca="1">OFFSET('Gas Supply Factors'!$B$14,$O170-1,V$14)*$L170+OFFSET('Gas Supply Factors'!$B$14,$K170-1,V$14)*$H170</f>
        <v>0</v>
      </c>
      <c r="W170" s="20"/>
      <c r="X170" s="20">
        <f ca="1">OFFSET('Gas Supply Factors'!$B$14,$O170-1,X$14)*$L170+OFFSET('Gas Supply Factors'!$B$14,$K170-1,X$14)*$H170</f>
        <v>0</v>
      </c>
      <c r="Z170" s="20">
        <f ca="1">OFFSET('Gas Supply Factors'!$B$14,$O170-1,Z$14)*$L170+OFFSET('Gas Supply Factors'!$B$14,$K170-1,Z$14)*$H170</f>
        <v>2942.6114096800702</v>
      </c>
      <c r="AB170" s="20">
        <f t="shared" ref="AB170:AB176" ca="1" si="53">P170+R170+V170+X170+Z170+T170</f>
        <v>2942.6114096800702</v>
      </c>
      <c r="AD170" s="25" t="str">
        <f t="shared" ca="1" si="49"/>
        <v/>
      </c>
    </row>
    <row r="171" spans="2:30" x14ac:dyDescent="0.2">
      <c r="B171" s="18">
        <f t="shared" ref="B171:B176" si="54">B170+1</f>
        <v>105</v>
      </c>
      <c r="D171" s="1" t="s">
        <v>134</v>
      </c>
      <c r="F171" s="50">
        <f ca="1">Function!P171</f>
        <v>2421.6385455058507</v>
      </c>
      <c r="H171" s="79"/>
      <c r="J171" s="2"/>
      <c r="L171" s="50">
        <f t="shared" ca="1" si="52"/>
        <v>2421.6385455058507</v>
      </c>
      <c r="N171" s="2" t="s">
        <v>136</v>
      </c>
      <c r="O171" s="73">
        <v>1</v>
      </c>
      <c r="P171" s="20">
        <f ca="1">OFFSET('Gas Supply Factors'!$B$14,$O171-1,P$14)*$L171+OFFSET('Gas Supply Factors'!$B$14,$K171-1,P$14)*$H171</f>
        <v>0</v>
      </c>
      <c r="R171" s="20">
        <f ca="1">OFFSET('Gas Supply Factors'!$B$14,$O171-1,R$14)*$L171+OFFSET('Gas Supply Factors'!$B$14,$K171-1,R$14)*$H171</f>
        <v>0</v>
      </c>
      <c r="S171" s="20"/>
      <c r="T171" s="20">
        <f ca="1">OFFSET('Gas Supply Factors'!$B$14,$O171-1,T$14)*$L171+OFFSET('Gas Supply Factors'!$B$14,$K171-1,T$14)*$H171</f>
        <v>0</v>
      </c>
      <c r="U171" s="20"/>
      <c r="V171" s="20">
        <f ca="1">OFFSET('Gas Supply Factors'!$B$14,$O171-1,V$14)*$L171+OFFSET('Gas Supply Factors'!$B$14,$K171-1,V$14)*$H171</f>
        <v>0</v>
      </c>
      <c r="W171" s="20"/>
      <c r="X171" s="20">
        <f ca="1">OFFSET('Gas Supply Factors'!$B$14,$O171-1,X$14)*$L171+OFFSET('Gas Supply Factors'!$B$14,$K171-1,X$14)*$H171</f>
        <v>0</v>
      </c>
      <c r="Z171" s="20">
        <f ca="1">OFFSET('Gas Supply Factors'!$B$14,$O171-1,Z$14)*$L171+OFFSET('Gas Supply Factors'!$B$14,$K171-1,Z$14)*$H171</f>
        <v>2421.6385455058507</v>
      </c>
      <c r="AB171" s="20">
        <f t="shared" ca="1" si="53"/>
        <v>2421.6385455058507</v>
      </c>
      <c r="AD171" s="25" t="str">
        <f t="shared" ca="1" si="49"/>
        <v/>
      </c>
    </row>
    <row r="172" spans="2:30" x14ac:dyDescent="0.2">
      <c r="B172" s="18">
        <f t="shared" si="54"/>
        <v>106</v>
      </c>
      <c r="D172" s="1" t="s">
        <v>110</v>
      </c>
      <c r="F172" s="50">
        <f ca="1">Function!P172</f>
        <v>15336.5926054518</v>
      </c>
      <c r="H172" s="79"/>
      <c r="J172" s="2"/>
      <c r="L172" s="50">
        <f t="shared" ca="1" si="52"/>
        <v>15336.5926054518</v>
      </c>
      <c r="N172" s="2" t="s">
        <v>247</v>
      </c>
      <c r="O172" s="73">
        <v>7</v>
      </c>
      <c r="P172" s="20">
        <f ca="1">OFFSET('Gas Supply Factors'!$B$14,$O172-1,P$14)*$L172+OFFSET('Gas Supply Factors'!$B$14,$K172-1,P$14)*$H172</f>
        <v>0</v>
      </c>
      <c r="R172" s="20">
        <f ca="1">OFFSET('Gas Supply Factors'!$B$14,$O172-1,R$14)*$L172+OFFSET('Gas Supply Factors'!$B$14,$K172-1,R$14)*$H172</f>
        <v>7887.1774852340614</v>
      </c>
      <c r="S172" s="20"/>
      <c r="T172" s="20">
        <f ca="1">OFFSET('Gas Supply Factors'!$B$14,$O172-1,T$14)*$L172+OFFSET('Gas Supply Factors'!$B$14,$K172-1,T$14)*$H172</f>
        <v>0</v>
      </c>
      <c r="U172" s="20"/>
      <c r="V172" s="20">
        <f ca="1">OFFSET('Gas Supply Factors'!$B$14,$O172-1,V$14)*$L172+OFFSET('Gas Supply Factors'!$B$14,$K172-1,V$14)*$H172</f>
        <v>7449.4151202177381</v>
      </c>
      <c r="W172" s="20"/>
      <c r="X172" s="20">
        <f ca="1">OFFSET('Gas Supply Factors'!$B$14,$O172-1,X$14)*$L172+OFFSET('Gas Supply Factors'!$B$14,$K172-1,X$14)*$H172</f>
        <v>0</v>
      </c>
      <c r="Z172" s="20">
        <f ca="1">OFFSET('Gas Supply Factors'!$B$14,$O172-1,Z$14)*$L172+OFFSET('Gas Supply Factors'!$B$14,$K172-1,Z$14)*$H172</f>
        <v>0</v>
      </c>
      <c r="AB172" s="20">
        <f t="shared" ca="1" si="53"/>
        <v>15336.592605451799</v>
      </c>
      <c r="AD172" s="25" t="str">
        <f t="shared" ca="1" si="49"/>
        <v/>
      </c>
    </row>
    <row r="173" spans="2:30" x14ac:dyDescent="0.2">
      <c r="B173" s="18">
        <f t="shared" si="54"/>
        <v>107</v>
      </c>
      <c r="D173" s="1" t="s">
        <v>125</v>
      </c>
      <c r="F173" s="50">
        <f ca="1">Function!P173</f>
        <v>0</v>
      </c>
      <c r="H173" s="79"/>
      <c r="J173" s="2"/>
      <c r="L173" s="50">
        <f t="shared" ca="1" si="52"/>
        <v>0</v>
      </c>
      <c r="O173" s="73">
        <v>0</v>
      </c>
      <c r="P173" s="20">
        <f ca="1">OFFSET('Gas Supply Factors'!$B$14,$O173-1,P$14)*$L173+OFFSET('Gas Supply Factors'!$B$14,$K173-1,P$14)*$H173</f>
        <v>0</v>
      </c>
      <c r="R173" s="20">
        <f ca="1">OFFSET('Gas Supply Factors'!$B$14,$O173-1,R$14)*$L173+OFFSET('Gas Supply Factors'!$B$14,$K173-1,R$14)*$H173</f>
        <v>0</v>
      </c>
      <c r="S173" s="20"/>
      <c r="T173" s="20">
        <f ca="1">OFFSET('Gas Supply Factors'!$B$14,$O173-1,T$14)*$L173+OFFSET('Gas Supply Factors'!$B$14,$K173-1,T$14)*$H173</f>
        <v>0</v>
      </c>
      <c r="U173" s="20"/>
      <c r="V173" s="20">
        <f ca="1">OFFSET('Gas Supply Factors'!$B$14,$O173-1,V$14)*$L173+OFFSET('Gas Supply Factors'!$B$14,$K173-1,V$14)*$H173</f>
        <v>0</v>
      </c>
      <c r="W173" s="20"/>
      <c r="X173" s="20">
        <f ca="1">OFFSET('Gas Supply Factors'!$B$14,$O173-1,X$14)*$L173+OFFSET('Gas Supply Factors'!$B$14,$K173-1,X$14)*$H173</f>
        <v>0</v>
      </c>
      <c r="Z173" s="20">
        <f ca="1">OFFSET('Gas Supply Factors'!$B$14,$O173-1,Z$14)*$L173+OFFSET('Gas Supply Factors'!$B$14,$K173-1,Z$14)*$H173</f>
        <v>0</v>
      </c>
      <c r="AB173" s="20">
        <f t="shared" ca="1" si="53"/>
        <v>0</v>
      </c>
      <c r="AD173" s="25" t="str">
        <f t="shared" ca="1" si="49"/>
        <v/>
      </c>
    </row>
    <row r="174" spans="2:30" x14ac:dyDescent="0.2">
      <c r="B174" s="18">
        <f t="shared" si="54"/>
        <v>108</v>
      </c>
      <c r="D174" s="1" t="s">
        <v>126</v>
      </c>
      <c r="F174" s="50">
        <f ca="1">Function!P174</f>
        <v>0</v>
      </c>
      <c r="H174" s="79"/>
      <c r="J174" s="2"/>
      <c r="L174" s="50">
        <f t="shared" ca="1" si="52"/>
        <v>0</v>
      </c>
      <c r="O174" s="73">
        <v>0</v>
      </c>
      <c r="P174" s="20">
        <f ca="1">OFFSET('Gas Supply Factors'!$B$14,$O174-1,P$14)*$L174+OFFSET('Gas Supply Factors'!$B$14,$K174-1,P$14)*$H174</f>
        <v>0</v>
      </c>
      <c r="R174" s="20">
        <f ca="1">OFFSET('Gas Supply Factors'!$B$14,$O174-1,R$14)*$L174+OFFSET('Gas Supply Factors'!$B$14,$K174-1,R$14)*$H174</f>
        <v>0</v>
      </c>
      <c r="S174" s="20"/>
      <c r="T174" s="20">
        <f ca="1">OFFSET('Gas Supply Factors'!$B$14,$O174-1,T$14)*$L174+OFFSET('Gas Supply Factors'!$B$14,$K174-1,T$14)*$H174</f>
        <v>0</v>
      </c>
      <c r="U174" s="20"/>
      <c r="V174" s="20">
        <f ca="1">OFFSET('Gas Supply Factors'!$B$14,$O174-1,V$14)*$L174+OFFSET('Gas Supply Factors'!$B$14,$K174-1,V$14)*$H174</f>
        <v>0</v>
      </c>
      <c r="W174" s="20"/>
      <c r="X174" s="20">
        <f ca="1">OFFSET('Gas Supply Factors'!$B$14,$O174-1,X$14)*$L174+OFFSET('Gas Supply Factors'!$B$14,$K174-1,X$14)*$H174</f>
        <v>0</v>
      </c>
      <c r="Z174" s="20">
        <f ca="1">OFFSET('Gas Supply Factors'!$B$14,$O174-1,Z$14)*$L174+OFFSET('Gas Supply Factors'!$B$14,$K174-1,Z$14)*$H174</f>
        <v>0</v>
      </c>
      <c r="AB174" s="20">
        <f t="shared" ca="1" si="53"/>
        <v>0</v>
      </c>
      <c r="AD174" s="25" t="str">
        <f t="shared" ca="1" si="49"/>
        <v/>
      </c>
    </row>
    <row r="175" spans="2:30" x14ac:dyDescent="0.2">
      <c r="B175" s="18">
        <f t="shared" si="54"/>
        <v>109</v>
      </c>
      <c r="D175" s="1" t="s">
        <v>127</v>
      </c>
      <c r="F175" s="50">
        <f ca="1">Function!P175</f>
        <v>0</v>
      </c>
      <c r="H175" s="79"/>
      <c r="J175" s="2"/>
      <c r="L175" s="50">
        <f t="shared" ca="1" si="52"/>
        <v>0</v>
      </c>
      <c r="O175" s="73">
        <v>0</v>
      </c>
      <c r="P175" s="20">
        <f ca="1">OFFSET('Gas Supply Factors'!$B$14,$O175-1,P$14)*$L175+OFFSET('Gas Supply Factors'!$B$14,$K175-1,P$14)*$H175</f>
        <v>0</v>
      </c>
      <c r="R175" s="20">
        <f ca="1">OFFSET('Gas Supply Factors'!$B$14,$O175-1,R$14)*$L175+OFFSET('Gas Supply Factors'!$B$14,$K175-1,R$14)*$H175</f>
        <v>0</v>
      </c>
      <c r="S175" s="20"/>
      <c r="T175" s="20">
        <f ca="1">OFFSET('Gas Supply Factors'!$B$14,$O175-1,T$14)*$L175+OFFSET('Gas Supply Factors'!$B$14,$K175-1,T$14)*$H175</f>
        <v>0</v>
      </c>
      <c r="U175" s="20"/>
      <c r="V175" s="20">
        <f ca="1">OFFSET('Gas Supply Factors'!$B$14,$O175-1,V$14)*$L175+OFFSET('Gas Supply Factors'!$B$14,$K175-1,V$14)*$H175</f>
        <v>0</v>
      </c>
      <c r="W175" s="20"/>
      <c r="X175" s="20">
        <f ca="1">OFFSET('Gas Supply Factors'!$B$14,$O175-1,X$14)*$L175+OFFSET('Gas Supply Factors'!$B$14,$K175-1,X$14)*$H175</f>
        <v>0</v>
      </c>
      <c r="Z175" s="20">
        <f ca="1">OFFSET('Gas Supply Factors'!$B$14,$O175-1,Z$14)*$L175+OFFSET('Gas Supply Factors'!$B$14,$K175-1,Z$14)*$H175</f>
        <v>0</v>
      </c>
      <c r="AB175" s="20">
        <f t="shared" ca="1" si="53"/>
        <v>0</v>
      </c>
      <c r="AD175" s="25" t="str">
        <f t="shared" ca="1" si="49"/>
        <v/>
      </c>
    </row>
    <row r="176" spans="2:30" x14ac:dyDescent="0.2">
      <c r="B176" s="18">
        <f t="shared" si="54"/>
        <v>110</v>
      </c>
      <c r="D176" s="1" t="s">
        <v>387</v>
      </c>
      <c r="F176" s="50">
        <f ca="1">Function!P176</f>
        <v>0</v>
      </c>
      <c r="H176" s="79"/>
      <c r="J176" s="2"/>
      <c r="L176" s="50">
        <f t="shared" ca="1" si="52"/>
        <v>0</v>
      </c>
      <c r="O176" s="73">
        <v>0</v>
      </c>
      <c r="P176" s="20">
        <f ca="1">OFFSET('Gas Supply Factors'!$B$14,$O176-1,P$14)*$L176+OFFSET('Gas Supply Factors'!$B$14,$K176-1,P$14)*$H176</f>
        <v>0</v>
      </c>
      <c r="R176" s="20">
        <f ca="1">OFFSET('Gas Supply Factors'!$B$14,$O176-1,R$14)*$L176+OFFSET('Gas Supply Factors'!$B$14,$K176-1,R$14)*$H176</f>
        <v>0</v>
      </c>
      <c r="S176" s="20"/>
      <c r="T176" s="20">
        <f ca="1">OFFSET('Gas Supply Factors'!$B$14,$O176-1,T$14)*$L176+OFFSET('Gas Supply Factors'!$B$14,$K176-1,T$14)*$H176</f>
        <v>0</v>
      </c>
      <c r="U176" s="20"/>
      <c r="V176" s="20">
        <f ca="1">OFFSET('Gas Supply Factors'!$B$14,$O176-1,V$14)*$L176+OFFSET('Gas Supply Factors'!$B$14,$K176-1,V$14)*$H176</f>
        <v>0</v>
      </c>
      <c r="W176" s="20"/>
      <c r="X176" s="20">
        <f ca="1">OFFSET('Gas Supply Factors'!$B$14,$O176-1,X$14)*$L176+OFFSET('Gas Supply Factors'!$B$14,$K176-1,X$14)*$H176</f>
        <v>0</v>
      </c>
      <c r="Z176" s="20">
        <f ca="1">OFFSET('Gas Supply Factors'!$B$14,$O176-1,Z$14)*$L176+OFFSET('Gas Supply Factors'!$B$14,$K176-1,Z$14)*$H176</f>
        <v>0</v>
      </c>
      <c r="AB176" s="20">
        <f t="shared" ca="1" si="53"/>
        <v>0</v>
      </c>
      <c r="AD176" s="25" t="str">
        <f t="shared" ca="1" si="49"/>
        <v/>
      </c>
    </row>
    <row r="177" spans="2:30" x14ac:dyDescent="0.2">
      <c r="T177" s="20"/>
      <c r="U177" s="20"/>
      <c r="W177" s="20"/>
      <c r="AD177" s="25" t="str">
        <f t="shared" si="49"/>
        <v/>
      </c>
    </row>
    <row r="178" spans="2:30" x14ac:dyDescent="0.2">
      <c r="B178" s="18">
        <f>B176+1</f>
        <v>111</v>
      </c>
      <c r="D178" s="1" t="s">
        <v>401</v>
      </c>
      <c r="F178" s="41">
        <f ca="1">SUM(F170:F176)</f>
        <v>20700.84256063772</v>
      </c>
      <c r="H178" s="41">
        <f>SUM(H170:H176)</f>
        <v>0</v>
      </c>
      <c r="J178" s="2"/>
      <c r="L178" s="41">
        <f ca="1">SUM(L170:L176)</f>
        <v>20700.84256063772</v>
      </c>
      <c r="P178" s="10">
        <f ca="1">SUM(P170:P176)</f>
        <v>0</v>
      </c>
      <c r="R178" s="10">
        <f ca="1">SUM(R170:R176)</f>
        <v>7887.1774852340614</v>
      </c>
      <c r="S178" s="8"/>
      <c r="T178" s="10">
        <f ca="1">SUM(T170:T176)</f>
        <v>0</v>
      </c>
      <c r="U178" s="20"/>
      <c r="V178" s="10">
        <f ca="1">SUM(V170:V176)</f>
        <v>7449.4151202177381</v>
      </c>
      <c r="W178" s="20"/>
      <c r="X178" s="10">
        <f ca="1">SUM(X170:X176)</f>
        <v>0</v>
      </c>
      <c r="Z178" s="10">
        <f ca="1">SUM(Z170:Z176)</f>
        <v>5364.249955185921</v>
      </c>
      <c r="AB178" s="10">
        <f ca="1">SUM(AB170:AB176)</f>
        <v>20700.84256063772</v>
      </c>
      <c r="AD178" s="25" t="str">
        <f t="shared" ca="1" si="49"/>
        <v/>
      </c>
    </row>
    <row r="179" spans="2:30" x14ac:dyDescent="0.2">
      <c r="U179" s="20"/>
      <c r="W179" s="20"/>
      <c r="AD179" s="25" t="str">
        <f t="shared" si="49"/>
        <v/>
      </c>
    </row>
    <row r="180" spans="2:30" ht="13.5" thickBot="1" x14ac:dyDescent="0.25">
      <c r="B180" s="18">
        <f>B178+1</f>
        <v>112</v>
      </c>
      <c r="D180" s="1" t="s">
        <v>148</v>
      </c>
      <c r="F180" s="83">
        <f ca="1">F164-F178</f>
        <v>2247693.094588703</v>
      </c>
      <c r="H180" s="83">
        <f>H164-H178</f>
        <v>0</v>
      </c>
      <c r="L180" s="83">
        <f ca="1">L164-L178</f>
        <v>2247693.094588703</v>
      </c>
      <c r="P180" s="34">
        <f ca="1">P164-P178</f>
        <v>1878311.1040714213</v>
      </c>
      <c r="R180" s="34">
        <f ca="1">R164-R178</f>
        <v>153599.23567205007</v>
      </c>
      <c r="S180" s="8"/>
      <c r="T180" s="34">
        <f ca="1">T164-T178</f>
        <v>40328.527901042762</v>
      </c>
      <c r="U180" s="20"/>
      <c r="V180" s="34">
        <f ca="1">V164-V178</f>
        <v>145074.01041898847</v>
      </c>
      <c r="W180" s="20"/>
      <c r="X180" s="34">
        <f ca="1">X164-X178</f>
        <v>14888.543237034275</v>
      </c>
      <c r="Z180" s="34">
        <f ca="1">Z164-Z178</f>
        <v>15491.673288166032</v>
      </c>
      <c r="AB180" s="34">
        <f ca="1">AB164-AB178</f>
        <v>2247693.094588703</v>
      </c>
      <c r="AD180" s="25" t="str">
        <f t="shared" ca="1" si="49"/>
        <v/>
      </c>
    </row>
    <row r="181" spans="2:30" ht="13.5" thickTop="1" x14ac:dyDescent="0.2">
      <c r="D181" s="1" t="s">
        <v>403</v>
      </c>
      <c r="U181" s="20"/>
      <c r="W181" s="20"/>
    </row>
    <row r="182" spans="2:30" x14ac:dyDescent="0.2">
      <c r="W182" s="20"/>
    </row>
    <row r="183" spans="2:30" x14ac:dyDescent="0.2">
      <c r="W183" s="20"/>
    </row>
    <row r="184" spans="2:30" x14ac:dyDescent="0.2">
      <c r="W184" s="20"/>
    </row>
  </sheetData>
  <mergeCells count="3">
    <mergeCell ref="B5:AB5"/>
    <mergeCell ref="B6:AB6"/>
    <mergeCell ref="B7:AB7"/>
  </mergeCells>
  <pageMargins left="0.7" right="0.7" top="0.75" bottom="0.75" header="0.3" footer="0.3"/>
  <pageSetup scale="48" fitToHeight="4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EDACF-2405-4910-94B8-594638FA2091}">
  <sheetPr>
    <tabColor theme="0" tint="-0.249977111117893"/>
  </sheetPr>
  <dimension ref="A2:Z59"/>
  <sheetViews>
    <sheetView zoomScale="80" zoomScaleNormal="80" workbookViewId="0">
      <selection activeCell="J43" sqref="J43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hidden="1" customWidth="1"/>
    <col min="5" max="5" width="1.7109375" style="31" hidden="1" customWidth="1"/>
    <col min="6" max="6" width="20.140625" style="31" customWidth="1"/>
    <col min="7" max="7" width="1.7109375" style="31" customWidth="1"/>
    <col min="8" max="8" width="17.140625" style="31" customWidth="1"/>
    <col min="9" max="9" width="1.7109375" style="31" customWidth="1"/>
    <col min="10" max="10" width="19.7109375" style="2" customWidth="1"/>
    <col min="11" max="11" width="1.7109375" style="31" customWidth="1"/>
    <col min="12" max="12" width="17.140625" style="31" customWidth="1"/>
    <col min="13" max="13" width="1.7109375" style="31" customWidth="1"/>
    <col min="14" max="14" width="20" style="2" customWidth="1"/>
    <col min="15" max="15" width="1.7109375" style="31" customWidth="1"/>
    <col min="16" max="18" width="11.28515625" style="31" customWidth="1"/>
    <col min="19" max="20" width="10.5703125" style="31" customWidth="1"/>
    <col min="21" max="21" width="12.140625" style="31" bestFit="1" customWidth="1"/>
    <col min="22" max="24" width="10.5703125" style="31" customWidth="1"/>
    <col min="25" max="16384" width="9.140625" style="31"/>
  </cols>
  <sheetData>
    <row r="2" spans="1:26" x14ac:dyDescent="0.2">
      <c r="B2" s="161" t="s">
        <v>511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</row>
    <row r="3" spans="1:26" x14ac:dyDescent="0.2">
      <c r="B3" s="161" t="s">
        <v>525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</row>
    <row r="5" spans="1:26" x14ac:dyDescent="0.2">
      <c r="F5" s="2" t="s">
        <v>150</v>
      </c>
    </row>
    <row r="6" spans="1:26" x14ac:dyDescent="0.2">
      <c r="A6" s="2" t="s">
        <v>2</v>
      </c>
      <c r="D6" s="2" t="s">
        <v>150</v>
      </c>
      <c r="F6" s="2" t="s">
        <v>5</v>
      </c>
      <c r="H6" s="2" t="s">
        <v>167</v>
      </c>
      <c r="J6" s="2" t="s">
        <v>168</v>
      </c>
      <c r="K6" s="2"/>
      <c r="L6" s="2" t="s">
        <v>169</v>
      </c>
      <c r="N6" s="2" t="s">
        <v>104</v>
      </c>
      <c r="P6" s="2" t="s">
        <v>80</v>
      </c>
      <c r="Q6" s="2" t="s">
        <v>80</v>
      </c>
      <c r="R6" s="2" t="s">
        <v>80</v>
      </c>
      <c r="S6" s="2" t="s">
        <v>80</v>
      </c>
      <c r="T6" s="2" t="s">
        <v>80</v>
      </c>
      <c r="U6" s="2" t="s">
        <v>80</v>
      </c>
      <c r="V6" s="2" t="s">
        <v>80</v>
      </c>
      <c r="W6" s="2" t="s">
        <v>80</v>
      </c>
      <c r="X6" s="2" t="s">
        <v>80</v>
      </c>
    </row>
    <row r="7" spans="1:26" x14ac:dyDescent="0.2">
      <c r="A7" s="33" t="s">
        <v>4</v>
      </c>
      <c r="B7" s="80" t="s">
        <v>374</v>
      </c>
      <c r="D7" s="33" t="s">
        <v>151</v>
      </c>
      <c r="F7" s="33" t="s">
        <v>152</v>
      </c>
      <c r="H7" s="33" t="s">
        <v>131</v>
      </c>
      <c r="J7" s="33" t="s">
        <v>6</v>
      </c>
      <c r="K7" s="2"/>
      <c r="L7" s="33" t="s">
        <v>170</v>
      </c>
      <c r="N7" s="33" t="s">
        <v>6</v>
      </c>
      <c r="P7" s="33">
        <v>331</v>
      </c>
      <c r="Q7" s="33">
        <v>332</v>
      </c>
      <c r="R7" s="33">
        <v>401</v>
      </c>
      <c r="S7" s="33" t="s">
        <v>496</v>
      </c>
      <c r="T7" s="33" t="s">
        <v>497</v>
      </c>
      <c r="U7" s="33" t="s">
        <v>498</v>
      </c>
      <c r="V7" s="33" t="s">
        <v>499</v>
      </c>
      <c r="W7" s="33" t="s">
        <v>500</v>
      </c>
      <c r="X7" s="33" t="s">
        <v>501</v>
      </c>
    </row>
    <row r="8" spans="1:26" x14ac:dyDescent="0.2">
      <c r="D8" s="120" t="s">
        <v>12</v>
      </c>
      <c r="F8" s="120" t="s">
        <v>12</v>
      </c>
      <c r="H8" s="120" t="s">
        <v>13</v>
      </c>
      <c r="J8" s="120" t="s">
        <v>14</v>
      </c>
      <c r="L8" s="120" t="s">
        <v>366</v>
      </c>
      <c r="M8" s="74"/>
      <c r="N8" s="120" t="s">
        <v>15</v>
      </c>
      <c r="O8" s="40"/>
      <c r="P8" s="120" t="s">
        <v>16</v>
      </c>
      <c r="Q8" s="120" t="s">
        <v>59</v>
      </c>
      <c r="R8" s="120" t="s">
        <v>61</v>
      </c>
      <c r="S8" s="120" t="s">
        <v>62</v>
      </c>
      <c r="T8" s="120" t="s">
        <v>82</v>
      </c>
      <c r="U8" s="120" t="s">
        <v>143</v>
      </c>
      <c r="V8" s="120" t="s">
        <v>144</v>
      </c>
      <c r="W8" s="120" t="s">
        <v>145</v>
      </c>
      <c r="X8" s="120" t="s">
        <v>184</v>
      </c>
      <c r="Y8" s="120"/>
      <c r="Z8" s="120"/>
    </row>
    <row r="10" spans="1:26" x14ac:dyDescent="0.2">
      <c r="B10" s="77" t="s">
        <v>384</v>
      </c>
    </row>
    <row r="11" spans="1:26" x14ac:dyDescent="0.2">
      <c r="A11" s="2">
        <v>1</v>
      </c>
      <c r="B11" s="31" t="s">
        <v>132</v>
      </c>
      <c r="D11" s="79"/>
      <c r="E11" s="79"/>
      <c r="F11" s="79">
        <f ca="1">'Total Allocation Current RZ'!T11</f>
        <v>0</v>
      </c>
      <c r="L11" s="79">
        <f ca="1">F11-H11</f>
        <v>0</v>
      </c>
      <c r="N11" s="2" t="s">
        <v>221</v>
      </c>
      <c r="P11" s="79"/>
      <c r="Q11" s="79"/>
      <c r="R11" s="79"/>
      <c r="S11" s="79"/>
      <c r="T11" s="79"/>
      <c r="U11" s="79"/>
      <c r="V11" s="79"/>
      <c r="W11" s="79"/>
      <c r="X11" s="79"/>
    </row>
    <row r="12" spans="1:26" x14ac:dyDescent="0.2">
      <c r="A12" s="2">
        <f>A11+1</f>
        <v>2</v>
      </c>
      <c r="B12" s="31" t="s">
        <v>385</v>
      </c>
      <c r="D12" s="79"/>
      <c r="E12" s="79"/>
      <c r="F12" s="79">
        <f ca="1">'Total Allocation Current RZ'!T12</f>
        <v>0</v>
      </c>
      <c r="L12" s="79">
        <f t="shared" ref="L12:L16" ca="1" si="0">F12-H12</f>
        <v>0</v>
      </c>
      <c r="N12" s="2" t="s">
        <v>156</v>
      </c>
      <c r="P12" s="79"/>
      <c r="Q12" s="79"/>
      <c r="R12" s="79"/>
      <c r="S12" s="79"/>
      <c r="T12" s="79"/>
      <c r="U12" s="79"/>
      <c r="V12" s="79"/>
      <c r="W12" s="79"/>
      <c r="X12" s="79"/>
    </row>
    <row r="13" spans="1:26" x14ac:dyDescent="0.2">
      <c r="A13" s="2">
        <f t="shared" ref="A13:A17" si="1">A12+1</f>
        <v>3</v>
      </c>
      <c r="B13" s="31" t="s">
        <v>386</v>
      </c>
      <c r="D13" s="79"/>
      <c r="E13" s="79"/>
      <c r="F13" s="79">
        <f ca="1">'Total Allocation Current RZ'!T13</f>
        <v>0</v>
      </c>
      <c r="L13" s="79">
        <f t="shared" ca="1" si="0"/>
        <v>0</v>
      </c>
      <c r="N13" s="2" t="s">
        <v>156</v>
      </c>
      <c r="P13" s="79"/>
      <c r="Q13" s="79"/>
      <c r="R13" s="79"/>
      <c r="S13" s="79"/>
      <c r="T13" s="79"/>
      <c r="U13" s="79"/>
      <c r="V13" s="79"/>
      <c r="W13" s="79"/>
      <c r="X13" s="79"/>
    </row>
    <row r="14" spans="1:26" x14ac:dyDescent="0.2">
      <c r="A14" s="2">
        <f t="shared" si="1"/>
        <v>4</v>
      </c>
      <c r="B14" s="31" t="s">
        <v>115</v>
      </c>
      <c r="D14" s="79"/>
      <c r="E14" s="79"/>
      <c r="F14" s="79">
        <f ca="1">'Total Allocation Current RZ'!T14</f>
        <v>0</v>
      </c>
      <c r="H14" s="50"/>
      <c r="L14" s="79">
        <f t="shared" ca="1" si="0"/>
        <v>0</v>
      </c>
      <c r="N14" s="2" t="s">
        <v>262</v>
      </c>
      <c r="P14" s="79"/>
      <c r="Q14" s="79"/>
      <c r="R14" s="79"/>
      <c r="S14" s="79"/>
      <c r="T14" s="79"/>
      <c r="U14" s="79"/>
      <c r="V14" s="79"/>
      <c r="W14" s="79"/>
      <c r="X14" s="79"/>
    </row>
    <row r="15" spans="1:26" x14ac:dyDescent="0.2">
      <c r="A15" s="2">
        <f t="shared" si="1"/>
        <v>5</v>
      </c>
      <c r="B15" s="31" t="s">
        <v>133</v>
      </c>
      <c r="D15" s="79"/>
      <c r="E15" s="79"/>
      <c r="F15" s="79">
        <f ca="1">'Total Allocation Current RZ'!T15</f>
        <v>0</v>
      </c>
      <c r="L15" s="79">
        <f t="shared" ca="1" si="0"/>
        <v>0</v>
      </c>
      <c r="N15" s="2" t="s">
        <v>264</v>
      </c>
      <c r="P15" s="79"/>
      <c r="Q15" s="79"/>
      <c r="R15" s="79"/>
      <c r="S15" s="79"/>
      <c r="T15" s="79"/>
      <c r="U15" s="79"/>
      <c r="V15" s="79"/>
      <c r="W15" s="79"/>
      <c r="X15" s="79"/>
    </row>
    <row r="16" spans="1:26" x14ac:dyDescent="0.2">
      <c r="A16" s="2">
        <f t="shared" si="1"/>
        <v>6</v>
      </c>
      <c r="B16" s="31" t="s">
        <v>135</v>
      </c>
      <c r="D16" s="79"/>
      <c r="E16" s="79"/>
      <c r="F16" s="79">
        <f ca="1">'Total Allocation Current RZ'!T16</f>
        <v>0</v>
      </c>
      <c r="L16" s="79">
        <f t="shared" ca="1" si="0"/>
        <v>0</v>
      </c>
      <c r="N16" s="2" t="s">
        <v>221</v>
      </c>
      <c r="P16" s="79"/>
      <c r="Q16" s="79"/>
      <c r="R16" s="79"/>
      <c r="S16" s="79"/>
      <c r="T16" s="79"/>
      <c r="U16" s="79"/>
      <c r="V16" s="79"/>
      <c r="W16" s="79"/>
      <c r="X16" s="79"/>
    </row>
    <row r="17" spans="1:24" x14ac:dyDescent="0.2">
      <c r="A17" s="2">
        <f t="shared" si="1"/>
        <v>7</v>
      </c>
      <c r="B17" s="31" t="s">
        <v>383</v>
      </c>
      <c r="D17" s="81"/>
      <c r="E17" s="79"/>
      <c r="F17" s="81">
        <f ca="1">SUM(F11:F16)</f>
        <v>0</v>
      </c>
      <c r="H17" s="81">
        <f>SUM(H11:H16)</f>
        <v>0</v>
      </c>
      <c r="L17" s="41">
        <f ca="1">SUM(L11:L16)</f>
        <v>0</v>
      </c>
      <c r="P17" s="41">
        <f t="shared" ref="P17:X17" si="2">SUM(P11:P16)</f>
        <v>0</v>
      </c>
      <c r="Q17" s="41">
        <f t="shared" si="2"/>
        <v>0</v>
      </c>
      <c r="R17" s="41">
        <f t="shared" si="2"/>
        <v>0</v>
      </c>
      <c r="S17" s="41">
        <f t="shared" si="2"/>
        <v>0</v>
      </c>
      <c r="T17" s="41">
        <f t="shared" si="2"/>
        <v>0</v>
      </c>
      <c r="U17" s="41">
        <f t="shared" si="2"/>
        <v>0</v>
      </c>
      <c r="V17" s="41">
        <f t="shared" si="2"/>
        <v>0</v>
      </c>
      <c r="W17" s="41">
        <f t="shared" si="2"/>
        <v>0</v>
      </c>
      <c r="X17" s="41">
        <f t="shared" si="2"/>
        <v>0</v>
      </c>
    </row>
    <row r="18" spans="1:24" x14ac:dyDescent="0.2">
      <c r="D18" s="79"/>
      <c r="E18" s="79"/>
      <c r="F18" s="79"/>
      <c r="P18" s="79"/>
      <c r="Q18" s="79"/>
      <c r="R18" s="79"/>
      <c r="S18" s="79"/>
      <c r="T18" s="79"/>
      <c r="U18" s="79"/>
      <c r="V18" s="79"/>
      <c r="W18" s="79"/>
      <c r="X18" s="79"/>
    </row>
    <row r="19" spans="1:24" x14ac:dyDescent="0.2">
      <c r="B19" s="77" t="s">
        <v>97</v>
      </c>
      <c r="D19" s="79"/>
      <c r="E19" s="79"/>
      <c r="F19" s="79"/>
      <c r="P19" s="79"/>
      <c r="Q19" s="79"/>
      <c r="R19" s="79"/>
      <c r="S19" s="79"/>
      <c r="T19" s="79"/>
      <c r="U19" s="79"/>
      <c r="V19" s="79"/>
      <c r="W19" s="79"/>
      <c r="X19" s="79"/>
    </row>
    <row r="20" spans="1:24" x14ac:dyDescent="0.2">
      <c r="A20" s="2">
        <f>A17+1</f>
        <v>8</v>
      </c>
      <c r="B20" s="31" t="s">
        <v>89</v>
      </c>
      <c r="D20" s="79"/>
      <c r="E20" s="79"/>
      <c r="F20" s="79">
        <f ca="1">'Total Allocation Current RZ'!T20</f>
        <v>0</v>
      </c>
      <c r="L20" s="79">
        <f t="shared" ref="L20:L23" ca="1" si="3">F20-H20</f>
        <v>0</v>
      </c>
      <c r="N20" s="2" t="s">
        <v>156</v>
      </c>
      <c r="P20" s="79"/>
      <c r="Q20" s="79"/>
      <c r="R20" s="79"/>
      <c r="S20" s="79"/>
      <c r="T20" s="79"/>
      <c r="U20" s="79"/>
      <c r="V20" s="79"/>
      <c r="W20" s="79"/>
      <c r="X20" s="79"/>
    </row>
    <row r="21" spans="1:24" x14ac:dyDescent="0.2">
      <c r="A21" s="2">
        <f>A20+1</f>
        <v>9</v>
      </c>
      <c r="B21" s="31" t="s">
        <v>90</v>
      </c>
      <c r="D21" s="79"/>
      <c r="E21" s="79"/>
      <c r="F21" s="79">
        <f ca="1">'Total Allocation Current RZ'!T21</f>
        <v>0</v>
      </c>
      <c r="H21" s="79"/>
      <c r="L21" s="79">
        <f t="shared" ca="1" si="3"/>
        <v>0</v>
      </c>
      <c r="N21" s="2" t="s">
        <v>157</v>
      </c>
      <c r="P21" s="79"/>
      <c r="Q21" s="79"/>
      <c r="R21" s="79"/>
      <c r="S21" s="79"/>
      <c r="T21" s="79"/>
      <c r="U21" s="79"/>
      <c r="V21" s="79"/>
      <c r="W21" s="79"/>
      <c r="X21" s="79"/>
    </row>
    <row r="22" spans="1:24" x14ac:dyDescent="0.2">
      <c r="A22" s="2">
        <f t="shared" ref="A22:A24" si="4">A21+1</f>
        <v>10</v>
      </c>
      <c r="B22" s="31" t="s">
        <v>345</v>
      </c>
      <c r="D22" s="79"/>
      <c r="E22" s="79"/>
      <c r="F22" s="79">
        <f ca="1">'Total Allocation Current RZ'!T22</f>
        <v>395.43062029021604</v>
      </c>
      <c r="L22" s="79">
        <f t="shared" ca="1" si="3"/>
        <v>395.43062029021604</v>
      </c>
      <c r="N22" s="2" t="s">
        <v>346</v>
      </c>
      <c r="P22" s="79">
        <f ca="1">IF($L22&lt;&gt;0,VLOOKUP($N22,'Allocation Factors - Ex Fran'!$B$12:$N$100,5,FALSE)*$L22,0)+IF($H22&lt;&gt;0,VLOOKUP($J22,'Allocation Factors - Ex Fran'!$B$12:$N$100,5,FALSE)*$H22,0)</f>
        <v>3.8607048867376017</v>
      </c>
      <c r="Q22" s="79">
        <f ca="1">IF($L22&lt;&gt;0,VLOOKUP($N22,'Allocation Factors - Ex Fran'!$B$12:$N$100,6,FALSE)*$L22,0)+IF($H22&lt;&gt;0,VLOOKUP($J22,'Allocation Factors - Ex Fran'!$B$12:$N$100,6,FALSE)*$H22,0)</f>
        <v>32.389999856106542</v>
      </c>
      <c r="R22" s="79">
        <f ca="1">IF($L22&lt;&gt;0,VLOOKUP($N22,'Allocation Factors - Ex Fran'!$B$12:$N$100,7,FALSE)*$L22,0)+IF($H22&lt;&gt;0,VLOOKUP($J22,'Allocation Factors - Ex Fran'!$B$12:$N$100,7,FALSE)*$H22,0)</f>
        <v>0</v>
      </c>
      <c r="S22" s="79">
        <f ca="1">IF($L22&lt;&gt;0,VLOOKUP($N22,'Allocation Factors - Ex Fran'!$B$12:$N$100,8,FALSE)*$L22,0)+IF($H22&lt;&gt;0,VLOOKUP($J22,'Allocation Factors - Ex Fran'!$B$12:$N$100,8,FALSE)*$H22,0)</f>
        <v>83.761344626230624</v>
      </c>
      <c r="T22" s="79">
        <f ca="1">IF($L22&lt;&gt;0,VLOOKUP($N22,'Allocation Factors - Ex Fran'!$B$12:$N$100,9,FALSE)*$L22,0)+IF($H22&lt;&gt;0,VLOOKUP($J22,'Allocation Factors - Ex Fran'!$B$12:$N$100,9,FALSE)*$H22,0)</f>
        <v>14.498280316848078</v>
      </c>
      <c r="U22" s="79">
        <f ca="1">IF($L22&lt;&gt;0,VLOOKUP($N22,'Allocation Factors - Ex Fran'!$B$12:$N$100,10,FALSE)*$L22,0)+IF($H22&lt;&gt;0,VLOOKUP($J22,'Allocation Factors - Ex Fran'!$B$12:$N$100,10,FALSE)*$H22,0)</f>
        <v>255.10086404575307</v>
      </c>
      <c r="V22" s="79">
        <f ca="1">IF($L22&lt;&gt;0,VLOOKUP($N22,'Allocation Factors - Ex Fran'!$B$12:$N$100,11,FALSE)*$L22,0)+IF($H22&lt;&gt;0,VLOOKUP($J22,'Allocation Factors - Ex Fran'!$B$12:$N$100,11,FALSE)*$H22,0)</f>
        <v>1.5211406377268073</v>
      </c>
      <c r="W22" s="79">
        <f ca="1">IF($L22&lt;&gt;0,VLOOKUP($N22,'Allocation Factors - Ex Fran'!$B$12:$N$100,12,FALSE)*$L22,0)+IF($H22&lt;&gt;0,VLOOKUP($J22,'Allocation Factors - Ex Fran'!$B$12:$N$100,12,FALSE)*$H22,0)</f>
        <v>3.4572290471464631</v>
      </c>
      <c r="X22" s="79">
        <f ca="1">IF($L22&lt;&gt;0,VLOOKUP($N22,'Allocation Factors - Ex Fran'!$B$12:$N$100,13,FALSE)*$L22,0)+IF($H22&lt;&gt;0,VLOOKUP($J22,'Allocation Factors - Ex Fran'!$B$12:$N$100,13,FALSE)*$H22,0)</f>
        <v>0.84105687366686677</v>
      </c>
    </row>
    <row r="23" spans="1:24" x14ac:dyDescent="0.2">
      <c r="A23" s="2">
        <f t="shared" si="4"/>
        <v>11</v>
      </c>
      <c r="B23" s="31" t="s">
        <v>91</v>
      </c>
      <c r="D23" s="79"/>
      <c r="E23" s="79"/>
      <c r="F23" s="79">
        <f ca="1">'Total Allocation Current RZ'!T23</f>
        <v>0</v>
      </c>
      <c r="L23" s="79">
        <f t="shared" ca="1" si="3"/>
        <v>0</v>
      </c>
      <c r="N23" s="2" t="s">
        <v>334</v>
      </c>
      <c r="P23" s="79"/>
      <c r="Q23" s="79"/>
      <c r="R23" s="79"/>
      <c r="S23" s="79"/>
      <c r="T23" s="79"/>
      <c r="U23" s="79"/>
      <c r="V23" s="79"/>
      <c r="W23" s="79"/>
      <c r="X23" s="79"/>
    </row>
    <row r="24" spans="1:24" x14ac:dyDescent="0.2">
      <c r="A24" s="2">
        <f t="shared" si="4"/>
        <v>12</v>
      </c>
      <c r="B24" s="31" t="s">
        <v>96</v>
      </c>
      <c r="D24" s="41"/>
      <c r="F24" s="41">
        <f ca="1">SUM(F20:F23)</f>
        <v>395.43062029021604</v>
      </c>
      <c r="H24" s="41">
        <f>SUM(H20:H23)</f>
        <v>0</v>
      </c>
      <c r="J24" s="122"/>
      <c r="L24" s="41">
        <f ca="1">SUM(L20:L23)</f>
        <v>395.43062029021604</v>
      </c>
      <c r="P24" s="41">
        <f t="shared" ref="P24:X24" ca="1" si="5">SUM(P20:P23)</f>
        <v>3.8607048867376017</v>
      </c>
      <c r="Q24" s="41">
        <f t="shared" ca="1" si="5"/>
        <v>32.389999856106542</v>
      </c>
      <c r="R24" s="41">
        <f t="shared" ca="1" si="5"/>
        <v>0</v>
      </c>
      <c r="S24" s="41">
        <f t="shared" ca="1" si="5"/>
        <v>83.761344626230624</v>
      </c>
      <c r="T24" s="41">
        <f t="shared" ca="1" si="5"/>
        <v>14.498280316848078</v>
      </c>
      <c r="U24" s="41">
        <f t="shared" ca="1" si="5"/>
        <v>255.10086404575307</v>
      </c>
      <c r="V24" s="41">
        <f t="shared" ca="1" si="5"/>
        <v>1.5211406377268073</v>
      </c>
      <c r="W24" s="41">
        <f t="shared" ca="1" si="5"/>
        <v>3.4572290471464631</v>
      </c>
      <c r="X24" s="41">
        <f t="shared" ca="1" si="5"/>
        <v>0.84105687366686677</v>
      </c>
    </row>
    <row r="25" spans="1:24" x14ac:dyDescent="0.2">
      <c r="D25" s="50"/>
      <c r="P25" s="79"/>
      <c r="Q25" s="79"/>
      <c r="R25" s="79"/>
      <c r="S25" s="91"/>
      <c r="T25" s="91"/>
      <c r="U25" s="91"/>
      <c r="V25" s="91"/>
      <c r="W25" s="91"/>
      <c r="X25" s="91"/>
    </row>
    <row r="26" spans="1:24" x14ac:dyDescent="0.2">
      <c r="B26" s="77" t="s">
        <v>98</v>
      </c>
      <c r="P26" s="79"/>
      <c r="Q26" s="79"/>
      <c r="R26" s="79"/>
      <c r="S26" s="91"/>
      <c r="T26" s="91"/>
      <c r="U26" s="91"/>
      <c r="V26" s="91"/>
      <c r="W26" s="91"/>
      <c r="X26" s="91"/>
    </row>
    <row r="27" spans="1:24" x14ac:dyDescent="0.2">
      <c r="A27" s="2">
        <f>A24+1</f>
        <v>13</v>
      </c>
      <c r="B27" s="31" t="s">
        <v>92</v>
      </c>
      <c r="D27" s="79"/>
      <c r="E27" s="79"/>
      <c r="F27" s="79">
        <f ca="1">'Total Allocation Current RZ'!T27</f>
        <v>4683.1560894495487</v>
      </c>
      <c r="L27" s="79">
        <f t="shared" ref="L27:L32" ca="1" si="6">F27-H27</f>
        <v>4683.1560894495487</v>
      </c>
      <c r="N27" s="2" t="s">
        <v>533</v>
      </c>
      <c r="P27" s="79">
        <f ca="1">IF($L27&lt;&gt;0,VLOOKUP($N27,'Allocation Factors - Ex Fran'!$B$12:$N$100,5,FALSE)*$L27,0)+IF($H27&lt;&gt;0,VLOOKUP($J27,'Allocation Factors - Ex Fran'!$B$12:$N$100,5,FALSE)*$H27,0)</f>
        <v>0</v>
      </c>
      <c r="Q27" s="79">
        <f ca="1">IF($L27&lt;&gt;0,VLOOKUP($N27,'Allocation Factors - Ex Fran'!$B$12:$N$100,6,FALSE)*$L27,0)+IF($H27&lt;&gt;0,VLOOKUP($J27,'Allocation Factors - Ex Fran'!$B$12:$N$100,6,FALSE)*$H27,0)</f>
        <v>0</v>
      </c>
      <c r="R27" s="79">
        <f ca="1">IF($L27&lt;&gt;0,VLOOKUP($N27,'Allocation Factors - Ex Fran'!$B$12:$N$100,7,FALSE)*$L27,0)+IF($H27&lt;&gt;0,VLOOKUP($J27,'Allocation Factors - Ex Fran'!$B$12:$N$100,7,FALSE)*$H27,0)</f>
        <v>0</v>
      </c>
      <c r="S27" s="79">
        <f ca="1">IF($L27&lt;&gt;0,VLOOKUP($N27,'Allocation Factors - Ex Fran'!$B$12:$N$100,8,FALSE)*$L27,0)+IF($H27&lt;&gt;0,VLOOKUP($J27,'Allocation Factors - Ex Fran'!$B$12:$N$100,8,FALSE)*$H27,0)</f>
        <v>49.392485768132815</v>
      </c>
      <c r="T27" s="79">
        <f ca="1">IF($L27&lt;&gt;0,VLOOKUP($N27,'Allocation Factors - Ex Fran'!$B$12:$N$100,9,FALSE)*$L27,0)+IF($H27&lt;&gt;0,VLOOKUP($J27,'Allocation Factors - Ex Fran'!$B$12:$N$100,9,FALSE)*$H27,0)</f>
        <v>0</v>
      </c>
      <c r="U27" s="79">
        <f ca="1">IF($L27&lt;&gt;0,VLOOKUP($N27,'Allocation Factors - Ex Fran'!$B$12:$N$100,10,FALSE)*$L27,0)+IF($H27&lt;&gt;0,VLOOKUP($J27,'Allocation Factors - Ex Fran'!$B$12:$N$100,10,FALSE)*$H27,0)</f>
        <v>4620.5759066980463</v>
      </c>
      <c r="V27" s="79">
        <f ca="1">IF($L27&lt;&gt;0,VLOOKUP($N27,'Allocation Factors - Ex Fran'!$B$12:$N$100,11,FALSE)*$L27,0)+IF($H27&lt;&gt;0,VLOOKUP($J27,'Allocation Factors - Ex Fran'!$B$12:$N$100,11,FALSE)*$H27,0)</f>
        <v>0</v>
      </c>
      <c r="W27" s="79">
        <f ca="1">IF($L27&lt;&gt;0,VLOOKUP($N27,'Allocation Factors - Ex Fran'!$B$12:$N$100,12,FALSE)*$L27,0)+IF($H27&lt;&gt;0,VLOOKUP($J27,'Allocation Factors - Ex Fran'!$B$12:$N$100,12,FALSE)*$H27,0)</f>
        <v>0</v>
      </c>
      <c r="X27" s="79">
        <f ca="1">IF($L27&lt;&gt;0,VLOOKUP($N27,'Allocation Factors - Ex Fran'!$B$12:$N$100,13,FALSE)*$L27,0)+IF($H27&lt;&gt;0,VLOOKUP($J27,'Allocation Factors - Ex Fran'!$B$12:$N$100,13,FALSE)*$H27,0)</f>
        <v>13.187696983369818</v>
      </c>
    </row>
    <row r="28" spans="1:24" x14ac:dyDescent="0.2">
      <c r="A28" s="2">
        <f>A27+1</f>
        <v>14</v>
      </c>
      <c r="B28" s="31" t="s">
        <v>93</v>
      </c>
      <c r="D28" s="79"/>
      <c r="E28" s="79"/>
      <c r="F28" s="79">
        <f ca="1">'Total Allocation Current RZ'!T28</f>
        <v>996.5653461040007</v>
      </c>
      <c r="L28" s="79">
        <f t="shared" ca="1" si="6"/>
        <v>996.5653461040007</v>
      </c>
      <c r="N28" s="2" t="s">
        <v>218</v>
      </c>
      <c r="P28" s="79">
        <f ca="1">IF($L28&lt;&gt;0,VLOOKUP($N28,'Allocation Factors - Ex Fran'!$B$12:$N$100,5,FALSE)*$L28,0)+IF($H28&lt;&gt;0,VLOOKUP($J28,'Allocation Factors - Ex Fran'!$B$12:$N$100,5,FALSE)*$H28,0)</f>
        <v>0</v>
      </c>
      <c r="Q28" s="79">
        <f ca="1">IF($L28&lt;&gt;0,VLOOKUP($N28,'Allocation Factors - Ex Fran'!$B$12:$N$100,6,FALSE)*$L28,0)+IF($H28&lt;&gt;0,VLOOKUP($J28,'Allocation Factors - Ex Fran'!$B$12:$N$100,6,FALSE)*$H28,0)</f>
        <v>0</v>
      </c>
      <c r="R28" s="79">
        <f ca="1">IF($L28&lt;&gt;0,VLOOKUP($N28,'Allocation Factors - Ex Fran'!$B$12:$N$100,7,FALSE)*$L28,0)+IF($H28&lt;&gt;0,VLOOKUP($J28,'Allocation Factors - Ex Fran'!$B$12:$N$100,7,FALSE)*$H28,0)</f>
        <v>0</v>
      </c>
      <c r="S28" s="79">
        <f ca="1">IF($L28&lt;&gt;0,VLOOKUP($N28,'Allocation Factors - Ex Fran'!$B$12:$N$100,8,FALSE)*$L28,0)+IF($H28&lt;&gt;0,VLOOKUP($J28,'Allocation Factors - Ex Fran'!$B$12:$N$100,8,FALSE)*$H28,0)</f>
        <v>0</v>
      </c>
      <c r="T28" s="79">
        <f ca="1">IF($L28&lt;&gt;0,VLOOKUP($N28,'Allocation Factors - Ex Fran'!$B$12:$N$100,9,FALSE)*$L28,0)+IF($H28&lt;&gt;0,VLOOKUP($J28,'Allocation Factors - Ex Fran'!$B$12:$N$100,9,FALSE)*$H28,0)</f>
        <v>0</v>
      </c>
      <c r="U28" s="79">
        <f ca="1">IF($L28&lt;&gt;0,VLOOKUP($N28,'Allocation Factors - Ex Fran'!$B$12:$N$100,10,FALSE)*$L28,0)+IF($H28&lt;&gt;0,VLOOKUP($J28,'Allocation Factors - Ex Fran'!$B$12:$N$100,10,FALSE)*$H28,0)</f>
        <v>996.5653461040007</v>
      </c>
      <c r="V28" s="79">
        <f ca="1">IF($L28&lt;&gt;0,VLOOKUP($N28,'Allocation Factors - Ex Fran'!$B$12:$N$100,11,FALSE)*$L28,0)+IF($H28&lt;&gt;0,VLOOKUP($J28,'Allocation Factors - Ex Fran'!$B$12:$N$100,11,FALSE)*$H28,0)</f>
        <v>0</v>
      </c>
      <c r="W28" s="79">
        <f ca="1">IF($L28&lt;&gt;0,VLOOKUP($N28,'Allocation Factors - Ex Fran'!$B$12:$N$100,12,FALSE)*$L28,0)+IF($H28&lt;&gt;0,VLOOKUP($J28,'Allocation Factors - Ex Fran'!$B$12:$N$100,12,FALSE)*$H28,0)</f>
        <v>0</v>
      </c>
      <c r="X28" s="79">
        <f ca="1">IF($L28&lt;&gt;0,VLOOKUP($N28,'Allocation Factors - Ex Fran'!$B$12:$N$100,13,FALSE)*$L28,0)+IF($H28&lt;&gt;0,VLOOKUP($J28,'Allocation Factors - Ex Fran'!$B$12:$N$100,13,FALSE)*$H28,0)</f>
        <v>0</v>
      </c>
    </row>
    <row r="29" spans="1:24" x14ac:dyDescent="0.2">
      <c r="A29" s="2">
        <f t="shared" ref="A29:A34" si="7">A28+1</f>
        <v>15</v>
      </c>
      <c r="B29" s="31" t="s">
        <v>94</v>
      </c>
      <c r="D29" s="79"/>
      <c r="E29" s="79"/>
      <c r="F29" s="79">
        <f ca="1">'Total Allocation Current RZ'!T29</f>
        <v>23651.269496622928</v>
      </c>
      <c r="L29" s="79">
        <f t="shared" ca="1" si="6"/>
        <v>23651.269496622928</v>
      </c>
      <c r="N29" s="2" t="s">
        <v>230</v>
      </c>
      <c r="P29" s="79">
        <f ca="1">IF($L29&lt;&gt;0,VLOOKUP($N29,'Allocation Factors - Ex Fran'!$B$12:$N$100,5,FALSE)*$L29,0)+IF($H29&lt;&gt;0,VLOOKUP($J29,'Allocation Factors - Ex Fran'!$B$12:$N$100,5,FALSE)*$H29,0)</f>
        <v>0</v>
      </c>
      <c r="Q29" s="79">
        <f ca="1">IF($L29&lt;&gt;0,VLOOKUP($N29,'Allocation Factors - Ex Fran'!$B$12:$N$100,6,FALSE)*$L29,0)+IF($H29&lt;&gt;0,VLOOKUP($J29,'Allocation Factors - Ex Fran'!$B$12:$N$100,6,FALSE)*$H29,0)</f>
        <v>0</v>
      </c>
      <c r="R29" s="79">
        <f ca="1">IF($L29&lt;&gt;0,VLOOKUP($N29,'Allocation Factors - Ex Fran'!$B$12:$N$100,7,FALSE)*$L29,0)+IF($H29&lt;&gt;0,VLOOKUP($J29,'Allocation Factors - Ex Fran'!$B$12:$N$100,7,FALSE)*$H29,0)</f>
        <v>0</v>
      </c>
      <c r="S29" s="79">
        <f ca="1">IF($L29&lt;&gt;0,VLOOKUP($N29,'Allocation Factors - Ex Fran'!$B$12:$N$100,8,FALSE)*$L29,0)+IF($H29&lt;&gt;0,VLOOKUP($J29,'Allocation Factors - Ex Fran'!$B$12:$N$100,8,FALSE)*$H29,0)</f>
        <v>320.1319650747601</v>
      </c>
      <c r="T29" s="79">
        <f ca="1">IF($L29&lt;&gt;0,VLOOKUP($N29,'Allocation Factors - Ex Fran'!$B$12:$N$100,9,FALSE)*$L29,0)+IF($H29&lt;&gt;0,VLOOKUP($J29,'Allocation Factors - Ex Fran'!$B$12:$N$100,9,FALSE)*$H29,0)</f>
        <v>0</v>
      </c>
      <c r="U29" s="79">
        <f ca="1">IF($L29&lt;&gt;0,VLOOKUP($N29,'Allocation Factors - Ex Fran'!$B$12:$N$100,10,FALSE)*$L29,0)+IF($H29&lt;&gt;0,VLOOKUP($J29,'Allocation Factors - Ex Fran'!$B$12:$N$100,10,FALSE)*$H29,0)</f>
        <v>23331.137531548171</v>
      </c>
      <c r="V29" s="79">
        <f ca="1">IF($L29&lt;&gt;0,VLOOKUP($N29,'Allocation Factors - Ex Fran'!$B$12:$N$100,11,FALSE)*$L29,0)+IF($H29&lt;&gt;0,VLOOKUP($J29,'Allocation Factors - Ex Fran'!$B$12:$N$100,11,FALSE)*$H29,0)</f>
        <v>0</v>
      </c>
      <c r="W29" s="79">
        <f ca="1">IF($L29&lt;&gt;0,VLOOKUP($N29,'Allocation Factors - Ex Fran'!$B$12:$N$100,12,FALSE)*$L29,0)+IF($H29&lt;&gt;0,VLOOKUP($J29,'Allocation Factors - Ex Fran'!$B$12:$N$100,12,FALSE)*$H29,0)</f>
        <v>0</v>
      </c>
      <c r="X29" s="79">
        <f ca="1">IF($L29&lt;&gt;0,VLOOKUP($N29,'Allocation Factors - Ex Fran'!$B$12:$N$100,13,FALSE)*$L29,0)+IF($H29&lt;&gt;0,VLOOKUP($J29,'Allocation Factors - Ex Fran'!$B$12:$N$100,13,FALSE)*$H29,0)</f>
        <v>0</v>
      </c>
    </row>
    <row r="30" spans="1:24" x14ac:dyDescent="0.2">
      <c r="A30" s="2">
        <f t="shared" si="7"/>
        <v>16</v>
      </c>
      <c r="B30" s="31" t="s">
        <v>330</v>
      </c>
      <c r="D30" s="79"/>
      <c r="E30" s="79"/>
      <c r="F30" s="79">
        <f ca="1">'Total Allocation Current RZ'!T30</f>
        <v>66563.358664251253</v>
      </c>
      <c r="L30" s="79">
        <f t="shared" ca="1" si="6"/>
        <v>66563.358664251253</v>
      </c>
      <c r="N30" s="2" t="s">
        <v>222</v>
      </c>
      <c r="P30" s="79">
        <f ca="1">IF($L30&lt;&gt;0,VLOOKUP($N30,'Allocation Factors - Ex Fran'!$B$12:$N$100,5,FALSE)*$L30,0)+IF($H30&lt;&gt;0,VLOOKUP($J30,'Allocation Factors - Ex Fran'!$B$12:$N$100,5,FALSE)*$H30,0)</f>
        <v>0</v>
      </c>
      <c r="Q30" s="79">
        <f ca="1">IF($L30&lt;&gt;0,VLOOKUP($N30,'Allocation Factors - Ex Fran'!$B$12:$N$100,6,FALSE)*$L30,0)+IF($H30&lt;&gt;0,VLOOKUP($J30,'Allocation Factors - Ex Fran'!$B$12:$N$100,6,FALSE)*$H30,0)</f>
        <v>0</v>
      </c>
      <c r="R30" s="79">
        <f ca="1">IF($L30&lt;&gt;0,VLOOKUP($N30,'Allocation Factors - Ex Fran'!$B$12:$N$100,7,FALSE)*$L30,0)+IF($H30&lt;&gt;0,VLOOKUP($J30,'Allocation Factors - Ex Fran'!$B$12:$N$100,7,FALSE)*$H30,0)</f>
        <v>0</v>
      </c>
      <c r="S30" s="79">
        <f ca="1">IF($L30&lt;&gt;0,VLOOKUP($N30,'Allocation Factors - Ex Fran'!$B$12:$N$100,8,FALSE)*$L30,0)+IF($H30&lt;&gt;0,VLOOKUP($J30,'Allocation Factors - Ex Fran'!$B$12:$N$100,8,FALSE)*$H30,0)</f>
        <v>1081.7154952799447</v>
      </c>
      <c r="T30" s="79">
        <f ca="1">IF($L30&lt;&gt;0,VLOOKUP($N30,'Allocation Factors - Ex Fran'!$B$12:$N$100,9,FALSE)*$L30,0)+IF($H30&lt;&gt;0,VLOOKUP($J30,'Allocation Factors - Ex Fran'!$B$12:$N$100,9,FALSE)*$H30,0)</f>
        <v>0</v>
      </c>
      <c r="U30" s="79">
        <f ca="1">IF($L30&lt;&gt;0,VLOOKUP($N30,'Allocation Factors - Ex Fran'!$B$12:$N$100,10,FALSE)*$L30,0)+IF($H30&lt;&gt;0,VLOOKUP($J30,'Allocation Factors - Ex Fran'!$B$12:$N$100,10,FALSE)*$H30,0)</f>
        <v>65280.567038343062</v>
      </c>
      <c r="V30" s="79">
        <f ca="1">IF($L30&lt;&gt;0,VLOOKUP($N30,'Allocation Factors - Ex Fran'!$B$12:$N$100,11,FALSE)*$L30,0)+IF($H30&lt;&gt;0,VLOOKUP($J30,'Allocation Factors - Ex Fran'!$B$12:$N$100,11,FALSE)*$H30,0)</f>
        <v>0</v>
      </c>
      <c r="W30" s="79">
        <f ca="1">IF($L30&lt;&gt;0,VLOOKUP($N30,'Allocation Factors - Ex Fran'!$B$12:$N$100,12,FALSE)*$L30,0)+IF($H30&lt;&gt;0,VLOOKUP($J30,'Allocation Factors - Ex Fran'!$B$12:$N$100,12,FALSE)*$H30,0)</f>
        <v>0</v>
      </c>
      <c r="X30" s="79">
        <f ca="1">IF($L30&lt;&gt;0,VLOOKUP($N30,'Allocation Factors - Ex Fran'!$B$12:$N$100,13,FALSE)*$L30,0)+IF($H30&lt;&gt;0,VLOOKUP($J30,'Allocation Factors - Ex Fran'!$B$12:$N$100,13,FALSE)*$H30,0)</f>
        <v>201.0761306282395</v>
      </c>
    </row>
    <row r="31" spans="1:24" x14ac:dyDescent="0.2">
      <c r="A31" s="2">
        <f t="shared" si="7"/>
        <v>17</v>
      </c>
      <c r="B31" s="31" t="s">
        <v>331</v>
      </c>
      <c r="D31" s="79"/>
      <c r="E31" s="79"/>
      <c r="F31" s="79">
        <f ca="1">'Total Allocation Current RZ'!T31</f>
        <v>18341.833576983983</v>
      </c>
      <c r="L31" s="79">
        <f t="shared" ca="1" si="6"/>
        <v>18341.833576983983</v>
      </c>
      <c r="N31" s="2" t="s">
        <v>332</v>
      </c>
      <c r="P31" s="79">
        <f ca="1">IF($L31&lt;&gt;0,VLOOKUP($N31,'Allocation Factors - Ex Fran'!$B$12:$N$100,5,FALSE)*$L31,0)+IF($H31&lt;&gt;0,VLOOKUP($J31,'Allocation Factors - Ex Fran'!$B$12:$N$100,5,FALSE)*$H31,0)</f>
        <v>0</v>
      </c>
      <c r="Q31" s="79">
        <f ca="1">IF($L31&lt;&gt;0,VLOOKUP($N31,'Allocation Factors - Ex Fran'!$B$12:$N$100,6,FALSE)*$L31,0)+IF($H31&lt;&gt;0,VLOOKUP($J31,'Allocation Factors - Ex Fran'!$B$12:$N$100,6,FALSE)*$H31,0)</f>
        <v>18341.833576983983</v>
      </c>
      <c r="R31" s="79">
        <f ca="1">IF($L31&lt;&gt;0,VLOOKUP($N31,'Allocation Factors - Ex Fran'!$B$12:$N$100,7,FALSE)*$L31,0)+IF($H31&lt;&gt;0,VLOOKUP($J31,'Allocation Factors - Ex Fran'!$B$12:$N$100,7,FALSE)*$H31,0)</f>
        <v>0</v>
      </c>
      <c r="S31" s="79">
        <f ca="1">IF($L31&lt;&gt;0,VLOOKUP($N31,'Allocation Factors - Ex Fran'!$B$12:$N$100,8,FALSE)*$L31,0)+IF($H31&lt;&gt;0,VLOOKUP($J31,'Allocation Factors - Ex Fran'!$B$12:$N$100,8,FALSE)*$H31,0)</f>
        <v>0</v>
      </c>
      <c r="T31" s="79">
        <f ca="1">IF($L31&lt;&gt;0,VLOOKUP($N31,'Allocation Factors - Ex Fran'!$B$12:$N$100,9,FALSE)*$L31,0)+IF($H31&lt;&gt;0,VLOOKUP($J31,'Allocation Factors - Ex Fran'!$B$12:$N$100,9,FALSE)*$H31,0)</f>
        <v>0</v>
      </c>
      <c r="U31" s="79">
        <f ca="1">IF($L31&lt;&gt;0,VLOOKUP($N31,'Allocation Factors - Ex Fran'!$B$12:$N$100,10,FALSE)*$L31,0)+IF($H31&lt;&gt;0,VLOOKUP($J31,'Allocation Factors - Ex Fran'!$B$12:$N$100,10,FALSE)*$H31,0)</f>
        <v>0</v>
      </c>
      <c r="V31" s="79">
        <f ca="1">IF($L31&lt;&gt;0,VLOOKUP($N31,'Allocation Factors - Ex Fran'!$B$12:$N$100,11,FALSE)*$L31,0)+IF($H31&lt;&gt;0,VLOOKUP($J31,'Allocation Factors - Ex Fran'!$B$12:$N$100,11,FALSE)*$H31,0)</f>
        <v>0</v>
      </c>
      <c r="W31" s="79">
        <f ca="1">IF($L31&lt;&gt;0,VLOOKUP($N31,'Allocation Factors - Ex Fran'!$B$12:$N$100,12,FALSE)*$L31,0)+IF($H31&lt;&gt;0,VLOOKUP($J31,'Allocation Factors - Ex Fran'!$B$12:$N$100,12,FALSE)*$H31,0)</f>
        <v>0</v>
      </c>
      <c r="X31" s="79">
        <f ca="1">IF($L31&lt;&gt;0,VLOOKUP($N31,'Allocation Factors - Ex Fran'!$B$12:$N$100,13,FALSE)*$L31,0)+IF($H31&lt;&gt;0,VLOOKUP($J31,'Allocation Factors - Ex Fran'!$B$12:$N$100,13,FALSE)*$H31,0)</f>
        <v>0</v>
      </c>
    </row>
    <row r="32" spans="1:24" x14ac:dyDescent="0.2">
      <c r="A32" s="2">
        <f t="shared" si="7"/>
        <v>18</v>
      </c>
      <c r="B32" s="31" t="s">
        <v>146</v>
      </c>
      <c r="D32" s="79"/>
      <c r="E32" s="79"/>
      <c r="F32" s="79">
        <f ca="1">'Total Allocation Current RZ'!T32</f>
        <v>0</v>
      </c>
      <c r="L32" s="79">
        <f t="shared" ca="1" si="6"/>
        <v>0</v>
      </c>
      <c r="N32" s="2" t="s">
        <v>229</v>
      </c>
      <c r="P32" s="79">
        <f ca="1">IF($L32&lt;&gt;0,VLOOKUP($N32,'Allocation Factors - Ex Fran'!$B$12:$N$100,5,FALSE)*$L32,0)+IF($H32&lt;&gt;0,VLOOKUP($J32,'Allocation Factors - Ex Fran'!$B$12:$N$100,5,FALSE)*$H32,0)</f>
        <v>0</v>
      </c>
      <c r="Q32" s="79">
        <f ca="1">IF($L32&lt;&gt;0,VLOOKUP($N32,'Allocation Factors - Ex Fran'!$B$12:$N$100,6,FALSE)*$L32,0)+IF($H32&lt;&gt;0,VLOOKUP($J32,'Allocation Factors - Ex Fran'!$B$12:$N$100,6,FALSE)*$H32,0)</f>
        <v>0</v>
      </c>
      <c r="R32" s="79">
        <f ca="1">IF($L32&lt;&gt;0,VLOOKUP($N32,'Allocation Factors - Ex Fran'!$B$12:$N$100,7,FALSE)*$L32,0)+IF($H32&lt;&gt;0,VLOOKUP($J32,'Allocation Factors - Ex Fran'!$B$12:$N$100,7,FALSE)*$H32,0)</f>
        <v>0</v>
      </c>
      <c r="S32" s="79">
        <f ca="1">IF($L32&lt;&gt;0,VLOOKUP($N32,'Allocation Factors - Ex Fran'!$B$12:$N$100,8,FALSE)*$L32,0)+IF($H32&lt;&gt;0,VLOOKUP($J32,'Allocation Factors - Ex Fran'!$B$12:$N$100,8,FALSE)*$H32,0)</f>
        <v>0</v>
      </c>
      <c r="T32" s="79">
        <f ca="1">IF($L32&lt;&gt;0,VLOOKUP($N32,'Allocation Factors - Ex Fran'!$B$12:$N$100,9,FALSE)*$L32,0)+IF($H32&lt;&gt;0,VLOOKUP($J32,'Allocation Factors - Ex Fran'!$B$12:$N$100,9,FALSE)*$H32,0)</f>
        <v>0</v>
      </c>
      <c r="U32" s="79">
        <f ca="1">IF($L32&lt;&gt;0,VLOOKUP($N32,'Allocation Factors - Ex Fran'!$B$12:$N$100,10,FALSE)*$L32,0)+IF($H32&lt;&gt;0,VLOOKUP($J32,'Allocation Factors - Ex Fran'!$B$12:$N$100,10,FALSE)*$H32,0)</f>
        <v>0</v>
      </c>
      <c r="V32" s="79">
        <f ca="1">IF($L32&lt;&gt;0,VLOOKUP($N32,'Allocation Factors - Ex Fran'!$B$12:$N$100,11,FALSE)*$L32,0)+IF($H32&lt;&gt;0,VLOOKUP($J32,'Allocation Factors - Ex Fran'!$B$12:$N$100,11,FALSE)*$H32,0)</f>
        <v>0</v>
      </c>
      <c r="W32" s="79">
        <f ca="1">IF($L32&lt;&gt;0,VLOOKUP($N32,'Allocation Factors - Ex Fran'!$B$12:$N$100,12,FALSE)*$L32,0)+IF($H32&lt;&gt;0,VLOOKUP($J32,'Allocation Factors - Ex Fran'!$B$12:$N$100,12,FALSE)*$H32,0)</f>
        <v>0</v>
      </c>
      <c r="X32" s="79">
        <f ca="1">IF($L32&lt;&gt;0,VLOOKUP($N32,'Allocation Factors - Ex Fran'!$B$12:$N$100,13,FALSE)*$L32,0)+IF($H32&lt;&gt;0,VLOOKUP($J32,'Allocation Factors - Ex Fran'!$B$12:$N$100,13,FALSE)*$H32,0)</f>
        <v>0</v>
      </c>
    </row>
    <row r="33" spans="1:24" x14ac:dyDescent="0.2">
      <c r="A33" s="2">
        <f t="shared" si="7"/>
        <v>19</v>
      </c>
      <c r="B33" s="31" t="s">
        <v>95</v>
      </c>
      <c r="D33" s="79"/>
      <c r="E33" s="79"/>
      <c r="F33" s="79">
        <f ca="1">'Total Allocation Current RZ'!T33</f>
        <v>20656.12506591517</v>
      </c>
      <c r="H33" s="79">
        <v>9718.9252285762832</v>
      </c>
      <c r="J33" s="2" t="s">
        <v>251</v>
      </c>
      <c r="L33" s="79">
        <f ca="1">F33-H33</f>
        <v>10937.199837338887</v>
      </c>
      <c r="N33" s="2" t="s">
        <v>335</v>
      </c>
      <c r="P33" s="79">
        <f ca="1">IF($L33&lt;&gt;0,VLOOKUP($N33,'Allocation Factors - Ex Fran'!$B$12:$N$100,5,FALSE)*$L33,0)+IF($H33&lt;&gt;0,VLOOKUP($J33,'Allocation Factors - Ex Fran'!$B$12:$N$100,5,FALSE)*$H33,0)</f>
        <v>0</v>
      </c>
      <c r="Q33" s="79">
        <f ca="1">IF($L33&lt;&gt;0,VLOOKUP($N33,'Allocation Factors - Ex Fran'!$B$12:$N$100,6,FALSE)*$L33,0)+IF($H33&lt;&gt;0,VLOOKUP($J33,'Allocation Factors - Ex Fran'!$B$12:$N$100,6,FALSE)*$H33,0)</f>
        <v>0</v>
      </c>
      <c r="R33" s="79">
        <f ca="1">IF($L33&lt;&gt;0,VLOOKUP($N33,'Allocation Factors - Ex Fran'!$B$12:$N$100,7,FALSE)*$L33,0)+IF($H33&lt;&gt;0,VLOOKUP($J33,'Allocation Factors - Ex Fran'!$B$12:$N$100,7,FALSE)*$H33,0)</f>
        <v>0</v>
      </c>
      <c r="S33" s="79">
        <f ca="1">IF($L33&lt;&gt;0,VLOOKUP($N33,'Allocation Factors - Ex Fran'!$B$12:$N$100,8,FALSE)*$L33,0)+IF($H33&lt;&gt;0,VLOOKUP($J33,'Allocation Factors - Ex Fran'!$B$12:$N$100,8,FALSE)*$H33,0)</f>
        <v>4809.16190577423</v>
      </c>
      <c r="T33" s="79">
        <f ca="1">IF($L33&lt;&gt;0,VLOOKUP($N33,'Allocation Factors - Ex Fran'!$B$12:$N$100,9,FALSE)*$L33,0)+IF($H33&lt;&gt;0,VLOOKUP($J33,'Allocation Factors - Ex Fran'!$B$12:$N$100,9,FALSE)*$H33,0)</f>
        <v>2038.5979400653202</v>
      </c>
      <c r="U33" s="79">
        <f ca="1">IF($L33&lt;&gt;0,VLOOKUP($N33,'Allocation Factors - Ex Fran'!$B$12:$N$100,10,FALSE)*$L33,0)+IF($H33&lt;&gt;0,VLOOKUP($J33,'Allocation Factors - Ex Fran'!$B$12:$N$100,10,FALSE)*$H33,0)</f>
        <v>13402.259341328099</v>
      </c>
      <c r="V33" s="79">
        <f ca="1">IF($L33&lt;&gt;0,VLOOKUP($N33,'Allocation Factors - Ex Fran'!$B$12:$N$100,11,FALSE)*$L33,0)+IF($H33&lt;&gt;0,VLOOKUP($J33,'Allocation Factors - Ex Fran'!$B$12:$N$100,11,FALSE)*$H33,0)</f>
        <v>76.400638686818183</v>
      </c>
      <c r="W33" s="79">
        <f ca="1">IF($L33&lt;&gt;0,VLOOKUP($N33,'Allocation Factors - Ex Fran'!$B$12:$N$100,12,FALSE)*$L33,0)+IF($H33&lt;&gt;0,VLOOKUP($J33,'Allocation Factors - Ex Fran'!$B$12:$N$100,12,FALSE)*$H33,0)</f>
        <v>291.30383644548306</v>
      </c>
      <c r="X33" s="79">
        <f ca="1">IF($L33&lt;&gt;0,VLOOKUP($N33,'Allocation Factors - Ex Fran'!$B$12:$N$100,13,FALSE)*$L33,0)+IF($H33&lt;&gt;0,VLOOKUP($J33,'Allocation Factors - Ex Fran'!$B$12:$N$100,13,FALSE)*$H33,0)</f>
        <v>38.40140361521749</v>
      </c>
    </row>
    <row r="34" spans="1:24" x14ac:dyDescent="0.2">
      <c r="A34" s="2">
        <f t="shared" si="7"/>
        <v>20</v>
      </c>
      <c r="B34" s="31" t="s">
        <v>99</v>
      </c>
      <c r="D34" s="41"/>
      <c r="F34" s="41">
        <f ca="1">SUM(F27:F33)</f>
        <v>134892.30823932687</v>
      </c>
      <c r="H34" s="41">
        <f>SUM(H27:H33)</f>
        <v>9718.9252285762832</v>
      </c>
      <c r="L34" s="41">
        <f ca="1">SUM(L27:L33)</f>
        <v>125173.38301075059</v>
      </c>
      <c r="P34" s="41">
        <f t="shared" ref="P34:X34" ca="1" si="8">SUM(P27:P33)</f>
        <v>0</v>
      </c>
      <c r="Q34" s="41">
        <f t="shared" ca="1" si="8"/>
        <v>18341.833576983983</v>
      </c>
      <c r="R34" s="41">
        <f t="shared" ca="1" si="8"/>
        <v>0</v>
      </c>
      <c r="S34" s="41">
        <f t="shared" ca="1" si="8"/>
        <v>6260.4018518970679</v>
      </c>
      <c r="T34" s="41">
        <f t="shared" ca="1" si="8"/>
        <v>2038.5979400653202</v>
      </c>
      <c r="U34" s="41">
        <f t="shared" ca="1" si="8"/>
        <v>107631.10516402138</v>
      </c>
      <c r="V34" s="41">
        <f t="shared" ca="1" si="8"/>
        <v>76.400638686818183</v>
      </c>
      <c r="W34" s="41">
        <f t="shared" ca="1" si="8"/>
        <v>291.30383644548306</v>
      </c>
      <c r="X34" s="41">
        <f t="shared" ca="1" si="8"/>
        <v>252.66523122682679</v>
      </c>
    </row>
    <row r="35" spans="1:24" x14ac:dyDescent="0.2">
      <c r="D35" s="50"/>
      <c r="P35" s="79"/>
      <c r="Q35" s="79"/>
      <c r="R35" s="79"/>
      <c r="S35" s="79"/>
      <c r="T35" s="79"/>
      <c r="U35" s="79"/>
      <c r="V35" s="79"/>
      <c r="W35" s="79"/>
      <c r="X35" s="79"/>
    </row>
    <row r="36" spans="1:24" x14ac:dyDescent="0.2">
      <c r="B36" s="77" t="s">
        <v>100</v>
      </c>
      <c r="P36" s="79"/>
      <c r="Q36" s="79"/>
      <c r="R36" s="79"/>
      <c r="S36" s="79"/>
      <c r="T36" s="79"/>
      <c r="U36" s="79"/>
      <c r="V36" s="79"/>
      <c r="W36" s="79"/>
      <c r="X36" s="79"/>
    </row>
    <row r="37" spans="1:24" x14ac:dyDescent="0.2">
      <c r="A37" s="2">
        <f>A34+1</f>
        <v>21</v>
      </c>
      <c r="B37" s="31" t="s">
        <v>287</v>
      </c>
      <c r="D37" s="79"/>
      <c r="E37" s="79"/>
      <c r="F37" s="79">
        <f ca="1">'Total Allocation Current RZ'!T37</f>
        <v>313.83233984386146</v>
      </c>
      <c r="G37" s="79"/>
      <c r="H37" s="79"/>
      <c r="I37" s="79"/>
      <c r="J37" s="123"/>
      <c r="K37" s="79"/>
      <c r="L37" s="79">
        <f t="shared" ref="L37:L51" ca="1" si="9">F37-H37</f>
        <v>313.83233984386146</v>
      </c>
      <c r="N37" s="2" t="s">
        <v>290</v>
      </c>
      <c r="P37" s="79">
        <f ca="1">IF($L37&lt;&gt;0,VLOOKUP($N37,'Allocation Factors - Ex Fran'!$B$12:$N$100,5,FALSE)*$L37,0)+IF($H37&lt;&gt;0,VLOOKUP($J37,'Allocation Factors - Ex Fran'!$B$12:$N$100,5,FALSE)*$H37,0)</f>
        <v>0</v>
      </c>
      <c r="Q37" s="79">
        <f ca="1">IF($L37&lt;&gt;0,VLOOKUP($N37,'Allocation Factors - Ex Fran'!$B$12:$N$100,6,FALSE)*$L37,0)+IF($H37&lt;&gt;0,VLOOKUP($J37,'Allocation Factors - Ex Fran'!$B$12:$N$100,6,FALSE)*$H37,0)</f>
        <v>0</v>
      </c>
      <c r="R37" s="79">
        <f ca="1">IF($L37&lt;&gt;0,VLOOKUP($N37,'Allocation Factors - Ex Fran'!$B$12:$N$100,7,FALSE)*$L37,0)+IF($H37&lt;&gt;0,VLOOKUP($J37,'Allocation Factors - Ex Fran'!$B$12:$N$100,7,FALSE)*$H37,0)</f>
        <v>0</v>
      </c>
      <c r="S37" s="79">
        <f ca="1">IF($L37&lt;&gt;0,VLOOKUP($N37,'Allocation Factors - Ex Fran'!$B$12:$N$100,8,FALSE)*$L37,0)+IF($H37&lt;&gt;0,VLOOKUP($J37,'Allocation Factors - Ex Fran'!$B$12:$N$100,8,FALSE)*$H37,0)</f>
        <v>0</v>
      </c>
      <c r="T37" s="79">
        <f ca="1">IF($L37&lt;&gt;0,VLOOKUP($N37,'Allocation Factors - Ex Fran'!$B$12:$N$100,9,FALSE)*$L37,0)+IF($H37&lt;&gt;0,VLOOKUP($J37,'Allocation Factors - Ex Fran'!$B$12:$N$100,9,FALSE)*$H37,0)</f>
        <v>0</v>
      </c>
      <c r="U37" s="79">
        <f ca="1">IF($L37&lt;&gt;0,VLOOKUP($N37,'Allocation Factors - Ex Fran'!$B$12:$N$100,10,FALSE)*$L37,0)+IF($H37&lt;&gt;0,VLOOKUP($J37,'Allocation Factors - Ex Fran'!$B$12:$N$100,10,FALSE)*$H37,0)</f>
        <v>0</v>
      </c>
      <c r="V37" s="79">
        <f ca="1">IF($L37&lt;&gt;0,VLOOKUP($N37,'Allocation Factors - Ex Fran'!$B$12:$N$100,11,FALSE)*$L37,0)+IF($H37&lt;&gt;0,VLOOKUP($J37,'Allocation Factors - Ex Fran'!$B$12:$N$100,11,FALSE)*$H37,0)</f>
        <v>0</v>
      </c>
      <c r="W37" s="79">
        <f ca="1">IF($L37&lt;&gt;0,VLOOKUP($N37,'Allocation Factors - Ex Fran'!$B$12:$N$100,12,FALSE)*$L37,0)+IF($H37&lt;&gt;0,VLOOKUP($J37,'Allocation Factors - Ex Fran'!$B$12:$N$100,12,FALSE)*$H37,0)</f>
        <v>0</v>
      </c>
      <c r="X37" s="79">
        <f ca="1">IF($L37&lt;&gt;0,VLOOKUP($N37,'Allocation Factors - Ex Fran'!$B$12:$N$100,13,FALSE)*$L37,0)+IF($H37&lt;&gt;0,VLOOKUP($J37,'Allocation Factors - Ex Fran'!$B$12:$N$100,13,FALSE)*$H37,0)</f>
        <v>313.83233984386146</v>
      </c>
    </row>
    <row r="38" spans="1:24" x14ac:dyDescent="0.2">
      <c r="A38" s="2">
        <f>A37+1</f>
        <v>22</v>
      </c>
      <c r="B38" s="31" t="s">
        <v>288</v>
      </c>
      <c r="D38" s="79"/>
      <c r="E38" s="79"/>
      <c r="F38" s="79">
        <f ca="1">'Total Allocation Current RZ'!T38</f>
        <v>0</v>
      </c>
      <c r="G38" s="79"/>
      <c r="H38" s="79"/>
      <c r="I38" s="79"/>
      <c r="J38" s="123"/>
      <c r="K38" s="79"/>
      <c r="L38" s="79">
        <f t="shared" ca="1" si="9"/>
        <v>0</v>
      </c>
      <c r="N38" s="2" t="s">
        <v>291</v>
      </c>
      <c r="P38" s="79"/>
      <c r="Q38" s="79"/>
      <c r="R38" s="79"/>
      <c r="S38" s="79"/>
      <c r="T38" s="79"/>
      <c r="U38" s="79"/>
      <c r="V38" s="79"/>
      <c r="W38" s="79"/>
      <c r="X38" s="79"/>
    </row>
    <row r="39" spans="1:24" x14ac:dyDescent="0.2">
      <c r="A39" s="2">
        <f t="shared" ref="A39:A52" si="10">A38+1</f>
        <v>23</v>
      </c>
      <c r="B39" s="31" t="s">
        <v>289</v>
      </c>
      <c r="D39" s="79"/>
      <c r="E39" s="79"/>
      <c r="F39" s="79">
        <f ca="1">'Total Allocation Current RZ'!T39</f>
        <v>0</v>
      </c>
      <c r="G39" s="79"/>
      <c r="H39" s="79"/>
      <c r="I39" s="79"/>
      <c r="J39" s="123"/>
      <c r="K39" s="79"/>
      <c r="L39" s="79">
        <f t="shared" ca="1" si="9"/>
        <v>0</v>
      </c>
      <c r="N39" s="2" t="s">
        <v>292</v>
      </c>
      <c r="P39" s="79"/>
      <c r="Q39" s="79"/>
      <c r="R39" s="79"/>
      <c r="S39" s="79"/>
      <c r="T39" s="79"/>
      <c r="U39" s="79"/>
      <c r="V39" s="79"/>
      <c r="W39" s="79"/>
      <c r="X39" s="79"/>
    </row>
    <row r="40" spans="1:24" x14ac:dyDescent="0.2">
      <c r="B40" s="31" t="s">
        <v>163</v>
      </c>
      <c r="D40" s="79"/>
      <c r="E40" s="79"/>
      <c r="F40" s="79"/>
      <c r="G40" s="79"/>
      <c r="H40" s="79"/>
      <c r="I40" s="79"/>
      <c r="J40" s="123"/>
      <c r="K40" s="79"/>
      <c r="L40" s="79"/>
    </row>
    <row r="41" spans="1:24" x14ac:dyDescent="0.2">
      <c r="A41" s="2">
        <f>A39+1</f>
        <v>24</v>
      </c>
      <c r="B41" s="82" t="s">
        <v>165</v>
      </c>
      <c r="D41" s="79"/>
      <c r="E41" s="79"/>
      <c r="F41" s="79">
        <f ca="1">'Total Allocation Current RZ'!T41</f>
        <v>0</v>
      </c>
      <c r="G41" s="79"/>
      <c r="H41" s="79"/>
      <c r="I41" s="79"/>
      <c r="J41" s="123"/>
      <c r="K41" s="79"/>
      <c r="L41" s="79">
        <f t="shared" ca="1" si="9"/>
        <v>0</v>
      </c>
      <c r="N41" s="2" t="s">
        <v>161</v>
      </c>
      <c r="P41" s="79"/>
      <c r="Q41" s="79"/>
      <c r="R41" s="79"/>
      <c r="S41" s="79"/>
      <c r="T41" s="79"/>
      <c r="U41" s="79"/>
      <c r="V41" s="79"/>
      <c r="W41" s="79"/>
      <c r="X41" s="79"/>
    </row>
    <row r="42" spans="1:24" x14ac:dyDescent="0.2">
      <c r="A42" s="2">
        <f t="shared" si="10"/>
        <v>25</v>
      </c>
      <c r="B42" s="82" t="s">
        <v>166</v>
      </c>
      <c r="D42" s="79"/>
      <c r="E42" s="79"/>
      <c r="F42" s="79">
        <f ca="1">'Total Allocation Current RZ'!T42</f>
        <v>0</v>
      </c>
      <c r="G42" s="79"/>
      <c r="H42" s="79"/>
      <c r="I42" s="79"/>
      <c r="J42" s="123"/>
      <c r="K42" s="79"/>
      <c r="L42" s="79">
        <f t="shared" ca="1" si="9"/>
        <v>0</v>
      </c>
      <c r="N42" s="2" t="s">
        <v>162</v>
      </c>
      <c r="P42" s="79"/>
      <c r="Q42" s="79"/>
      <c r="R42" s="79"/>
      <c r="S42" s="79"/>
      <c r="T42" s="79"/>
      <c r="U42" s="79"/>
      <c r="V42" s="79"/>
      <c r="W42" s="79"/>
      <c r="X42" s="79"/>
    </row>
    <row r="43" spans="1:24" x14ac:dyDescent="0.2">
      <c r="A43" s="2">
        <f t="shared" si="10"/>
        <v>26</v>
      </c>
      <c r="B43" s="31" t="s">
        <v>101</v>
      </c>
      <c r="D43" s="79"/>
      <c r="E43" s="79"/>
      <c r="F43" s="79">
        <f ca="1">'Total Allocation Current RZ'!T43</f>
        <v>0</v>
      </c>
      <c r="G43" s="79"/>
      <c r="H43" s="79"/>
      <c r="I43" s="79"/>
      <c r="J43" s="123"/>
      <c r="K43" s="79"/>
      <c r="L43" s="79">
        <f t="shared" ca="1" si="9"/>
        <v>0</v>
      </c>
      <c r="N43" s="2" t="s">
        <v>220</v>
      </c>
      <c r="P43" s="79"/>
      <c r="Q43" s="79"/>
      <c r="R43" s="79"/>
      <c r="S43" s="79"/>
      <c r="T43" s="79"/>
      <c r="U43" s="79"/>
      <c r="V43" s="79"/>
      <c r="W43" s="79"/>
      <c r="X43" s="79"/>
    </row>
    <row r="44" spans="1:24" x14ac:dyDescent="0.2">
      <c r="A44" s="2">
        <f t="shared" si="10"/>
        <v>27</v>
      </c>
      <c r="B44" s="31" t="s">
        <v>102</v>
      </c>
      <c r="D44" s="79"/>
      <c r="E44" s="79"/>
      <c r="F44" s="79">
        <f ca="1">'Total Allocation Current RZ'!T44</f>
        <v>0</v>
      </c>
      <c r="G44" s="79"/>
      <c r="H44" s="79"/>
      <c r="I44" s="79"/>
      <c r="J44" s="123"/>
      <c r="K44" s="79"/>
      <c r="L44" s="79">
        <f t="shared" ca="1" si="9"/>
        <v>0</v>
      </c>
      <c r="N44" s="2" t="s">
        <v>220</v>
      </c>
      <c r="P44" s="79"/>
      <c r="Q44" s="79"/>
      <c r="R44" s="79"/>
      <c r="S44" s="79"/>
      <c r="T44" s="79"/>
      <c r="U44" s="79"/>
      <c r="V44" s="79"/>
      <c r="W44" s="79"/>
      <c r="X44" s="79"/>
    </row>
    <row r="45" spans="1:24" x14ac:dyDescent="0.2">
      <c r="A45" s="2">
        <f t="shared" si="10"/>
        <v>28</v>
      </c>
      <c r="B45" s="31" t="s">
        <v>103</v>
      </c>
      <c r="D45" s="79"/>
      <c r="E45" s="79"/>
      <c r="F45" s="79">
        <f ca="1">'Total Allocation Current RZ'!T45</f>
        <v>0</v>
      </c>
      <c r="G45" s="79"/>
      <c r="H45" s="79"/>
      <c r="I45" s="79"/>
      <c r="J45" s="123"/>
      <c r="K45" s="79"/>
      <c r="L45" s="79">
        <f t="shared" ca="1" si="9"/>
        <v>0</v>
      </c>
      <c r="N45" s="2" t="s">
        <v>190</v>
      </c>
      <c r="P45" s="79"/>
      <c r="Q45" s="79"/>
      <c r="R45" s="79"/>
      <c r="S45" s="79"/>
      <c r="T45" s="79"/>
      <c r="U45" s="79"/>
      <c r="V45" s="79"/>
      <c r="W45" s="79"/>
      <c r="X45" s="79"/>
    </row>
    <row r="46" spans="1:24" x14ac:dyDescent="0.2">
      <c r="A46" s="2">
        <f t="shared" si="10"/>
        <v>29</v>
      </c>
      <c r="B46" s="31" t="s">
        <v>186</v>
      </c>
      <c r="D46" s="79"/>
      <c r="E46" s="79"/>
      <c r="F46" s="79">
        <f ca="1">'Total Allocation Current RZ'!T46</f>
        <v>0</v>
      </c>
      <c r="G46" s="79"/>
      <c r="H46" s="79"/>
      <c r="I46" s="79"/>
      <c r="J46" s="123"/>
      <c r="K46" s="79"/>
      <c r="L46" s="79">
        <f t="shared" ca="1" si="9"/>
        <v>0</v>
      </c>
      <c r="N46" s="2" t="s">
        <v>191</v>
      </c>
      <c r="P46" s="79"/>
      <c r="Q46" s="79"/>
      <c r="R46" s="79"/>
      <c r="S46" s="79"/>
      <c r="T46" s="79"/>
      <c r="U46" s="79"/>
      <c r="V46" s="79"/>
      <c r="W46" s="79"/>
      <c r="X46" s="79"/>
    </row>
    <row r="47" spans="1:24" x14ac:dyDescent="0.2">
      <c r="B47" s="31" t="s">
        <v>164</v>
      </c>
      <c r="D47" s="79"/>
      <c r="E47" s="79"/>
      <c r="F47" s="79"/>
      <c r="G47" s="79"/>
      <c r="H47" s="79"/>
      <c r="I47" s="79"/>
      <c r="J47" s="123"/>
      <c r="K47" s="79"/>
      <c r="L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1:24" x14ac:dyDescent="0.2">
      <c r="A48" s="2">
        <f>A46+1</f>
        <v>30</v>
      </c>
      <c r="B48" s="82" t="s">
        <v>176</v>
      </c>
      <c r="D48" s="79"/>
      <c r="F48" s="79">
        <f ca="1">'Total Allocation Current RZ'!T48</f>
        <v>0</v>
      </c>
      <c r="L48" s="79">
        <f t="shared" ca="1" si="9"/>
        <v>0</v>
      </c>
      <c r="N48" s="2" t="s">
        <v>223</v>
      </c>
      <c r="P48" s="79"/>
      <c r="Q48" s="79"/>
      <c r="R48" s="79"/>
      <c r="S48" s="79"/>
      <c r="T48" s="79"/>
      <c r="U48" s="79"/>
      <c r="V48" s="79"/>
      <c r="W48" s="79"/>
      <c r="X48" s="79"/>
    </row>
    <row r="49" spans="1:24" x14ac:dyDescent="0.2">
      <c r="A49" s="2">
        <f t="shared" si="10"/>
        <v>31</v>
      </c>
      <c r="B49" s="82" t="s">
        <v>72</v>
      </c>
      <c r="D49" s="79"/>
      <c r="F49" s="79">
        <f ca="1">'Total Allocation Current RZ'!T49</f>
        <v>21.017310653739997</v>
      </c>
      <c r="H49" s="79">
        <v>21.017310653740001</v>
      </c>
      <c r="J49" s="2" t="s">
        <v>341</v>
      </c>
      <c r="L49" s="79">
        <f>0</f>
        <v>0</v>
      </c>
      <c r="N49" s="2" t="s">
        <v>220</v>
      </c>
      <c r="P49" s="79">
        <f>IF($L49&lt;&gt;0,VLOOKUP($N49,'Allocation Factors - Ex Fran'!$B$12:$N$100,5,FALSE)*$L49,0)+IF($H49&lt;&gt;0,VLOOKUP($J49,'Allocation Factors - Ex Fran'!$B$12:$N$100,5,FALSE)*$H49,0)</f>
        <v>0</v>
      </c>
      <c r="Q49" s="79">
        <f>IF($L49&lt;&gt;0,VLOOKUP($N49,'Allocation Factors - Ex Fran'!$B$12:$N$100,6,FALSE)*$L49,0)+IF($H49&lt;&gt;0,VLOOKUP($J49,'Allocation Factors - Ex Fran'!$B$12:$N$100,6,FALSE)*$H49,0)</f>
        <v>0</v>
      </c>
      <c r="R49" s="79">
        <f>IF($L49&lt;&gt;0,VLOOKUP($N49,'Allocation Factors - Ex Fran'!$B$12:$N$100,7,FALSE)*$L49,0)+IF($H49&lt;&gt;0,VLOOKUP($J49,'Allocation Factors - Ex Fran'!$B$12:$N$100,7,FALSE)*$H49,0)</f>
        <v>0</v>
      </c>
      <c r="S49" s="79">
        <f>IF($L49&lt;&gt;0,VLOOKUP($N49,'Allocation Factors - Ex Fran'!$B$12:$N$100,8,FALSE)*$L49,0)+IF($H49&lt;&gt;0,VLOOKUP($J49,'Allocation Factors - Ex Fran'!$B$12:$N$100,8,FALSE)*$H49,0)</f>
        <v>0</v>
      </c>
      <c r="T49" s="79">
        <f>IF($L49&lt;&gt;0,VLOOKUP($N49,'Allocation Factors - Ex Fran'!$B$12:$N$100,9,FALSE)*$L49,0)+IF($H49&lt;&gt;0,VLOOKUP($J49,'Allocation Factors - Ex Fran'!$B$12:$N$100,9,FALSE)*$H49,0)</f>
        <v>0</v>
      </c>
      <c r="U49" s="79">
        <f>IF($L49&lt;&gt;0,VLOOKUP($N49,'Allocation Factors - Ex Fran'!$B$12:$N$100,10,FALSE)*$L49,0)+IF($H49&lt;&gt;0,VLOOKUP($J49,'Allocation Factors - Ex Fran'!$B$12:$N$100,10,FALSE)*$H49,0)</f>
        <v>21.017310653740001</v>
      </c>
      <c r="V49" s="79">
        <f>IF($L49&lt;&gt;0,VLOOKUP($N49,'Allocation Factors - Ex Fran'!$B$12:$N$100,11,FALSE)*$L49,0)+IF($H49&lt;&gt;0,VLOOKUP($J49,'Allocation Factors - Ex Fran'!$B$12:$N$100,11,FALSE)*$H49,0)</f>
        <v>0</v>
      </c>
      <c r="W49" s="79">
        <f>IF($L49&lt;&gt;0,VLOOKUP($N49,'Allocation Factors - Ex Fran'!$B$12:$N$100,12,FALSE)*$L49,0)+IF($H49&lt;&gt;0,VLOOKUP($J49,'Allocation Factors - Ex Fran'!$B$12:$N$100,12,FALSE)*$H49,0)</f>
        <v>0</v>
      </c>
      <c r="X49" s="79">
        <f>IF($L49&lt;&gt;0,VLOOKUP($N49,'Allocation Factors - Ex Fran'!$B$12:$N$100,13,FALSE)*$L49,0)+IF($H49&lt;&gt;0,VLOOKUP($J49,'Allocation Factors - Ex Fran'!$B$12:$N$100,13,FALSE)*$H49,0)</f>
        <v>0</v>
      </c>
    </row>
    <row r="50" spans="1:24" x14ac:dyDescent="0.2">
      <c r="A50" s="2">
        <f t="shared" si="10"/>
        <v>32</v>
      </c>
      <c r="B50" s="82" t="s">
        <v>174</v>
      </c>
      <c r="D50" s="79"/>
      <c r="F50" s="79">
        <f ca="1">'Total Allocation Current RZ'!T50</f>
        <v>0</v>
      </c>
      <c r="L50" s="79">
        <f t="shared" ca="1" si="9"/>
        <v>0</v>
      </c>
      <c r="N50" s="2" t="s">
        <v>272</v>
      </c>
      <c r="P50" s="79"/>
      <c r="Q50" s="79"/>
      <c r="R50" s="79"/>
      <c r="S50" s="79"/>
      <c r="T50" s="79"/>
      <c r="U50" s="79"/>
      <c r="V50" s="79"/>
      <c r="W50" s="79"/>
      <c r="X50" s="79"/>
    </row>
    <row r="51" spans="1:24" x14ac:dyDescent="0.2">
      <c r="A51" s="2">
        <f t="shared" si="10"/>
        <v>33</v>
      </c>
      <c r="B51" s="31" t="s">
        <v>249</v>
      </c>
      <c r="D51" s="79"/>
      <c r="F51" s="79">
        <f ca="1">'Total Allocation Current RZ'!T51</f>
        <v>0</v>
      </c>
      <c r="H51" s="79"/>
      <c r="L51" s="79">
        <f t="shared" ca="1" si="9"/>
        <v>0</v>
      </c>
      <c r="N51" s="2" t="s">
        <v>336</v>
      </c>
      <c r="P51" s="79"/>
      <c r="Q51" s="79"/>
      <c r="R51" s="79"/>
      <c r="S51" s="79"/>
      <c r="T51" s="79"/>
      <c r="U51" s="79"/>
      <c r="V51" s="79"/>
      <c r="W51" s="79"/>
      <c r="X51" s="79"/>
    </row>
    <row r="52" spans="1:24" x14ac:dyDescent="0.2">
      <c r="A52" s="2">
        <f t="shared" si="10"/>
        <v>34</v>
      </c>
      <c r="B52" s="31" t="s">
        <v>382</v>
      </c>
      <c r="D52" s="41"/>
      <c r="F52" s="41">
        <f ca="1">SUM(F37:F51)</f>
        <v>334.84965049760149</v>
      </c>
      <c r="H52" s="41">
        <f>SUM(H37:H51)</f>
        <v>21.017310653740001</v>
      </c>
      <c r="L52" s="41">
        <f ca="1">SUM(L37:L51)</f>
        <v>313.83233984386146</v>
      </c>
      <c r="P52" s="41">
        <f t="shared" ref="P52:X52" ca="1" si="11">SUM(P37:P51)</f>
        <v>0</v>
      </c>
      <c r="Q52" s="41">
        <f t="shared" ca="1" si="11"/>
        <v>0</v>
      </c>
      <c r="R52" s="41">
        <f t="shared" ca="1" si="11"/>
        <v>0</v>
      </c>
      <c r="S52" s="41">
        <f t="shared" ca="1" si="11"/>
        <v>0</v>
      </c>
      <c r="T52" s="41">
        <f t="shared" ca="1" si="11"/>
        <v>0</v>
      </c>
      <c r="U52" s="41">
        <f t="shared" ca="1" si="11"/>
        <v>21.017310653740001</v>
      </c>
      <c r="V52" s="41">
        <f t="shared" ca="1" si="11"/>
        <v>0</v>
      </c>
      <c r="W52" s="41">
        <f t="shared" ca="1" si="11"/>
        <v>0</v>
      </c>
      <c r="X52" s="41">
        <f t="shared" ca="1" si="11"/>
        <v>313.83233984386146</v>
      </c>
    </row>
    <row r="53" spans="1:24" x14ac:dyDescent="0.2">
      <c r="D53" s="50"/>
      <c r="F53" s="50"/>
    </row>
    <row r="54" spans="1:24" ht="13.5" thickBot="1" x14ac:dyDescent="0.25">
      <c r="A54" s="2">
        <f>A52+1</f>
        <v>35</v>
      </c>
      <c r="B54" s="31" t="s">
        <v>149</v>
      </c>
      <c r="D54" s="83"/>
      <c r="F54" s="83">
        <f ca="1">F17+F24+F34+F52</f>
        <v>135622.5885101147</v>
      </c>
      <c r="H54" s="83">
        <f>H17+H24+H34+H52</f>
        <v>9739.9425392300236</v>
      </c>
      <c r="L54" s="83">
        <f ca="1">L17+L24+L34+L52</f>
        <v>125882.64597088468</v>
      </c>
      <c r="P54" s="83">
        <f t="shared" ref="P54:X54" ca="1" si="12">P17+P24+P34+P52</f>
        <v>3.8607048867376017</v>
      </c>
      <c r="Q54" s="83">
        <f t="shared" ca="1" si="12"/>
        <v>18374.22357684009</v>
      </c>
      <c r="R54" s="83">
        <f t="shared" ca="1" si="12"/>
        <v>0</v>
      </c>
      <c r="S54" s="83">
        <f t="shared" ca="1" si="12"/>
        <v>6344.1631965232982</v>
      </c>
      <c r="T54" s="83">
        <f t="shared" ca="1" si="12"/>
        <v>2053.0962203821682</v>
      </c>
      <c r="U54" s="83">
        <f t="shared" ca="1" si="12"/>
        <v>107907.22333872088</v>
      </c>
      <c r="V54" s="83">
        <f t="shared" ca="1" si="12"/>
        <v>77.921779324544985</v>
      </c>
      <c r="W54" s="83">
        <f t="shared" ca="1" si="12"/>
        <v>294.76106549262954</v>
      </c>
      <c r="X54" s="83">
        <f t="shared" ca="1" si="12"/>
        <v>567.33862794435515</v>
      </c>
    </row>
    <row r="55" spans="1:24" ht="13.5" thickTop="1" x14ac:dyDescent="0.2">
      <c r="D55" s="50"/>
      <c r="F55" s="50"/>
      <c r="P55" s="50"/>
      <c r="Q55" s="50"/>
      <c r="R55" s="50"/>
      <c r="S55" s="50"/>
      <c r="T55" s="50"/>
      <c r="U55" s="50"/>
      <c r="V55" s="50"/>
      <c r="W55" s="50"/>
      <c r="X55" s="50"/>
    </row>
    <row r="56" spans="1:24" x14ac:dyDescent="0.2">
      <c r="D56" s="50"/>
      <c r="P56" s="79"/>
      <c r="Q56" s="79"/>
      <c r="R56" s="79"/>
      <c r="S56" s="79"/>
      <c r="T56" s="79"/>
      <c r="U56" s="79"/>
      <c r="V56" s="79"/>
      <c r="W56" s="79"/>
      <c r="X56" s="79"/>
    </row>
    <row r="57" spans="1:24" x14ac:dyDescent="0.2">
      <c r="F57" s="96"/>
      <c r="G57" s="96"/>
      <c r="H57" s="96"/>
      <c r="I57" s="96"/>
      <c r="J57" s="156"/>
      <c r="K57" s="96"/>
      <c r="L57" s="96"/>
      <c r="M57" s="96"/>
      <c r="N57" s="123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9" spans="1:24" x14ac:dyDescent="0.2">
      <c r="X59" s="50"/>
    </row>
  </sheetData>
  <mergeCells count="2">
    <mergeCell ref="B2:N2"/>
    <mergeCell ref="B3:N3"/>
  </mergeCells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8B216-3C44-4C81-8022-8D0959C599F0}">
  <sheetPr>
    <tabColor theme="0" tint="-0.249977111117893"/>
  </sheetPr>
  <dimension ref="A2:W57"/>
  <sheetViews>
    <sheetView zoomScale="80" zoomScaleNormal="80" workbookViewId="0">
      <selection activeCell="H57" sqref="H57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23.5703125" style="2" bestFit="1" customWidth="1"/>
    <col min="9" max="9" width="1.7109375" style="31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31" customWidth="1"/>
    <col min="14" max="15" width="12.85546875" style="31" customWidth="1"/>
    <col min="16" max="22" width="10.7109375" style="31" customWidth="1"/>
    <col min="23" max="16384" width="9.140625" style="31"/>
  </cols>
  <sheetData>
    <row r="2" spans="1:23" x14ac:dyDescent="0.2">
      <c r="B2" s="161" t="s">
        <v>511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</row>
    <row r="3" spans="1:23" x14ac:dyDescent="0.2">
      <c r="B3" s="161" t="s">
        <v>527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</row>
    <row r="5" spans="1:23" x14ac:dyDescent="0.2">
      <c r="D5" s="2" t="s">
        <v>150</v>
      </c>
    </row>
    <row r="6" spans="1:23" x14ac:dyDescent="0.2">
      <c r="A6" s="2" t="s">
        <v>2</v>
      </c>
      <c r="D6" s="2" t="s">
        <v>5</v>
      </c>
      <c r="F6" s="2" t="s">
        <v>167</v>
      </c>
      <c r="H6" s="2" t="s">
        <v>168</v>
      </c>
      <c r="I6" s="2"/>
      <c r="J6" s="2" t="s">
        <v>169</v>
      </c>
      <c r="L6" s="2" t="s">
        <v>104</v>
      </c>
      <c r="N6" s="2" t="s">
        <v>80</v>
      </c>
      <c r="O6" s="2" t="s">
        <v>80</v>
      </c>
      <c r="P6" s="2" t="s">
        <v>80</v>
      </c>
      <c r="Q6" s="2" t="s">
        <v>80</v>
      </c>
      <c r="R6" s="2" t="s">
        <v>80</v>
      </c>
      <c r="S6" s="2" t="s">
        <v>80</v>
      </c>
      <c r="T6" s="2" t="s">
        <v>80</v>
      </c>
      <c r="U6" s="2" t="s">
        <v>80</v>
      </c>
      <c r="V6" s="2" t="s">
        <v>80</v>
      </c>
    </row>
    <row r="7" spans="1:23" x14ac:dyDescent="0.2">
      <c r="A7" s="33" t="s">
        <v>4</v>
      </c>
      <c r="B7" s="80" t="s">
        <v>374</v>
      </c>
      <c r="D7" s="33" t="s">
        <v>152</v>
      </c>
      <c r="F7" s="33" t="s">
        <v>131</v>
      </c>
      <c r="H7" s="33" t="s">
        <v>6</v>
      </c>
      <c r="I7" s="2"/>
      <c r="J7" s="33" t="s">
        <v>170</v>
      </c>
      <c r="L7" s="33" t="s">
        <v>6</v>
      </c>
      <c r="N7" s="33">
        <v>331</v>
      </c>
      <c r="O7" s="33">
        <v>332</v>
      </c>
      <c r="P7" s="33">
        <v>401</v>
      </c>
      <c r="Q7" s="33" t="s">
        <v>496</v>
      </c>
      <c r="R7" s="33" t="s">
        <v>497</v>
      </c>
      <c r="S7" s="33" t="s">
        <v>498</v>
      </c>
      <c r="T7" s="33" t="s">
        <v>499</v>
      </c>
      <c r="U7" s="33" t="s">
        <v>500</v>
      </c>
      <c r="V7" s="33" t="s">
        <v>501</v>
      </c>
    </row>
    <row r="8" spans="1:23" x14ac:dyDescent="0.2">
      <c r="D8" s="120" t="s">
        <v>12</v>
      </c>
      <c r="F8" s="120" t="s">
        <v>13</v>
      </c>
      <c r="H8" s="120" t="s">
        <v>14</v>
      </c>
      <c r="J8" s="120" t="s">
        <v>366</v>
      </c>
      <c r="K8" s="74"/>
      <c r="L8" s="120" t="s">
        <v>15</v>
      </c>
      <c r="M8" s="40"/>
      <c r="N8" s="120" t="s">
        <v>16</v>
      </c>
      <c r="O8" s="120" t="s">
        <v>59</v>
      </c>
      <c r="P8" s="120" t="s">
        <v>61</v>
      </c>
      <c r="Q8" s="120" t="s">
        <v>62</v>
      </c>
      <c r="R8" s="120" t="s">
        <v>82</v>
      </c>
      <c r="S8" s="120" t="s">
        <v>143</v>
      </c>
      <c r="T8" s="120" t="s">
        <v>144</v>
      </c>
      <c r="U8" s="120" t="s">
        <v>145</v>
      </c>
      <c r="V8" s="120" t="s">
        <v>184</v>
      </c>
    </row>
    <row r="10" spans="1:23" x14ac:dyDescent="0.2">
      <c r="B10" s="77" t="s">
        <v>384</v>
      </c>
    </row>
    <row r="11" spans="1:23" x14ac:dyDescent="0.2">
      <c r="A11" s="2">
        <v>1</v>
      </c>
      <c r="B11" s="31" t="s">
        <v>132</v>
      </c>
      <c r="D11" s="79">
        <f ca="1">'Total Allocation - Ex Fran'!F11-'Total Allocation - Gas Ex Fran'!D11</f>
        <v>0</v>
      </c>
      <c r="J11" s="79">
        <f ca="1">D11-F11</f>
        <v>0</v>
      </c>
      <c r="L11" s="2" t="s">
        <v>221</v>
      </c>
      <c r="N11" s="79">
        <f ca="1">IF($J11&lt;&gt;0,VLOOKUP($L11,'Allocation Factors - Ex Fran'!$B$12:$U$169,5,FALSE)*$J11,0)+IF($F11&lt;&gt;0,VLOOKUP($H11,'Allocation Factors - Ex Fran'!$B$12:$U$169,5,FALSE)*$F11,0)</f>
        <v>0</v>
      </c>
      <c r="O11" s="79">
        <f ca="1">IF($J11&lt;&gt;0,VLOOKUP($L11,'Allocation Factors - Ex Fran'!$B$12:$U$169,6,FALSE)*$J11,0)+IF($F11&lt;&gt;0,VLOOKUP($H11,'Allocation Factors - Ex Fran'!$B$12:$U$169,6,FALSE)*$F11,0)</f>
        <v>0</v>
      </c>
      <c r="P11" s="79">
        <f ca="1">IF($J11&lt;&gt;0,VLOOKUP($L11,'Allocation Factors - Ex Fran'!$B$12:$U$169,7,FALSE)*$J11,0)+IF($F11&lt;&gt;0,VLOOKUP($H11,'Allocation Factors - Ex Fran'!$B$12:$U$169,7,FALSE)*$F11,0)</f>
        <v>0</v>
      </c>
      <c r="Q11" s="79">
        <f ca="1">IF($J11&lt;&gt;0,VLOOKUP($L11,'Allocation Factors - Ex Fran'!$B$12:$U$169,8,FALSE)*$J11,0)+IF($F11&lt;&gt;0,VLOOKUP($H11,'Allocation Factors - Ex Fran'!$B$12:$U$169,8,FALSE)*$F11,0)</f>
        <v>0</v>
      </c>
      <c r="R11" s="79">
        <f ca="1">IF($J11&lt;&gt;0,VLOOKUP($L11,'Allocation Factors - Ex Fran'!$B$12:$U$169,9,FALSE)*$J11,0)+IF($F11&lt;&gt;0,VLOOKUP($H11,'Allocation Factors - Ex Fran'!$B$12:$U$169,9,FALSE)*$F11,0)</f>
        <v>0</v>
      </c>
      <c r="S11" s="79">
        <f ca="1">IF($J11&lt;&gt;0,VLOOKUP($L11,'Allocation Factors - Ex Fran'!$B$12:$U$169,10,FALSE)*$J11,0)+IF($F11&lt;&gt;0,VLOOKUP($H11,'Allocation Factors - Ex Fran'!$B$12:$U$169,10,FALSE)*$F11,0)</f>
        <v>0</v>
      </c>
      <c r="T11" s="79">
        <f ca="1">IF($J11&lt;&gt;0,VLOOKUP($L11,'Allocation Factors - Ex Fran'!$B$12:$U$169,11,FALSE)*$J11,0)+IF($F11&lt;&gt;0,VLOOKUP($H11,'Allocation Factors - Ex Fran'!$B$12:$U$169,11,FALSE)*$F11,0)</f>
        <v>0</v>
      </c>
      <c r="U11" s="79">
        <f ca="1">IF($J11&lt;&gt;0,VLOOKUP($L11,'Allocation Factors - Ex Fran'!$B$12:$U$169,12,FALSE)*$J11,0)+IF($F11&lt;&gt;0,VLOOKUP($H11,'Allocation Factors - Ex Fran'!$B$12:$U$169,12,FALSE)*$F11,0)</f>
        <v>0</v>
      </c>
      <c r="V11" s="79">
        <f ca="1">IF($J11&lt;&gt;0,VLOOKUP($L11,'Allocation Factors - Ex Fran'!$B$12:$U$169,13,FALSE)*$J11,0)+IF($F11&lt;&gt;0,VLOOKUP($H11,'Allocation Factors - Ex Fran'!$B$12:$U$169,13,FALSE)*$F11,0)</f>
        <v>0</v>
      </c>
      <c r="W11" s="50"/>
    </row>
    <row r="12" spans="1:23" x14ac:dyDescent="0.2">
      <c r="A12" s="2">
        <f>A11+1</f>
        <v>2</v>
      </c>
      <c r="B12" s="31" t="s">
        <v>385</v>
      </c>
      <c r="D12" s="79">
        <f ca="1">'Total Allocation - Ex Fran'!F12-'Total Allocation - Gas Ex Fran'!D12</f>
        <v>0</v>
      </c>
      <c r="J12" s="79">
        <f t="shared" ref="J12:J16" ca="1" si="0">D12-F12</f>
        <v>0</v>
      </c>
      <c r="L12" s="2" t="s">
        <v>263</v>
      </c>
      <c r="N12" s="79">
        <f ca="1">IF($J12&lt;&gt;0,VLOOKUP($L12,'Allocation Factors - Ex Fran'!$B$12:$U$169,5,FALSE)*$J12,0)+IF($F12&lt;&gt;0,VLOOKUP($H12,'Allocation Factors - Ex Fran'!$B$12:$U$169,5,FALSE)*$F12,0)</f>
        <v>0</v>
      </c>
      <c r="O12" s="79">
        <f ca="1">IF($J12&lt;&gt;0,VLOOKUP($L12,'Allocation Factors - Ex Fran'!$B$12:$U$169,6,FALSE)*$J12,0)+IF($F12&lt;&gt;0,VLOOKUP($H12,'Allocation Factors - Ex Fran'!$B$12:$U$169,6,FALSE)*$F12,0)</f>
        <v>0</v>
      </c>
      <c r="P12" s="79">
        <f ca="1">IF($J12&lt;&gt;0,VLOOKUP($L12,'Allocation Factors - Ex Fran'!$B$12:$U$169,7,FALSE)*$J12,0)+IF($F12&lt;&gt;0,VLOOKUP($H12,'Allocation Factors - Ex Fran'!$B$12:$U$169,7,FALSE)*$F12,0)</f>
        <v>0</v>
      </c>
      <c r="Q12" s="79">
        <f ca="1">IF($J12&lt;&gt;0,VLOOKUP($L12,'Allocation Factors - Ex Fran'!$B$12:$U$169,8,FALSE)*$J12,0)+IF($F12&lt;&gt;0,VLOOKUP($H12,'Allocation Factors - Ex Fran'!$B$12:$U$169,8,FALSE)*$F12,0)</f>
        <v>0</v>
      </c>
      <c r="R12" s="79">
        <f ca="1">IF($J12&lt;&gt;0,VLOOKUP($L12,'Allocation Factors - Ex Fran'!$B$12:$U$169,9,FALSE)*$J12,0)+IF($F12&lt;&gt;0,VLOOKUP($H12,'Allocation Factors - Ex Fran'!$B$12:$U$169,9,FALSE)*$F12,0)</f>
        <v>0</v>
      </c>
      <c r="S12" s="79">
        <f ca="1">IF($J12&lt;&gt;0,VLOOKUP($L12,'Allocation Factors - Ex Fran'!$B$12:$U$169,10,FALSE)*$J12,0)+IF($F12&lt;&gt;0,VLOOKUP($H12,'Allocation Factors - Ex Fran'!$B$12:$U$169,10,FALSE)*$F12,0)</f>
        <v>0</v>
      </c>
      <c r="T12" s="79">
        <f ca="1">IF($J12&lt;&gt;0,VLOOKUP($L12,'Allocation Factors - Ex Fran'!$B$12:$U$169,11,FALSE)*$J12,0)+IF($F12&lt;&gt;0,VLOOKUP($H12,'Allocation Factors - Ex Fran'!$B$12:$U$169,11,FALSE)*$F12,0)</f>
        <v>0</v>
      </c>
      <c r="U12" s="79">
        <f ca="1">IF($J12&lt;&gt;0,VLOOKUP($L12,'Allocation Factors - Ex Fran'!$B$12:$U$169,12,FALSE)*$J12,0)+IF($F12&lt;&gt;0,VLOOKUP($H12,'Allocation Factors - Ex Fran'!$B$12:$U$169,12,FALSE)*$F12,0)</f>
        <v>0</v>
      </c>
      <c r="V12" s="79">
        <f ca="1">IF($J12&lt;&gt;0,VLOOKUP($L12,'Allocation Factors - Ex Fran'!$B$12:$U$169,13,FALSE)*$J12,0)+IF($F12&lt;&gt;0,VLOOKUP($H12,'Allocation Factors - Ex Fran'!$B$12:$U$169,13,FALSE)*$F12,0)</f>
        <v>0</v>
      </c>
      <c r="W12" s="50"/>
    </row>
    <row r="13" spans="1:23" x14ac:dyDescent="0.2">
      <c r="A13" s="2">
        <f t="shared" ref="A13:A17" si="1">A12+1</f>
        <v>3</v>
      </c>
      <c r="B13" s="31" t="s">
        <v>386</v>
      </c>
      <c r="D13" s="79">
        <f ca="1">'Total Allocation - Ex Fran'!F13-'Total Allocation - Gas Ex Fran'!D13</f>
        <v>0</v>
      </c>
      <c r="J13" s="79">
        <f t="shared" ca="1" si="0"/>
        <v>0</v>
      </c>
      <c r="L13" s="2" t="s">
        <v>156</v>
      </c>
      <c r="N13" s="79">
        <f ca="1">IF($J13&lt;&gt;0,VLOOKUP($L13,'Allocation Factors - Ex Fran'!$B$12:$U$169,5,FALSE)*$J13,0)+IF($F13&lt;&gt;0,VLOOKUP($H13,'Allocation Factors - Ex Fran'!$B$12:$U$169,5,FALSE)*$F13,0)</f>
        <v>0</v>
      </c>
      <c r="O13" s="79">
        <f ca="1">IF($J13&lt;&gt;0,VLOOKUP($L13,'Allocation Factors - Ex Fran'!$B$12:$U$169,6,FALSE)*$J13,0)+IF($F13&lt;&gt;0,VLOOKUP($H13,'Allocation Factors - Ex Fran'!$B$12:$U$169,6,FALSE)*$F13,0)</f>
        <v>0</v>
      </c>
      <c r="P13" s="79">
        <f ca="1">IF($J13&lt;&gt;0,VLOOKUP($L13,'Allocation Factors - Ex Fran'!$B$12:$U$169,7,FALSE)*$J13,0)+IF($F13&lt;&gt;0,VLOOKUP($H13,'Allocation Factors - Ex Fran'!$B$12:$U$169,7,FALSE)*$F13,0)</f>
        <v>0</v>
      </c>
      <c r="Q13" s="79">
        <f ca="1">IF($J13&lt;&gt;0,VLOOKUP($L13,'Allocation Factors - Ex Fran'!$B$12:$U$169,8,FALSE)*$J13,0)+IF($F13&lt;&gt;0,VLOOKUP($H13,'Allocation Factors - Ex Fran'!$B$12:$U$169,8,FALSE)*$F13,0)</f>
        <v>0</v>
      </c>
      <c r="R13" s="79">
        <f ca="1">IF($J13&lt;&gt;0,VLOOKUP($L13,'Allocation Factors - Ex Fran'!$B$12:$U$169,9,FALSE)*$J13,0)+IF($F13&lt;&gt;0,VLOOKUP($H13,'Allocation Factors - Ex Fran'!$B$12:$U$169,9,FALSE)*$F13,0)</f>
        <v>0</v>
      </c>
      <c r="S13" s="79">
        <f ca="1">IF($J13&lt;&gt;0,VLOOKUP($L13,'Allocation Factors - Ex Fran'!$B$12:$U$169,10,FALSE)*$J13,0)+IF($F13&lt;&gt;0,VLOOKUP($H13,'Allocation Factors - Ex Fran'!$B$12:$U$169,10,FALSE)*$F13,0)</f>
        <v>0</v>
      </c>
      <c r="T13" s="79">
        <f ca="1">IF($J13&lt;&gt;0,VLOOKUP($L13,'Allocation Factors - Ex Fran'!$B$12:$U$169,11,FALSE)*$J13,0)+IF($F13&lt;&gt;0,VLOOKUP($H13,'Allocation Factors - Ex Fran'!$B$12:$U$169,11,FALSE)*$F13,0)</f>
        <v>0</v>
      </c>
      <c r="U13" s="79">
        <f ca="1">IF($J13&lt;&gt;0,VLOOKUP($L13,'Allocation Factors - Ex Fran'!$B$12:$U$169,12,FALSE)*$J13,0)+IF($F13&lt;&gt;0,VLOOKUP($H13,'Allocation Factors - Ex Fran'!$B$12:$U$169,12,FALSE)*$F13,0)</f>
        <v>0</v>
      </c>
      <c r="V13" s="79">
        <f ca="1">IF($J13&lt;&gt;0,VLOOKUP($L13,'Allocation Factors - Ex Fran'!$B$12:$U$169,13,FALSE)*$J13,0)+IF($F13&lt;&gt;0,VLOOKUP($H13,'Allocation Factors - Ex Fran'!$B$12:$U$169,13,FALSE)*$F13,0)</f>
        <v>0</v>
      </c>
      <c r="W13" s="50"/>
    </row>
    <row r="14" spans="1:23" x14ac:dyDescent="0.2">
      <c r="A14" s="2">
        <f t="shared" si="1"/>
        <v>4</v>
      </c>
      <c r="B14" s="31" t="s">
        <v>115</v>
      </c>
      <c r="D14" s="79">
        <f ca="1">'Total Allocation - Ex Fran'!F14-'Total Allocation - Gas Ex Fran'!D14</f>
        <v>0</v>
      </c>
      <c r="F14" s="79">
        <f>'Total Allocation - Ex Fran'!H14-'Total Allocation - Gas Ex Fran'!F14</f>
        <v>0</v>
      </c>
      <c r="H14" s="2" t="s">
        <v>410</v>
      </c>
      <c r="J14" s="79">
        <f t="shared" ca="1" si="0"/>
        <v>0</v>
      </c>
      <c r="L14" s="2" t="s">
        <v>262</v>
      </c>
      <c r="N14" s="79">
        <f ca="1">IF($J14&lt;&gt;0,VLOOKUP($L14,'Allocation Factors - Ex Fran'!$B$12:$U$169,5,FALSE)*$J14,0)+IF($F14&lt;&gt;0,VLOOKUP($H14,'Allocation Factors - Ex Fran'!$B$12:$U$169,5,FALSE)*$F14,0)</f>
        <v>0</v>
      </c>
      <c r="O14" s="79">
        <f ca="1">IF($J14&lt;&gt;0,VLOOKUP($L14,'Allocation Factors - Ex Fran'!$B$12:$U$169,6,FALSE)*$J14,0)+IF($F14&lt;&gt;0,VLOOKUP($H14,'Allocation Factors - Ex Fran'!$B$12:$U$169,6,FALSE)*$F14,0)</f>
        <v>0</v>
      </c>
      <c r="P14" s="79">
        <f ca="1">IF($J14&lt;&gt;0,VLOOKUP($L14,'Allocation Factors - Ex Fran'!$B$12:$U$169,7,FALSE)*$J14,0)+IF($F14&lt;&gt;0,VLOOKUP($H14,'Allocation Factors - Ex Fran'!$B$12:$U$169,7,FALSE)*$F14,0)</f>
        <v>0</v>
      </c>
      <c r="Q14" s="79">
        <f ca="1">IF($J14&lt;&gt;0,VLOOKUP($L14,'Allocation Factors - Ex Fran'!$B$12:$U$169,8,FALSE)*$J14,0)+IF($F14&lt;&gt;0,VLOOKUP($H14,'Allocation Factors - Ex Fran'!$B$12:$U$169,8,FALSE)*$F14,0)</f>
        <v>0</v>
      </c>
      <c r="R14" s="79">
        <f ca="1">IF($J14&lt;&gt;0,VLOOKUP($L14,'Allocation Factors - Ex Fran'!$B$12:$U$169,9,FALSE)*$J14,0)+IF($F14&lt;&gt;0,VLOOKUP($H14,'Allocation Factors - Ex Fran'!$B$12:$U$169,9,FALSE)*$F14,0)</f>
        <v>0</v>
      </c>
      <c r="S14" s="79">
        <f ca="1">IF($J14&lt;&gt;0,VLOOKUP($L14,'Allocation Factors - Ex Fran'!$B$12:$U$169,10,FALSE)*$J14,0)+IF($F14&lt;&gt;0,VLOOKUP($H14,'Allocation Factors - Ex Fran'!$B$12:$U$169,10,FALSE)*$F14,0)</f>
        <v>0</v>
      </c>
      <c r="T14" s="79">
        <f ca="1">IF($J14&lt;&gt;0,VLOOKUP($L14,'Allocation Factors - Ex Fran'!$B$12:$U$169,11,FALSE)*$J14,0)+IF($F14&lt;&gt;0,VLOOKUP($H14,'Allocation Factors - Ex Fran'!$B$12:$U$169,11,FALSE)*$F14,0)</f>
        <v>0</v>
      </c>
      <c r="U14" s="79">
        <f ca="1">IF($J14&lt;&gt;0,VLOOKUP($L14,'Allocation Factors - Ex Fran'!$B$12:$U$169,12,FALSE)*$J14,0)+IF($F14&lt;&gt;0,VLOOKUP($H14,'Allocation Factors - Ex Fran'!$B$12:$U$169,12,FALSE)*$F14,0)</f>
        <v>0</v>
      </c>
      <c r="V14" s="79">
        <f ca="1">IF($J14&lt;&gt;0,VLOOKUP($L14,'Allocation Factors - Ex Fran'!$B$12:$U$169,13,FALSE)*$J14,0)+IF($F14&lt;&gt;0,VLOOKUP($H14,'Allocation Factors - Ex Fran'!$B$12:$U$169,13,FALSE)*$F14,0)</f>
        <v>0</v>
      </c>
      <c r="W14" s="50"/>
    </row>
    <row r="15" spans="1:23" x14ac:dyDescent="0.2">
      <c r="A15" s="2">
        <f t="shared" si="1"/>
        <v>5</v>
      </c>
      <c r="B15" s="31" t="s">
        <v>133</v>
      </c>
      <c r="D15" s="79">
        <f ca="1">'Total Allocation - Ex Fran'!F15-'Total Allocation - Gas Ex Fran'!D15</f>
        <v>0</v>
      </c>
      <c r="J15" s="79">
        <f t="shared" ca="1" si="0"/>
        <v>0</v>
      </c>
      <c r="L15" s="2" t="s">
        <v>264</v>
      </c>
      <c r="N15" s="79">
        <f ca="1">IF($J15&lt;&gt;0,VLOOKUP($L15,'Allocation Factors - Ex Fran'!$B$12:$U$169,5,FALSE)*$J15,0)+IF($F15&lt;&gt;0,VLOOKUP($H15,'Allocation Factors - Ex Fran'!$B$12:$U$169,5,FALSE)*$F15,0)</f>
        <v>0</v>
      </c>
      <c r="O15" s="79">
        <f ca="1">IF($J15&lt;&gt;0,VLOOKUP($L15,'Allocation Factors - Ex Fran'!$B$12:$U$169,6,FALSE)*$J15,0)+IF($F15&lt;&gt;0,VLOOKUP($H15,'Allocation Factors - Ex Fran'!$B$12:$U$169,6,FALSE)*$F15,0)</f>
        <v>0</v>
      </c>
      <c r="P15" s="79">
        <f ca="1">IF($J15&lt;&gt;0,VLOOKUP($L15,'Allocation Factors - Ex Fran'!$B$12:$U$169,7,FALSE)*$J15,0)+IF($F15&lt;&gt;0,VLOOKUP($H15,'Allocation Factors - Ex Fran'!$B$12:$U$169,7,FALSE)*$F15,0)</f>
        <v>0</v>
      </c>
      <c r="Q15" s="79">
        <f ca="1">IF($J15&lt;&gt;0,VLOOKUP($L15,'Allocation Factors - Ex Fran'!$B$12:$U$169,8,FALSE)*$J15,0)+IF($F15&lt;&gt;0,VLOOKUP($H15,'Allocation Factors - Ex Fran'!$B$12:$U$169,8,FALSE)*$F15,0)</f>
        <v>0</v>
      </c>
      <c r="R15" s="79">
        <f ca="1">IF($J15&lt;&gt;0,VLOOKUP($L15,'Allocation Factors - Ex Fran'!$B$12:$U$169,9,FALSE)*$J15,0)+IF($F15&lt;&gt;0,VLOOKUP($H15,'Allocation Factors - Ex Fran'!$B$12:$U$169,9,FALSE)*$F15,0)</f>
        <v>0</v>
      </c>
      <c r="S15" s="79">
        <f ca="1">IF($J15&lt;&gt;0,VLOOKUP($L15,'Allocation Factors - Ex Fran'!$B$12:$U$169,10,FALSE)*$J15,0)+IF($F15&lt;&gt;0,VLOOKUP($H15,'Allocation Factors - Ex Fran'!$B$12:$U$169,10,FALSE)*$F15,0)</f>
        <v>0</v>
      </c>
      <c r="T15" s="79">
        <f ca="1">IF($J15&lt;&gt;0,VLOOKUP($L15,'Allocation Factors - Ex Fran'!$B$12:$U$169,11,FALSE)*$J15,0)+IF($F15&lt;&gt;0,VLOOKUP($H15,'Allocation Factors - Ex Fran'!$B$12:$U$169,11,FALSE)*$F15,0)</f>
        <v>0</v>
      </c>
      <c r="U15" s="79">
        <f ca="1">IF($J15&lt;&gt;0,VLOOKUP($L15,'Allocation Factors - Ex Fran'!$B$12:$U$169,12,FALSE)*$J15,0)+IF($F15&lt;&gt;0,VLOOKUP($H15,'Allocation Factors - Ex Fran'!$B$12:$U$169,12,FALSE)*$F15,0)</f>
        <v>0</v>
      </c>
      <c r="V15" s="79">
        <f ca="1">IF($J15&lt;&gt;0,VLOOKUP($L15,'Allocation Factors - Ex Fran'!$B$12:$U$169,13,FALSE)*$J15,0)+IF($F15&lt;&gt;0,VLOOKUP($H15,'Allocation Factors - Ex Fran'!$B$12:$U$169,13,FALSE)*$F15,0)</f>
        <v>0</v>
      </c>
      <c r="W15" s="50"/>
    </row>
    <row r="16" spans="1:23" x14ac:dyDescent="0.2">
      <c r="A16" s="2">
        <f t="shared" si="1"/>
        <v>6</v>
      </c>
      <c r="B16" s="31" t="s">
        <v>135</v>
      </c>
      <c r="D16" s="79">
        <f ca="1">'Total Allocation - Ex Fran'!F16-'Total Allocation - Gas Ex Fran'!D16</f>
        <v>0</v>
      </c>
      <c r="J16" s="79">
        <f t="shared" ca="1" si="0"/>
        <v>0</v>
      </c>
      <c r="L16" s="2" t="s">
        <v>221</v>
      </c>
      <c r="N16" s="79">
        <f ca="1">IF($J16&lt;&gt;0,VLOOKUP($L16,'Allocation Factors - Ex Fran'!$B$12:$U$169,5,FALSE)*$J16,0)+IF($F16&lt;&gt;0,VLOOKUP($H16,'Allocation Factors - Ex Fran'!$B$12:$U$169,5,FALSE)*$F16,0)</f>
        <v>0</v>
      </c>
      <c r="O16" s="79">
        <f ca="1">IF($J16&lt;&gt;0,VLOOKUP($L16,'Allocation Factors - Ex Fran'!$B$12:$U$169,6,FALSE)*$J16,0)+IF($F16&lt;&gt;0,VLOOKUP($H16,'Allocation Factors - Ex Fran'!$B$12:$U$169,6,FALSE)*$F16,0)</f>
        <v>0</v>
      </c>
      <c r="P16" s="79">
        <f ca="1">IF($J16&lt;&gt;0,VLOOKUP($L16,'Allocation Factors - Ex Fran'!$B$12:$U$169,7,FALSE)*$J16,0)+IF($F16&lt;&gt;0,VLOOKUP($H16,'Allocation Factors - Ex Fran'!$B$12:$U$169,7,FALSE)*$F16,0)</f>
        <v>0</v>
      </c>
      <c r="Q16" s="79">
        <f ca="1">IF($J16&lt;&gt;0,VLOOKUP($L16,'Allocation Factors - Ex Fran'!$B$12:$U$169,8,FALSE)*$J16,0)+IF($F16&lt;&gt;0,VLOOKUP($H16,'Allocation Factors - Ex Fran'!$B$12:$U$169,8,FALSE)*$F16,0)</f>
        <v>0</v>
      </c>
      <c r="R16" s="79">
        <f ca="1">IF($J16&lt;&gt;0,VLOOKUP($L16,'Allocation Factors - Ex Fran'!$B$12:$U$169,9,FALSE)*$J16,0)+IF($F16&lt;&gt;0,VLOOKUP($H16,'Allocation Factors - Ex Fran'!$B$12:$U$169,9,FALSE)*$F16,0)</f>
        <v>0</v>
      </c>
      <c r="S16" s="79">
        <f ca="1">IF($J16&lt;&gt;0,VLOOKUP($L16,'Allocation Factors - Ex Fran'!$B$12:$U$169,10,FALSE)*$J16,0)+IF($F16&lt;&gt;0,VLOOKUP($H16,'Allocation Factors - Ex Fran'!$B$12:$U$169,10,FALSE)*$F16,0)</f>
        <v>0</v>
      </c>
      <c r="T16" s="79">
        <f ca="1">IF($J16&lt;&gt;0,VLOOKUP($L16,'Allocation Factors - Ex Fran'!$B$12:$U$169,11,FALSE)*$J16,0)+IF($F16&lt;&gt;0,VLOOKUP($H16,'Allocation Factors - Ex Fran'!$B$12:$U$169,11,FALSE)*$F16,0)</f>
        <v>0</v>
      </c>
      <c r="U16" s="79">
        <f ca="1">IF($J16&lt;&gt;0,VLOOKUP($L16,'Allocation Factors - Ex Fran'!$B$12:$U$169,12,FALSE)*$J16,0)+IF($F16&lt;&gt;0,VLOOKUP($H16,'Allocation Factors - Ex Fran'!$B$12:$U$169,12,FALSE)*$F16,0)</f>
        <v>0</v>
      </c>
      <c r="V16" s="79">
        <f ca="1">IF($J16&lt;&gt;0,VLOOKUP($L16,'Allocation Factors - Ex Fran'!$B$12:$U$169,13,FALSE)*$J16,0)+IF($F16&lt;&gt;0,VLOOKUP($H16,'Allocation Factors - Ex Fran'!$B$12:$U$169,13,FALSE)*$F16,0)</f>
        <v>0</v>
      </c>
      <c r="W16" s="50"/>
    </row>
    <row r="17" spans="1:23" x14ac:dyDescent="0.2">
      <c r="A17" s="2">
        <f t="shared" si="1"/>
        <v>7</v>
      </c>
      <c r="B17" s="31" t="s">
        <v>383</v>
      </c>
      <c r="D17" s="81">
        <f ca="1">SUM(D11:D16)</f>
        <v>0</v>
      </c>
      <c r="F17" s="81">
        <f>SUM(F11:F16)</f>
        <v>0</v>
      </c>
      <c r="J17" s="41">
        <f ca="1">SUM(J11:J16)</f>
        <v>0</v>
      </c>
      <c r="N17" s="41">
        <f t="shared" ref="N17:V17" ca="1" si="2">SUM(N11:N16)</f>
        <v>0</v>
      </c>
      <c r="O17" s="41">
        <f t="shared" ca="1" si="2"/>
        <v>0</v>
      </c>
      <c r="P17" s="41">
        <f t="shared" ca="1" si="2"/>
        <v>0</v>
      </c>
      <c r="Q17" s="41">
        <f t="shared" ca="1" si="2"/>
        <v>0</v>
      </c>
      <c r="R17" s="41">
        <f t="shared" ca="1" si="2"/>
        <v>0</v>
      </c>
      <c r="S17" s="41">
        <f t="shared" ca="1" si="2"/>
        <v>0</v>
      </c>
      <c r="T17" s="41">
        <f t="shared" ca="1" si="2"/>
        <v>0</v>
      </c>
      <c r="U17" s="41">
        <f t="shared" ca="1" si="2"/>
        <v>0</v>
      </c>
      <c r="V17" s="41">
        <f t="shared" ca="1" si="2"/>
        <v>0</v>
      </c>
      <c r="W17" s="50"/>
    </row>
    <row r="18" spans="1:23" x14ac:dyDescent="0.2">
      <c r="D18" s="79"/>
      <c r="N18" s="79"/>
      <c r="O18" s="79"/>
      <c r="P18" s="79"/>
      <c r="Q18" s="79"/>
      <c r="R18" s="79"/>
      <c r="S18" s="79"/>
      <c r="T18" s="79"/>
      <c r="U18" s="79"/>
      <c r="V18" s="79"/>
      <c r="W18" s="50"/>
    </row>
    <row r="19" spans="1:23" x14ac:dyDescent="0.2">
      <c r="B19" s="77" t="s">
        <v>97</v>
      </c>
      <c r="D19" s="79"/>
      <c r="N19" s="79"/>
      <c r="O19" s="79"/>
      <c r="P19" s="79"/>
      <c r="Q19" s="79"/>
      <c r="R19" s="79"/>
      <c r="S19" s="79"/>
      <c r="T19" s="79"/>
      <c r="U19" s="79"/>
      <c r="V19" s="79"/>
      <c r="W19" s="50"/>
    </row>
    <row r="20" spans="1:23" x14ac:dyDescent="0.2">
      <c r="A20" s="2">
        <f>A17+1</f>
        <v>8</v>
      </c>
      <c r="B20" s="31" t="s">
        <v>89</v>
      </c>
      <c r="D20" s="79">
        <f ca="1">'Total Allocation - Ex Fran'!F20-'Total Allocation - Gas Ex Fran'!D20</f>
        <v>0</v>
      </c>
      <c r="J20" s="79">
        <f t="shared" ref="J20:J23" ca="1" si="3">D20-F20</f>
        <v>0</v>
      </c>
      <c r="L20" s="2" t="s">
        <v>156</v>
      </c>
      <c r="N20" s="79">
        <f ca="1">IF($J20&lt;&gt;0,VLOOKUP($L20,'Allocation Factors - Ex Fran'!$B$12:$U$169,5,FALSE)*$J20,0)+IF($F20&lt;&gt;0,VLOOKUP($H20,'Allocation Factors - Ex Fran'!$B$12:$U$169,5,FALSE)*$F20,0)</f>
        <v>0</v>
      </c>
      <c r="O20" s="79">
        <f ca="1">IF($J20&lt;&gt;0,VLOOKUP($L20,'Allocation Factors - Ex Fran'!$B$12:$U$169,6,FALSE)*$J20,0)+IF($F20&lt;&gt;0,VLOOKUP($H20,'Allocation Factors - Ex Fran'!$B$12:$U$169,6,FALSE)*$F20,0)</f>
        <v>0</v>
      </c>
      <c r="P20" s="79">
        <f ca="1">IF($J20&lt;&gt;0,VLOOKUP($L20,'Allocation Factors - Ex Fran'!$B$12:$U$169,7,FALSE)*$J20,0)+IF($F20&lt;&gt;0,VLOOKUP($H20,'Allocation Factors - Ex Fran'!$B$12:$U$169,7,FALSE)*$F20,0)</f>
        <v>0</v>
      </c>
      <c r="Q20" s="79">
        <f ca="1">IF($J20&lt;&gt;0,VLOOKUP($L20,'Allocation Factors - Ex Fran'!$B$12:$U$169,8,FALSE)*$J20,0)+IF($F20&lt;&gt;0,VLOOKUP($H20,'Allocation Factors - Ex Fran'!$B$12:$U$169,8,FALSE)*$F20,0)</f>
        <v>0</v>
      </c>
      <c r="R20" s="79">
        <f ca="1">IF($J20&lt;&gt;0,VLOOKUP($L20,'Allocation Factors - Ex Fran'!$B$12:$U$169,9,FALSE)*$J20,0)+IF($F20&lt;&gt;0,VLOOKUP($H20,'Allocation Factors - Ex Fran'!$B$12:$U$169,9,FALSE)*$F20,0)</f>
        <v>0</v>
      </c>
      <c r="S20" s="79">
        <f ca="1">IF($J20&lt;&gt;0,VLOOKUP($L20,'Allocation Factors - Ex Fran'!$B$12:$U$169,10,FALSE)*$J20,0)+IF($F20&lt;&gt;0,VLOOKUP($H20,'Allocation Factors - Ex Fran'!$B$12:$U$169,10,FALSE)*$F20,0)</f>
        <v>0</v>
      </c>
      <c r="T20" s="79">
        <f ca="1">IF($J20&lt;&gt;0,VLOOKUP($L20,'Allocation Factors - Ex Fran'!$B$12:$U$169,11,FALSE)*$J20,0)+IF($F20&lt;&gt;0,VLOOKUP($H20,'Allocation Factors - Ex Fran'!$B$12:$U$169,11,FALSE)*$F20,0)</f>
        <v>0</v>
      </c>
      <c r="U20" s="79">
        <f ca="1">IF($J20&lt;&gt;0,VLOOKUP($L20,'Allocation Factors - Ex Fran'!$B$12:$U$169,12,FALSE)*$J20,0)+IF($F20&lt;&gt;0,VLOOKUP($H20,'Allocation Factors - Ex Fran'!$B$12:$U$169,12,FALSE)*$F20,0)</f>
        <v>0</v>
      </c>
      <c r="V20" s="79">
        <f ca="1">IF($J20&lt;&gt;0,VLOOKUP($L20,'Allocation Factors - Ex Fran'!$B$12:$U$169,13,FALSE)*$J20,0)+IF($F20&lt;&gt;0,VLOOKUP($H20,'Allocation Factors - Ex Fran'!$B$12:$U$169,13,FALSE)*$F20,0)</f>
        <v>0</v>
      </c>
      <c r="W20" s="50"/>
    </row>
    <row r="21" spans="1:23" x14ac:dyDescent="0.2">
      <c r="A21" s="2">
        <f>A20+1</f>
        <v>9</v>
      </c>
      <c r="B21" s="31" t="s">
        <v>90</v>
      </c>
      <c r="D21" s="79">
        <f ca="1">'Total Allocation - Ex Fran'!F21-'Total Allocation - Gas Ex Fran'!D21</f>
        <v>0</v>
      </c>
      <c r="F21" s="79">
        <f>'Total Allocation - Ex Fran'!H21-'Total Allocation - Gas Ex Fran'!F21</f>
        <v>0</v>
      </c>
      <c r="H21" s="2" t="s">
        <v>333</v>
      </c>
      <c r="J21" s="79">
        <f t="shared" ca="1" si="3"/>
        <v>0</v>
      </c>
      <c r="L21" s="2" t="s">
        <v>157</v>
      </c>
      <c r="N21" s="79">
        <f ca="1">IF($J21&lt;&gt;0,VLOOKUP($L21,'Allocation Factors - Ex Fran'!$B$12:$U$169,5,FALSE)*$J21,0)+IF($F21&lt;&gt;0,VLOOKUP($H21,'Allocation Factors - Ex Fran'!$B$12:$U$169,5,FALSE)*$F21,0)</f>
        <v>0</v>
      </c>
      <c r="O21" s="79">
        <f ca="1">IF($J21&lt;&gt;0,VLOOKUP($L21,'Allocation Factors - Ex Fran'!$B$12:$U$169,6,FALSE)*$J21,0)+IF($F21&lt;&gt;0,VLOOKUP($H21,'Allocation Factors - Ex Fran'!$B$12:$U$169,6,FALSE)*$F21,0)</f>
        <v>0</v>
      </c>
      <c r="P21" s="79">
        <f ca="1">IF($J21&lt;&gt;0,VLOOKUP($L21,'Allocation Factors - Ex Fran'!$B$12:$U$169,7,FALSE)*$J21,0)+IF($F21&lt;&gt;0,VLOOKUP($H21,'Allocation Factors - Ex Fran'!$B$12:$U$169,7,FALSE)*$F21,0)</f>
        <v>0</v>
      </c>
      <c r="Q21" s="79">
        <f ca="1">IF($J21&lt;&gt;0,VLOOKUP($L21,'Allocation Factors - Ex Fran'!$B$12:$U$169,8,FALSE)*$J21,0)+IF($F21&lt;&gt;0,VLOOKUP($H21,'Allocation Factors - Ex Fran'!$B$12:$U$169,8,FALSE)*$F21,0)</f>
        <v>0</v>
      </c>
      <c r="R21" s="79">
        <f ca="1">IF($J21&lt;&gt;0,VLOOKUP($L21,'Allocation Factors - Ex Fran'!$B$12:$U$169,9,FALSE)*$J21,0)+IF($F21&lt;&gt;0,VLOOKUP($H21,'Allocation Factors - Ex Fran'!$B$12:$U$169,9,FALSE)*$F21,0)</f>
        <v>0</v>
      </c>
      <c r="S21" s="79">
        <f ca="1">IF($J21&lt;&gt;0,VLOOKUP($L21,'Allocation Factors - Ex Fran'!$B$12:$U$169,10,FALSE)*$J21,0)+IF($F21&lt;&gt;0,VLOOKUP($H21,'Allocation Factors - Ex Fran'!$B$12:$U$169,10,FALSE)*$F21,0)</f>
        <v>0</v>
      </c>
      <c r="T21" s="79">
        <f ca="1">IF($J21&lt;&gt;0,VLOOKUP($L21,'Allocation Factors - Ex Fran'!$B$12:$U$169,11,FALSE)*$J21,0)+IF($F21&lt;&gt;0,VLOOKUP($H21,'Allocation Factors - Ex Fran'!$B$12:$U$169,11,FALSE)*$F21,0)</f>
        <v>0</v>
      </c>
      <c r="U21" s="79">
        <f ca="1">IF($J21&lt;&gt;0,VLOOKUP($L21,'Allocation Factors - Ex Fran'!$B$12:$U$169,12,FALSE)*$J21,0)+IF($F21&lt;&gt;0,VLOOKUP($H21,'Allocation Factors - Ex Fran'!$B$12:$U$169,12,FALSE)*$F21,0)</f>
        <v>0</v>
      </c>
      <c r="V21" s="79">
        <f ca="1">IF($J21&lt;&gt;0,VLOOKUP($L21,'Allocation Factors - Ex Fran'!$B$12:$U$169,13,FALSE)*$J21,0)+IF($F21&lt;&gt;0,VLOOKUP($H21,'Allocation Factors - Ex Fran'!$B$12:$U$169,13,FALSE)*$F21,0)</f>
        <v>0</v>
      </c>
      <c r="W21" s="50"/>
    </row>
    <row r="22" spans="1:23" x14ac:dyDescent="0.2">
      <c r="A22" s="2">
        <f t="shared" ref="A22:A24" si="4">A21+1</f>
        <v>10</v>
      </c>
      <c r="B22" s="31" t="s">
        <v>345</v>
      </c>
      <c r="D22" s="79">
        <f ca="1">'Total Allocation - Ex Fran'!F22-'Total Allocation - Gas Ex Fran'!D22</f>
        <v>395.43062029021604</v>
      </c>
      <c r="J22" s="79">
        <f t="shared" ca="1" si="3"/>
        <v>395.43062029021604</v>
      </c>
      <c r="L22" s="2" t="s">
        <v>346</v>
      </c>
      <c r="N22" s="79">
        <f ca="1">IF($J22&lt;&gt;0,VLOOKUP($L22,'Allocation Factors - Ex Fran'!$B$12:$U$169,5,FALSE)*$J22,0)+IF($F22&lt;&gt;0,VLOOKUP($H22,'Allocation Factors - Ex Fran'!$B$12:$U$169,5,FALSE)*$F22,0)</f>
        <v>3.8607048867376017</v>
      </c>
      <c r="O22" s="79">
        <f ca="1">IF($J22&lt;&gt;0,VLOOKUP($L22,'Allocation Factors - Ex Fran'!$B$12:$U$169,6,FALSE)*$J22,0)+IF($F22&lt;&gt;0,VLOOKUP($H22,'Allocation Factors - Ex Fran'!$B$12:$U$169,6,FALSE)*$F22,0)</f>
        <v>32.389999856106542</v>
      </c>
      <c r="P22" s="79">
        <f ca="1">IF($J22&lt;&gt;0,VLOOKUP($L22,'Allocation Factors - Ex Fran'!$B$12:$U$169,7,FALSE)*$J22,0)+IF($F22&lt;&gt;0,VLOOKUP($H22,'Allocation Factors - Ex Fran'!$B$12:$U$169,7,FALSE)*$F22,0)</f>
        <v>0</v>
      </c>
      <c r="Q22" s="79">
        <f ca="1">IF($J22&lt;&gt;0,VLOOKUP($L22,'Allocation Factors - Ex Fran'!$B$12:$U$169,8,FALSE)*$J22,0)+IF($F22&lt;&gt;0,VLOOKUP($H22,'Allocation Factors - Ex Fran'!$B$12:$U$169,8,FALSE)*$F22,0)</f>
        <v>83.761344626230624</v>
      </c>
      <c r="R22" s="79">
        <f ca="1">IF($J22&lt;&gt;0,VLOOKUP($L22,'Allocation Factors - Ex Fran'!$B$12:$U$169,9,FALSE)*$J22,0)+IF($F22&lt;&gt;0,VLOOKUP($H22,'Allocation Factors - Ex Fran'!$B$12:$U$169,9,FALSE)*$F22,0)</f>
        <v>14.498280316848078</v>
      </c>
      <c r="S22" s="79">
        <f ca="1">IF($J22&lt;&gt;0,VLOOKUP($L22,'Allocation Factors - Ex Fran'!$B$12:$U$169,10,FALSE)*$J22,0)+IF($F22&lt;&gt;0,VLOOKUP($H22,'Allocation Factors - Ex Fran'!$B$12:$U$169,10,FALSE)*$F22,0)</f>
        <v>255.10086404575307</v>
      </c>
      <c r="T22" s="79">
        <f ca="1">IF($J22&lt;&gt;0,VLOOKUP($L22,'Allocation Factors - Ex Fran'!$B$12:$U$169,11,FALSE)*$J22,0)+IF($F22&lt;&gt;0,VLOOKUP($H22,'Allocation Factors - Ex Fran'!$B$12:$U$169,11,FALSE)*$F22,0)</f>
        <v>1.5211406377268073</v>
      </c>
      <c r="U22" s="79">
        <f ca="1">IF($J22&lt;&gt;0,VLOOKUP($L22,'Allocation Factors - Ex Fran'!$B$12:$U$169,12,FALSE)*$J22,0)+IF($F22&lt;&gt;0,VLOOKUP($H22,'Allocation Factors - Ex Fran'!$B$12:$U$169,12,FALSE)*$F22,0)</f>
        <v>3.4572290471464631</v>
      </c>
      <c r="V22" s="79">
        <f ca="1">IF($J22&lt;&gt;0,VLOOKUP($L22,'Allocation Factors - Ex Fran'!$B$12:$U$169,13,FALSE)*$J22,0)+IF($F22&lt;&gt;0,VLOOKUP($H22,'Allocation Factors - Ex Fran'!$B$12:$U$169,13,FALSE)*$F22,0)</f>
        <v>0.84105687366686677</v>
      </c>
      <c r="W22" s="50"/>
    </row>
    <row r="23" spans="1:23" x14ac:dyDescent="0.2">
      <c r="A23" s="2">
        <f t="shared" si="4"/>
        <v>11</v>
      </c>
      <c r="B23" s="31" t="s">
        <v>91</v>
      </c>
      <c r="D23" s="79">
        <f ca="1">'Total Allocation - Ex Fran'!F23-'Total Allocation - Gas Ex Fran'!D23</f>
        <v>0</v>
      </c>
      <c r="J23" s="79">
        <f t="shared" ca="1" si="3"/>
        <v>0</v>
      </c>
      <c r="L23" s="2" t="s">
        <v>334</v>
      </c>
      <c r="N23" s="79">
        <f ca="1">IF($J23&lt;&gt;0,VLOOKUP($L23,'Allocation Factors - Ex Fran'!$B$12:$U$169,5,FALSE)*$J23,0)+IF($F23&lt;&gt;0,VLOOKUP($H23,'Allocation Factors - Ex Fran'!$B$12:$U$169,5,FALSE)*$F23,0)</f>
        <v>0</v>
      </c>
      <c r="O23" s="79">
        <f ca="1">IF($J23&lt;&gt;0,VLOOKUP($L23,'Allocation Factors - Ex Fran'!$B$12:$U$169,6,FALSE)*$J23,0)+IF($F23&lt;&gt;0,VLOOKUP($H23,'Allocation Factors - Ex Fran'!$B$12:$U$169,6,FALSE)*$F23,0)</f>
        <v>0</v>
      </c>
      <c r="P23" s="79">
        <f ca="1">IF($J23&lt;&gt;0,VLOOKUP($L23,'Allocation Factors - Ex Fran'!$B$12:$U$169,7,FALSE)*$J23,0)+IF($F23&lt;&gt;0,VLOOKUP($H23,'Allocation Factors - Ex Fran'!$B$12:$U$169,7,FALSE)*$F23,0)</f>
        <v>0</v>
      </c>
      <c r="Q23" s="79">
        <f ca="1">IF($J23&lt;&gt;0,VLOOKUP($L23,'Allocation Factors - Ex Fran'!$B$12:$U$169,8,FALSE)*$J23,0)+IF($F23&lt;&gt;0,VLOOKUP($H23,'Allocation Factors - Ex Fran'!$B$12:$U$169,8,FALSE)*$F23,0)</f>
        <v>0</v>
      </c>
      <c r="R23" s="79">
        <f ca="1">IF($J23&lt;&gt;0,VLOOKUP($L23,'Allocation Factors - Ex Fran'!$B$12:$U$169,9,FALSE)*$J23,0)+IF($F23&lt;&gt;0,VLOOKUP($H23,'Allocation Factors - Ex Fran'!$B$12:$U$169,9,FALSE)*$F23,0)</f>
        <v>0</v>
      </c>
      <c r="S23" s="79">
        <f ca="1">IF($J23&lt;&gt;0,VLOOKUP($L23,'Allocation Factors - Ex Fran'!$B$12:$U$169,10,FALSE)*$J23,0)+IF($F23&lt;&gt;0,VLOOKUP($H23,'Allocation Factors - Ex Fran'!$B$12:$U$169,10,FALSE)*$F23,0)</f>
        <v>0</v>
      </c>
      <c r="T23" s="79">
        <f ca="1">IF($J23&lt;&gt;0,VLOOKUP($L23,'Allocation Factors - Ex Fran'!$B$12:$U$169,11,FALSE)*$J23,0)+IF($F23&lt;&gt;0,VLOOKUP($H23,'Allocation Factors - Ex Fran'!$B$12:$U$169,11,FALSE)*$F23,0)</f>
        <v>0</v>
      </c>
      <c r="U23" s="79">
        <f ca="1">IF($J23&lt;&gt;0,VLOOKUP($L23,'Allocation Factors - Ex Fran'!$B$12:$U$169,12,FALSE)*$J23,0)+IF($F23&lt;&gt;0,VLOOKUP($H23,'Allocation Factors - Ex Fran'!$B$12:$U$169,12,FALSE)*$F23,0)</f>
        <v>0</v>
      </c>
      <c r="V23" s="79">
        <f ca="1">IF($J23&lt;&gt;0,VLOOKUP($L23,'Allocation Factors - Ex Fran'!$B$12:$U$169,13,FALSE)*$J23,0)+IF($F23&lt;&gt;0,VLOOKUP($H23,'Allocation Factors - Ex Fran'!$B$12:$U$169,13,FALSE)*$F23,0)</f>
        <v>0</v>
      </c>
      <c r="W23" s="50"/>
    </row>
    <row r="24" spans="1:23" x14ac:dyDescent="0.2">
      <c r="A24" s="2">
        <f t="shared" si="4"/>
        <v>12</v>
      </c>
      <c r="B24" s="31" t="s">
        <v>96</v>
      </c>
      <c r="D24" s="41">
        <f ca="1">SUM(D20:D23)</f>
        <v>395.43062029021604</v>
      </c>
      <c r="F24" s="41">
        <f>SUM(F20:F23)</f>
        <v>0</v>
      </c>
      <c r="H24" s="122"/>
      <c r="J24" s="41">
        <f ca="1">SUM(J20:J23)</f>
        <v>395.43062029021604</v>
      </c>
      <c r="N24" s="41">
        <f t="shared" ref="N24:V24" ca="1" si="5">SUM(N20:N23)</f>
        <v>3.8607048867376017</v>
      </c>
      <c r="O24" s="41">
        <f t="shared" ca="1" si="5"/>
        <v>32.389999856106542</v>
      </c>
      <c r="P24" s="41">
        <f t="shared" ca="1" si="5"/>
        <v>0</v>
      </c>
      <c r="Q24" s="41">
        <f t="shared" ca="1" si="5"/>
        <v>83.761344626230624</v>
      </c>
      <c r="R24" s="41">
        <f t="shared" ca="1" si="5"/>
        <v>14.498280316848078</v>
      </c>
      <c r="S24" s="41">
        <f t="shared" ca="1" si="5"/>
        <v>255.10086404575307</v>
      </c>
      <c r="T24" s="41">
        <f t="shared" ca="1" si="5"/>
        <v>1.5211406377268073</v>
      </c>
      <c r="U24" s="41">
        <f t="shared" ca="1" si="5"/>
        <v>3.4572290471464631</v>
      </c>
      <c r="V24" s="41">
        <f t="shared" ca="1" si="5"/>
        <v>0.84105687366686677</v>
      </c>
      <c r="W24" s="50"/>
    </row>
    <row r="25" spans="1:23" x14ac:dyDescent="0.2">
      <c r="N25" s="79"/>
      <c r="O25" s="79"/>
      <c r="P25" s="79"/>
      <c r="Q25" s="79"/>
      <c r="R25" s="79"/>
      <c r="S25" s="79"/>
      <c r="T25" s="79"/>
      <c r="U25" s="79"/>
      <c r="V25" s="79"/>
      <c r="W25" s="50"/>
    </row>
    <row r="26" spans="1:23" x14ac:dyDescent="0.2">
      <c r="B26" s="77" t="s">
        <v>98</v>
      </c>
      <c r="N26" s="79"/>
      <c r="O26" s="79"/>
      <c r="P26" s="79"/>
      <c r="Q26" s="79"/>
      <c r="R26" s="79"/>
      <c r="S26" s="79"/>
      <c r="T26" s="79"/>
      <c r="U26" s="79"/>
      <c r="V26" s="79"/>
      <c r="W26" s="50"/>
    </row>
    <row r="27" spans="1:23" x14ac:dyDescent="0.2">
      <c r="A27" s="2">
        <f>A24+1</f>
        <v>13</v>
      </c>
      <c r="B27" s="31" t="s">
        <v>92</v>
      </c>
      <c r="D27" s="79">
        <f ca="1">'Total Allocation - Ex Fran'!F27-'Total Allocation - Gas Ex Fran'!D27</f>
        <v>4683.1560894495487</v>
      </c>
      <c r="J27" s="79">
        <f t="shared" ref="J27:J32" ca="1" si="6">D27-F27</f>
        <v>4683.1560894495487</v>
      </c>
      <c r="L27" s="2" t="s">
        <v>533</v>
      </c>
      <c r="N27" s="79">
        <f ca="1">IF($J27&lt;&gt;0,VLOOKUP($L27,'Allocation Factors - Ex Fran'!$B$12:$U$169,5,FALSE)*$J27,0)+IF($F27&lt;&gt;0,VLOOKUP($H27,'Allocation Factors - Ex Fran'!$B$12:$U$169,5,FALSE)*$F27,0)</f>
        <v>0</v>
      </c>
      <c r="O27" s="79">
        <f ca="1">IF($J27&lt;&gt;0,VLOOKUP($L27,'Allocation Factors - Ex Fran'!$B$12:$U$169,6,FALSE)*$J27,0)+IF($F27&lt;&gt;0,VLOOKUP($H27,'Allocation Factors - Ex Fran'!$B$12:$U$169,6,FALSE)*$F27,0)</f>
        <v>0</v>
      </c>
      <c r="P27" s="79">
        <f ca="1">IF($J27&lt;&gt;0,VLOOKUP($L27,'Allocation Factors - Ex Fran'!$B$12:$U$169,7,FALSE)*$J27,0)+IF($F27&lt;&gt;0,VLOOKUP($H27,'Allocation Factors - Ex Fran'!$B$12:$U$169,7,FALSE)*$F27,0)</f>
        <v>0</v>
      </c>
      <c r="Q27" s="79">
        <f ca="1">IF($J27&lt;&gt;0,VLOOKUP($L27,'Allocation Factors - Ex Fran'!$B$12:$U$169,8,FALSE)*$J27,0)+IF($F27&lt;&gt;0,VLOOKUP($H27,'Allocation Factors - Ex Fran'!$B$12:$U$169,8,FALSE)*$F27,0)</f>
        <v>49.392485768132815</v>
      </c>
      <c r="R27" s="79">
        <f ca="1">IF($J27&lt;&gt;0,VLOOKUP($L27,'Allocation Factors - Ex Fran'!$B$12:$U$169,9,FALSE)*$J27,0)+IF($F27&lt;&gt;0,VLOOKUP($H27,'Allocation Factors - Ex Fran'!$B$12:$U$169,9,FALSE)*$F27,0)</f>
        <v>0</v>
      </c>
      <c r="S27" s="79">
        <f ca="1">IF($J27&lt;&gt;0,VLOOKUP($L27,'Allocation Factors - Ex Fran'!$B$12:$U$169,10,FALSE)*$J27,0)+IF($F27&lt;&gt;0,VLOOKUP($H27,'Allocation Factors - Ex Fran'!$B$12:$U$169,10,FALSE)*$F27,0)</f>
        <v>4620.5759066980463</v>
      </c>
      <c r="T27" s="79">
        <f ca="1">IF($J27&lt;&gt;0,VLOOKUP($L27,'Allocation Factors - Ex Fran'!$B$12:$U$169,11,FALSE)*$J27,0)+IF($F27&lt;&gt;0,VLOOKUP($H27,'Allocation Factors - Ex Fran'!$B$12:$U$169,11,FALSE)*$F27,0)</f>
        <v>0</v>
      </c>
      <c r="U27" s="79">
        <f ca="1">IF($J27&lt;&gt;0,VLOOKUP($L27,'Allocation Factors - Ex Fran'!$B$12:$U$169,12,FALSE)*$J27,0)+IF($F27&lt;&gt;0,VLOOKUP($H27,'Allocation Factors - Ex Fran'!$B$12:$U$169,12,FALSE)*$F27,0)</f>
        <v>0</v>
      </c>
      <c r="V27" s="79">
        <f ca="1">IF($J27&lt;&gt;0,VLOOKUP($L27,'Allocation Factors - Ex Fran'!$B$12:$U$169,13,FALSE)*$J27,0)+IF($F27&lt;&gt;0,VLOOKUP($H27,'Allocation Factors - Ex Fran'!$B$12:$U$169,13,FALSE)*$F27,0)</f>
        <v>13.187696983369818</v>
      </c>
      <c r="W27" s="50"/>
    </row>
    <row r="28" spans="1:23" x14ac:dyDescent="0.2">
      <c r="A28" s="2">
        <f>A27+1</f>
        <v>14</v>
      </c>
      <c r="B28" s="31" t="s">
        <v>93</v>
      </c>
      <c r="D28" s="79">
        <f ca="1">'Total Allocation - Ex Fran'!F28-'Total Allocation - Gas Ex Fran'!D28</f>
        <v>996.5653461040007</v>
      </c>
      <c r="J28" s="79">
        <f t="shared" ca="1" si="6"/>
        <v>996.5653461040007</v>
      </c>
      <c r="L28" s="2" t="s">
        <v>218</v>
      </c>
      <c r="N28" s="79">
        <f ca="1">IF($J28&lt;&gt;0,VLOOKUP($L28,'Allocation Factors - Ex Fran'!$B$12:$U$169,5,FALSE)*$J28,0)+IF($F28&lt;&gt;0,VLOOKUP($H28,'Allocation Factors - Ex Fran'!$B$12:$U$169,5,FALSE)*$F28,0)</f>
        <v>0</v>
      </c>
      <c r="O28" s="79">
        <f ca="1">IF($J28&lt;&gt;0,VLOOKUP($L28,'Allocation Factors - Ex Fran'!$B$12:$U$169,6,FALSE)*$J28,0)+IF($F28&lt;&gt;0,VLOOKUP($H28,'Allocation Factors - Ex Fran'!$B$12:$U$169,6,FALSE)*$F28,0)</f>
        <v>0</v>
      </c>
      <c r="P28" s="79">
        <f ca="1">IF($J28&lt;&gt;0,VLOOKUP($L28,'Allocation Factors - Ex Fran'!$B$12:$U$169,7,FALSE)*$J28,0)+IF($F28&lt;&gt;0,VLOOKUP($H28,'Allocation Factors - Ex Fran'!$B$12:$U$169,7,FALSE)*$F28,0)</f>
        <v>0</v>
      </c>
      <c r="Q28" s="79">
        <f ca="1">IF($J28&lt;&gt;0,VLOOKUP($L28,'Allocation Factors - Ex Fran'!$B$12:$U$169,8,FALSE)*$J28,0)+IF($F28&lt;&gt;0,VLOOKUP($H28,'Allocation Factors - Ex Fran'!$B$12:$U$169,8,FALSE)*$F28,0)</f>
        <v>0</v>
      </c>
      <c r="R28" s="79">
        <f ca="1">IF($J28&lt;&gt;0,VLOOKUP($L28,'Allocation Factors - Ex Fran'!$B$12:$U$169,9,FALSE)*$J28,0)+IF($F28&lt;&gt;0,VLOOKUP($H28,'Allocation Factors - Ex Fran'!$B$12:$U$169,9,FALSE)*$F28,0)</f>
        <v>0</v>
      </c>
      <c r="S28" s="79">
        <f ca="1">IF($J28&lt;&gt;0,VLOOKUP($L28,'Allocation Factors - Ex Fran'!$B$12:$U$169,10,FALSE)*$J28,0)+IF($F28&lt;&gt;0,VLOOKUP($H28,'Allocation Factors - Ex Fran'!$B$12:$U$169,10,FALSE)*$F28,0)</f>
        <v>996.5653461040007</v>
      </c>
      <c r="T28" s="79">
        <f ca="1">IF($J28&lt;&gt;0,VLOOKUP($L28,'Allocation Factors - Ex Fran'!$B$12:$U$169,11,FALSE)*$J28,0)+IF($F28&lt;&gt;0,VLOOKUP($H28,'Allocation Factors - Ex Fran'!$B$12:$U$169,11,FALSE)*$F28,0)</f>
        <v>0</v>
      </c>
      <c r="U28" s="79">
        <f ca="1">IF($J28&lt;&gt;0,VLOOKUP($L28,'Allocation Factors - Ex Fran'!$B$12:$U$169,12,FALSE)*$J28,0)+IF($F28&lt;&gt;0,VLOOKUP($H28,'Allocation Factors - Ex Fran'!$B$12:$U$169,12,FALSE)*$F28,0)</f>
        <v>0</v>
      </c>
      <c r="V28" s="79">
        <f ca="1">IF($J28&lt;&gt;0,VLOOKUP($L28,'Allocation Factors - Ex Fran'!$B$12:$U$169,13,FALSE)*$J28,0)+IF($F28&lt;&gt;0,VLOOKUP($H28,'Allocation Factors - Ex Fran'!$B$12:$U$169,13,FALSE)*$F28,0)</f>
        <v>0</v>
      </c>
      <c r="W28" s="50"/>
    </row>
    <row r="29" spans="1:23" x14ac:dyDescent="0.2">
      <c r="A29" s="2">
        <f t="shared" ref="A29:A34" si="7">A28+1</f>
        <v>15</v>
      </c>
      <c r="B29" s="31" t="s">
        <v>94</v>
      </c>
      <c r="D29" s="79">
        <f ca="1">'Total Allocation - Ex Fran'!F29-'Total Allocation - Gas Ex Fran'!D29</f>
        <v>23651.269496622928</v>
      </c>
      <c r="J29" s="79">
        <f t="shared" ca="1" si="6"/>
        <v>23651.269496622928</v>
      </c>
      <c r="L29" s="2" t="s">
        <v>230</v>
      </c>
      <c r="N29" s="79">
        <f ca="1">IF($J29&lt;&gt;0,VLOOKUP($L29,'Allocation Factors - Ex Fran'!$B$12:$U$169,5,FALSE)*$J29,0)+IF($F29&lt;&gt;0,VLOOKUP($H29,'Allocation Factors - Ex Fran'!$B$12:$U$169,5,FALSE)*$F29,0)</f>
        <v>0</v>
      </c>
      <c r="O29" s="79">
        <f ca="1">IF($J29&lt;&gt;0,VLOOKUP($L29,'Allocation Factors - Ex Fran'!$B$12:$U$169,6,FALSE)*$J29,0)+IF($F29&lt;&gt;0,VLOOKUP($H29,'Allocation Factors - Ex Fran'!$B$12:$U$169,6,FALSE)*$F29,0)</f>
        <v>0</v>
      </c>
      <c r="P29" s="79">
        <f ca="1">IF($J29&lt;&gt;0,VLOOKUP($L29,'Allocation Factors - Ex Fran'!$B$12:$U$169,7,FALSE)*$J29,0)+IF($F29&lt;&gt;0,VLOOKUP($H29,'Allocation Factors - Ex Fran'!$B$12:$U$169,7,FALSE)*$F29,0)</f>
        <v>0</v>
      </c>
      <c r="Q29" s="79">
        <f ca="1">IF($J29&lt;&gt;0,VLOOKUP($L29,'Allocation Factors - Ex Fran'!$B$12:$U$169,8,FALSE)*$J29,0)+IF($F29&lt;&gt;0,VLOOKUP($H29,'Allocation Factors - Ex Fran'!$B$12:$U$169,8,FALSE)*$F29,0)</f>
        <v>320.1319650747601</v>
      </c>
      <c r="R29" s="79">
        <f ca="1">IF($J29&lt;&gt;0,VLOOKUP($L29,'Allocation Factors - Ex Fran'!$B$12:$U$169,9,FALSE)*$J29,0)+IF($F29&lt;&gt;0,VLOOKUP($H29,'Allocation Factors - Ex Fran'!$B$12:$U$169,9,FALSE)*$F29,0)</f>
        <v>0</v>
      </c>
      <c r="S29" s="79">
        <f ca="1">IF($J29&lt;&gt;0,VLOOKUP($L29,'Allocation Factors - Ex Fran'!$B$12:$U$169,10,FALSE)*$J29,0)+IF($F29&lt;&gt;0,VLOOKUP($H29,'Allocation Factors - Ex Fran'!$B$12:$U$169,10,FALSE)*$F29,0)</f>
        <v>23331.137531548171</v>
      </c>
      <c r="T29" s="79">
        <f ca="1">IF($J29&lt;&gt;0,VLOOKUP($L29,'Allocation Factors - Ex Fran'!$B$12:$U$169,11,FALSE)*$J29,0)+IF($F29&lt;&gt;0,VLOOKUP($H29,'Allocation Factors - Ex Fran'!$B$12:$U$169,11,FALSE)*$F29,0)</f>
        <v>0</v>
      </c>
      <c r="U29" s="79">
        <f ca="1">IF($J29&lt;&gt;0,VLOOKUP($L29,'Allocation Factors - Ex Fran'!$B$12:$U$169,12,FALSE)*$J29,0)+IF($F29&lt;&gt;0,VLOOKUP($H29,'Allocation Factors - Ex Fran'!$B$12:$U$169,12,FALSE)*$F29,0)</f>
        <v>0</v>
      </c>
      <c r="V29" s="79">
        <f ca="1">IF($J29&lt;&gt;0,VLOOKUP($L29,'Allocation Factors - Ex Fran'!$B$12:$U$169,13,FALSE)*$J29,0)+IF($F29&lt;&gt;0,VLOOKUP($H29,'Allocation Factors - Ex Fran'!$B$12:$U$169,13,FALSE)*$F29,0)</f>
        <v>0</v>
      </c>
      <c r="W29" s="50"/>
    </row>
    <row r="30" spans="1:23" x14ac:dyDescent="0.2">
      <c r="A30" s="2">
        <f t="shared" si="7"/>
        <v>16</v>
      </c>
      <c r="B30" s="31" t="s">
        <v>330</v>
      </c>
      <c r="D30" s="79">
        <f ca="1">'Total Allocation - Ex Fran'!F30-'Total Allocation - Gas Ex Fran'!D30</f>
        <v>66563.358664251253</v>
      </c>
      <c r="J30" s="79">
        <f t="shared" ca="1" si="6"/>
        <v>66563.358664251253</v>
      </c>
      <c r="L30" s="2" t="s">
        <v>222</v>
      </c>
      <c r="N30" s="79">
        <f ca="1">IF($J30&lt;&gt;0,VLOOKUP($L30,'Allocation Factors - Ex Fran'!$B$12:$U$169,5,FALSE)*$J30,0)+IF($F30&lt;&gt;0,VLOOKUP($H30,'Allocation Factors - Ex Fran'!$B$12:$U$169,5,FALSE)*$F30,0)</f>
        <v>0</v>
      </c>
      <c r="O30" s="79">
        <f ca="1">IF($J30&lt;&gt;0,VLOOKUP($L30,'Allocation Factors - Ex Fran'!$B$12:$U$169,6,FALSE)*$J30,0)+IF($F30&lt;&gt;0,VLOOKUP($H30,'Allocation Factors - Ex Fran'!$B$12:$U$169,6,FALSE)*$F30,0)</f>
        <v>0</v>
      </c>
      <c r="P30" s="79">
        <f ca="1">IF($J30&lt;&gt;0,VLOOKUP($L30,'Allocation Factors - Ex Fran'!$B$12:$U$169,7,FALSE)*$J30,0)+IF($F30&lt;&gt;0,VLOOKUP($H30,'Allocation Factors - Ex Fran'!$B$12:$U$169,7,FALSE)*$F30,0)</f>
        <v>0</v>
      </c>
      <c r="Q30" s="79">
        <f ca="1">IF($J30&lt;&gt;0,VLOOKUP($L30,'Allocation Factors - Ex Fran'!$B$12:$U$169,8,FALSE)*$J30,0)+IF($F30&lt;&gt;0,VLOOKUP($H30,'Allocation Factors - Ex Fran'!$B$12:$U$169,8,FALSE)*$F30,0)</f>
        <v>1081.7154952799447</v>
      </c>
      <c r="R30" s="79">
        <f ca="1">IF($J30&lt;&gt;0,VLOOKUP($L30,'Allocation Factors - Ex Fran'!$B$12:$U$169,9,FALSE)*$J30,0)+IF($F30&lt;&gt;0,VLOOKUP($H30,'Allocation Factors - Ex Fran'!$B$12:$U$169,9,FALSE)*$F30,0)</f>
        <v>0</v>
      </c>
      <c r="S30" s="79">
        <f ca="1">IF($J30&lt;&gt;0,VLOOKUP($L30,'Allocation Factors - Ex Fran'!$B$12:$U$169,10,FALSE)*$J30,0)+IF($F30&lt;&gt;0,VLOOKUP($H30,'Allocation Factors - Ex Fran'!$B$12:$U$169,10,FALSE)*$F30,0)</f>
        <v>65280.567038343062</v>
      </c>
      <c r="T30" s="79">
        <f ca="1">IF($J30&lt;&gt;0,VLOOKUP($L30,'Allocation Factors - Ex Fran'!$B$12:$U$169,11,FALSE)*$J30,0)+IF($F30&lt;&gt;0,VLOOKUP($H30,'Allocation Factors - Ex Fran'!$B$12:$U$169,11,FALSE)*$F30,0)</f>
        <v>0</v>
      </c>
      <c r="U30" s="79">
        <f ca="1">IF($J30&lt;&gt;0,VLOOKUP($L30,'Allocation Factors - Ex Fran'!$B$12:$U$169,12,FALSE)*$J30,0)+IF($F30&lt;&gt;0,VLOOKUP($H30,'Allocation Factors - Ex Fran'!$B$12:$U$169,12,FALSE)*$F30,0)</f>
        <v>0</v>
      </c>
      <c r="V30" s="79">
        <f ca="1">IF($J30&lt;&gt;0,VLOOKUP($L30,'Allocation Factors - Ex Fran'!$B$12:$U$169,13,FALSE)*$J30,0)+IF($F30&lt;&gt;0,VLOOKUP($H30,'Allocation Factors - Ex Fran'!$B$12:$U$169,13,FALSE)*$F30,0)</f>
        <v>201.0761306282395</v>
      </c>
      <c r="W30" s="50"/>
    </row>
    <row r="31" spans="1:23" x14ac:dyDescent="0.2">
      <c r="A31" s="2">
        <f t="shared" si="7"/>
        <v>17</v>
      </c>
      <c r="B31" s="31" t="s">
        <v>331</v>
      </c>
      <c r="D31" s="79">
        <f ca="1">'Total Allocation - Ex Fran'!F31-'Total Allocation - Gas Ex Fran'!D31</f>
        <v>18341.833576983983</v>
      </c>
      <c r="J31" s="79">
        <f t="shared" ca="1" si="6"/>
        <v>18341.833576983983</v>
      </c>
      <c r="L31" s="2" t="s">
        <v>332</v>
      </c>
      <c r="N31" s="79">
        <f ca="1">IF($J31&lt;&gt;0,VLOOKUP($L31,'Allocation Factors - Ex Fran'!$B$12:$U$169,5,FALSE)*$J31,0)+IF($F31&lt;&gt;0,VLOOKUP($H31,'Allocation Factors - Ex Fran'!$B$12:$U$169,5,FALSE)*$F31,0)</f>
        <v>0</v>
      </c>
      <c r="O31" s="79">
        <f ca="1">IF($J31&lt;&gt;0,VLOOKUP($L31,'Allocation Factors - Ex Fran'!$B$12:$U$169,6,FALSE)*$J31,0)+IF($F31&lt;&gt;0,VLOOKUP($H31,'Allocation Factors - Ex Fran'!$B$12:$U$169,6,FALSE)*$F31,0)</f>
        <v>18341.833576983983</v>
      </c>
      <c r="P31" s="79">
        <f ca="1">IF($J31&lt;&gt;0,VLOOKUP($L31,'Allocation Factors - Ex Fran'!$B$12:$U$169,7,FALSE)*$J31,0)+IF($F31&lt;&gt;0,VLOOKUP($H31,'Allocation Factors - Ex Fran'!$B$12:$U$169,7,FALSE)*$F31,0)</f>
        <v>0</v>
      </c>
      <c r="Q31" s="79">
        <f ca="1">IF($J31&lt;&gt;0,VLOOKUP($L31,'Allocation Factors - Ex Fran'!$B$12:$U$169,8,FALSE)*$J31,0)+IF($F31&lt;&gt;0,VLOOKUP($H31,'Allocation Factors - Ex Fran'!$B$12:$U$169,8,FALSE)*$F31,0)</f>
        <v>0</v>
      </c>
      <c r="R31" s="79">
        <f ca="1">IF($J31&lt;&gt;0,VLOOKUP($L31,'Allocation Factors - Ex Fran'!$B$12:$U$169,9,FALSE)*$J31,0)+IF($F31&lt;&gt;0,VLOOKUP($H31,'Allocation Factors - Ex Fran'!$B$12:$U$169,9,FALSE)*$F31,0)</f>
        <v>0</v>
      </c>
      <c r="S31" s="79">
        <f ca="1">IF($J31&lt;&gt;0,VLOOKUP($L31,'Allocation Factors - Ex Fran'!$B$12:$U$169,10,FALSE)*$J31,0)+IF($F31&lt;&gt;0,VLOOKUP($H31,'Allocation Factors - Ex Fran'!$B$12:$U$169,10,FALSE)*$F31,0)</f>
        <v>0</v>
      </c>
      <c r="T31" s="79">
        <f ca="1">IF($J31&lt;&gt;0,VLOOKUP($L31,'Allocation Factors - Ex Fran'!$B$12:$U$169,11,FALSE)*$J31,0)+IF($F31&lt;&gt;0,VLOOKUP($H31,'Allocation Factors - Ex Fran'!$B$12:$U$169,11,FALSE)*$F31,0)</f>
        <v>0</v>
      </c>
      <c r="U31" s="79">
        <f ca="1">IF($J31&lt;&gt;0,VLOOKUP($L31,'Allocation Factors - Ex Fran'!$B$12:$U$169,12,FALSE)*$J31,0)+IF($F31&lt;&gt;0,VLOOKUP($H31,'Allocation Factors - Ex Fran'!$B$12:$U$169,12,FALSE)*$F31,0)</f>
        <v>0</v>
      </c>
      <c r="V31" s="79">
        <f ca="1">IF($J31&lt;&gt;0,VLOOKUP($L31,'Allocation Factors - Ex Fran'!$B$12:$U$169,13,FALSE)*$J31,0)+IF($F31&lt;&gt;0,VLOOKUP($H31,'Allocation Factors - Ex Fran'!$B$12:$U$169,13,FALSE)*$F31,0)</f>
        <v>0</v>
      </c>
      <c r="W31" s="50"/>
    </row>
    <row r="32" spans="1:23" x14ac:dyDescent="0.2">
      <c r="A32" s="2">
        <f t="shared" si="7"/>
        <v>18</v>
      </c>
      <c r="B32" s="31" t="s">
        <v>146</v>
      </c>
      <c r="D32" s="79">
        <f ca="1">'Total Allocation - Ex Fran'!F32-'Total Allocation - Gas Ex Fran'!D32</f>
        <v>0</v>
      </c>
      <c r="J32" s="79">
        <f t="shared" ca="1" si="6"/>
        <v>0</v>
      </c>
      <c r="L32" s="2" t="s">
        <v>229</v>
      </c>
      <c r="N32" s="79">
        <f ca="1">IF($J32&lt;&gt;0,VLOOKUP($L32,'Allocation Factors - Ex Fran'!$B$12:$U$169,5,FALSE)*$J32,0)+IF($F32&lt;&gt;0,VLOOKUP($H32,'Allocation Factors - Ex Fran'!$B$12:$U$169,5,FALSE)*$F32,0)</f>
        <v>0</v>
      </c>
      <c r="O32" s="79">
        <f ca="1">IF($J32&lt;&gt;0,VLOOKUP($L32,'Allocation Factors - Ex Fran'!$B$12:$U$169,6,FALSE)*$J32,0)+IF($F32&lt;&gt;0,VLOOKUP($H32,'Allocation Factors - Ex Fran'!$B$12:$U$169,6,FALSE)*$F32,0)</f>
        <v>0</v>
      </c>
      <c r="P32" s="79">
        <f ca="1">IF($J32&lt;&gt;0,VLOOKUP($L32,'Allocation Factors - Ex Fran'!$B$12:$U$169,7,FALSE)*$J32,0)+IF($F32&lt;&gt;0,VLOOKUP($H32,'Allocation Factors - Ex Fran'!$B$12:$U$169,7,FALSE)*$F32,0)</f>
        <v>0</v>
      </c>
      <c r="Q32" s="79">
        <f ca="1">IF($J32&lt;&gt;0,VLOOKUP($L32,'Allocation Factors - Ex Fran'!$B$12:$U$169,8,FALSE)*$J32,0)+IF($F32&lt;&gt;0,VLOOKUP($H32,'Allocation Factors - Ex Fran'!$B$12:$U$169,8,FALSE)*$F32,0)</f>
        <v>0</v>
      </c>
      <c r="R32" s="79">
        <f ca="1">IF($J32&lt;&gt;0,VLOOKUP($L32,'Allocation Factors - Ex Fran'!$B$12:$U$169,9,FALSE)*$J32,0)+IF($F32&lt;&gt;0,VLOOKUP($H32,'Allocation Factors - Ex Fran'!$B$12:$U$169,9,FALSE)*$F32,0)</f>
        <v>0</v>
      </c>
      <c r="S32" s="79">
        <f ca="1">IF($J32&lt;&gt;0,VLOOKUP($L32,'Allocation Factors - Ex Fran'!$B$12:$U$169,10,FALSE)*$J32,0)+IF($F32&lt;&gt;0,VLOOKUP($H32,'Allocation Factors - Ex Fran'!$B$12:$U$169,10,FALSE)*$F32,0)</f>
        <v>0</v>
      </c>
      <c r="T32" s="79">
        <f ca="1">IF($J32&lt;&gt;0,VLOOKUP($L32,'Allocation Factors - Ex Fran'!$B$12:$U$169,11,FALSE)*$J32,0)+IF($F32&lt;&gt;0,VLOOKUP($H32,'Allocation Factors - Ex Fran'!$B$12:$U$169,11,FALSE)*$F32,0)</f>
        <v>0</v>
      </c>
      <c r="U32" s="79">
        <f ca="1">IF($J32&lt;&gt;0,VLOOKUP($L32,'Allocation Factors - Ex Fran'!$B$12:$U$169,12,FALSE)*$J32,0)+IF($F32&lt;&gt;0,VLOOKUP($H32,'Allocation Factors - Ex Fran'!$B$12:$U$169,12,FALSE)*$F32,0)</f>
        <v>0</v>
      </c>
      <c r="V32" s="79">
        <f ca="1">IF($J32&lt;&gt;0,VLOOKUP($L32,'Allocation Factors - Ex Fran'!$B$12:$U$169,13,FALSE)*$J32,0)+IF($F32&lt;&gt;0,VLOOKUP($H32,'Allocation Factors - Ex Fran'!$B$12:$U$169,13,FALSE)*$F32,0)</f>
        <v>0</v>
      </c>
      <c r="W32" s="50"/>
    </row>
    <row r="33" spans="1:23" x14ac:dyDescent="0.2">
      <c r="A33" s="2">
        <f t="shared" si="7"/>
        <v>19</v>
      </c>
      <c r="B33" s="31" t="s">
        <v>95</v>
      </c>
      <c r="D33" s="79">
        <f ca="1">'Total Allocation - Ex Fran'!F33-'Total Allocation - Gas Ex Fran'!D33</f>
        <v>0</v>
      </c>
      <c r="F33" s="79">
        <f>ROUND('Total Allocation - Ex Fran'!H33-'Total Allocation - Gas Ex Fran'!F33,0)</f>
        <v>0</v>
      </c>
      <c r="H33" s="2" t="s">
        <v>251</v>
      </c>
      <c r="J33" s="79">
        <v>0</v>
      </c>
      <c r="L33" s="2" t="s">
        <v>335</v>
      </c>
      <c r="N33" s="79">
        <f>IF($J33&lt;&gt;0,VLOOKUP($L33,'Allocation Factors - Ex Fran'!$B$12:$U$169,5,FALSE)*$J33,0)+IF($F33&lt;&gt;0,VLOOKUP($H33,'Allocation Factors - Ex Fran'!$B$12:$U$169,5,FALSE)*$F33,0)</f>
        <v>0</v>
      </c>
      <c r="O33" s="79">
        <f>IF($J33&lt;&gt;0,VLOOKUP($L33,'Allocation Factors - Ex Fran'!$B$12:$U$169,6,FALSE)*$J33,0)+IF($F33&lt;&gt;0,VLOOKUP($H33,'Allocation Factors - Ex Fran'!$B$12:$U$169,6,FALSE)*$F33,0)</f>
        <v>0</v>
      </c>
      <c r="P33" s="79">
        <f>IF($J33&lt;&gt;0,VLOOKUP($L33,'Allocation Factors - Ex Fran'!$B$12:$U$169,7,FALSE)*$J33,0)+IF($F33&lt;&gt;0,VLOOKUP($H33,'Allocation Factors - Ex Fran'!$B$12:$U$169,7,FALSE)*$F33,0)</f>
        <v>0</v>
      </c>
      <c r="Q33" s="79">
        <f>IF($J33&lt;&gt;0,VLOOKUP($L33,'Allocation Factors - Ex Fran'!$B$12:$U$169,8,FALSE)*$J33,0)+IF($F33&lt;&gt;0,VLOOKUP($H33,'Allocation Factors - Ex Fran'!$B$12:$U$169,8,FALSE)*$F33,0)</f>
        <v>0</v>
      </c>
      <c r="R33" s="79">
        <f>IF($J33&lt;&gt;0,VLOOKUP($L33,'Allocation Factors - Ex Fran'!$B$12:$U$169,9,FALSE)*$J33,0)+IF($F33&lt;&gt;0,VLOOKUP($H33,'Allocation Factors - Ex Fran'!$B$12:$U$169,9,FALSE)*$F33,0)</f>
        <v>0</v>
      </c>
      <c r="S33" s="79">
        <f>IF($J33&lt;&gt;0,VLOOKUP($L33,'Allocation Factors - Ex Fran'!$B$12:$U$169,10,FALSE)*$J33,0)+IF($F33&lt;&gt;0,VLOOKUP($H33,'Allocation Factors - Ex Fran'!$B$12:$U$169,10,FALSE)*$F33,0)</f>
        <v>0</v>
      </c>
      <c r="T33" s="79">
        <f>IF($J33&lt;&gt;0,VLOOKUP($L33,'Allocation Factors - Ex Fran'!$B$12:$U$169,11,FALSE)*$J33,0)+IF($F33&lt;&gt;0,VLOOKUP($H33,'Allocation Factors - Ex Fran'!$B$12:$U$169,11,FALSE)*$F33,0)</f>
        <v>0</v>
      </c>
      <c r="U33" s="79">
        <f>IF($J33&lt;&gt;0,VLOOKUP($L33,'Allocation Factors - Ex Fran'!$B$12:$U$169,12,FALSE)*$J33,0)+IF($F33&lt;&gt;0,VLOOKUP($H33,'Allocation Factors - Ex Fran'!$B$12:$U$169,12,FALSE)*$F33,0)</f>
        <v>0</v>
      </c>
      <c r="V33" s="79">
        <f>IF($J33&lt;&gt;0,VLOOKUP($L33,'Allocation Factors - Ex Fran'!$B$12:$U$169,13,FALSE)*$J33,0)+IF($F33&lt;&gt;0,VLOOKUP($H33,'Allocation Factors - Ex Fran'!$B$12:$U$169,13,FALSE)*$F33,0)</f>
        <v>0</v>
      </c>
      <c r="W33" s="50"/>
    </row>
    <row r="34" spans="1:23" x14ac:dyDescent="0.2">
      <c r="A34" s="2">
        <f t="shared" si="7"/>
        <v>20</v>
      </c>
      <c r="B34" s="31" t="s">
        <v>99</v>
      </c>
      <c r="D34" s="41">
        <f ca="1">SUM(D27:D33)</f>
        <v>114236.1831734117</v>
      </c>
      <c r="F34" s="41">
        <f>SUM(F27:F33)</f>
        <v>0</v>
      </c>
      <c r="J34" s="41">
        <f ca="1">SUM(J27:J33)</f>
        <v>114236.1831734117</v>
      </c>
      <c r="N34" s="41">
        <f t="shared" ref="N34:V34" ca="1" si="8">SUM(N27:N33)</f>
        <v>0</v>
      </c>
      <c r="O34" s="41">
        <f t="shared" ca="1" si="8"/>
        <v>18341.833576983983</v>
      </c>
      <c r="P34" s="41">
        <f t="shared" ca="1" si="8"/>
        <v>0</v>
      </c>
      <c r="Q34" s="41">
        <f t="shared" ca="1" si="8"/>
        <v>1451.2399461228376</v>
      </c>
      <c r="R34" s="41">
        <f t="shared" ca="1" si="8"/>
        <v>0</v>
      </c>
      <c r="S34" s="41">
        <f t="shared" ca="1" si="8"/>
        <v>94228.845822693285</v>
      </c>
      <c r="T34" s="41">
        <f t="shared" ca="1" si="8"/>
        <v>0</v>
      </c>
      <c r="U34" s="41">
        <f t="shared" ca="1" si="8"/>
        <v>0</v>
      </c>
      <c r="V34" s="41">
        <f t="shared" ca="1" si="8"/>
        <v>214.26382761160932</v>
      </c>
      <c r="W34" s="50"/>
    </row>
    <row r="35" spans="1:23" x14ac:dyDescent="0.2">
      <c r="N35" s="79"/>
      <c r="O35" s="79"/>
      <c r="P35" s="79"/>
      <c r="Q35" s="79"/>
      <c r="R35" s="79"/>
      <c r="S35" s="79"/>
      <c r="T35" s="79"/>
      <c r="U35" s="79"/>
      <c r="V35" s="79"/>
      <c r="W35" s="50"/>
    </row>
    <row r="36" spans="1:23" x14ac:dyDescent="0.2">
      <c r="B36" s="77" t="s">
        <v>100</v>
      </c>
      <c r="H36" s="31"/>
      <c r="J36" s="2"/>
      <c r="L36" s="31"/>
      <c r="N36" s="2"/>
      <c r="P36" s="79"/>
      <c r="Q36" s="79"/>
      <c r="R36" s="79"/>
      <c r="S36" s="79"/>
      <c r="T36" s="79"/>
      <c r="U36" s="79"/>
      <c r="V36" s="79"/>
      <c r="W36" s="50"/>
    </row>
    <row r="37" spans="1:23" x14ac:dyDescent="0.2">
      <c r="A37" s="2">
        <f>A34+1</f>
        <v>21</v>
      </c>
      <c r="B37" s="31" t="s">
        <v>287</v>
      </c>
      <c r="D37" s="79">
        <f ca="1">'Total Allocation - Ex Fran'!F37-'Total Allocation - Gas Ex Fran'!D37</f>
        <v>303.03663291521224</v>
      </c>
      <c r="E37" s="79"/>
      <c r="F37" s="79"/>
      <c r="G37" s="79"/>
      <c r="H37" s="79"/>
      <c r="I37" s="79"/>
      <c r="J37" s="79">
        <f t="shared" ref="J37:J39" ca="1" si="9">D37-F37</f>
        <v>303.03663291521224</v>
      </c>
      <c r="K37" s="79"/>
      <c r="L37" s="2" t="s">
        <v>290</v>
      </c>
      <c r="N37" s="79">
        <f ca="1">IF($J37&lt;&gt;0,VLOOKUP($L37,'Allocation Factors - Ex Fran'!$B$12:$U$169,5,FALSE)*$J37,0)+IF($F37&lt;&gt;0,VLOOKUP($H37,'Allocation Factors - Ex Fran'!$B$12:$U$169,5,FALSE)*$F37,0)</f>
        <v>0</v>
      </c>
      <c r="O37" s="79">
        <f ca="1">IF($J37&lt;&gt;0,VLOOKUP($L37,'Allocation Factors - Ex Fran'!$B$12:$U$169,6,FALSE)*$J37,0)+IF($F37&lt;&gt;0,VLOOKUP($H37,'Allocation Factors - Ex Fran'!$B$12:$U$169,6,FALSE)*$F37,0)</f>
        <v>0</v>
      </c>
      <c r="P37" s="79">
        <f ca="1">IF($J37&lt;&gt;0,VLOOKUP($L37,'Allocation Factors - Ex Fran'!$B$12:$U$169,7,FALSE)*$J37,0)+IF($F37&lt;&gt;0,VLOOKUP($H37,'Allocation Factors - Ex Fran'!$B$12:$U$169,7,FALSE)*$F37,0)</f>
        <v>0</v>
      </c>
      <c r="Q37" s="79">
        <f ca="1">IF($J37&lt;&gt;0,VLOOKUP($L37,'Allocation Factors - Ex Fran'!$B$12:$U$169,8,FALSE)*$J37,0)+IF($F37&lt;&gt;0,VLOOKUP($H37,'Allocation Factors - Ex Fran'!$B$12:$U$169,8,FALSE)*$F37,0)</f>
        <v>0</v>
      </c>
      <c r="R37" s="79">
        <f ca="1">IF($J37&lt;&gt;0,VLOOKUP($L37,'Allocation Factors - Ex Fran'!$B$12:$U$169,9,FALSE)*$J37,0)+IF($F37&lt;&gt;0,VLOOKUP($H37,'Allocation Factors - Ex Fran'!$B$12:$U$169,9,FALSE)*$F37,0)</f>
        <v>0</v>
      </c>
      <c r="S37" s="79">
        <f ca="1">IF($J37&lt;&gt;0,VLOOKUP($L37,'Allocation Factors - Ex Fran'!$B$12:$U$169,10,FALSE)*$J37,0)+IF($F37&lt;&gt;0,VLOOKUP($H37,'Allocation Factors - Ex Fran'!$B$12:$U$169,10,FALSE)*$F37,0)</f>
        <v>0</v>
      </c>
      <c r="T37" s="79">
        <f ca="1">IF($J37&lt;&gt;0,VLOOKUP($L37,'Allocation Factors - Ex Fran'!$B$12:$U$169,11,FALSE)*$J37,0)+IF($F37&lt;&gt;0,VLOOKUP($H37,'Allocation Factors - Ex Fran'!$B$12:$U$169,11,FALSE)*$F37,0)</f>
        <v>0</v>
      </c>
      <c r="U37" s="79">
        <f ca="1">IF($J37&lt;&gt;0,VLOOKUP($L37,'Allocation Factors - Ex Fran'!$B$12:$U$169,12,FALSE)*$J37,0)+IF($F37&lt;&gt;0,VLOOKUP($H37,'Allocation Factors - Ex Fran'!$B$12:$U$169,12,FALSE)*$F37,0)</f>
        <v>0</v>
      </c>
      <c r="V37" s="79">
        <f ca="1">IF($J37&lt;&gt;0,VLOOKUP($L37,'Allocation Factors - Ex Fran'!$B$16:$U$169,13,FALSE)*$J37,0)+IF($F37&lt;&gt;0,VLOOKUP($H37,'Allocation Factors - Ex Fran'!$B$16:$U$169,13,FALSE)*$F37,0)</f>
        <v>303.03663291521224</v>
      </c>
      <c r="W37" s="50"/>
    </row>
    <row r="38" spans="1:23" x14ac:dyDescent="0.2">
      <c r="A38" s="2">
        <f>A37+1</f>
        <v>22</v>
      </c>
      <c r="B38" s="31" t="s">
        <v>288</v>
      </c>
      <c r="D38" s="79">
        <f ca="1">'Total Allocation - Ex Fran'!F38-'Total Allocation - Gas Ex Fran'!D38</f>
        <v>0</v>
      </c>
      <c r="E38" s="79"/>
      <c r="F38" s="79"/>
      <c r="G38" s="79"/>
      <c r="H38" s="79"/>
      <c r="I38" s="79"/>
      <c r="J38" s="79">
        <f t="shared" ca="1" si="9"/>
        <v>0</v>
      </c>
      <c r="K38" s="79"/>
      <c r="L38" s="2" t="s">
        <v>291</v>
      </c>
      <c r="N38" s="79">
        <f ca="1">IF($J38&lt;&gt;0,VLOOKUP($L38,'Allocation Factors - Ex Fran'!$B$12:$U$169,5,FALSE)*$J38,0)+IF($F38&lt;&gt;0,VLOOKUP($H38,'Allocation Factors - Ex Fran'!$B$12:$U$169,5,FALSE)*$F38,0)</f>
        <v>0</v>
      </c>
      <c r="O38" s="79">
        <f ca="1">IF($J38&lt;&gt;0,VLOOKUP($L38,'Allocation Factors - Ex Fran'!$B$12:$U$169,6,FALSE)*$J38,0)+IF($F38&lt;&gt;0,VLOOKUP($H38,'Allocation Factors - Ex Fran'!$B$12:$U$169,6,FALSE)*$F38,0)</f>
        <v>0</v>
      </c>
      <c r="P38" s="79">
        <f ca="1">IF($J38&lt;&gt;0,VLOOKUP($L38,'Allocation Factors - Ex Fran'!$B$12:$U$169,7,FALSE)*$J38,0)+IF($F38&lt;&gt;0,VLOOKUP($H38,'Allocation Factors - Ex Fran'!$B$12:$U$169,7,FALSE)*$F38,0)</f>
        <v>0</v>
      </c>
      <c r="Q38" s="79">
        <f ca="1">IF($J38&lt;&gt;0,VLOOKUP($L38,'Allocation Factors - Ex Fran'!$B$12:$U$169,8,FALSE)*$J38,0)+IF($F38&lt;&gt;0,VLOOKUP($H38,'Allocation Factors - Ex Fran'!$B$12:$U$169,8,FALSE)*$F38,0)</f>
        <v>0</v>
      </c>
      <c r="R38" s="79">
        <f ca="1">IF($J38&lt;&gt;0,VLOOKUP($L38,'Allocation Factors - Ex Fran'!$B$12:$U$169,9,FALSE)*$J38,0)+IF($F38&lt;&gt;0,VLOOKUP($H38,'Allocation Factors - Ex Fran'!$B$12:$U$169,9,FALSE)*$F38,0)</f>
        <v>0</v>
      </c>
      <c r="S38" s="79">
        <f ca="1">IF($J38&lt;&gt;0,VLOOKUP($L38,'Allocation Factors - Ex Fran'!$B$12:$U$169,10,FALSE)*$J38,0)+IF($F38&lt;&gt;0,VLOOKUP($H38,'Allocation Factors - Ex Fran'!$B$12:$U$169,10,FALSE)*$F38,0)</f>
        <v>0</v>
      </c>
      <c r="T38" s="79">
        <f ca="1">IF($J38&lt;&gt;0,VLOOKUP($L38,'Allocation Factors - Ex Fran'!$B$12:$U$169,11,FALSE)*$J38,0)+IF($F38&lt;&gt;0,VLOOKUP($H38,'Allocation Factors - Ex Fran'!$B$12:$U$169,11,FALSE)*$F38,0)</f>
        <v>0</v>
      </c>
      <c r="U38" s="79">
        <f ca="1">IF($J38&lt;&gt;0,VLOOKUP($L38,'Allocation Factors - Ex Fran'!$B$12:$U$169,12,FALSE)*$J38,0)+IF($F38&lt;&gt;0,VLOOKUP($H38,'Allocation Factors - Ex Fran'!$B$12:$U$169,12,FALSE)*$F38,0)</f>
        <v>0</v>
      </c>
      <c r="V38" s="79">
        <f ca="1">IF($J38&lt;&gt;0,VLOOKUP($L38,'Allocation Factors - Ex Fran'!$B$16:$U$169,13,FALSE)*$J38,0)+IF($F38&lt;&gt;0,VLOOKUP($H38,'Allocation Factors - Ex Fran'!$B$16:$U$169,13,FALSE)*$F38,0)</f>
        <v>0</v>
      </c>
      <c r="W38" s="50"/>
    </row>
    <row r="39" spans="1:23" x14ac:dyDescent="0.2">
      <c r="A39" s="2">
        <f t="shared" ref="A39:A52" si="10">A38+1</f>
        <v>23</v>
      </c>
      <c r="B39" s="31" t="s">
        <v>289</v>
      </c>
      <c r="D39" s="79">
        <f ca="1">'Total Allocation - Ex Fran'!F39-'Total Allocation - Gas Ex Fran'!D39</f>
        <v>0</v>
      </c>
      <c r="E39" s="79"/>
      <c r="F39" s="79"/>
      <c r="G39" s="79"/>
      <c r="H39" s="79"/>
      <c r="I39" s="79"/>
      <c r="J39" s="79">
        <f t="shared" ca="1" si="9"/>
        <v>0</v>
      </c>
      <c r="K39" s="79"/>
      <c r="L39" s="2" t="s">
        <v>292</v>
      </c>
      <c r="N39" s="79">
        <f ca="1">IF($J39&lt;&gt;0,VLOOKUP($L39,'Allocation Factors - Ex Fran'!$B$12:$U$169,5,FALSE)*$J39,0)+IF($F39&lt;&gt;0,VLOOKUP($H39,'Allocation Factors - Ex Fran'!$B$12:$U$169,5,FALSE)*$F39,0)</f>
        <v>0</v>
      </c>
      <c r="O39" s="79">
        <f ca="1">IF($J39&lt;&gt;0,VLOOKUP($L39,'Allocation Factors - Ex Fran'!$B$12:$U$169,6,FALSE)*$J39,0)+IF($F39&lt;&gt;0,VLOOKUP($H39,'Allocation Factors - Ex Fran'!$B$12:$U$169,6,FALSE)*$F39,0)</f>
        <v>0</v>
      </c>
      <c r="P39" s="79">
        <f ca="1">IF($J39&lt;&gt;0,VLOOKUP($L39,'Allocation Factors - Ex Fran'!$B$12:$U$169,7,FALSE)*$J39,0)+IF($F39&lt;&gt;0,VLOOKUP($H39,'Allocation Factors - Ex Fran'!$B$12:$U$169,7,FALSE)*$F39,0)</f>
        <v>0</v>
      </c>
      <c r="Q39" s="79">
        <f ca="1">IF($J39&lt;&gt;0,VLOOKUP($L39,'Allocation Factors - Ex Fran'!$B$12:$U$169,8,FALSE)*$J39,0)+IF($F39&lt;&gt;0,VLOOKUP($H39,'Allocation Factors - Ex Fran'!$B$12:$U$169,8,FALSE)*$F39,0)</f>
        <v>0</v>
      </c>
      <c r="R39" s="79">
        <f ca="1">IF($J39&lt;&gt;0,VLOOKUP($L39,'Allocation Factors - Ex Fran'!$B$12:$U$169,9,FALSE)*$J39,0)+IF($F39&lt;&gt;0,VLOOKUP($H39,'Allocation Factors - Ex Fran'!$B$12:$U$169,9,FALSE)*$F39,0)</f>
        <v>0</v>
      </c>
      <c r="S39" s="79">
        <f ca="1">IF($J39&lt;&gt;0,VLOOKUP($L39,'Allocation Factors - Ex Fran'!$B$12:$U$169,10,FALSE)*$J39,0)+IF($F39&lt;&gt;0,VLOOKUP($H39,'Allocation Factors - Ex Fran'!$B$12:$U$169,10,FALSE)*$F39,0)</f>
        <v>0</v>
      </c>
      <c r="T39" s="79">
        <f ca="1">IF($J39&lt;&gt;0,VLOOKUP($L39,'Allocation Factors - Ex Fran'!$B$12:$U$169,11,FALSE)*$J39,0)+IF($F39&lt;&gt;0,VLOOKUP($H39,'Allocation Factors - Ex Fran'!$B$12:$U$169,11,FALSE)*$F39,0)</f>
        <v>0</v>
      </c>
      <c r="U39" s="79">
        <f ca="1">IF($J39&lt;&gt;0,VLOOKUP($L39,'Allocation Factors - Ex Fran'!$B$12:$U$169,12,FALSE)*$J39,0)+IF($F39&lt;&gt;0,VLOOKUP($H39,'Allocation Factors - Ex Fran'!$B$12:$U$169,12,FALSE)*$F39,0)</f>
        <v>0</v>
      </c>
      <c r="V39" s="79">
        <f ca="1">IF($J39&lt;&gt;0,VLOOKUP($L39,'Allocation Factors - Ex Fran'!$B$16:$U$169,13,FALSE)*$J39,0)+IF($F39&lt;&gt;0,VLOOKUP($H39,'Allocation Factors - Ex Fran'!$B$16:$U$169,13,FALSE)*$F39,0)</f>
        <v>0</v>
      </c>
      <c r="W39" s="50"/>
    </row>
    <row r="40" spans="1:23" x14ac:dyDescent="0.2">
      <c r="B40" s="31" t="s">
        <v>163</v>
      </c>
      <c r="D40" s="79"/>
      <c r="E40" s="79"/>
      <c r="F40" s="79"/>
      <c r="G40" s="79"/>
      <c r="H40" s="79"/>
      <c r="I40" s="79"/>
      <c r="J40" s="123"/>
      <c r="K40" s="79"/>
      <c r="N40" s="2"/>
      <c r="W40" s="50"/>
    </row>
    <row r="41" spans="1:23" x14ac:dyDescent="0.2">
      <c r="A41" s="2">
        <f>A39+1</f>
        <v>24</v>
      </c>
      <c r="B41" s="82" t="s">
        <v>165</v>
      </c>
      <c r="D41" s="79">
        <f ca="1">'Total Allocation - Ex Fran'!F41-'Total Allocation - Gas Ex Fran'!D41</f>
        <v>0</v>
      </c>
      <c r="E41" s="79"/>
      <c r="F41" s="79"/>
      <c r="G41" s="79"/>
      <c r="H41" s="79"/>
      <c r="I41" s="79"/>
      <c r="J41" s="79">
        <f t="shared" ref="J41:J46" ca="1" si="11">D41-F41</f>
        <v>0</v>
      </c>
      <c r="K41" s="79"/>
      <c r="L41" s="2" t="s">
        <v>161</v>
      </c>
      <c r="N41" s="79">
        <f ca="1">IF($J41&lt;&gt;0,VLOOKUP($L41,'Allocation Factors - Ex Fran'!$B$12:$U$169,5,FALSE)*$J41,0)+IF($F41&lt;&gt;0,VLOOKUP($H41,'Allocation Factors - Ex Fran'!$B$12:$U$169,5,FALSE)*$F41,0)</f>
        <v>0</v>
      </c>
      <c r="O41" s="79">
        <f ca="1">IF($J41&lt;&gt;0,VLOOKUP($L41,'Allocation Factors - Ex Fran'!$B$12:$U$169,6,FALSE)*$J41,0)+IF($F41&lt;&gt;0,VLOOKUP($H41,'Allocation Factors - Ex Fran'!$B$12:$U$169,6,FALSE)*$F41,0)</f>
        <v>0</v>
      </c>
      <c r="P41" s="79">
        <f ca="1">IF($J41&lt;&gt;0,VLOOKUP($L41,'Allocation Factors - Ex Fran'!$B$12:$U$169,7,FALSE)*$J41,0)+IF($F41&lt;&gt;0,VLOOKUP($H41,'Allocation Factors - Ex Fran'!$B$12:$U$169,7,FALSE)*$F41,0)</f>
        <v>0</v>
      </c>
      <c r="Q41" s="79">
        <f ca="1">IF($J41&lt;&gt;0,VLOOKUP($L41,'Allocation Factors - Ex Fran'!$B$12:$U$169,8,FALSE)*$J41,0)+IF($F41&lt;&gt;0,VLOOKUP($H41,'Allocation Factors - Ex Fran'!$B$12:$U$169,8,FALSE)*$F41,0)</f>
        <v>0</v>
      </c>
      <c r="R41" s="79">
        <f ca="1">IF($J41&lt;&gt;0,VLOOKUP($L41,'Allocation Factors - Ex Fran'!$B$12:$U$169,9,FALSE)*$J41,0)+IF($F41&lt;&gt;0,VLOOKUP($H41,'Allocation Factors - Ex Fran'!$B$12:$U$169,9,FALSE)*$F41,0)</f>
        <v>0</v>
      </c>
      <c r="S41" s="79">
        <f ca="1">IF($J41&lt;&gt;0,VLOOKUP($L41,'Allocation Factors - Ex Fran'!$B$12:$U$169,10,FALSE)*$J41,0)+IF($F41&lt;&gt;0,VLOOKUP($H41,'Allocation Factors - Ex Fran'!$B$12:$U$169,10,FALSE)*$F41,0)</f>
        <v>0</v>
      </c>
      <c r="T41" s="79">
        <f ca="1">IF($J41&lt;&gt;0,VLOOKUP($L41,'Allocation Factors - Ex Fran'!$B$12:$U$169,11,FALSE)*$J41,0)+IF($F41&lt;&gt;0,VLOOKUP($H41,'Allocation Factors - Ex Fran'!$B$12:$U$169,11,FALSE)*$F41,0)</f>
        <v>0</v>
      </c>
      <c r="U41" s="79">
        <f ca="1">IF($J41&lt;&gt;0,VLOOKUP($L41,'Allocation Factors - Ex Fran'!$B$12:$U$169,12,FALSE)*$J41,0)+IF($F41&lt;&gt;0,VLOOKUP($H41,'Allocation Factors - Ex Fran'!$B$12:$U$169,12,FALSE)*$F41,0)</f>
        <v>0</v>
      </c>
      <c r="V41" s="79">
        <f ca="1">IF($J41&lt;&gt;0,VLOOKUP($L41,'Allocation Factors - Ex Fran'!$B$16:$U$169,13,FALSE)*$J41,0)+IF($F41&lt;&gt;0,VLOOKUP($H41,'Allocation Factors - Ex Fran'!$B$16:$U$169,13,FALSE)*$F41,0)</f>
        <v>0</v>
      </c>
      <c r="W41" s="50"/>
    </row>
    <row r="42" spans="1:23" x14ac:dyDescent="0.2">
      <c r="A42" s="2">
        <f t="shared" si="10"/>
        <v>25</v>
      </c>
      <c r="B42" s="82" t="s">
        <v>166</v>
      </c>
      <c r="D42" s="79">
        <f ca="1">'Total Allocation - Ex Fran'!F42-'Total Allocation - Gas Ex Fran'!D42</f>
        <v>0</v>
      </c>
      <c r="E42" s="79"/>
      <c r="F42" s="79"/>
      <c r="G42" s="79"/>
      <c r="H42" s="79"/>
      <c r="I42" s="79"/>
      <c r="J42" s="79">
        <f t="shared" ca="1" si="11"/>
        <v>0</v>
      </c>
      <c r="K42" s="79"/>
      <c r="L42" s="2" t="s">
        <v>162</v>
      </c>
      <c r="N42" s="79">
        <f ca="1">IF($J42&lt;&gt;0,VLOOKUP($L42,'Allocation Factors - Ex Fran'!$B$12:$U$169,5,FALSE)*$J42,0)+IF($F42&lt;&gt;0,VLOOKUP($H42,'Allocation Factors - Ex Fran'!$B$12:$U$169,5,FALSE)*$F42,0)</f>
        <v>0</v>
      </c>
      <c r="O42" s="79">
        <f ca="1">IF($J42&lt;&gt;0,VLOOKUP($L42,'Allocation Factors - Ex Fran'!$B$12:$U$169,6,FALSE)*$J42,0)+IF($F42&lt;&gt;0,VLOOKUP($H42,'Allocation Factors - Ex Fran'!$B$12:$U$169,6,FALSE)*$F42,0)</f>
        <v>0</v>
      </c>
      <c r="P42" s="79">
        <f ca="1">IF($J42&lt;&gt;0,VLOOKUP($L42,'Allocation Factors - Ex Fran'!$B$12:$U$169,7,FALSE)*$J42,0)+IF($F42&lt;&gt;0,VLOOKUP($H42,'Allocation Factors - Ex Fran'!$B$12:$U$169,7,FALSE)*$F42,0)</f>
        <v>0</v>
      </c>
      <c r="Q42" s="79">
        <f ca="1">IF($J42&lt;&gt;0,VLOOKUP($L42,'Allocation Factors - Ex Fran'!$B$12:$U$169,8,FALSE)*$J42,0)+IF($F42&lt;&gt;0,VLOOKUP($H42,'Allocation Factors - Ex Fran'!$B$12:$U$169,8,FALSE)*$F42,0)</f>
        <v>0</v>
      </c>
      <c r="R42" s="79">
        <f ca="1">IF($J42&lt;&gt;0,VLOOKUP($L42,'Allocation Factors - Ex Fran'!$B$12:$U$169,9,FALSE)*$J42,0)+IF($F42&lt;&gt;0,VLOOKUP($H42,'Allocation Factors - Ex Fran'!$B$12:$U$169,9,FALSE)*$F42,0)</f>
        <v>0</v>
      </c>
      <c r="S42" s="79">
        <f ca="1">IF($J42&lt;&gt;0,VLOOKUP($L42,'Allocation Factors - Ex Fran'!$B$12:$U$169,10,FALSE)*$J42,0)+IF($F42&lt;&gt;0,VLOOKUP($H42,'Allocation Factors - Ex Fran'!$B$12:$U$169,10,FALSE)*$F42,0)</f>
        <v>0</v>
      </c>
      <c r="T42" s="79">
        <f ca="1">IF($J42&lt;&gt;0,VLOOKUP($L42,'Allocation Factors - Ex Fran'!$B$12:$U$169,11,FALSE)*$J42,0)+IF($F42&lt;&gt;0,VLOOKUP($H42,'Allocation Factors - Ex Fran'!$B$12:$U$169,11,FALSE)*$F42,0)</f>
        <v>0</v>
      </c>
      <c r="U42" s="79">
        <f ca="1">IF($J42&lt;&gt;0,VLOOKUP($L42,'Allocation Factors - Ex Fran'!$B$12:$U$169,12,FALSE)*$J42,0)+IF($F42&lt;&gt;0,VLOOKUP($H42,'Allocation Factors - Ex Fran'!$B$12:$U$169,12,FALSE)*$F42,0)</f>
        <v>0</v>
      </c>
      <c r="V42" s="79">
        <f ca="1">IF($J42&lt;&gt;0,VLOOKUP($L42,'Allocation Factors - Ex Fran'!$B$16:$U$169,13,FALSE)*$J42,0)+IF($F42&lt;&gt;0,VLOOKUP($H42,'Allocation Factors - Ex Fran'!$B$16:$U$169,13,FALSE)*$F42,0)</f>
        <v>0</v>
      </c>
      <c r="W42" s="50"/>
    </row>
    <row r="43" spans="1:23" x14ac:dyDescent="0.2">
      <c r="A43" s="2">
        <f t="shared" si="10"/>
        <v>26</v>
      </c>
      <c r="B43" s="31" t="s">
        <v>101</v>
      </c>
      <c r="D43" s="79">
        <f ca="1">'Total Allocation - Ex Fran'!F43-'Total Allocation - Gas Ex Fran'!D43</f>
        <v>0</v>
      </c>
      <c r="E43" s="79"/>
      <c r="F43" s="79"/>
      <c r="G43" s="79"/>
      <c r="H43" s="79"/>
      <c r="I43" s="79"/>
      <c r="J43" s="79">
        <f t="shared" ca="1" si="11"/>
        <v>0</v>
      </c>
      <c r="K43" s="79"/>
      <c r="L43" s="2" t="s">
        <v>220</v>
      </c>
      <c r="N43" s="79">
        <f ca="1">IF($J43&lt;&gt;0,VLOOKUP($L43,'Allocation Factors - Ex Fran'!$B$12:$U$169,5,FALSE)*$J43,0)+IF($F43&lt;&gt;0,VLOOKUP($H43,'Allocation Factors - Ex Fran'!$B$12:$U$169,5,FALSE)*$F43,0)</f>
        <v>0</v>
      </c>
      <c r="O43" s="79">
        <f ca="1">IF($J43&lt;&gt;0,VLOOKUP($L43,'Allocation Factors - Ex Fran'!$B$12:$U$169,6,FALSE)*$J43,0)+IF($F43&lt;&gt;0,VLOOKUP($H43,'Allocation Factors - Ex Fran'!$B$12:$U$169,6,FALSE)*$F43,0)</f>
        <v>0</v>
      </c>
      <c r="P43" s="79">
        <f ca="1">IF($J43&lt;&gt;0,VLOOKUP($L43,'Allocation Factors - Ex Fran'!$B$12:$U$169,7,FALSE)*$J43,0)+IF($F43&lt;&gt;0,VLOOKUP($H43,'Allocation Factors - Ex Fran'!$B$12:$U$169,7,FALSE)*$F43,0)</f>
        <v>0</v>
      </c>
      <c r="Q43" s="79">
        <f ca="1">IF($J43&lt;&gt;0,VLOOKUP($L43,'Allocation Factors - Ex Fran'!$B$12:$U$169,8,FALSE)*$J43,0)+IF($F43&lt;&gt;0,VLOOKUP($H43,'Allocation Factors - Ex Fran'!$B$12:$U$169,8,FALSE)*$F43,0)</f>
        <v>0</v>
      </c>
      <c r="R43" s="79">
        <f ca="1">IF($J43&lt;&gt;0,VLOOKUP($L43,'Allocation Factors - Ex Fran'!$B$12:$U$169,9,FALSE)*$J43,0)+IF($F43&lt;&gt;0,VLOOKUP($H43,'Allocation Factors - Ex Fran'!$B$12:$U$169,9,FALSE)*$F43,0)</f>
        <v>0</v>
      </c>
      <c r="S43" s="79">
        <f ca="1">IF($J43&lt;&gt;0,VLOOKUP($L43,'Allocation Factors - Ex Fran'!$B$12:$U$169,10,FALSE)*$J43,0)+IF($F43&lt;&gt;0,VLOOKUP($H43,'Allocation Factors - Ex Fran'!$B$12:$U$169,10,FALSE)*$F43,0)</f>
        <v>0</v>
      </c>
      <c r="T43" s="79">
        <f ca="1">IF($J43&lt;&gt;0,VLOOKUP($L43,'Allocation Factors - Ex Fran'!$B$12:$U$169,11,FALSE)*$J43,0)+IF($F43&lt;&gt;0,VLOOKUP($H43,'Allocation Factors - Ex Fran'!$B$12:$U$169,11,FALSE)*$F43,0)</f>
        <v>0</v>
      </c>
      <c r="U43" s="79">
        <f ca="1">IF($J43&lt;&gt;0,VLOOKUP($L43,'Allocation Factors - Ex Fran'!$B$12:$U$169,12,FALSE)*$J43,0)+IF($F43&lt;&gt;0,VLOOKUP($H43,'Allocation Factors - Ex Fran'!$B$12:$U$169,12,FALSE)*$F43,0)</f>
        <v>0</v>
      </c>
      <c r="V43" s="79">
        <f ca="1">IF($J43&lt;&gt;0,VLOOKUP($L43,'Allocation Factors - Ex Fran'!$B$16:$U$169,13,FALSE)*$J43,0)+IF($F43&lt;&gt;0,VLOOKUP($H43,'Allocation Factors - Ex Fran'!$B$16:$U$169,13,FALSE)*$F43,0)</f>
        <v>0</v>
      </c>
      <c r="W43" s="50"/>
    </row>
    <row r="44" spans="1:23" x14ac:dyDescent="0.2">
      <c r="A44" s="2">
        <f t="shared" si="10"/>
        <v>27</v>
      </c>
      <c r="B44" s="31" t="s">
        <v>102</v>
      </c>
      <c r="D44" s="79">
        <f ca="1">'Total Allocation - Ex Fran'!F44-'Total Allocation - Gas Ex Fran'!D44</f>
        <v>0</v>
      </c>
      <c r="E44" s="79"/>
      <c r="F44" s="79"/>
      <c r="G44" s="79"/>
      <c r="H44" s="79"/>
      <c r="I44" s="79"/>
      <c r="J44" s="79">
        <f t="shared" ca="1" si="11"/>
        <v>0</v>
      </c>
      <c r="K44" s="79"/>
      <c r="L44" s="2" t="s">
        <v>220</v>
      </c>
      <c r="N44" s="79">
        <f ca="1">IF($J44&lt;&gt;0,VLOOKUP($L44,'Allocation Factors - Ex Fran'!$B$12:$U$169,5,FALSE)*$J44,0)+IF($F44&lt;&gt;0,VLOOKUP($H44,'Allocation Factors - Ex Fran'!$B$12:$U$169,5,FALSE)*$F44,0)</f>
        <v>0</v>
      </c>
      <c r="O44" s="79">
        <f ca="1">IF($J44&lt;&gt;0,VLOOKUP($L44,'Allocation Factors - Ex Fran'!$B$12:$U$169,6,FALSE)*$J44,0)+IF($F44&lt;&gt;0,VLOOKUP($H44,'Allocation Factors - Ex Fran'!$B$12:$U$169,6,FALSE)*$F44,0)</f>
        <v>0</v>
      </c>
      <c r="P44" s="79">
        <f ca="1">IF($J44&lt;&gt;0,VLOOKUP($L44,'Allocation Factors - Ex Fran'!$B$12:$U$169,7,FALSE)*$J44,0)+IF($F44&lt;&gt;0,VLOOKUP($H44,'Allocation Factors - Ex Fran'!$B$12:$U$169,7,FALSE)*$F44,0)</f>
        <v>0</v>
      </c>
      <c r="Q44" s="79">
        <f ca="1">IF($J44&lt;&gt;0,VLOOKUP($L44,'Allocation Factors - Ex Fran'!$B$12:$U$169,8,FALSE)*$J44,0)+IF($F44&lt;&gt;0,VLOOKUP($H44,'Allocation Factors - Ex Fran'!$B$12:$U$169,8,FALSE)*$F44,0)</f>
        <v>0</v>
      </c>
      <c r="R44" s="79">
        <f ca="1">IF($J44&lt;&gt;0,VLOOKUP($L44,'Allocation Factors - Ex Fran'!$B$12:$U$169,9,FALSE)*$J44,0)+IF($F44&lt;&gt;0,VLOOKUP($H44,'Allocation Factors - Ex Fran'!$B$12:$U$169,9,FALSE)*$F44,0)</f>
        <v>0</v>
      </c>
      <c r="S44" s="79">
        <f ca="1">IF($J44&lt;&gt;0,VLOOKUP($L44,'Allocation Factors - Ex Fran'!$B$12:$U$169,10,FALSE)*$J44,0)+IF($F44&lt;&gt;0,VLOOKUP($H44,'Allocation Factors - Ex Fran'!$B$12:$U$169,10,FALSE)*$F44,0)</f>
        <v>0</v>
      </c>
      <c r="T44" s="79">
        <f ca="1">IF($J44&lt;&gt;0,VLOOKUP($L44,'Allocation Factors - Ex Fran'!$B$12:$U$169,11,FALSE)*$J44,0)+IF($F44&lt;&gt;0,VLOOKUP($H44,'Allocation Factors - Ex Fran'!$B$12:$U$169,11,FALSE)*$F44,0)</f>
        <v>0</v>
      </c>
      <c r="U44" s="79">
        <f ca="1">IF($J44&lt;&gt;0,VLOOKUP($L44,'Allocation Factors - Ex Fran'!$B$12:$U$169,12,FALSE)*$J44,0)+IF($F44&lt;&gt;0,VLOOKUP($H44,'Allocation Factors - Ex Fran'!$B$12:$U$169,12,FALSE)*$F44,0)</f>
        <v>0</v>
      </c>
      <c r="V44" s="79">
        <f ca="1">IF($J44&lt;&gt;0,VLOOKUP($L44,'Allocation Factors - Ex Fran'!$B$16:$U$169,13,FALSE)*$J44,0)+IF($F44&lt;&gt;0,VLOOKUP($H44,'Allocation Factors - Ex Fran'!$B$16:$U$169,13,FALSE)*$F44,0)</f>
        <v>0</v>
      </c>
      <c r="W44" s="50"/>
    </row>
    <row r="45" spans="1:23" x14ac:dyDescent="0.2">
      <c r="A45" s="2">
        <f t="shared" si="10"/>
        <v>28</v>
      </c>
      <c r="B45" s="31" t="s">
        <v>103</v>
      </c>
      <c r="D45" s="79">
        <f ca="1">'Total Allocation - Ex Fran'!F45-'Total Allocation - Gas Ex Fran'!D45</f>
        <v>0</v>
      </c>
      <c r="E45" s="79"/>
      <c r="F45" s="79"/>
      <c r="G45" s="79"/>
      <c r="H45" s="79"/>
      <c r="I45" s="79"/>
      <c r="J45" s="79">
        <f t="shared" ca="1" si="11"/>
        <v>0</v>
      </c>
      <c r="K45" s="79"/>
      <c r="L45" s="2" t="s">
        <v>190</v>
      </c>
      <c r="N45" s="79">
        <f ca="1">IF($J45&lt;&gt;0,VLOOKUP($L45,'Allocation Factors - Ex Fran'!$B$12:$U$169,5,FALSE)*$J45,0)+IF($F45&lt;&gt;0,VLOOKUP($H45,'Allocation Factors - Ex Fran'!$B$12:$U$169,5,FALSE)*$F45,0)</f>
        <v>0</v>
      </c>
      <c r="O45" s="79">
        <f ca="1">IF($J45&lt;&gt;0,VLOOKUP($L45,'Allocation Factors - Ex Fran'!$B$12:$U$169,6,FALSE)*$J45,0)+IF($F45&lt;&gt;0,VLOOKUP($H45,'Allocation Factors - Ex Fran'!$B$12:$U$169,6,FALSE)*$F45,0)</f>
        <v>0</v>
      </c>
      <c r="P45" s="79">
        <f ca="1">IF($J45&lt;&gt;0,VLOOKUP($L45,'Allocation Factors - Ex Fran'!$B$12:$U$169,7,FALSE)*$J45,0)+IF($F45&lt;&gt;0,VLOOKUP($H45,'Allocation Factors - Ex Fran'!$B$12:$U$169,7,FALSE)*$F45,0)</f>
        <v>0</v>
      </c>
      <c r="Q45" s="79">
        <f ca="1">IF($J45&lt;&gt;0,VLOOKUP($L45,'Allocation Factors - Ex Fran'!$B$12:$U$169,8,FALSE)*$J45,0)+IF($F45&lt;&gt;0,VLOOKUP($H45,'Allocation Factors - Ex Fran'!$B$12:$U$169,8,FALSE)*$F45,0)</f>
        <v>0</v>
      </c>
      <c r="R45" s="79">
        <f ca="1">IF($J45&lt;&gt;0,VLOOKUP($L45,'Allocation Factors - Ex Fran'!$B$12:$U$169,9,FALSE)*$J45,0)+IF($F45&lt;&gt;0,VLOOKUP($H45,'Allocation Factors - Ex Fran'!$B$12:$U$169,9,FALSE)*$F45,0)</f>
        <v>0</v>
      </c>
      <c r="S45" s="79">
        <f ca="1">IF($J45&lt;&gt;0,VLOOKUP($L45,'Allocation Factors - Ex Fran'!$B$12:$U$169,10,FALSE)*$J45,0)+IF($F45&lt;&gt;0,VLOOKUP($H45,'Allocation Factors - Ex Fran'!$B$12:$U$169,10,FALSE)*$F45,0)</f>
        <v>0</v>
      </c>
      <c r="T45" s="79">
        <f ca="1">IF($J45&lt;&gt;0,VLOOKUP($L45,'Allocation Factors - Ex Fran'!$B$12:$U$169,11,FALSE)*$J45,0)+IF($F45&lt;&gt;0,VLOOKUP($H45,'Allocation Factors - Ex Fran'!$B$12:$U$169,11,FALSE)*$F45,0)</f>
        <v>0</v>
      </c>
      <c r="U45" s="79">
        <f ca="1">IF($J45&lt;&gt;0,VLOOKUP($L45,'Allocation Factors - Ex Fran'!$B$12:$U$169,12,FALSE)*$J45,0)+IF($F45&lt;&gt;0,VLOOKUP($H45,'Allocation Factors - Ex Fran'!$B$12:$U$169,12,FALSE)*$F45,0)</f>
        <v>0</v>
      </c>
      <c r="V45" s="79">
        <f ca="1">IF($J45&lt;&gt;0,VLOOKUP($L45,'Allocation Factors - Ex Fran'!$B$16:$U$169,13,FALSE)*$J45,0)+IF($F45&lt;&gt;0,VLOOKUP($H45,'Allocation Factors - Ex Fran'!$B$16:$U$169,13,FALSE)*$F45,0)</f>
        <v>0</v>
      </c>
      <c r="W45" s="50"/>
    </row>
    <row r="46" spans="1:23" x14ac:dyDescent="0.2">
      <c r="A46" s="2">
        <f t="shared" si="10"/>
        <v>29</v>
      </c>
      <c r="B46" s="31" t="s">
        <v>186</v>
      </c>
      <c r="D46" s="79">
        <f ca="1">'Total Allocation - Ex Fran'!F46-'Total Allocation - Gas Ex Fran'!D46</f>
        <v>0</v>
      </c>
      <c r="E46" s="79"/>
      <c r="F46" s="79"/>
      <c r="G46" s="79"/>
      <c r="H46" s="79"/>
      <c r="I46" s="79"/>
      <c r="J46" s="79">
        <f t="shared" ca="1" si="11"/>
        <v>0</v>
      </c>
      <c r="K46" s="79"/>
      <c r="L46" s="2" t="s">
        <v>191</v>
      </c>
      <c r="N46" s="79">
        <f ca="1">IF($J46&lt;&gt;0,VLOOKUP($L46,'Allocation Factors - Ex Fran'!$B$12:$U$169,5,FALSE)*$J46,0)+IF($F46&lt;&gt;0,VLOOKUP($H46,'Allocation Factors - Ex Fran'!$B$12:$U$169,5,FALSE)*$F46,0)</f>
        <v>0</v>
      </c>
      <c r="O46" s="79">
        <f ca="1">IF($J46&lt;&gt;0,VLOOKUP($L46,'Allocation Factors - Ex Fran'!$B$12:$U$169,6,FALSE)*$J46,0)+IF($F46&lt;&gt;0,VLOOKUP($H46,'Allocation Factors - Ex Fran'!$B$12:$U$169,6,FALSE)*$F46,0)</f>
        <v>0</v>
      </c>
      <c r="P46" s="79">
        <f ca="1">IF($J46&lt;&gt;0,VLOOKUP($L46,'Allocation Factors - Ex Fran'!$B$12:$U$169,7,FALSE)*$J46,0)+IF($F46&lt;&gt;0,VLOOKUP($H46,'Allocation Factors - Ex Fran'!$B$12:$U$169,7,FALSE)*$F46,0)</f>
        <v>0</v>
      </c>
      <c r="Q46" s="79">
        <f ca="1">IF($J46&lt;&gt;0,VLOOKUP($L46,'Allocation Factors - Ex Fran'!$B$12:$U$169,8,FALSE)*$J46,0)+IF($F46&lt;&gt;0,VLOOKUP($H46,'Allocation Factors - Ex Fran'!$B$12:$U$169,8,FALSE)*$F46,0)</f>
        <v>0</v>
      </c>
      <c r="R46" s="79">
        <f ca="1">IF($J46&lt;&gt;0,VLOOKUP($L46,'Allocation Factors - Ex Fran'!$B$12:$U$169,9,FALSE)*$J46,0)+IF($F46&lt;&gt;0,VLOOKUP($H46,'Allocation Factors - Ex Fran'!$B$12:$U$169,9,FALSE)*$F46,0)</f>
        <v>0</v>
      </c>
      <c r="S46" s="79">
        <f ca="1">IF($J46&lt;&gt;0,VLOOKUP($L46,'Allocation Factors - Ex Fran'!$B$12:$U$169,10,FALSE)*$J46,0)+IF($F46&lt;&gt;0,VLOOKUP($H46,'Allocation Factors - Ex Fran'!$B$12:$U$169,10,FALSE)*$F46,0)</f>
        <v>0</v>
      </c>
      <c r="T46" s="79">
        <f ca="1">IF($J46&lt;&gt;0,VLOOKUP($L46,'Allocation Factors - Ex Fran'!$B$12:$U$169,11,FALSE)*$J46,0)+IF($F46&lt;&gt;0,VLOOKUP($H46,'Allocation Factors - Ex Fran'!$B$12:$U$169,11,FALSE)*$F46,0)</f>
        <v>0</v>
      </c>
      <c r="U46" s="79">
        <f ca="1">IF($J46&lt;&gt;0,VLOOKUP($L46,'Allocation Factors - Ex Fran'!$B$12:$U$169,12,FALSE)*$J46,0)+IF($F46&lt;&gt;0,VLOOKUP($H46,'Allocation Factors - Ex Fran'!$B$12:$U$169,12,FALSE)*$F46,0)</f>
        <v>0</v>
      </c>
      <c r="V46" s="79">
        <f ca="1">IF($J46&lt;&gt;0,VLOOKUP($L46,'Allocation Factors - Ex Fran'!$B$16:$U$169,13,FALSE)*$J46,0)+IF($F46&lt;&gt;0,VLOOKUP($H46,'Allocation Factors - Ex Fran'!$B$16:$U$169,13,FALSE)*$F46,0)</f>
        <v>0</v>
      </c>
      <c r="W46" s="50"/>
    </row>
    <row r="47" spans="1:23" x14ac:dyDescent="0.2">
      <c r="B47" s="31" t="s">
        <v>164</v>
      </c>
      <c r="D47" s="79"/>
      <c r="E47" s="79"/>
      <c r="F47" s="79"/>
      <c r="G47" s="79"/>
      <c r="H47" s="79"/>
      <c r="I47" s="79"/>
      <c r="J47" s="123"/>
      <c r="K47" s="79"/>
      <c r="N47" s="2"/>
      <c r="P47" s="79"/>
      <c r="Q47" s="79"/>
      <c r="R47" s="79"/>
      <c r="S47" s="79"/>
      <c r="T47" s="79"/>
      <c r="U47" s="79"/>
      <c r="V47" s="79"/>
      <c r="W47" s="50"/>
    </row>
    <row r="48" spans="1:23" x14ac:dyDescent="0.2">
      <c r="A48" s="2">
        <f>A46+1</f>
        <v>30</v>
      </c>
      <c r="B48" s="82" t="s">
        <v>176</v>
      </c>
      <c r="D48" s="79">
        <f ca="1">'Total Allocation - Ex Fran'!F48-'Total Allocation - Gas Ex Fran'!D48</f>
        <v>0</v>
      </c>
      <c r="F48" s="79"/>
      <c r="H48" s="31"/>
      <c r="J48" s="79">
        <f t="shared" ref="J48:J51" ca="1" si="12">D48-F48</f>
        <v>0</v>
      </c>
      <c r="L48" s="2" t="s">
        <v>223</v>
      </c>
      <c r="N48" s="79">
        <f ca="1">IF($J48&lt;&gt;0,VLOOKUP($L48,'Allocation Factors - Ex Fran'!$B$12:$U$169,5,FALSE)*$J48,0)+IF($F48&lt;&gt;0,VLOOKUP($H48,'Allocation Factors - Ex Fran'!$B$12:$U$169,5,FALSE)*$F48,0)</f>
        <v>0</v>
      </c>
      <c r="O48" s="79">
        <f ca="1">IF($J48&lt;&gt;0,VLOOKUP($L48,'Allocation Factors - Ex Fran'!$B$12:$U$169,6,FALSE)*$J48,0)+IF($F48&lt;&gt;0,VLOOKUP($H48,'Allocation Factors - Ex Fran'!$B$12:$U$169,6,FALSE)*$F48,0)</f>
        <v>0</v>
      </c>
      <c r="P48" s="79">
        <f ca="1">IF($J48&lt;&gt;0,VLOOKUP($L48,'Allocation Factors - Ex Fran'!$B$12:$U$169,7,FALSE)*$J48,0)+IF($F48&lt;&gt;0,VLOOKUP($H48,'Allocation Factors - Ex Fran'!$B$12:$U$169,7,FALSE)*$F48,0)</f>
        <v>0</v>
      </c>
      <c r="Q48" s="79">
        <f ca="1">IF($J48&lt;&gt;0,VLOOKUP($L48,'Allocation Factors - Ex Fran'!$B$12:$U$169,8,FALSE)*$J48,0)+IF($F48&lt;&gt;0,VLOOKUP($H48,'Allocation Factors - Ex Fran'!$B$12:$U$169,8,FALSE)*$F48,0)</f>
        <v>0</v>
      </c>
      <c r="R48" s="79">
        <f ca="1">IF($J48&lt;&gt;0,VLOOKUP($L48,'Allocation Factors - Ex Fran'!$B$12:$U$169,9,FALSE)*$J48,0)+IF($F48&lt;&gt;0,VLOOKUP($H48,'Allocation Factors - Ex Fran'!$B$12:$U$169,9,FALSE)*$F48,0)</f>
        <v>0</v>
      </c>
      <c r="S48" s="79">
        <f ca="1">IF($J48&lt;&gt;0,VLOOKUP($L48,'Allocation Factors - Ex Fran'!$B$12:$U$169,10,FALSE)*$J48,0)+IF($F48&lt;&gt;0,VLOOKUP($H48,'Allocation Factors - Ex Fran'!$B$12:$U$169,10,FALSE)*$F48,0)</f>
        <v>0</v>
      </c>
      <c r="T48" s="79">
        <f ca="1">IF($J48&lt;&gt;0,VLOOKUP($L48,'Allocation Factors - Ex Fran'!$B$12:$U$169,11,FALSE)*$J48,0)+IF($F48&lt;&gt;0,VLOOKUP($H48,'Allocation Factors - Ex Fran'!$B$12:$U$169,11,FALSE)*$F48,0)</f>
        <v>0</v>
      </c>
      <c r="U48" s="79">
        <f ca="1">IF($J48&lt;&gt;0,VLOOKUP($L48,'Allocation Factors - Ex Fran'!$B$12:$U$169,12,FALSE)*$J48,0)+IF($F48&lt;&gt;0,VLOOKUP($H48,'Allocation Factors - Ex Fran'!$B$12:$U$169,12,FALSE)*$F48,0)</f>
        <v>0</v>
      </c>
      <c r="V48" s="79">
        <f ca="1">IF($J48&lt;&gt;0,VLOOKUP($L48,'Allocation Factors - Ex Fran'!$B$16:$U$169,13,FALSE)*$J48,0)+IF($F48&lt;&gt;0,VLOOKUP($H48,'Allocation Factors - Ex Fran'!$B$16:$U$169,13,FALSE)*$F48,0)</f>
        <v>0</v>
      </c>
      <c r="W48" s="50"/>
    </row>
    <row r="49" spans="1:23" x14ac:dyDescent="0.2">
      <c r="A49" s="2">
        <f t="shared" si="10"/>
        <v>31</v>
      </c>
      <c r="B49" s="82" t="s">
        <v>72</v>
      </c>
      <c r="D49" s="79">
        <f ca="1">'Total Allocation - Ex Fran'!F49-'Total Allocation - Gas Ex Fran'!D49</f>
        <v>21.017310653739997</v>
      </c>
      <c r="F49" s="79">
        <f ca="1">'Total Allocation - Ex Fran'!F49-'Total Allocation - Gas Ex Fran'!F49</f>
        <v>21.017310653739997</v>
      </c>
      <c r="H49" s="2" t="s">
        <v>341</v>
      </c>
      <c r="J49" s="79">
        <v>0</v>
      </c>
      <c r="L49" s="2" t="s">
        <v>220</v>
      </c>
      <c r="N49" s="79">
        <f ca="1">IF($J49&lt;&gt;0,VLOOKUP($L49,'Allocation Factors - Ex Fran'!$B$12:$U$169,5,FALSE)*$J49,0)+IF($F49&lt;&gt;0,VLOOKUP($H49,'Allocation Factors - Ex Fran'!$B$12:$U$169,5,FALSE)*$F49,0)</f>
        <v>0</v>
      </c>
      <c r="O49" s="79">
        <f ca="1">IF($J49&lt;&gt;0,VLOOKUP($L49,'Allocation Factors - Ex Fran'!$B$12:$U$169,6,FALSE)*$J49,0)+IF($F49&lt;&gt;0,VLOOKUP($H49,'Allocation Factors - Ex Fran'!$B$12:$U$169,6,FALSE)*$F49,0)</f>
        <v>0</v>
      </c>
      <c r="P49" s="79">
        <f ca="1">IF($J49&lt;&gt;0,VLOOKUP($L49,'Allocation Factors - Ex Fran'!$B$12:$U$169,7,FALSE)*$J49,0)+IF($F49&lt;&gt;0,VLOOKUP($H49,'Allocation Factors - Ex Fran'!$B$12:$U$169,7,FALSE)*$F49,0)</f>
        <v>0</v>
      </c>
      <c r="Q49" s="79">
        <f ca="1">IF($J49&lt;&gt;0,VLOOKUP($L49,'Allocation Factors - Ex Fran'!$B$12:$U$169,8,FALSE)*$J49,0)+IF($F49&lt;&gt;0,VLOOKUP($H49,'Allocation Factors - Ex Fran'!$B$12:$U$169,8,FALSE)*$F49,0)</f>
        <v>0</v>
      </c>
      <c r="R49" s="79">
        <f ca="1">IF($J49&lt;&gt;0,VLOOKUP($L49,'Allocation Factors - Ex Fran'!$B$12:$U$169,9,FALSE)*$J49,0)+IF($F49&lt;&gt;0,VLOOKUP($H49,'Allocation Factors - Ex Fran'!$B$12:$U$169,9,FALSE)*$F49,0)</f>
        <v>0</v>
      </c>
      <c r="S49" s="79">
        <f ca="1">IF($J49&lt;&gt;0,VLOOKUP($L49,'Allocation Factors - Ex Fran'!$B$12:$U$169,10,FALSE)*$J49,0)+IF($F49&lt;&gt;0,VLOOKUP($H49,'Allocation Factors - Ex Fran'!$B$12:$U$169,10,FALSE)*$F49,0)</f>
        <v>21.017310653739997</v>
      </c>
      <c r="T49" s="79">
        <f ca="1">IF($J49&lt;&gt;0,VLOOKUP($L49,'Allocation Factors - Ex Fran'!$B$12:$U$169,11,FALSE)*$J49,0)+IF($F49&lt;&gt;0,VLOOKUP($H49,'Allocation Factors - Ex Fran'!$B$12:$U$169,11,FALSE)*$F49,0)</f>
        <v>0</v>
      </c>
      <c r="U49" s="79">
        <f ca="1">IF($J49&lt;&gt;0,VLOOKUP($L49,'Allocation Factors - Ex Fran'!$B$12:$U$169,12,FALSE)*$J49,0)+IF($F49&lt;&gt;0,VLOOKUP($H49,'Allocation Factors - Ex Fran'!$B$12:$U$169,12,FALSE)*$F49,0)</f>
        <v>0</v>
      </c>
      <c r="V49" s="79">
        <f ca="1">IF($J49&lt;&gt;0,VLOOKUP($L49,'Allocation Factors - Ex Fran'!$B$16:$U$169,13,FALSE)*$J49,0)+IF($F49&lt;&gt;0,VLOOKUP($H49,'Allocation Factors - Ex Fran'!$B$16:$U$169,13,FALSE)*$F49,0)</f>
        <v>0</v>
      </c>
      <c r="W49" s="50"/>
    </row>
    <row r="50" spans="1:23" x14ac:dyDescent="0.2">
      <c r="A50" s="2">
        <f t="shared" si="10"/>
        <v>32</v>
      </c>
      <c r="B50" s="82" t="s">
        <v>174</v>
      </c>
      <c r="D50" s="79">
        <f ca="1">'Total Allocation - Ex Fran'!F50-'Total Allocation - Gas Ex Fran'!D50</f>
        <v>0</v>
      </c>
      <c r="F50" s="79"/>
      <c r="H50" s="31"/>
      <c r="J50" s="79">
        <f t="shared" ca="1" si="12"/>
        <v>0</v>
      </c>
      <c r="L50" s="2" t="s">
        <v>272</v>
      </c>
      <c r="N50" s="79">
        <f ca="1">IF($J50&lt;&gt;0,VLOOKUP($L50,'Allocation Factors - Ex Fran'!$B$12:$U$169,5,FALSE)*$J50,0)+IF($F50&lt;&gt;0,VLOOKUP($H50,'Allocation Factors - Ex Fran'!$B$12:$U$169,5,FALSE)*$F50,0)</f>
        <v>0</v>
      </c>
      <c r="O50" s="79">
        <f ca="1">IF($J50&lt;&gt;0,VLOOKUP($L50,'Allocation Factors - Ex Fran'!$B$12:$U$169,6,FALSE)*$J50,0)+IF($F50&lt;&gt;0,VLOOKUP($H50,'Allocation Factors - Ex Fran'!$B$12:$U$169,6,FALSE)*$F50,0)</f>
        <v>0</v>
      </c>
      <c r="P50" s="79">
        <f ca="1">IF($J50&lt;&gt;0,VLOOKUP($L50,'Allocation Factors - Ex Fran'!$B$12:$U$169,7,FALSE)*$J50,0)+IF($F50&lt;&gt;0,VLOOKUP($H50,'Allocation Factors - Ex Fran'!$B$12:$U$169,7,FALSE)*$F50,0)</f>
        <v>0</v>
      </c>
      <c r="Q50" s="79">
        <f ca="1">IF($J50&lt;&gt;0,VLOOKUP($L50,'Allocation Factors - Ex Fran'!$B$12:$U$169,8,FALSE)*$J50,0)+IF($F50&lt;&gt;0,VLOOKUP($H50,'Allocation Factors - Ex Fran'!$B$12:$U$169,8,FALSE)*$F50,0)</f>
        <v>0</v>
      </c>
      <c r="R50" s="79">
        <f ca="1">IF($J50&lt;&gt;0,VLOOKUP($L50,'Allocation Factors - Ex Fran'!$B$12:$U$169,9,FALSE)*$J50,0)+IF($F50&lt;&gt;0,VLOOKUP($H50,'Allocation Factors - Ex Fran'!$B$12:$U$169,9,FALSE)*$F50,0)</f>
        <v>0</v>
      </c>
      <c r="S50" s="79">
        <f ca="1">IF($J50&lt;&gt;0,VLOOKUP($L50,'Allocation Factors - Ex Fran'!$B$12:$U$169,10,FALSE)*$J50,0)+IF($F50&lt;&gt;0,VLOOKUP($H50,'Allocation Factors - Ex Fran'!$B$12:$U$169,10,FALSE)*$F50,0)</f>
        <v>0</v>
      </c>
      <c r="T50" s="79">
        <f ca="1">IF($J50&lt;&gt;0,VLOOKUP($L50,'Allocation Factors - Ex Fran'!$B$12:$U$169,11,FALSE)*$J50,0)+IF($F50&lt;&gt;0,VLOOKUP($H50,'Allocation Factors - Ex Fran'!$B$12:$U$169,11,FALSE)*$F50,0)</f>
        <v>0</v>
      </c>
      <c r="U50" s="79">
        <f ca="1">IF($J50&lt;&gt;0,VLOOKUP($L50,'Allocation Factors - Ex Fran'!$B$12:$U$169,12,FALSE)*$J50,0)+IF($F50&lt;&gt;0,VLOOKUP($H50,'Allocation Factors - Ex Fran'!$B$12:$U$169,12,FALSE)*$F50,0)</f>
        <v>0</v>
      </c>
      <c r="V50" s="79">
        <f ca="1">IF($J50&lt;&gt;0,VLOOKUP($L50,'Allocation Factors - Ex Fran'!$B$16:$U$169,13,FALSE)*$J50,0)+IF($F50&lt;&gt;0,VLOOKUP($H50,'Allocation Factors - Ex Fran'!$B$16:$U$169,13,FALSE)*$F50,0)</f>
        <v>0</v>
      </c>
      <c r="W50" s="50"/>
    </row>
    <row r="51" spans="1:23" x14ac:dyDescent="0.2">
      <c r="A51" s="2">
        <f t="shared" si="10"/>
        <v>33</v>
      </c>
      <c r="B51" s="31" t="s">
        <v>249</v>
      </c>
      <c r="D51" s="79">
        <f ca="1">'Total Allocation - Ex Fran'!F51-'Total Allocation - Gas Ex Fran'!D51</f>
        <v>0</v>
      </c>
      <c r="F51" s="79"/>
      <c r="H51" s="79"/>
      <c r="J51" s="79">
        <f t="shared" ca="1" si="12"/>
        <v>0</v>
      </c>
      <c r="L51" s="2" t="s">
        <v>336</v>
      </c>
      <c r="N51" s="79">
        <f ca="1">IF($J51&lt;&gt;0,VLOOKUP($L51,'Allocation Factors - Ex Fran'!$B$12:$U$169,5,FALSE)*$J51,0)+IF($F51&lt;&gt;0,VLOOKUP($H51,'Allocation Factors - Ex Fran'!$B$12:$U$169,5,FALSE)*$F51,0)</f>
        <v>0</v>
      </c>
      <c r="O51" s="79">
        <f ca="1">IF($J51&lt;&gt;0,VLOOKUP($L51,'Allocation Factors - Ex Fran'!$B$12:$U$169,6,FALSE)*$J51,0)+IF($F51&lt;&gt;0,VLOOKUP($H51,'Allocation Factors - Ex Fran'!$B$12:$U$169,6,FALSE)*$F51,0)</f>
        <v>0</v>
      </c>
      <c r="P51" s="79">
        <f ca="1">IF($J51&lt;&gt;0,VLOOKUP($L51,'Allocation Factors - Ex Fran'!$B$12:$U$169,7,FALSE)*$J51,0)+IF($F51&lt;&gt;0,VLOOKUP($H51,'Allocation Factors - Ex Fran'!$B$12:$U$169,7,FALSE)*$F51,0)</f>
        <v>0</v>
      </c>
      <c r="Q51" s="79">
        <f ca="1">IF($J51&lt;&gt;0,VLOOKUP($L51,'Allocation Factors - Ex Fran'!$B$12:$U$169,8,FALSE)*$J51,0)+IF($F51&lt;&gt;0,VLOOKUP($H51,'Allocation Factors - Ex Fran'!$B$12:$U$169,8,FALSE)*$F51,0)</f>
        <v>0</v>
      </c>
      <c r="R51" s="79">
        <f ca="1">IF($J51&lt;&gt;0,VLOOKUP($L51,'Allocation Factors - Ex Fran'!$B$12:$U$169,9,FALSE)*$J51,0)+IF($F51&lt;&gt;0,VLOOKUP($H51,'Allocation Factors - Ex Fran'!$B$12:$U$169,9,FALSE)*$F51,0)</f>
        <v>0</v>
      </c>
      <c r="S51" s="79">
        <f ca="1">IF($J51&lt;&gt;0,VLOOKUP($L51,'Allocation Factors - Ex Fran'!$B$12:$U$169,10,FALSE)*$J51,0)+IF($F51&lt;&gt;0,VLOOKUP($H51,'Allocation Factors - Ex Fran'!$B$12:$U$169,10,FALSE)*$F51,0)</f>
        <v>0</v>
      </c>
      <c r="T51" s="79">
        <f ca="1">IF($J51&lt;&gt;0,VLOOKUP($L51,'Allocation Factors - Ex Fran'!$B$12:$U$169,11,FALSE)*$J51,0)+IF($F51&lt;&gt;0,VLOOKUP($H51,'Allocation Factors - Ex Fran'!$B$12:$U$169,11,FALSE)*$F51,0)</f>
        <v>0</v>
      </c>
      <c r="U51" s="79">
        <f ca="1">IF($J51&lt;&gt;0,VLOOKUP($L51,'Allocation Factors - Ex Fran'!$B$12:$U$169,12,FALSE)*$J51,0)+IF($F51&lt;&gt;0,VLOOKUP($H51,'Allocation Factors - Ex Fran'!$B$12:$U$169,12,FALSE)*$F51,0)</f>
        <v>0</v>
      </c>
      <c r="V51" s="79">
        <f ca="1">IF($J51&lt;&gt;0,VLOOKUP($L51,'Allocation Factors - Ex Fran'!$B$16:$U$169,13,FALSE)*$J51,0)+IF($F51&lt;&gt;0,VLOOKUP($H51,'Allocation Factors - Ex Fran'!$B$16:$U$169,13,FALSE)*$F51,0)</f>
        <v>0</v>
      </c>
      <c r="W51" s="50"/>
    </row>
    <row r="52" spans="1:23" x14ac:dyDescent="0.2">
      <c r="A52" s="2">
        <f t="shared" si="10"/>
        <v>34</v>
      </c>
      <c r="B52" s="31" t="s">
        <v>382</v>
      </c>
      <c r="D52" s="41">
        <f ca="1">SUM(D37:D51)</f>
        <v>324.05394356895226</v>
      </c>
      <c r="F52" s="41">
        <f ca="1">SUM(F37:F51)</f>
        <v>21.017310653739997</v>
      </c>
      <c r="H52" s="79"/>
      <c r="J52" s="41">
        <f ca="1">SUM(J37:J51)</f>
        <v>303.03663291521224</v>
      </c>
      <c r="L52" s="50"/>
      <c r="M52" s="50"/>
      <c r="N52" s="41">
        <f t="shared" ref="N52:V52" ca="1" si="13">SUM(N37:N51)</f>
        <v>0</v>
      </c>
      <c r="O52" s="41">
        <f t="shared" ca="1" si="13"/>
        <v>0</v>
      </c>
      <c r="P52" s="41">
        <f t="shared" ca="1" si="13"/>
        <v>0</v>
      </c>
      <c r="Q52" s="41">
        <f t="shared" ca="1" si="13"/>
        <v>0</v>
      </c>
      <c r="R52" s="41">
        <f t="shared" ca="1" si="13"/>
        <v>0</v>
      </c>
      <c r="S52" s="41">
        <f t="shared" ca="1" si="13"/>
        <v>21.017310653739997</v>
      </c>
      <c r="T52" s="41">
        <f t="shared" ca="1" si="13"/>
        <v>0</v>
      </c>
      <c r="U52" s="41">
        <f t="shared" ca="1" si="13"/>
        <v>0</v>
      </c>
      <c r="V52" s="41">
        <f t="shared" ca="1" si="13"/>
        <v>303.03663291521224</v>
      </c>
      <c r="W52" s="50"/>
    </row>
    <row r="53" spans="1:23" x14ac:dyDescent="0.2">
      <c r="D53" s="50"/>
      <c r="F53" s="50"/>
      <c r="H53" s="79"/>
      <c r="J53" s="2"/>
      <c r="N53" s="2"/>
    </row>
    <row r="54" spans="1:23" ht="13.5" thickBot="1" x14ac:dyDescent="0.25">
      <c r="A54" s="2">
        <f>A52+1</f>
        <v>35</v>
      </c>
      <c r="B54" s="31" t="s">
        <v>149</v>
      </c>
      <c r="D54" s="83">
        <f ca="1">D52+D34+D24+D17</f>
        <v>114955.66773727088</v>
      </c>
      <c r="F54" s="83">
        <f ca="1">F17+F24+F34+F52</f>
        <v>21.017310653739997</v>
      </c>
      <c r="H54" s="79"/>
      <c r="J54" s="83">
        <f ca="1">J17+J24+J34+J52</f>
        <v>114934.65042661714</v>
      </c>
      <c r="L54" s="31"/>
      <c r="N54" s="83">
        <f ca="1">N17+N24+N34+N52</f>
        <v>3.8607048867376017</v>
      </c>
      <c r="O54" s="83">
        <f ca="1">O17+O24+O34+O52</f>
        <v>18374.22357684009</v>
      </c>
      <c r="P54" s="83">
        <f ca="1">P17+P24+P34+P52</f>
        <v>0</v>
      </c>
      <c r="Q54" s="83">
        <f t="shared" ref="Q54:V54" ca="1" si="14">Q17+Q24+Q34+Q52</f>
        <v>1535.0012907490682</v>
      </c>
      <c r="R54" s="83">
        <f t="shared" ca="1" si="14"/>
        <v>14.498280316848078</v>
      </c>
      <c r="S54" s="83">
        <f t="shared" ca="1" si="14"/>
        <v>94504.963997392784</v>
      </c>
      <c r="T54" s="83">
        <f t="shared" ca="1" si="14"/>
        <v>1.5211406377268073</v>
      </c>
      <c r="U54" s="83">
        <f t="shared" ca="1" si="14"/>
        <v>3.4572290471464631</v>
      </c>
      <c r="V54" s="83">
        <f t="shared" ca="1" si="14"/>
        <v>518.1415174004884</v>
      </c>
    </row>
    <row r="55" spans="1:23" ht="13.5" thickTop="1" x14ac:dyDescent="0.2">
      <c r="H55" s="79"/>
      <c r="J55" s="31" t="s">
        <v>225</v>
      </c>
      <c r="L55" s="31"/>
      <c r="N55" s="50"/>
    </row>
    <row r="56" spans="1:23" x14ac:dyDescent="0.2">
      <c r="L56" s="31"/>
    </row>
    <row r="57" spans="1:23" x14ac:dyDescent="0.2">
      <c r="D57" s="96"/>
      <c r="E57" s="96"/>
      <c r="F57" s="96"/>
      <c r="G57" s="96"/>
      <c r="H57" s="156"/>
      <c r="I57" s="96"/>
      <c r="J57" s="96"/>
      <c r="K57" s="96"/>
      <c r="L57" s="156"/>
      <c r="M57" s="96"/>
      <c r="N57" s="96"/>
      <c r="O57" s="96"/>
      <c r="P57" s="96"/>
      <c r="Q57" s="96"/>
      <c r="R57" s="96"/>
      <c r="S57" s="96"/>
      <c r="T57" s="96"/>
      <c r="U57" s="96"/>
      <c r="V57" s="96"/>
    </row>
  </sheetData>
  <mergeCells count="2">
    <mergeCell ref="B2:L2"/>
    <mergeCell ref="B3:L3"/>
  </mergeCells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F5047-1D2D-469F-9C6C-925BB046DF87}">
  <sheetPr>
    <tabColor theme="0" tint="-0.249977111117893"/>
  </sheetPr>
  <dimension ref="A2:V57"/>
  <sheetViews>
    <sheetView zoomScale="80" zoomScaleNormal="80" workbookViewId="0">
      <selection activeCell="L55" sqref="L55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23.5703125" style="2" bestFit="1" customWidth="1"/>
    <col min="9" max="9" width="1.7109375" style="31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31" customWidth="1"/>
    <col min="14" max="15" width="12.85546875" style="31" customWidth="1"/>
    <col min="16" max="22" width="10.7109375" style="31" customWidth="1"/>
    <col min="23" max="16384" width="9.140625" style="31"/>
  </cols>
  <sheetData>
    <row r="2" spans="1:22" x14ac:dyDescent="0.2">
      <c r="B2" s="161" t="s">
        <v>511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</row>
    <row r="3" spans="1:22" x14ac:dyDescent="0.2">
      <c r="B3" s="161" t="s">
        <v>526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</row>
    <row r="5" spans="1:22" x14ac:dyDescent="0.2">
      <c r="D5" s="2" t="s">
        <v>150</v>
      </c>
    </row>
    <row r="6" spans="1:22" x14ac:dyDescent="0.2">
      <c r="A6" s="2" t="s">
        <v>2</v>
      </c>
      <c r="D6" s="2" t="s">
        <v>5</v>
      </c>
      <c r="F6" s="2" t="s">
        <v>167</v>
      </c>
      <c r="H6" s="2" t="s">
        <v>168</v>
      </c>
      <c r="I6" s="2"/>
      <c r="J6" s="2" t="s">
        <v>169</v>
      </c>
      <c r="L6" s="2" t="s">
        <v>104</v>
      </c>
      <c r="N6" s="2" t="s">
        <v>80</v>
      </c>
      <c r="O6" s="2" t="s">
        <v>80</v>
      </c>
      <c r="P6" s="2" t="s">
        <v>80</v>
      </c>
      <c r="Q6" s="2" t="s">
        <v>80</v>
      </c>
      <c r="R6" s="2" t="s">
        <v>80</v>
      </c>
      <c r="S6" s="2" t="s">
        <v>80</v>
      </c>
      <c r="T6" s="2" t="s">
        <v>80</v>
      </c>
      <c r="U6" s="2" t="s">
        <v>80</v>
      </c>
      <c r="V6" s="2" t="s">
        <v>80</v>
      </c>
    </row>
    <row r="7" spans="1:22" x14ac:dyDescent="0.2">
      <c r="A7" s="33" t="s">
        <v>4</v>
      </c>
      <c r="B7" s="80" t="s">
        <v>374</v>
      </c>
      <c r="D7" s="33" t="s">
        <v>152</v>
      </c>
      <c r="F7" s="33" t="s">
        <v>131</v>
      </c>
      <c r="H7" s="33" t="s">
        <v>6</v>
      </c>
      <c r="I7" s="2"/>
      <c r="J7" s="33" t="s">
        <v>170</v>
      </c>
      <c r="L7" s="33" t="s">
        <v>6</v>
      </c>
      <c r="N7" s="33">
        <v>331</v>
      </c>
      <c r="O7" s="33">
        <v>332</v>
      </c>
      <c r="P7" s="33">
        <v>401</v>
      </c>
      <c r="Q7" s="33" t="s">
        <v>496</v>
      </c>
      <c r="R7" s="33" t="s">
        <v>497</v>
      </c>
      <c r="S7" s="33" t="s">
        <v>498</v>
      </c>
      <c r="T7" s="33" t="s">
        <v>499</v>
      </c>
      <c r="U7" s="33" t="s">
        <v>500</v>
      </c>
      <c r="V7" s="33" t="s">
        <v>501</v>
      </c>
    </row>
    <row r="8" spans="1:22" x14ac:dyDescent="0.2">
      <c r="D8" s="120" t="s">
        <v>12</v>
      </c>
      <c r="F8" s="120" t="s">
        <v>13</v>
      </c>
      <c r="H8" s="120" t="s">
        <v>14</v>
      </c>
      <c r="J8" s="120" t="s">
        <v>366</v>
      </c>
      <c r="K8" s="74"/>
      <c r="L8" s="120" t="s">
        <v>15</v>
      </c>
      <c r="M8" s="40"/>
      <c r="N8" s="120" t="s">
        <v>16</v>
      </c>
      <c r="O8" s="120" t="s">
        <v>59</v>
      </c>
      <c r="P8" s="120" t="s">
        <v>61</v>
      </c>
      <c r="Q8" s="120" t="s">
        <v>62</v>
      </c>
      <c r="R8" s="120" t="s">
        <v>82</v>
      </c>
      <c r="S8" s="120" t="s">
        <v>143</v>
      </c>
      <c r="T8" s="120" t="s">
        <v>144</v>
      </c>
      <c r="U8" s="120" t="s">
        <v>145</v>
      </c>
      <c r="V8" s="120" t="s">
        <v>184</v>
      </c>
    </row>
    <row r="10" spans="1:22" x14ac:dyDescent="0.2">
      <c r="B10" s="77" t="s">
        <v>384</v>
      </c>
    </row>
    <row r="11" spans="1:22" x14ac:dyDescent="0.2">
      <c r="A11" s="2">
        <v>1</v>
      </c>
      <c r="B11" s="31" t="s">
        <v>132</v>
      </c>
      <c r="D11" s="79">
        <f ca="1">'Total Allocation RZ - Gas'!R11</f>
        <v>0</v>
      </c>
      <c r="J11" s="79">
        <f ca="1">D11-F11</f>
        <v>0</v>
      </c>
      <c r="L11" s="2" t="s">
        <v>221</v>
      </c>
      <c r="N11" s="79">
        <f ca="1">IF($J11&lt;&gt;0,VLOOKUP($L11,'Allocation Factors - Ex Fran'!$B$12:$U$169,5,FALSE)*$J11,0)+IF($F11&lt;&gt;0,VLOOKUP($H11,'Allocation Factors - Ex Fran'!$B$12:$U$169,5,FALSE)*$F11,0)</f>
        <v>0</v>
      </c>
      <c r="O11" s="79">
        <f ca="1">IF($J11&lt;&gt;0,VLOOKUP($L11,'Allocation Factors - Ex Fran'!$B$12:$U$169,6,FALSE)*$J11,0)+IF($F11&lt;&gt;0,VLOOKUP($H11,'Allocation Factors - Ex Fran'!$B$12:$U$169,6,FALSE)*$F11,0)</f>
        <v>0</v>
      </c>
      <c r="P11" s="79">
        <f ca="1">IF($J11&lt;&gt;0,VLOOKUP($L11,'Allocation Factors - Ex Fran'!$B$12:$U$169,7,FALSE)*$J11,0)+IF($F11&lt;&gt;0,VLOOKUP($H11,'Allocation Factors - Ex Fran'!$B$12:$U$169,7,FALSE)*$F11,0)</f>
        <v>0</v>
      </c>
      <c r="Q11" s="79">
        <f ca="1">IF($J11&lt;&gt;0,VLOOKUP($L11,'Allocation Factors - Ex Fran'!$B$12:$U$169,8,FALSE)*$J11,0)+IF($F11&lt;&gt;0,VLOOKUP($H11,'Allocation Factors - Ex Fran'!$B$12:$U$169,8,FALSE)*$F11,0)</f>
        <v>0</v>
      </c>
      <c r="R11" s="79">
        <f ca="1">IF($J11&lt;&gt;0,VLOOKUP($L11,'Allocation Factors - Ex Fran'!$B$12:$U$169,9,FALSE)*$J11,0)+IF($F11&lt;&gt;0,VLOOKUP($H11,'Allocation Factors - Ex Fran'!$B$12:$U$169,9,FALSE)*$F11,0)</f>
        <v>0</v>
      </c>
      <c r="S11" s="79">
        <f ca="1">IF($J11&lt;&gt;0,VLOOKUP($L11,'Allocation Factors - Ex Fran'!$B$12:$U$169,10,FALSE)*$J11,0)+IF($F11&lt;&gt;0,VLOOKUP($H11,'Allocation Factors - Ex Fran'!$B$12:$U$169,10,FALSE)*$F11,0)</f>
        <v>0</v>
      </c>
      <c r="T11" s="79">
        <f ca="1">IF($J11&lt;&gt;0,VLOOKUP($L11,'Allocation Factors - Ex Fran'!$B$12:$U$169,11,FALSE)*$J11,0)+IF($F11&lt;&gt;0,VLOOKUP($H11,'Allocation Factors - Ex Fran'!$B$12:$U$169,11,FALSE)*$F11,0)</f>
        <v>0</v>
      </c>
      <c r="U11" s="79">
        <f ca="1">IF($J11&lt;&gt;0,VLOOKUP($L11,'Allocation Factors - Ex Fran'!$B$12:$U$169,12,FALSE)*$J11,0)+IF($F11&lt;&gt;0,VLOOKUP($H11,'Allocation Factors - Ex Fran'!$B$12:$U$169,12,FALSE)*$F11,0)</f>
        <v>0</v>
      </c>
      <c r="V11" s="79">
        <f ca="1">IF($J11&lt;&gt;0,VLOOKUP($L11,'Allocation Factors - Ex Fran'!$B$12:$U$169,13,FALSE)*$J11,0)+IF($F11&lt;&gt;0,VLOOKUP($H11,'Allocation Factors - Ex Fran'!$B$12:$U$169,13,FALSE)*$F11,0)</f>
        <v>0</v>
      </c>
    </row>
    <row r="12" spans="1:22" x14ac:dyDescent="0.2">
      <c r="A12" s="2">
        <f>A11+1</f>
        <v>2</v>
      </c>
      <c r="B12" s="31" t="s">
        <v>385</v>
      </c>
      <c r="D12" s="79">
        <f ca="1">'Total Allocation RZ - Gas'!R12</f>
        <v>0</v>
      </c>
      <c r="J12" s="79">
        <f t="shared" ref="J12:J16" ca="1" si="0">D12-F12</f>
        <v>0</v>
      </c>
      <c r="L12" s="2" t="s">
        <v>263</v>
      </c>
      <c r="N12" s="79">
        <f ca="1">IF($J12&lt;&gt;0,VLOOKUP($L12,'Allocation Factors - Ex Fran'!$B$12:$U$169,5,FALSE)*$J12,0)+IF($F12&lt;&gt;0,VLOOKUP($H12,'Allocation Factors - Ex Fran'!$B$12:$U$169,5,FALSE)*$F12,0)</f>
        <v>0</v>
      </c>
      <c r="O12" s="79">
        <f ca="1">IF($J12&lt;&gt;0,VLOOKUP($L12,'Allocation Factors - Ex Fran'!$B$12:$U$169,6,FALSE)*$J12,0)+IF($F12&lt;&gt;0,VLOOKUP($H12,'Allocation Factors - Ex Fran'!$B$12:$U$169,6,FALSE)*$F12,0)</f>
        <v>0</v>
      </c>
      <c r="P12" s="79">
        <f ca="1">IF($J12&lt;&gt;0,VLOOKUP($L12,'Allocation Factors - Ex Fran'!$B$12:$U$169,7,FALSE)*$J12,0)+IF($F12&lt;&gt;0,VLOOKUP($H12,'Allocation Factors - Ex Fran'!$B$12:$U$169,7,FALSE)*$F12,0)</f>
        <v>0</v>
      </c>
      <c r="Q12" s="79">
        <f ca="1">IF($J12&lt;&gt;0,VLOOKUP($L12,'Allocation Factors - Ex Fran'!$B$12:$U$169,8,FALSE)*$J12,0)+IF($F12&lt;&gt;0,VLOOKUP($H12,'Allocation Factors - Ex Fran'!$B$12:$U$169,8,FALSE)*$F12,0)</f>
        <v>0</v>
      </c>
      <c r="R12" s="79">
        <f ca="1">IF($J12&lt;&gt;0,VLOOKUP($L12,'Allocation Factors - Ex Fran'!$B$12:$U$169,9,FALSE)*$J12,0)+IF($F12&lt;&gt;0,VLOOKUP($H12,'Allocation Factors - Ex Fran'!$B$12:$U$169,9,FALSE)*$F12,0)</f>
        <v>0</v>
      </c>
      <c r="S12" s="79">
        <f ca="1">IF($J12&lt;&gt;0,VLOOKUP($L12,'Allocation Factors - Ex Fran'!$B$12:$U$169,10,FALSE)*$J12,0)+IF($F12&lt;&gt;0,VLOOKUP($H12,'Allocation Factors - Ex Fran'!$B$12:$U$169,10,FALSE)*$F12,0)</f>
        <v>0</v>
      </c>
      <c r="T12" s="79">
        <f ca="1">IF($J12&lt;&gt;0,VLOOKUP($L12,'Allocation Factors - Ex Fran'!$B$12:$U$169,11,FALSE)*$J12,0)+IF($F12&lt;&gt;0,VLOOKUP($H12,'Allocation Factors - Ex Fran'!$B$12:$U$169,11,FALSE)*$F12,0)</f>
        <v>0</v>
      </c>
      <c r="U12" s="79">
        <f ca="1">IF($J12&lt;&gt;0,VLOOKUP($L12,'Allocation Factors - Ex Fran'!$B$12:$U$169,12,FALSE)*$J12,0)+IF($F12&lt;&gt;0,VLOOKUP($H12,'Allocation Factors - Ex Fran'!$B$12:$U$169,12,FALSE)*$F12,0)</f>
        <v>0</v>
      </c>
      <c r="V12" s="79">
        <f ca="1">IF($J12&lt;&gt;0,VLOOKUP($L12,'Allocation Factors - Ex Fran'!$B$12:$U$169,13,FALSE)*$J12,0)+IF($F12&lt;&gt;0,VLOOKUP($H12,'Allocation Factors - Ex Fran'!$B$12:$U$169,13,FALSE)*$F12,0)</f>
        <v>0</v>
      </c>
    </row>
    <row r="13" spans="1:22" x14ac:dyDescent="0.2">
      <c r="A13" s="2">
        <f t="shared" ref="A13:A17" si="1">A12+1</f>
        <v>3</v>
      </c>
      <c r="B13" s="31" t="s">
        <v>386</v>
      </c>
      <c r="D13" s="79">
        <f ca="1">'Total Allocation RZ - Gas'!R13</f>
        <v>0</v>
      </c>
      <c r="J13" s="79">
        <f t="shared" ca="1" si="0"/>
        <v>0</v>
      </c>
      <c r="L13" s="2" t="s">
        <v>156</v>
      </c>
      <c r="N13" s="79">
        <f ca="1">IF($J13&lt;&gt;0,VLOOKUP($L13,'Allocation Factors - Ex Fran'!$B$12:$U$169,5,FALSE)*$J13,0)+IF($F13&lt;&gt;0,VLOOKUP($H13,'Allocation Factors - Ex Fran'!$B$12:$U$169,5,FALSE)*$F13,0)</f>
        <v>0</v>
      </c>
      <c r="O13" s="79">
        <f ca="1">IF($J13&lt;&gt;0,VLOOKUP($L13,'Allocation Factors - Ex Fran'!$B$12:$U$169,6,FALSE)*$J13,0)+IF($F13&lt;&gt;0,VLOOKUP($H13,'Allocation Factors - Ex Fran'!$B$12:$U$169,6,FALSE)*$F13,0)</f>
        <v>0</v>
      </c>
      <c r="P13" s="79">
        <f ca="1">IF($J13&lt;&gt;0,VLOOKUP($L13,'Allocation Factors - Ex Fran'!$B$12:$U$169,7,FALSE)*$J13,0)+IF($F13&lt;&gt;0,VLOOKUP($H13,'Allocation Factors - Ex Fran'!$B$12:$U$169,7,FALSE)*$F13,0)</f>
        <v>0</v>
      </c>
      <c r="Q13" s="79">
        <f ca="1">IF($J13&lt;&gt;0,VLOOKUP($L13,'Allocation Factors - Ex Fran'!$B$12:$U$169,8,FALSE)*$J13,0)+IF($F13&lt;&gt;0,VLOOKUP($H13,'Allocation Factors - Ex Fran'!$B$12:$U$169,8,FALSE)*$F13,0)</f>
        <v>0</v>
      </c>
      <c r="R13" s="79">
        <f ca="1">IF($J13&lt;&gt;0,VLOOKUP($L13,'Allocation Factors - Ex Fran'!$B$12:$U$169,9,FALSE)*$J13,0)+IF($F13&lt;&gt;0,VLOOKUP($H13,'Allocation Factors - Ex Fran'!$B$12:$U$169,9,FALSE)*$F13,0)</f>
        <v>0</v>
      </c>
      <c r="S13" s="79">
        <f ca="1">IF($J13&lt;&gt;0,VLOOKUP($L13,'Allocation Factors - Ex Fran'!$B$12:$U$169,10,FALSE)*$J13,0)+IF($F13&lt;&gt;0,VLOOKUP($H13,'Allocation Factors - Ex Fran'!$B$12:$U$169,10,FALSE)*$F13,0)</f>
        <v>0</v>
      </c>
      <c r="T13" s="79">
        <f ca="1">IF($J13&lt;&gt;0,VLOOKUP($L13,'Allocation Factors - Ex Fran'!$B$12:$U$169,11,FALSE)*$J13,0)+IF($F13&lt;&gt;0,VLOOKUP($H13,'Allocation Factors - Ex Fran'!$B$12:$U$169,11,FALSE)*$F13,0)</f>
        <v>0</v>
      </c>
      <c r="U13" s="79">
        <f ca="1">IF($J13&lt;&gt;0,VLOOKUP($L13,'Allocation Factors - Ex Fran'!$B$12:$U$169,12,FALSE)*$J13,0)+IF($F13&lt;&gt;0,VLOOKUP($H13,'Allocation Factors - Ex Fran'!$B$12:$U$169,12,FALSE)*$F13,0)</f>
        <v>0</v>
      </c>
      <c r="V13" s="79">
        <f ca="1">IF($J13&lt;&gt;0,VLOOKUP($L13,'Allocation Factors - Ex Fran'!$B$12:$U$169,13,FALSE)*$J13,0)+IF($F13&lt;&gt;0,VLOOKUP($H13,'Allocation Factors - Ex Fran'!$B$12:$U$169,13,FALSE)*$F13,0)</f>
        <v>0</v>
      </c>
    </row>
    <row r="14" spans="1:22" x14ac:dyDescent="0.2">
      <c r="A14" s="2">
        <f t="shared" si="1"/>
        <v>4</v>
      </c>
      <c r="B14" s="31" t="s">
        <v>115</v>
      </c>
      <c r="D14" s="79">
        <f ca="1">'Total Allocation RZ - Gas'!R14</f>
        <v>0</v>
      </c>
      <c r="F14" s="50"/>
      <c r="J14" s="79">
        <f t="shared" ca="1" si="0"/>
        <v>0</v>
      </c>
      <c r="L14" s="2" t="s">
        <v>262</v>
      </c>
      <c r="N14" s="79">
        <f ca="1">IF($J14&lt;&gt;0,VLOOKUP($L14,'Allocation Factors - Ex Fran'!$B$12:$U$169,5,FALSE)*$J14,0)+IF($F14&lt;&gt;0,VLOOKUP($H14,'Allocation Factors - Ex Fran'!$B$12:$U$169,5,FALSE)*$F14,0)</f>
        <v>0</v>
      </c>
      <c r="O14" s="79">
        <f ca="1">IF($J14&lt;&gt;0,VLOOKUP($L14,'Allocation Factors - Ex Fran'!$B$12:$U$169,6,FALSE)*$J14,0)+IF($F14&lt;&gt;0,VLOOKUP($H14,'Allocation Factors - Ex Fran'!$B$12:$U$169,6,FALSE)*$F14,0)</f>
        <v>0</v>
      </c>
      <c r="P14" s="79">
        <f ca="1">IF($J14&lt;&gt;0,VLOOKUP($L14,'Allocation Factors - Ex Fran'!$B$12:$U$169,7,FALSE)*$J14,0)+IF($F14&lt;&gt;0,VLOOKUP($H14,'Allocation Factors - Ex Fran'!$B$12:$U$169,7,FALSE)*$F14,0)</f>
        <v>0</v>
      </c>
      <c r="Q14" s="79">
        <f ca="1">IF($J14&lt;&gt;0,VLOOKUP($L14,'Allocation Factors - Ex Fran'!$B$12:$U$169,8,FALSE)*$J14,0)+IF($F14&lt;&gt;0,VLOOKUP($H14,'Allocation Factors - Ex Fran'!$B$12:$U$169,8,FALSE)*$F14,0)</f>
        <v>0</v>
      </c>
      <c r="R14" s="79">
        <f ca="1">IF($J14&lt;&gt;0,VLOOKUP($L14,'Allocation Factors - Ex Fran'!$B$12:$U$169,9,FALSE)*$J14,0)+IF($F14&lt;&gt;0,VLOOKUP($H14,'Allocation Factors - Ex Fran'!$B$12:$U$169,9,FALSE)*$F14,0)</f>
        <v>0</v>
      </c>
      <c r="S14" s="79">
        <f ca="1">IF($J14&lt;&gt;0,VLOOKUP($L14,'Allocation Factors - Ex Fran'!$B$12:$U$169,10,FALSE)*$J14,0)+IF($F14&lt;&gt;0,VLOOKUP($H14,'Allocation Factors - Ex Fran'!$B$12:$U$169,10,FALSE)*$F14,0)</f>
        <v>0</v>
      </c>
      <c r="T14" s="79">
        <f ca="1">IF($J14&lt;&gt;0,VLOOKUP($L14,'Allocation Factors - Ex Fran'!$B$12:$U$169,11,FALSE)*$J14,0)+IF($F14&lt;&gt;0,VLOOKUP($H14,'Allocation Factors - Ex Fran'!$B$12:$U$169,11,FALSE)*$F14,0)</f>
        <v>0</v>
      </c>
      <c r="U14" s="79">
        <f ca="1">IF($J14&lt;&gt;0,VLOOKUP($L14,'Allocation Factors - Ex Fran'!$B$12:$U$169,12,FALSE)*$J14,0)+IF($F14&lt;&gt;0,VLOOKUP($H14,'Allocation Factors - Ex Fran'!$B$12:$U$169,12,FALSE)*$F14,0)</f>
        <v>0</v>
      </c>
      <c r="V14" s="79">
        <f ca="1">IF($J14&lt;&gt;0,VLOOKUP($L14,'Allocation Factors - Ex Fran'!$B$12:$U$169,13,FALSE)*$J14,0)+IF($F14&lt;&gt;0,VLOOKUP($H14,'Allocation Factors - Ex Fran'!$B$12:$U$169,13,FALSE)*$F14,0)</f>
        <v>0</v>
      </c>
    </row>
    <row r="15" spans="1:22" x14ac:dyDescent="0.2">
      <c r="A15" s="2">
        <f t="shared" si="1"/>
        <v>5</v>
      </c>
      <c r="B15" s="31" t="s">
        <v>133</v>
      </c>
      <c r="D15" s="79">
        <f ca="1">'Total Allocation RZ - Gas'!R15</f>
        <v>0</v>
      </c>
      <c r="J15" s="79">
        <f t="shared" ca="1" si="0"/>
        <v>0</v>
      </c>
      <c r="L15" s="2" t="s">
        <v>264</v>
      </c>
      <c r="N15" s="79">
        <f ca="1">IF($J15&lt;&gt;0,VLOOKUP($L15,'Allocation Factors - Ex Fran'!$B$12:$U$169,5,FALSE)*$J15,0)+IF($F15&lt;&gt;0,VLOOKUP($H15,'Allocation Factors - Ex Fran'!$B$12:$U$169,5,FALSE)*$F15,0)</f>
        <v>0</v>
      </c>
      <c r="O15" s="79">
        <f ca="1">IF($J15&lt;&gt;0,VLOOKUP($L15,'Allocation Factors - Ex Fran'!$B$12:$U$169,6,FALSE)*$J15,0)+IF($F15&lt;&gt;0,VLOOKUP($H15,'Allocation Factors - Ex Fran'!$B$12:$U$169,6,FALSE)*$F15,0)</f>
        <v>0</v>
      </c>
      <c r="P15" s="79">
        <f ca="1">IF($J15&lt;&gt;0,VLOOKUP($L15,'Allocation Factors - Ex Fran'!$B$12:$U$169,7,FALSE)*$J15,0)+IF($F15&lt;&gt;0,VLOOKUP($H15,'Allocation Factors - Ex Fran'!$B$12:$U$169,7,FALSE)*$F15,0)</f>
        <v>0</v>
      </c>
      <c r="Q15" s="79">
        <f ca="1">IF($J15&lt;&gt;0,VLOOKUP($L15,'Allocation Factors - Ex Fran'!$B$12:$U$169,8,FALSE)*$J15,0)+IF($F15&lt;&gt;0,VLOOKUP($H15,'Allocation Factors - Ex Fran'!$B$12:$U$169,8,FALSE)*$F15,0)</f>
        <v>0</v>
      </c>
      <c r="R15" s="79">
        <f ca="1">IF($J15&lt;&gt;0,VLOOKUP($L15,'Allocation Factors - Ex Fran'!$B$12:$U$169,9,FALSE)*$J15,0)+IF($F15&lt;&gt;0,VLOOKUP($H15,'Allocation Factors - Ex Fran'!$B$12:$U$169,9,FALSE)*$F15,0)</f>
        <v>0</v>
      </c>
      <c r="S15" s="79">
        <f ca="1">IF($J15&lt;&gt;0,VLOOKUP($L15,'Allocation Factors - Ex Fran'!$B$12:$U$169,10,FALSE)*$J15,0)+IF($F15&lt;&gt;0,VLOOKUP($H15,'Allocation Factors - Ex Fran'!$B$12:$U$169,10,FALSE)*$F15,0)</f>
        <v>0</v>
      </c>
      <c r="T15" s="79">
        <f ca="1">IF($J15&lt;&gt;0,VLOOKUP($L15,'Allocation Factors - Ex Fran'!$B$12:$U$169,11,FALSE)*$J15,0)+IF($F15&lt;&gt;0,VLOOKUP($H15,'Allocation Factors - Ex Fran'!$B$12:$U$169,11,FALSE)*$F15,0)</f>
        <v>0</v>
      </c>
      <c r="U15" s="79">
        <f ca="1">IF($J15&lt;&gt;0,VLOOKUP($L15,'Allocation Factors - Ex Fran'!$B$12:$U$169,12,FALSE)*$J15,0)+IF($F15&lt;&gt;0,VLOOKUP($H15,'Allocation Factors - Ex Fran'!$B$12:$U$169,12,FALSE)*$F15,0)</f>
        <v>0</v>
      </c>
      <c r="V15" s="79">
        <f ca="1">IF($J15&lt;&gt;0,VLOOKUP($L15,'Allocation Factors - Ex Fran'!$B$12:$U$169,13,FALSE)*$J15,0)+IF($F15&lt;&gt;0,VLOOKUP($H15,'Allocation Factors - Ex Fran'!$B$12:$U$169,13,FALSE)*$F15,0)</f>
        <v>0</v>
      </c>
    </row>
    <row r="16" spans="1:22" x14ac:dyDescent="0.2">
      <c r="A16" s="2">
        <f t="shared" si="1"/>
        <v>6</v>
      </c>
      <c r="B16" s="31" t="s">
        <v>135</v>
      </c>
      <c r="D16" s="79">
        <f ca="1">'Total Allocation RZ - Gas'!R16</f>
        <v>0</v>
      </c>
      <c r="J16" s="79">
        <f t="shared" ca="1" si="0"/>
        <v>0</v>
      </c>
      <c r="L16" s="2" t="s">
        <v>221</v>
      </c>
      <c r="N16" s="79">
        <f ca="1">IF($J16&lt;&gt;0,VLOOKUP($L16,'Allocation Factors - Ex Fran'!$B$12:$U$169,5,FALSE)*$J16,0)+IF($F16&lt;&gt;0,VLOOKUP($H16,'Allocation Factors - Ex Fran'!$B$12:$U$169,5,FALSE)*$F16,0)</f>
        <v>0</v>
      </c>
      <c r="O16" s="79">
        <f ca="1">IF($J16&lt;&gt;0,VLOOKUP($L16,'Allocation Factors - Ex Fran'!$B$12:$U$169,6,FALSE)*$J16,0)+IF($F16&lt;&gt;0,VLOOKUP($H16,'Allocation Factors - Ex Fran'!$B$12:$U$169,6,FALSE)*$F16,0)</f>
        <v>0</v>
      </c>
      <c r="P16" s="79">
        <f ca="1">IF($J16&lt;&gt;0,VLOOKUP($L16,'Allocation Factors - Ex Fran'!$B$12:$U$169,7,FALSE)*$J16,0)+IF($F16&lt;&gt;0,VLOOKUP($H16,'Allocation Factors - Ex Fran'!$B$12:$U$169,7,FALSE)*$F16,0)</f>
        <v>0</v>
      </c>
      <c r="Q16" s="79">
        <f ca="1">IF($J16&lt;&gt;0,VLOOKUP($L16,'Allocation Factors - Ex Fran'!$B$12:$U$169,8,FALSE)*$J16,0)+IF($F16&lt;&gt;0,VLOOKUP($H16,'Allocation Factors - Ex Fran'!$B$12:$U$169,8,FALSE)*$F16,0)</f>
        <v>0</v>
      </c>
      <c r="R16" s="79">
        <f ca="1">IF($J16&lt;&gt;0,VLOOKUP($L16,'Allocation Factors - Ex Fran'!$B$12:$U$169,9,FALSE)*$J16,0)+IF($F16&lt;&gt;0,VLOOKUP($H16,'Allocation Factors - Ex Fran'!$B$12:$U$169,9,FALSE)*$F16,0)</f>
        <v>0</v>
      </c>
      <c r="S16" s="79">
        <f ca="1">IF($J16&lt;&gt;0,VLOOKUP($L16,'Allocation Factors - Ex Fran'!$B$12:$U$169,10,FALSE)*$J16,0)+IF($F16&lt;&gt;0,VLOOKUP($H16,'Allocation Factors - Ex Fran'!$B$12:$U$169,10,FALSE)*$F16,0)</f>
        <v>0</v>
      </c>
      <c r="T16" s="79">
        <f ca="1">IF($J16&lt;&gt;0,VLOOKUP($L16,'Allocation Factors - Ex Fran'!$B$12:$U$169,11,FALSE)*$J16,0)+IF($F16&lt;&gt;0,VLOOKUP($H16,'Allocation Factors - Ex Fran'!$B$12:$U$169,11,FALSE)*$F16,0)</f>
        <v>0</v>
      </c>
      <c r="U16" s="79">
        <f ca="1">IF($J16&lt;&gt;0,VLOOKUP($L16,'Allocation Factors - Ex Fran'!$B$12:$U$169,12,FALSE)*$J16,0)+IF($F16&lt;&gt;0,VLOOKUP($H16,'Allocation Factors - Ex Fran'!$B$12:$U$169,12,FALSE)*$F16,0)</f>
        <v>0</v>
      </c>
      <c r="V16" s="79">
        <f ca="1">IF($J16&lt;&gt;0,VLOOKUP($L16,'Allocation Factors - Ex Fran'!$B$12:$U$169,13,FALSE)*$J16,0)+IF($F16&lt;&gt;0,VLOOKUP($H16,'Allocation Factors - Ex Fran'!$B$12:$U$169,13,FALSE)*$F16,0)</f>
        <v>0</v>
      </c>
    </row>
    <row r="17" spans="1:22" x14ac:dyDescent="0.2">
      <c r="A17" s="2">
        <f t="shared" si="1"/>
        <v>7</v>
      </c>
      <c r="B17" s="31" t="s">
        <v>383</v>
      </c>
      <c r="D17" s="81">
        <f ca="1">SUM(D11:D16)</f>
        <v>0</v>
      </c>
      <c r="F17" s="81">
        <f>SUM(F11:F16)</f>
        <v>0</v>
      </c>
      <c r="J17" s="41">
        <f ca="1">SUM(J11:J16)</f>
        <v>0</v>
      </c>
      <c r="N17" s="41">
        <f t="shared" ref="N17:V17" ca="1" si="2">SUM(N11:N16)</f>
        <v>0</v>
      </c>
      <c r="O17" s="41">
        <f t="shared" ca="1" si="2"/>
        <v>0</v>
      </c>
      <c r="P17" s="41">
        <f t="shared" ca="1" si="2"/>
        <v>0</v>
      </c>
      <c r="Q17" s="41">
        <f t="shared" ca="1" si="2"/>
        <v>0</v>
      </c>
      <c r="R17" s="41">
        <f t="shared" ca="1" si="2"/>
        <v>0</v>
      </c>
      <c r="S17" s="41">
        <f t="shared" ca="1" si="2"/>
        <v>0</v>
      </c>
      <c r="T17" s="41">
        <f t="shared" ca="1" si="2"/>
        <v>0</v>
      </c>
      <c r="U17" s="41">
        <f t="shared" ca="1" si="2"/>
        <v>0</v>
      </c>
      <c r="V17" s="41">
        <f t="shared" ca="1" si="2"/>
        <v>0</v>
      </c>
    </row>
    <row r="18" spans="1:22" x14ac:dyDescent="0.2">
      <c r="D18" s="79"/>
      <c r="N18" s="79"/>
      <c r="O18" s="79"/>
      <c r="P18" s="79"/>
      <c r="Q18" s="79"/>
      <c r="R18" s="79"/>
      <c r="S18" s="79"/>
      <c r="T18" s="79"/>
      <c r="U18" s="79"/>
      <c r="V18" s="79"/>
    </row>
    <row r="19" spans="1:22" x14ac:dyDescent="0.2">
      <c r="B19" s="77" t="s">
        <v>97</v>
      </c>
      <c r="D19" s="79">
        <f>'Total Allocation RZ - Gas'!R19</f>
        <v>0</v>
      </c>
      <c r="N19" s="79"/>
      <c r="O19" s="79"/>
      <c r="P19" s="79"/>
      <c r="Q19" s="79"/>
      <c r="R19" s="79"/>
      <c r="S19" s="79"/>
      <c r="T19" s="79"/>
      <c r="U19" s="79"/>
      <c r="V19" s="79"/>
    </row>
    <row r="20" spans="1:22" x14ac:dyDescent="0.2">
      <c r="A20" s="2">
        <f>A17+1</f>
        <v>8</v>
      </c>
      <c r="B20" s="31" t="s">
        <v>89</v>
      </c>
      <c r="D20" s="79">
        <f ca="1">'Total Allocation RZ - Gas'!R20</f>
        <v>0</v>
      </c>
      <c r="J20" s="79">
        <f t="shared" ref="J20:J23" ca="1" si="3">D20-F20</f>
        <v>0</v>
      </c>
      <c r="L20" s="2" t="s">
        <v>156</v>
      </c>
      <c r="N20" s="79">
        <f ca="1">IF($J20&lt;&gt;0,VLOOKUP($L20,'Allocation Factors - Ex Fran'!$B$12:$U$169,5,FALSE)*$J20,0)+IF($F20&lt;&gt;0,VLOOKUP($H20,'Allocation Factors - Ex Fran'!$B$12:$U$169,5,FALSE)*$F20,0)</f>
        <v>0</v>
      </c>
      <c r="O20" s="79">
        <f ca="1">IF($J20&lt;&gt;0,VLOOKUP($L20,'Allocation Factors - Ex Fran'!$B$12:$U$169,6,FALSE)*$J20,0)+IF($F20&lt;&gt;0,VLOOKUP($H20,'Allocation Factors - Ex Fran'!$B$12:$U$169,6,FALSE)*$F20,0)</f>
        <v>0</v>
      </c>
      <c r="P20" s="79">
        <f ca="1">IF($J20&lt;&gt;0,VLOOKUP($L20,'Allocation Factors - Ex Fran'!$B$12:$U$169,7,FALSE)*$J20,0)+IF($F20&lt;&gt;0,VLOOKUP($H20,'Allocation Factors - Ex Fran'!$B$12:$U$169,7,FALSE)*$F20,0)</f>
        <v>0</v>
      </c>
      <c r="Q20" s="79">
        <f ca="1">IF($J20&lt;&gt;0,VLOOKUP($L20,'Allocation Factors - Ex Fran'!$B$12:$U$169,8,FALSE)*$J20,0)+IF($F20&lt;&gt;0,VLOOKUP($H20,'Allocation Factors - Ex Fran'!$B$12:$U$169,8,FALSE)*$F20,0)</f>
        <v>0</v>
      </c>
      <c r="R20" s="79">
        <f ca="1">IF($J20&lt;&gt;0,VLOOKUP($L20,'Allocation Factors - Ex Fran'!$B$12:$U$169,9,FALSE)*$J20,0)+IF($F20&lt;&gt;0,VLOOKUP($H20,'Allocation Factors - Ex Fran'!$B$12:$U$169,9,FALSE)*$F20,0)</f>
        <v>0</v>
      </c>
      <c r="S20" s="79">
        <f ca="1">IF($J20&lt;&gt;0,VLOOKUP($L20,'Allocation Factors - Ex Fran'!$B$12:$U$169,10,FALSE)*$J20,0)+IF($F20&lt;&gt;0,VLOOKUP($H20,'Allocation Factors - Ex Fran'!$B$12:$U$169,10,FALSE)*$F20,0)</f>
        <v>0</v>
      </c>
      <c r="T20" s="79">
        <f ca="1">IF($J20&lt;&gt;0,VLOOKUP($L20,'Allocation Factors - Ex Fran'!$B$12:$U$169,11,FALSE)*$J20,0)+IF($F20&lt;&gt;0,VLOOKUP($H20,'Allocation Factors - Ex Fran'!$B$12:$U$169,11,FALSE)*$F20,0)</f>
        <v>0</v>
      </c>
      <c r="U20" s="79">
        <f ca="1">IF($J20&lt;&gt;0,VLOOKUP($L20,'Allocation Factors - Ex Fran'!$B$12:$U$169,12,FALSE)*$J20,0)+IF($F20&lt;&gt;0,VLOOKUP($H20,'Allocation Factors - Ex Fran'!$B$12:$U$169,12,FALSE)*$F20,0)</f>
        <v>0</v>
      </c>
      <c r="V20" s="79">
        <f ca="1">IF($J20&lt;&gt;0,VLOOKUP($L20,'Allocation Factors - Ex Fran'!$B$12:$U$169,13,FALSE)*$J20,0)+IF($F20&lt;&gt;0,VLOOKUP($H20,'Allocation Factors - Ex Fran'!$B$12:$U$169,13,FALSE)*$F20,0)</f>
        <v>0</v>
      </c>
    </row>
    <row r="21" spans="1:22" x14ac:dyDescent="0.2">
      <c r="A21" s="2">
        <f>A20+1</f>
        <v>9</v>
      </c>
      <c r="B21" s="31" t="s">
        <v>90</v>
      </c>
      <c r="D21" s="79">
        <f ca="1">'Total Allocation RZ - Gas'!R21</f>
        <v>0</v>
      </c>
      <c r="F21" s="79"/>
      <c r="J21" s="79">
        <f t="shared" ca="1" si="3"/>
        <v>0</v>
      </c>
      <c r="L21" s="2" t="s">
        <v>157</v>
      </c>
      <c r="N21" s="79">
        <f ca="1">IF($J21&lt;&gt;0,VLOOKUP($L21,'Allocation Factors - Ex Fran'!$B$12:$U$169,5,FALSE)*$J21,0)+IF($F21&lt;&gt;0,VLOOKUP($H21,'Allocation Factors - Ex Fran'!$B$12:$U$169,5,FALSE)*$F21,0)</f>
        <v>0</v>
      </c>
      <c r="O21" s="79">
        <f ca="1">IF($J21&lt;&gt;0,VLOOKUP($L21,'Allocation Factors - Ex Fran'!$B$12:$U$169,6,FALSE)*$J21,0)+IF($F21&lt;&gt;0,VLOOKUP($H21,'Allocation Factors - Ex Fran'!$B$12:$U$169,6,FALSE)*$F21,0)</f>
        <v>0</v>
      </c>
      <c r="P21" s="79">
        <f ca="1">IF($J21&lt;&gt;0,VLOOKUP($L21,'Allocation Factors - Ex Fran'!$B$12:$U$169,7,FALSE)*$J21,0)+IF($F21&lt;&gt;0,VLOOKUP($H21,'Allocation Factors - Ex Fran'!$B$12:$U$169,7,FALSE)*$F21,0)</f>
        <v>0</v>
      </c>
      <c r="Q21" s="79">
        <f ca="1">IF($J21&lt;&gt;0,VLOOKUP($L21,'Allocation Factors - Ex Fran'!$B$12:$U$169,8,FALSE)*$J21,0)+IF($F21&lt;&gt;0,VLOOKUP($H21,'Allocation Factors - Ex Fran'!$B$12:$U$169,8,FALSE)*$F21,0)</f>
        <v>0</v>
      </c>
      <c r="R21" s="79">
        <f ca="1">IF($J21&lt;&gt;0,VLOOKUP($L21,'Allocation Factors - Ex Fran'!$B$12:$U$169,9,FALSE)*$J21,0)+IF($F21&lt;&gt;0,VLOOKUP($H21,'Allocation Factors - Ex Fran'!$B$12:$U$169,9,FALSE)*$F21,0)</f>
        <v>0</v>
      </c>
      <c r="S21" s="79">
        <f ca="1">IF($J21&lt;&gt;0,VLOOKUP($L21,'Allocation Factors - Ex Fran'!$B$12:$U$169,10,FALSE)*$J21,0)+IF($F21&lt;&gt;0,VLOOKUP($H21,'Allocation Factors - Ex Fran'!$B$12:$U$169,10,FALSE)*$F21,0)</f>
        <v>0</v>
      </c>
      <c r="T21" s="79">
        <f ca="1">IF($J21&lt;&gt;0,VLOOKUP($L21,'Allocation Factors - Ex Fran'!$B$12:$U$169,11,FALSE)*$J21,0)+IF($F21&lt;&gt;0,VLOOKUP($H21,'Allocation Factors - Ex Fran'!$B$12:$U$169,11,FALSE)*$F21,0)</f>
        <v>0</v>
      </c>
      <c r="U21" s="79">
        <f ca="1">IF($J21&lt;&gt;0,VLOOKUP($L21,'Allocation Factors - Ex Fran'!$B$12:$U$169,12,FALSE)*$J21,0)+IF($F21&lt;&gt;0,VLOOKUP($H21,'Allocation Factors - Ex Fran'!$B$12:$U$169,12,FALSE)*$F21,0)</f>
        <v>0</v>
      </c>
      <c r="V21" s="79">
        <f ca="1">IF($J21&lt;&gt;0,VLOOKUP($L21,'Allocation Factors - Ex Fran'!$B$12:$U$169,13,FALSE)*$J21,0)+IF($F21&lt;&gt;0,VLOOKUP($H21,'Allocation Factors - Ex Fran'!$B$12:$U$169,13,FALSE)*$F21,0)</f>
        <v>0</v>
      </c>
    </row>
    <row r="22" spans="1:22" x14ac:dyDescent="0.2">
      <c r="A22" s="2">
        <f t="shared" ref="A22:A24" si="4">A21+1</f>
        <v>10</v>
      </c>
      <c r="B22" s="31" t="s">
        <v>345</v>
      </c>
      <c r="D22" s="79">
        <f ca="1">'Total Allocation RZ - Gas'!R22</f>
        <v>0</v>
      </c>
      <c r="J22" s="79">
        <f t="shared" ca="1" si="3"/>
        <v>0</v>
      </c>
      <c r="L22" s="2" t="s">
        <v>346</v>
      </c>
      <c r="N22" s="79">
        <f ca="1">IF($J22&lt;&gt;0,VLOOKUP($L22,'Allocation Factors - Ex Fran'!$B$12:$U$169,5,FALSE)*$J22,0)+IF($F22&lt;&gt;0,VLOOKUP($H22,'Allocation Factors - Ex Fran'!$B$12:$U$169,5,FALSE)*$F22,0)</f>
        <v>0</v>
      </c>
      <c r="O22" s="79">
        <f ca="1">IF($J22&lt;&gt;0,VLOOKUP($L22,'Allocation Factors - Ex Fran'!$B$12:$U$169,6,FALSE)*$J22,0)+IF($F22&lt;&gt;0,VLOOKUP($H22,'Allocation Factors - Ex Fran'!$B$12:$U$169,6,FALSE)*$F22,0)</f>
        <v>0</v>
      </c>
      <c r="P22" s="79">
        <f ca="1">IF($J22&lt;&gt;0,VLOOKUP($L22,'Allocation Factors - Ex Fran'!$B$12:$U$169,7,FALSE)*$J22,0)+IF($F22&lt;&gt;0,VLOOKUP($H22,'Allocation Factors - Ex Fran'!$B$12:$U$169,7,FALSE)*$F22,0)</f>
        <v>0</v>
      </c>
      <c r="Q22" s="79">
        <f ca="1">IF($J22&lt;&gt;0,VLOOKUP($L22,'Allocation Factors - Ex Fran'!$B$12:$U$169,8,FALSE)*$J22,0)+IF($F22&lt;&gt;0,VLOOKUP($H22,'Allocation Factors - Ex Fran'!$B$12:$U$169,8,FALSE)*$F22,0)</f>
        <v>0</v>
      </c>
      <c r="R22" s="79">
        <f ca="1">IF($J22&lt;&gt;0,VLOOKUP($L22,'Allocation Factors - Ex Fran'!$B$12:$U$169,9,FALSE)*$J22,0)+IF($F22&lt;&gt;0,VLOOKUP($H22,'Allocation Factors - Ex Fran'!$B$12:$U$169,9,FALSE)*$F22,0)</f>
        <v>0</v>
      </c>
      <c r="S22" s="79">
        <f ca="1">IF($J22&lt;&gt;0,VLOOKUP($L22,'Allocation Factors - Ex Fran'!$B$12:$U$169,10,FALSE)*$J22,0)+IF($F22&lt;&gt;0,VLOOKUP($H22,'Allocation Factors - Ex Fran'!$B$12:$U$169,10,FALSE)*$F22,0)</f>
        <v>0</v>
      </c>
      <c r="T22" s="79">
        <f ca="1">IF($J22&lt;&gt;0,VLOOKUP($L22,'Allocation Factors - Ex Fran'!$B$12:$U$169,11,FALSE)*$J22,0)+IF($F22&lt;&gt;0,VLOOKUP($H22,'Allocation Factors - Ex Fran'!$B$12:$U$169,11,FALSE)*$F22,0)</f>
        <v>0</v>
      </c>
      <c r="U22" s="79">
        <f ca="1">IF($J22&lt;&gt;0,VLOOKUP($L22,'Allocation Factors - Ex Fran'!$B$12:$U$169,12,FALSE)*$J22,0)+IF($F22&lt;&gt;0,VLOOKUP($H22,'Allocation Factors - Ex Fran'!$B$12:$U$169,12,FALSE)*$F22,0)</f>
        <v>0</v>
      </c>
      <c r="V22" s="79">
        <f ca="1">IF($J22&lt;&gt;0,VLOOKUP($L22,'Allocation Factors - Ex Fran'!$B$12:$U$169,13,FALSE)*$J22,0)+IF($F22&lt;&gt;0,VLOOKUP($H22,'Allocation Factors - Ex Fran'!$B$12:$U$169,13,FALSE)*$F22,0)</f>
        <v>0</v>
      </c>
    </row>
    <row r="23" spans="1:22" x14ac:dyDescent="0.2">
      <c r="A23" s="2">
        <f t="shared" si="4"/>
        <v>11</v>
      </c>
      <c r="B23" s="31" t="s">
        <v>91</v>
      </c>
      <c r="D23" s="79">
        <f ca="1">'Total Allocation RZ - Gas'!R23</f>
        <v>0</v>
      </c>
      <c r="J23" s="79">
        <f t="shared" ca="1" si="3"/>
        <v>0</v>
      </c>
      <c r="L23" s="2" t="s">
        <v>334</v>
      </c>
      <c r="N23" s="79">
        <f ca="1">IF($J23&lt;&gt;0,VLOOKUP($L23,'Allocation Factors - Ex Fran'!$B$12:$U$169,5,FALSE)*$J23,0)+IF($F23&lt;&gt;0,VLOOKUP($H23,'Allocation Factors - Ex Fran'!$B$12:$U$169,5,FALSE)*$F23,0)</f>
        <v>0</v>
      </c>
      <c r="O23" s="79">
        <f ca="1">IF($J23&lt;&gt;0,VLOOKUP($L23,'Allocation Factors - Ex Fran'!$B$12:$U$169,6,FALSE)*$J23,0)+IF($F23&lt;&gt;0,VLOOKUP($H23,'Allocation Factors - Ex Fran'!$B$12:$U$169,6,FALSE)*$F23,0)</f>
        <v>0</v>
      </c>
      <c r="P23" s="79">
        <f ca="1">IF($J23&lt;&gt;0,VLOOKUP($L23,'Allocation Factors - Ex Fran'!$B$12:$U$169,7,FALSE)*$J23,0)+IF($F23&lt;&gt;0,VLOOKUP($H23,'Allocation Factors - Ex Fran'!$B$12:$U$169,7,FALSE)*$F23,0)</f>
        <v>0</v>
      </c>
      <c r="Q23" s="79">
        <f ca="1">IF($J23&lt;&gt;0,VLOOKUP($L23,'Allocation Factors - Ex Fran'!$B$12:$U$169,8,FALSE)*$J23,0)+IF($F23&lt;&gt;0,VLOOKUP($H23,'Allocation Factors - Ex Fran'!$B$12:$U$169,8,FALSE)*$F23,0)</f>
        <v>0</v>
      </c>
      <c r="R23" s="79">
        <f ca="1">IF($J23&lt;&gt;0,VLOOKUP($L23,'Allocation Factors - Ex Fran'!$B$12:$U$169,9,FALSE)*$J23,0)+IF($F23&lt;&gt;0,VLOOKUP($H23,'Allocation Factors - Ex Fran'!$B$12:$U$169,9,FALSE)*$F23,0)</f>
        <v>0</v>
      </c>
      <c r="S23" s="79">
        <f ca="1">IF($J23&lt;&gt;0,VLOOKUP($L23,'Allocation Factors - Ex Fran'!$B$12:$U$169,10,FALSE)*$J23,0)+IF($F23&lt;&gt;0,VLOOKUP($H23,'Allocation Factors - Ex Fran'!$B$12:$U$169,10,FALSE)*$F23,0)</f>
        <v>0</v>
      </c>
      <c r="T23" s="79">
        <f ca="1">IF($J23&lt;&gt;0,VLOOKUP($L23,'Allocation Factors - Ex Fran'!$B$12:$U$169,11,FALSE)*$J23,0)+IF($F23&lt;&gt;0,VLOOKUP($H23,'Allocation Factors - Ex Fran'!$B$12:$U$169,11,FALSE)*$F23,0)</f>
        <v>0</v>
      </c>
      <c r="U23" s="79">
        <f ca="1">IF($J23&lt;&gt;0,VLOOKUP($L23,'Allocation Factors - Ex Fran'!$B$12:$U$169,12,FALSE)*$J23,0)+IF($F23&lt;&gt;0,VLOOKUP($H23,'Allocation Factors - Ex Fran'!$B$12:$U$169,12,FALSE)*$F23,0)</f>
        <v>0</v>
      </c>
      <c r="V23" s="79">
        <f ca="1">IF($J23&lt;&gt;0,VLOOKUP($L23,'Allocation Factors - Ex Fran'!$B$12:$U$169,13,FALSE)*$J23,0)+IF($F23&lt;&gt;0,VLOOKUP($H23,'Allocation Factors - Ex Fran'!$B$12:$U$169,13,FALSE)*$F23,0)</f>
        <v>0</v>
      </c>
    </row>
    <row r="24" spans="1:22" x14ac:dyDescent="0.2">
      <c r="A24" s="2">
        <f t="shared" si="4"/>
        <v>12</v>
      </c>
      <c r="B24" s="31" t="s">
        <v>96</v>
      </c>
      <c r="D24" s="41">
        <f ca="1">SUM(D20:D23)</f>
        <v>0</v>
      </c>
      <c r="F24" s="41">
        <f>SUM(F20:F23)</f>
        <v>0</v>
      </c>
      <c r="H24" s="122"/>
      <c r="J24" s="41">
        <f ca="1">SUM(J20:J23)</f>
        <v>0</v>
      </c>
      <c r="N24" s="41">
        <f t="shared" ref="N24:V24" ca="1" si="5">SUM(N20:N23)</f>
        <v>0</v>
      </c>
      <c r="O24" s="41">
        <f t="shared" ca="1" si="5"/>
        <v>0</v>
      </c>
      <c r="P24" s="41">
        <f t="shared" ca="1" si="5"/>
        <v>0</v>
      </c>
      <c r="Q24" s="41">
        <f t="shared" ca="1" si="5"/>
        <v>0</v>
      </c>
      <c r="R24" s="41">
        <f t="shared" ca="1" si="5"/>
        <v>0</v>
      </c>
      <c r="S24" s="41">
        <f t="shared" ca="1" si="5"/>
        <v>0</v>
      </c>
      <c r="T24" s="41">
        <f t="shared" ca="1" si="5"/>
        <v>0</v>
      </c>
      <c r="U24" s="41">
        <f t="shared" ca="1" si="5"/>
        <v>0</v>
      </c>
      <c r="V24" s="41">
        <f t="shared" ca="1" si="5"/>
        <v>0</v>
      </c>
    </row>
    <row r="25" spans="1:22" x14ac:dyDescent="0.2">
      <c r="N25" s="79"/>
      <c r="O25" s="79"/>
      <c r="P25" s="79"/>
      <c r="Q25" s="79"/>
      <c r="R25" s="79"/>
      <c r="S25" s="79"/>
      <c r="T25" s="79"/>
      <c r="U25" s="79"/>
      <c r="V25" s="79"/>
    </row>
    <row r="26" spans="1:22" x14ac:dyDescent="0.2">
      <c r="B26" s="77" t="s">
        <v>98</v>
      </c>
      <c r="N26" s="79"/>
      <c r="O26" s="79"/>
      <c r="P26" s="79"/>
      <c r="Q26" s="79"/>
      <c r="R26" s="79"/>
      <c r="S26" s="79"/>
      <c r="T26" s="79"/>
      <c r="U26" s="79"/>
      <c r="V26" s="79"/>
    </row>
    <row r="27" spans="1:22" x14ac:dyDescent="0.2">
      <c r="A27" s="2">
        <f>A24+1</f>
        <v>13</v>
      </c>
      <c r="B27" s="31" t="s">
        <v>92</v>
      </c>
      <c r="D27" s="79">
        <f ca="1">'Total Allocation RZ - Gas'!R27</f>
        <v>0</v>
      </c>
      <c r="J27" s="79">
        <f t="shared" ref="J27:J33" ca="1" si="6">D27-F27</f>
        <v>0</v>
      </c>
      <c r="L27" s="2" t="s">
        <v>533</v>
      </c>
      <c r="N27" s="79">
        <f ca="1">IF($J27&lt;&gt;0,VLOOKUP($L27,'Allocation Factors - Ex Fran'!$B$12:$U$169,5,FALSE)*$J27,0)+IF($F27&lt;&gt;0,VLOOKUP($H27,'Allocation Factors - Ex Fran'!$B$12:$U$169,5,FALSE)*$F27,0)</f>
        <v>0</v>
      </c>
      <c r="O27" s="79">
        <f ca="1">IF($J27&lt;&gt;0,VLOOKUP($L27,'Allocation Factors - Ex Fran'!$B$12:$U$169,6,FALSE)*$J27,0)+IF($F27&lt;&gt;0,VLOOKUP($H27,'Allocation Factors - Ex Fran'!$B$12:$U$169,6,FALSE)*$F27,0)</f>
        <v>0</v>
      </c>
      <c r="P27" s="79">
        <f ca="1">IF($J27&lt;&gt;0,VLOOKUP($L27,'Allocation Factors - Ex Fran'!$B$12:$U$169,7,FALSE)*$J27,0)+IF($F27&lt;&gt;0,VLOOKUP($H27,'Allocation Factors - Ex Fran'!$B$12:$U$169,7,FALSE)*$F27,0)</f>
        <v>0</v>
      </c>
      <c r="Q27" s="79">
        <f ca="1">IF($J27&lt;&gt;0,VLOOKUP($L27,'Allocation Factors - Ex Fran'!$B$12:$U$169,8,FALSE)*$J27,0)+IF($F27&lt;&gt;0,VLOOKUP($H27,'Allocation Factors - Ex Fran'!$B$12:$U$169,8,FALSE)*$F27,0)</f>
        <v>0</v>
      </c>
      <c r="R27" s="79">
        <f ca="1">IF($J27&lt;&gt;0,VLOOKUP($L27,'Allocation Factors - Ex Fran'!$B$12:$U$169,9,FALSE)*$J27,0)+IF($F27&lt;&gt;0,VLOOKUP($H27,'Allocation Factors - Ex Fran'!$B$12:$U$169,9,FALSE)*$F27,0)</f>
        <v>0</v>
      </c>
      <c r="S27" s="79">
        <f ca="1">IF($J27&lt;&gt;0,VLOOKUP($L27,'Allocation Factors - Ex Fran'!$B$12:$U$169,10,FALSE)*$J27,0)+IF($F27&lt;&gt;0,VLOOKUP($H27,'Allocation Factors - Ex Fran'!$B$12:$U$169,10,FALSE)*$F27,0)</f>
        <v>0</v>
      </c>
      <c r="T27" s="79">
        <f ca="1">IF($J27&lt;&gt;0,VLOOKUP($L27,'Allocation Factors - Ex Fran'!$B$12:$U$169,11,FALSE)*$J27,0)+IF($F27&lt;&gt;0,VLOOKUP($H27,'Allocation Factors - Ex Fran'!$B$12:$U$169,11,FALSE)*$F27,0)</f>
        <v>0</v>
      </c>
      <c r="U27" s="79">
        <f ca="1">IF($J27&lt;&gt;0,VLOOKUP($L27,'Allocation Factors - Ex Fran'!$B$12:$U$169,12,FALSE)*$J27,0)+IF($F27&lt;&gt;0,VLOOKUP($H27,'Allocation Factors - Ex Fran'!$B$12:$U$169,12,FALSE)*$F27,0)</f>
        <v>0</v>
      </c>
      <c r="V27" s="79">
        <f ca="1">IF($J27&lt;&gt;0,VLOOKUP($L27,'Allocation Factors - Ex Fran'!$B$12:$U$169,13,FALSE)*$J27,0)+IF($F27&lt;&gt;0,VLOOKUP($H27,'Allocation Factors - Ex Fran'!$B$12:$U$169,13,FALSE)*$F27,0)</f>
        <v>0</v>
      </c>
    </row>
    <row r="28" spans="1:22" x14ac:dyDescent="0.2">
      <c r="A28" s="2">
        <f>A27+1</f>
        <v>14</v>
      </c>
      <c r="B28" s="31" t="s">
        <v>93</v>
      </c>
      <c r="D28" s="79">
        <f ca="1">'Total Allocation RZ - Gas'!R28</f>
        <v>0</v>
      </c>
      <c r="J28" s="79">
        <f t="shared" ca="1" si="6"/>
        <v>0</v>
      </c>
      <c r="L28" s="2" t="s">
        <v>218</v>
      </c>
      <c r="N28" s="79">
        <f ca="1">IF($J28&lt;&gt;0,VLOOKUP($L28,'Allocation Factors - Ex Fran'!$B$12:$U$169,5,FALSE)*$J28,0)+IF($F28&lt;&gt;0,VLOOKUP($H28,'Allocation Factors - Ex Fran'!$B$12:$U$169,5,FALSE)*$F28,0)</f>
        <v>0</v>
      </c>
      <c r="O28" s="79">
        <f ca="1">IF($J28&lt;&gt;0,VLOOKUP($L28,'Allocation Factors - Ex Fran'!$B$12:$U$169,6,FALSE)*$J28,0)+IF($F28&lt;&gt;0,VLOOKUP($H28,'Allocation Factors - Ex Fran'!$B$12:$U$169,6,FALSE)*$F28,0)</f>
        <v>0</v>
      </c>
      <c r="P28" s="79">
        <f ca="1">IF($J28&lt;&gt;0,VLOOKUP($L28,'Allocation Factors - Ex Fran'!$B$12:$U$169,7,FALSE)*$J28,0)+IF($F28&lt;&gt;0,VLOOKUP($H28,'Allocation Factors - Ex Fran'!$B$12:$U$169,7,FALSE)*$F28,0)</f>
        <v>0</v>
      </c>
      <c r="Q28" s="79">
        <f ca="1">IF($J28&lt;&gt;0,VLOOKUP($L28,'Allocation Factors - Ex Fran'!$B$12:$U$169,8,FALSE)*$J28,0)+IF($F28&lt;&gt;0,VLOOKUP($H28,'Allocation Factors - Ex Fran'!$B$12:$U$169,8,FALSE)*$F28,0)</f>
        <v>0</v>
      </c>
      <c r="R28" s="79">
        <f ca="1">IF($J28&lt;&gt;0,VLOOKUP($L28,'Allocation Factors - Ex Fran'!$B$12:$U$169,9,FALSE)*$J28,0)+IF($F28&lt;&gt;0,VLOOKUP($H28,'Allocation Factors - Ex Fran'!$B$12:$U$169,9,FALSE)*$F28,0)</f>
        <v>0</v>
      </c>
      <c r="S28" s="79">
        <f ca="1">IF($J28&lt;&gt;0,VLOOKUP($L28,'Allocation Factors - Ex Fran'!$B$12:$U$169,10,FALSE)*$J28,0)+IF($F28&lt;&gt;0,VLOOKUP($H28,'Allocation Factors - Ex Fran'!$B$12:$U$169,10,FALSE)*$F28,0)</f>
        <v>0</v>
      </c>
      <c r="T28" s="79">
        <f ca="1">IF($J28&lt;&gt;0,VLOOKUP($L28,'Allocation Factors - Ex Fran'!$B$12:$U$169,11,FALSE)*$J28,0)+IF($F28&lt;&gt;0,VLOOKUP($H28,'Allocation Factors - Ex Fran'!$B$12:$U$169,11,FALSE)*$F28,0)</f>
        <v>0</v>
      </c>
      <c r="U28" s="79">
        <f ca="1">IF($J28&lt;&gt;0,VLOOKUP($L28,'Allocation Factors - Ex Fran'!$B$12:$U$169,12,FALSE)*$J28,0)+IF($F28&lt;&gt;0,VLOOKUP($H28,'Allocation Factors - Ex Fran'!$B$12:$U$169,12,FALSE)*$F28,0)</f>
        <v>0</v>
      </c>
      <c r="V28" s="79">
        <f ca="1">IF($J28&lt;&gt;0,VLOOKUP($L28,'Allocation Factors - Ex Fran'!$B$12:$U$169,13,FALSE)*$J28,0)+IF($F28&lt;&gt;0,VLOOKUP($H28,'Allocation Factors - Ex Fran'!$B$12:$U$169,13,FALSE)*$F28,0)</f>
        <v>0</v>
      </c>
    </row>
    <row r="29" spans="1:22" x14ac:dyDescent="0.2">
      <c r="A29" s="2">
        <f t="shared" ref="A29:A34" si="7">A28+1</f>
        <v>15</v>
      </c>
      <c r="B29" s="31" t="s">
        <v>94</v>
      </c>
      <c r="D29" s="79">
        <f ca="1">'Total Allocation RZ - Gas'!R29</f>
        <v>0</v>
      </c>
      <c r="J29" s="79">
        <f t="shared" ca="1" si="6"/>
        <v>0</v>
      </c>
      <c r="L29" s="2" t="s">
        <v>230</v>
      </c>
      <c r="N29" s="79">
        <f ca="1">IF($J29&lt;&gt;0,VLOOKUP($L29,'Allocation Factors - Ex Fran'!$B$12:$U$169,5,FALSE)*$J29,0)+IF($F29&lt;&gt;0,VLOOKUP($H29,'Allocation Factors - Ex Fran'!$B$12:$U$169,5,FALSE)*$F29,0)</f>
        <v>0</v>
      </c>
      <c r="O29" s="79">
        <f ca="1">IF($J29&lt;&gt;0,VLOOKUP($L29,'Allocation Factors - Ex Fran'!$B$12:$U$169,6,FALSE)*$J29,0)+IF($F29&lt;&gt;0,VLOOKUP($H29,'Allocation Factors - Ex Fran'!$B$12:$U$169,6,FALSE)*$F29,0)</f>
        <v>0</v>
      </c>
      <c r="P29" s="79">
        <f ca="1">IF($J29&lt;&gt;0,VLOOKUP($L29,'Allocation Factors - Ex Fran'!$B$12:$U$169,7,FALSE)*$J29,0)+IF($F29&lt;&gt;0,VLOOKUP($H29,'Allocation Factors - Ex Fran'!$B$12:$U$169,7,FALSE)*$F29,0)</f>
        <v>0</v>
      </c>
      <c r="Q29" s="79">
        <f ca="1">IF($J29&lt;&gt;0,VLOOKUP($L29,'Allocation Factors - Ex Fran'!$B$12:$U$169,8,FALSE)*$J29,0)+IF($F29&lt;&gt;0,VLOOKUP($H29,'Allocation Factors - Ex Fran'!$B$12:$U$169,8,FALSE)*$F29,0)</f>
        <v>0</v>
      </c>
      <c r="R29" s="79">
        <f ca="1">IF($J29&lt;&gt;0,VLOOKUP($L29,'Allocation Factors - Ex Fran'!$B$12:$U$169,9,FALSE)*$J29,0)+IF($F29&lt;&gt;0,VLOOKUP($H29,'Allocation Factors - Ex Fran'!$B$12:$U$169,9,FALSE)*$F29,0)</f>
        <v>0</v>
      </c>
      <c r="S29" s="79">
        <f ca="1">IF($J29&lt;&gt;0,VLOOKUP($L29,'Allocation Factors - Ex Fran'!$B$12:$U$169,10,FALSE)*$J29,0)+IF($F29&lt;&gt;0,VLOOKUP($H29,'Allocation Factors - Ex Fran'!$B$12:$U$169,10,FALSE)*$F29,0)</f>
        <v>0</v>
      </c>
      <c r="T29" s="79">
        <f ca="1">IF($J29&lt;&gt;0,VLOOKUP($L29,'Allocation Factors - Ex Fran'!$B$12:$U$169,11,FALSE)*$J29,0)+IF($F29&lt;&gt;0,VLOOKUP($H29,'Allocation Factors - Ex Fran'!$B$12:$U$169,11,FALSE)*$F29,0)</f>
        <v>0</v>
      </c>
      <c r="U29" s="79">
        <f ca="1">IF($J29&lt;&gt;0,VLOOKUP($L29,'Allocation Factors - Ex Fran'!$B$12:$U$169,12,FALSE)*$J29,0)+IF($F29&lt;&gt;0,VLOOKUP($H29,'Allocation Factors - Ex Fran'!$B$12:$U$169,12,FALSE)*$F29,0)</f>
        <v>0</v>
      </c>
      <c r="V29" s="79">
        <f ca="1">IF($J29&lt;&gt;0,VLOOKUP($L29,'Allocation Factors - Ex Fran'!$B$12:$U$169,13,FALSE)*$J29,0)+IF($F29&lt;&gt;0,VLOOKUP($H29,'Allocation Factors - Ex Fran'!$B$12:$U$169,13,FALSE)*$F29,0)</f>
        <v>0</v>
      </c>
    </row>
    <row r="30" spans="1:22" x14ac:dyDescent="0.2">
      <c r="A30" s="2">
        <f t="shared" si="7"/>
        <v>16</v>
      </c>
      <c r="B30" s="31" t="s">
        <v>330</v>
      </c>
      <c r="D30" s="79">
        <f ca="1">'Total Allocation RZ - Gas'!R30</f>
        <v>0</v>
      </c>
      <c r="J30" s="79">
        <f t="shared" ca="1" si="6"/>
        <v>0</v>
      </c>
      <c r="L30" s="2" t="s">
        <v>222</v>
      </c>
      <c r="N30" s="79">
        <f ca="1">IF($J30&lt;&gt;0,VLOOKUP($L30,'Allocation Factors - Ex Fran'!$B$12:$U$169,5,FALSE)*$J30,0)+IF($F30&lt;&gt;0,VLOOKUP($H30,'Allocation Factors - Ex Fran'!$B$12:$U$169,5,FALSE)*$F30,0)</f>
        <v>0</v>
      </c>
      <c r="O30" s="79">
        <f ca="1">IF($J30&lt;&gt;0,VLOOKUP($L30,'Allocation Factors - Ex Fran'!$B$12:$U$169,6,FALSE)*$J30,0)+IF($F30&lt;&gt;0,VLOOKUP($H30,'Allocation Factors - Ex Fran'!$B$12:$U$169,6,FALSE)*$F30,0)</f>
        <v>0</v>
      </c>
      <c r="P30" s="79">
        <f ca="1">IF($J30&lt;&gt;0,VLOOKUP($L30,'Allocation Factors - Ex Fran'!$B$12:$U$169,7,FALSE)*$J30,0)+IF($F30&lt;&gt;0,VLOOKUP($H30,'Allocation Factors - Ex Fran'!$B$12:$U$169,7,FALSE)*$F30,0)</f>
        <v>0</v>
      </c>
      <c r="Q30" s="79">
        <f ca="1">IF($J30&lt;&gt;0,VLOOKUP($L30,'Allocation Factors - Ex Fran'!$B$12:$U$169,8,FALSE)*$J30,0)+IF($F30&lt;&gt;0,VLOOKUP($H30,'Allocation Factors - Ex Fran'!$B$12:$U$169,8,FALSE)*$F30,0)</f>
        <v>0</v>
      </c>
      <c r="R30" s="79">
        <f ca="1">IF($J30&lt;&gt;0,VLOOKUP($L30,'Allocation Factors - Ex Fran'!$B$12:$U$169,9,FALSE)*$J30,0)+IF($F30&lt;&gt;0,VLOOKUP($H30,'Allocation Factors - Ex Fran'!$B$12:$U$169,9,FALSE)*$F30,0)</f>
        <v>0</v>
      </c>
      <c r="S30" s="79">
        <f ca="1">IF($J30&lt;&gt;0,VLOOKUP($L30,'Allocation Factors - Ex Fran'!$B$12:$U$169,10,FALSE)*$J30,0)+IF($F30&lt;&gt;0,VLOOKUP($H30,'Allocation Factors - Ex Fran'!$B$12:$U$169,10,FALSE)*$F30,0)</f>
        <v>0</v>
      </c>
      <c r="T30" s="79">
        <f ca="1">IF($J30&lt;&gt;0,VLOOKUP($L30,'Allocation Factors - Ex Fran'!$B$12:$U$169,11,FALSE)*$J30,0)+IF($F30&lt;&gt;0,VLOOKUP($H30,'Allocation Factors - Ex Fran'!$B$12:$U$169,11,FALSE)*$F30,0)</f>
        <v>0</v>
      </c>
      <c r="U30" s="79">
        <f ca="1">IF($J30&lt;&gt;0,VLOOKUP($L30,'Allocation Factors - Ex Fran'!$B$12:$U$169,12,FALSE)*$J30,0)+IF($F30&lt;&gt;0,VLOOKUP($H30,'Allocation Factors - Ex Fran'!$B$12:$U$169,12,FALSE)*$F30,0)</f>
        <v>0</v>
      </c>
      <c r="V30" s="79">
        <f ca="1">IF($J30&lt;&gt;0,VLOOKUP($L30,'Allocation Factors - Ex Fran'!$B$12:$U$169,13,FALSE)*$J30,0)+IF($F30&lt;&gt;0,VLOOKUP($H30,'Allocation Factors - Ex Fran'!$B$12:$U$169,13,FALSE)*$F30,0)</f>
        <v>0</v>
      </c>
    </row>
    <row r="31" spans="1:22" x14ac:dyDescent="0.2">
      <c r="A31" s="2">
        <f t="shared" si="7"/>
        <v>17</v>
      </c>
      <c r="B31" s="31" t="s">
        <v>331</v>
      </c>
      <c r="D31" s="79">
        <f ca="1">'Total Allocation RZ - Gas'!R31</f>
        <v>0</v>
      </c>
      <c r="J31" s="79">
        <f t="shared" ca="1" si="6"/>
        <v>0</v>
      </c>
      <c r="L31" s="2" t="s">
        <v>332</v>
      </c>
      <c r="N31" s="79">
        <f ca="1">IF($J31&lt;&gt;0,VLOOKUP($L31,'Allocation Factors - Ex Fran'!$B$12:$U$169,5,FALSE)*$J31,0)+IF($F31&lt;&gt;0,VLOOKUP($H31,'Allocation Factors - Ex Fran'!$B$12:$U$169,5,FALSE)*$F31,0)</f>
        <v>0</v>
      </c>
      <c r="O31" s="79">
        <f ca="1">IF($J31&lt;&gt;0,VLOOKUP($L31,'Allocation Factors - Ex Fran'!$B$12:$U$169,6,FALSE)*$J31,0)+IF($F31&lt;&gt;0,VLOOKUP($H31,'Allocation Factors - Ex Fran'!$B$12:$U$169,6,FALSE)*$F31,0)</f>
        <v>0</v>
      </c>
      <c r="P31" s="79">
        <f ca="1">IF($J31&lt;&gt;0,VLOOKUP($L31,'Allocation Factors - Ex Fran'!$B$12:$U$169,7,FALSE)*$J31,0)+IF($F31&lt;&gt;0,VLOOKUP($H31,'Allocation Factors - Ex Fran'!$B$12:$U$169,7,FALSE)*$F31,0)</f>
        <v>0</v>
      </c>
      <c r="Q31" s="79">
        <f ca="1">IF($J31&lt;&gt;0,VLOOKUP($L31,'Allocation Factors - Ex Fran'!$B$12:$U$169,8,FALSE)*$J31,0)+IF($F31&lt;&gt;0,VLOOKUP($H31,'Allocation Factors - Ex Fran'!$B$12:$U$169,8,FALSE)*$F31,0)</f>
        <v>0</v>
      </c>
      <c r="R31" s="79">
        <f ca="1">IF($J31&lt;&gt;0,VLOOKUP($L31,'Allocation Factors - Ex Fran'!$B$12:$U$169,9,FALSE)*$J31,0)+IF($F31&lt;&gt;0,VLOOKUP($H31,'Allocation Factors - Ex Fran'!$B$12:$U$169,9,FALSE)*$F31,0)</f>
        <v>0</v>
      </c>
      <c r="S31" s="79">
        <f ca="1">IF($J31&lt;&gt;0,VLOOKUP($L31,'Allocation Factors - Ex Fran'!$B$12:$U$169,10,FALSE)*$J31,0)+IF($F31&lt;&gt;0,VLOOKUP($H31,'Allocation Factors - Ex Fran'!$B$12:$U$169,10,FALSE)*$F31,0)</f>
        <v>0</v>
      </c>
      <c r="T31" s="79">
        <f ca="1">IF($J31&lt;&gt;0,VLOOKUP($L31,'Allocation Factors - Ex Fran'!$B$12:$U$169,11,FALSE)*$J31,0)+IF($F31&lt;&gt;0,VLOOKUP($H31,'Allocation Factors - Ex Fran'!$B$12:$U$169,11,FALSE)*$F31,0)</f>
        <v>0</v>
      </c>
      <c r="U31" s="79">
        <f ca="1">IF($J31&lt;&gt;0,VLOOKUP($L31,'Allocation Factors - Ex Fran'!$B$12:$U$169,12,FALSE)*$J31,0)+IF($F31&lt;&gt;0,VLOOKUP($H31,'Allocation Factors - Ex Fran'!$B$12:$U$169,12,FALSE)*$F31,0)</f>
        <v>0</v>
      </c>
      <c r="V31" s="79">
        <f ca="1">IF($J31&lt;&gt;0,VLOOKUP($L31,'Allocation Factors - Ex Fran'!$B$12:$U$169,13,FALSE)*$J31,0)+IF($F31&lt;&gt;0,VLOOKUP($H31,'Allocation Factors - Ex Fran'!$B$12:$U$169,13,FALSE)*$F31,0)</f>
        <v>0</v>
      </c>
    </row>
    <row r="32" spans="1:22" x14ac:dyDescent="0.2">
      <c r="A32" s="2">
        <f t="shared" si="7"/>
        <v>18</v>
      </c>
      <c r="B32" s="31" t="s">
        <v>146</v>
      </c>
      <c r="D32" s="79">
        <f ca="1">'Total Allocation RZ - Gas'!R32</f>
        <v>0</v>
      </c>
      <c r="J32" s="79">
        <f t="shared" ca="1" si="6"/>
        <v>0</v>
      </c>
      <c r="L32" s="2" t="s">
        <v>229</v>
      </c>
      <c r="N32" s="79">
        <f ca="1">IF($J32&lt;&gt;0,VLOOKUP($L32,'Allocation Factors - Ex Fran'!$B$12:$U$169,5,FALSE)*$J32,0)+IF($F32&lt;&gt;0,VLOOKUP($H32,'Allocation Factors - Ex Fran'!$B$12:$U$169,5,FALSE)*$F32,0)</f>
        <v>0</v>
      </c>
      <c r="O32" s="79">
        <f ca="1">IF($J32&lt;&gt;0,VLOOKUP($L32,'Allocation Factors - Ex Fran'!$B$12:$U$169,6,FALSE)*$J32,0)+IF($F32&lt;&gt;0,VLOOKUP($H32,'Allocation Factors - Ex Fran'!$B$12:$U$169,6,FALSE)*$F32,0)</f>
        <v>0</v>
      </c>
      <c r="P32" s="79">
        <f ca="1">IF($J32&lt;&gt;0,VLOOKUP($L32,'Allocation Factors - Ex Fran'!$B$12:$U$169,7,FALSE)*$J32,0)+IF($F32&lt;&gt;0,VLOOKUP($H32,'Allocation Factors - Ex Fran'!$B$12:$U$169,7,FALSE)*$F32,0)</f>
        <v>0</v>
      </c>
      <c r="Q32" s="79">
        <f ca="1">IF($J32&lt;&gt;0,VLOOKUP($L32,'Allocation Factors - Ex Fran'!$B$12:$U$169,8,FALSE)*$J32,0)+IF($F32&lt;&gt;0,VLOOKUP($H32,'Allocation Factors - Ex Fran'!$B$12:$U$169,8,FALSE)*$F32,0)</f>
        <v>0</v>
      </c>
      <c r="R32" s="79">
        <f ca="1">IF($J32&lt;&gt;0,VLOOKUP($L32,'Allocation Factors - Ex Fran'!$B$12:$U$169,9,FALSE)*$J32,0)+IF($F32&lt;&gt;0,VLOOKUP($H32,'Allocation Factors - Ex Fran'!$B$12:$U$169,9,FALSE)*$F32,0)</f>
        <v>0</v>
      </c>
      <c r="S32" s="79">
        <f ca="1">IF($J32&lt;&gt;0,VLOOKUP($L32,'Allocation Factors - Ex Fran'!$B$12:$U$169,10,FALSE)*$J32,0)+IF($F32&lt;&gt;0,VLOOKUP($H32,'Allocation Factors - Ex Fran'!$B$12:$U$169,10,FALSE)*$F32,0)</f>
        <v>0</v>
      </c>
      <c r="T32" s="79">
        <f ca="1">IF($J32&lt;&gt;0,VLOOKUP($L32,'Allocation Factors - Ex Fran'!$B$12:$U$169,11,FALSE)*$J32,0)+IF($F32&lt;&gt;0,VLOOKUP($H32,'Allocation Factors - Ex Fran'!$B$12:$U$169,11,FALSE)*$F32,0)</f>
        <v>0</v>
      </c>
      <c r="U32" s="79">
        <f ca="1">IF($J32&lt;&gt;0,VLOOKUP($L32,'Allocation Factors - Ex Fran'!$B$12:$U$169,12,FALSE)*$J32,0)+IF($F32&lt;&gt;0,VLOOKUP($H32,'Allocation Factors - Ex Fran'!$B$12:$U$169,12,FALSE)*$F32,0)</f>
        <v>0</v>
      </c>
      <c r="V32" s="79">
        <f ca="1">IF($J32&lt;&gt;0,VLOOKUP($L32,'Allocation Factors - Ex Fran'!$B$12:$U$169,13,FALSE)*$J32,0)+IF($F32&lt;&gt;0,VLOOKUP($H32,'Allocation Factors - Ex Fran'!$B$12:$U$169,13,FALSE)*$F32,0)</f>
        <v>0</v>
      </c>
    </row>
    <row r="33" spans="1:22" x14ac:dyDescent="0.2">
      <c r="A33" s="2">
        <f t="shared" si="7"/>
        <v>19</v>
      </c>
      <c r="B33" s="31" t="s">
        <v>95</v>
      </c>
      <c r="D33" s="79">
        <f ca="1">'Total Allocation RZ - Gas'!R33</f>
        <v>20656.12506591517</v>
      </c>
      <c r="F33" s="79">
        <v>9719</v>
      </c>
      <c r="H33" s="2" t="s">
        <v>251</v>
      </c>
      <c r="J33" s="79">
        <f t="shared" ca="1" si="6"/>
        <v>10937.12506591517</v>
      </c>
      <c r="L33" s="2" t="s">
        <v>335</v>
      </c>
      <c r="N33" s="79">
        <f ca="1">IF($J33&lt;&gt;0,VLOOKUP($L33,'Allocation Factors - Ex Fran'!$B$12:$U$169,5,FALSE)*$J33,0)+IF($F33&lt;&gt;0,VLOOKUP($H33,'Allocation Factors - Ex Fran'!$B$12:$U$169,5,FALSE)*$F33,0)</f>
        <v>0</v>
      </c>
      <c r="O33" s="79">
        <f ca="1">IF($J33&lt;&gt;0,VLOOKUP($L33,'Allocation Factors - Ex Fran'!$B$12:$U$169,6,FALSE)*$J33,0)+IF($F33&lt;&gt;0,VLOOKUP($H33,'Allocation Factors - Ex Fran'!$B$12:$U$169,6,FALSE)*$F33,0)</f>
        <v>0</v>
      </c>
      <c r="P33" s="79">
        <f ca="1">IF($J33&lt;&gt;0,VLOOKUP($L33,'Allocation Factors - Ex Fran'!$B$12:$U$169,7,FALSE)*$J33,0)+IF($F33&lt;&gt;0,VLOOKUP($H33,'Allocation Factors - Ex Fran'!$B$12:$U$169,7,FALSE)*$F33,0)</f>
        <v>0</v>
      </c>
      <c r="Q33" s="79">
        <f ca="1">IF($J33&lt;&gt;0,VLOOKUP($L33,'Allocation Factors - Ex Fran'!$B$12:$U$169,8,FALSE)*$J33,0)+IF($F33&lt;&gt;0,VLOOKUP($H33,'Allocation Factors - Ex Fran'!$B$12:$U$169,8,FALSE)*$F33,0)</f>
        <v>4809.1394549072111</v>
      </c>
      <c r="R33" s="79">
        <f ca="1">IF($J33&lt;&gt;0,VLOOKUP($L33,'Allocation Factors - Ex Fran'!$B$12:$U$169,9,FALSE)*$J33,0)+IF($F33&lt;&gt;0,VLOOKUP($H33,'Allocation Factors - Ex Fran'!$B$12:$U$169,9,FALSE)*$F33,0)</f>
        <v>2038.603043329879</v>
      </c>
      <c r="S33" s="79">
        <f ca="1">IF($J33&lt;&gt;0,VLOOKUP($L33,'Allocation Factors - Ex Fran'!$B$12:$U$169,10,FALSE)*$J33,0)+IF($F33&lt;&gt;0,VLOOKUP($H33,'Allocation Factors - Ex Fran'!$B$12:$U$169,10,FALSE)*$F33,0)</f>
        <v>13402.2774997001</v>
      </c>
      <c r="T33" s="79">
        <f ca="1">IF($J33&lt;&gt;0,VLOOKUP($L33,'Allocation Factors - Ex Fran'!$B$12:$U$169,11,FALSE)*$J33,0)+IF($F33&lt;&gt;0,VLOOKUP($H33,'Allocation Factors - Ex Fran'!$B$12:$U$169,11,FALSE)*$F33,0)</f>
        <v>76.400116379041748</v>
      </c>
      <c r="U33" s="79">
        <f ca="1">IF($J33&lt;&gt;0,VLOOKUP($L33,'Allocation Factors - Ex Fran'!$B$12:$U$169,12,FALSE)*$J33,0)+IF($F33&lt;&gt;0,VLOOKUP($H33,'Allocation Factors - Ex Fran'!$B$12:$U$169,12,FALSE)*$F33,0)</f>
        <v>291.3035545656582</v>
      </c>
      <c r="V33" s="79">
        <f ca="1">IF($J33&lt;&gt;0,VLOOKUP($L33,'Allocation Factors - Ex Fran'!$B$12:$U$169,13,FALSE)*$J33,0)+IF($F33&lt;&gt;0,VLOOKUP($H33,'Allocation Factors - Ex Fran'!$B$12:$U$169,13,FALSE)*$F33,0)</f>
        <v>38.401397033281143</v>
      </c>
    </row>
    <row r="34" spans="1:22" x14ac:dyDescent="0.2">
      <c r="A34" s="2">
        <f t="shared" si="7"/>
        <v>20</v>
      </c>
      <c r="B34" s="31" t="s">
        <v>99</v>
      </c>
      <c r="D34" s="41">
        <f ca="1">SUM(D27:D33)</f>
        <v>20656.12506591517</v>
      </c>
      <c r="F34" s="41">
        <f>SUM(F27:F33)</f>
        <v>9719</v>
      </c>
      <c r="J34" s="41">
        <f ca="1">SUM(J27:J33)</f>
        <v>10937.12506591517</v>
      </c>
      <c r="N34" s="41">
        <f t="shared" ref="N34:V34" ca="1" si="8">SUM(N27:N33)</f>
        <v>0</v>
      </c>
      <c r="O34" s="41">
        <f t="shared" ca="1" si="8"/>
        <v>0</v>
      </c>
      <c r="P34" s="41">
        <f t="shared" ca="1" si="8"/>
        <v>0</v>
      </c>
      <c r="Q34" s="41">
        <f t="shared" ca="1" si="8"/>
        <v>4809.1394549072111</v>
      </c>
      <c r="R34" s="41">
        <f t="shared" ca="1" si="8"/>
        <v>2038.603043329879</v>
      </c>
      <c r="S34" s="41">
        <f t="shared" ca="1" si="8"/>
        <v>13402.2774997001</v>
      </c>
      <c r="T34" s="41">
        <f t="shared" ca="1" si="8"/>
        <v>76.400116379041748</v>
      </c>
      <c r="U34" s="41">
        <f t="shared" ca="1" si="8"/>
        <v>291.3035545656582</v>
      </c>
      <c r="V34" s="41">
        <f t="shared" ca="1" si="8"/>
        <v>38.401397033281143</v>
      </c>
    </row>
    <row r="35" spans="1:22" x14ac:dyDescent="0.2">
      <c r="N35" s="79"/>
      <c r="O35" s="79"/>
      <c r="P35" s="79"/>
      <c r="Q35" s="79"/>
      <c r="R35" s="79"/>
      <c r="S35" s="79"/>
      <c r="T35" s="79"/>
      <c r="U35" s="79"/>
      <c r="V35" s="79"/>
    </row>
    <row r="36" spans="1:22" x14ac:dyDescent="0.2">
      <c r="B36" s="77" t="s">
        <v>100</v>
      </c>
      <c r="H36" s="31"/>
      <c r="J36" s="2"/>
      <c r="L36" s="31"/>
      <c r="N36" s="2"/>
      <c r="P36" s="79"/>
      <c r="Q36" s="79"/>
      <c r="R36" s="79"/>
      <c r="S36" s="79"/>
      <c r="T36" s="79"/>
      <c r="U36" s="79"/>
      <c r="V36" s="79"/>
    </row>
    <row r="37" spans="1:22" x14ac:dyDescent="0.2">
      <c r="A37" s="2">
        <f>A34+1</f>
        <v>21</v>
      </c>
      <c r="B37" s="31" t="s">
        <v>287</v>
      </c>
      <c r="D37" s="79">
        <f ca="1">'Total Allocation RZ - Gas'!R37</f>
        <v>10.795706928649199</v>
      </c>
      <c r="E37" s="79"/>
      <c r="F37" s="79"/>
      <c r="G37" s="79"/>
      <c r="H37" s="79"/>
      <c r="I37" s="79"/>
      <c r="J37" s="79">
        <f t="shared" ref="J37:J39" ca="1" si="9">D37-F37</f>
        <v>10.795706928649199</v>
      </c>
      <c r="K37" s="79"/>
      <c r="L37" s="2" t="s">
        <v>290</v>
      </c>
      <c r="N37" s="79">
        <f ca="1">IF($J37&lt;&gt;0,VLOOKUP($L37,'Allocation Factors - Ex Fran'!$B$12:$U$169,5,FALSE)*$J37,0)+IF($F37&lt;&gt;0,VLOOKUP($H37,'Allocation Factors - Ex Fran'!$B$12:$U$169,5,FALSE)*$F37,0)</f>
        <v>0</v>
      </c>
      <c r="O37" s="79">
        <f ca="1">IF($J37&lt;&gt;0,VLOOKUP($L37,'Allocation Factors - Ex Fran'!$B$12:$U$169,6,FALSE)*$J37,0)+IF($F37&lt;&gt;0,VLOOKUP($H37,'Allocation Factors - Ex Fran'!$B$12:$U$169,6,FALSE)*$F37,0)</f>
        <v>0</v>
      </c>
      <c r="P37" s="79">
        <f ca="1">IF($J37&lt;&gt;0,VLOOKUP($L37,'Allocation Factors - Ex Fran'!$B$12:$U$169,7,FALSE)*$J37,0)+IF($F37&lt;&gt;0,VLOOKUP($H37,'Allocation Factors - Ex Fran'!$B$12:$U$169,7,FALSE)*$F37,0)</f>
        <v>0</v>
      </c>
      <c r="Q37" s="79">
        <f ca="1">IF($J37&lt;&gt;0,VLOOKUP($L37,'Allocation Factors - Ex Fran'!$B$12:$U$169,8,FALSE)*$J37,0)+IF($F37&lt;&gt;0,VLOOKUP($H37,'Allocation Factors - Ex Fran'!$B$12:$U$169,8,FALSE)*$F37,0)</f>
        <v>0</v>
      </c>
      <c r="R37" s="79">
        <f ca="1">IF($J37&lt;&gt;0,VLOOKUP($L37,'Allocation Factors - Ex Fran'!$B$12:$U$169,9,FALSE)*$J37,0)+IF($F37&lt;&gt;0,VLOOKUP($H37,'Allocation Factors - Ex Fran'!$B$12:$U$169,9,FALSE)*$F37,0)</f>
        <v>0</v>
      </c>
      <c r="S37" s="79">
        <f ca="1">IF($J37&lt;&gt;0,VLOOKUP($L37,'Allocation Factors - Ex Fran'!$B$12:$U$169,10,FALSE)*$J37,0)+IF($F37&lt;&gt;0,VLOOKUP($H37,'Allocation Factors - Ex Fran'!$B$12:$U$169,10,FALSE)*$F37,0)</f>
        <v>0</v>
      </c>
      <c r="T37" s="79">
        <f ca="1">IF($J37&lt;&gt;0,VLOOKUP($L37,'Allocation Factors - Ex Fran'!$B$12:$U$169,11,FALSE)*$J37,0)+IF($F37&lt;&gt;0,VLOOKUP($H37,'Allocation Factors - Ex Fran'!$B$12:$U$169,11,FALSE)*$F37,0)</f>
        <v>0</v>
      </c>
      <c r="U37" s="79">
        <f ca="1">IF($J37&lt;&gt;0,VLOOKUP($L37,'Allocation Factors - Ex Fran'!$B$12:$U$169,12,FALSE)*$J37,0)+IF($F37&lt;&gt;0,VLOOKUP($H37,'Allocation Factors - Ex Fran'!$B$12:$U$169,12,FALSE)*$F37,0)</f>
        <v>0</v>
      </c>
      <c r="V37" s="79">
        <f ca="1">IF($J37&lt;&gt;0,VLOOKUP($L37,'Allocation Factors - Ex Fran'!$B$16:$U$169,13,FALSE)*$J37,0)+IF($F37&lt;&gt;0,VLOOKUP($H37,'Allocation Factors - Ex Fran'!$B$16:$U$169,13,FALSE)*$F37,0)</f>
        <v>10.795706928649199</v>
      </c>
    </row>
    <row r="38" spans="1:22" x14ac:dyDescent="0.2">
      <c r="A38" s="2">
        <f>A37+1</f>
        <v>22</v>
      </c>
      <c r="B38" s="31" t="s">
        <v>288</v>
      </c>
      <c r="D38" s="79">
        <f ca="1">'Total Allocation RZ - Gas'!R38</f>
        <v>0</v>
      </c>
      <c r="E38" s="79"/>
      <c r="F38" s="79"/>
      <c r="G38" s="79"/>
      <c r="H38" s="79"/>
      <c r="I38" s="79"/>
      <c r="J38" s="79">
        <f t="shared" ca="1" si="9"/>
        <v>0</v>
      </c>
      <c r="K38" s="79"/>
      <c r="L38" s="2" t="s">
        <v>291</v>
      </c>
      <c r="N38" s="79">
        <f ca="1">IF($J38&lt;&gt;0,VLOOKUP($L38,'Allocation Factors - Ex Fran'!$B$12:$U$169,5,FALSE)*$J38,0)+IF($F38&lt;&gt;0,VLOOKUP($H38,'Allocation Factors - Ex Fran'!$B$12:$U$169,5,FALSE)*$F38,0)</f>
        <v>0</v>
      </c>
      <c r="O38" s="79">
        <f ca="1">IF($J38&lt;&gt;0,VLOOKUP($L38,'Allocation Factors - Ex Fran'!$B$12:$U$169,6,FALSE)*$J38,0)+IF($F38&lt;&gt;0,VLOOKUP($H38,'Allocation Factors - Ex Fran'!$B$12:$U$169,6,FALSE)*$F38,0)</f>
        <v>0</v>
      </c>
      <c r="P38" s="79">
        <f ca="1">IF($J38&lt;&gt;0,VLOOKUP($L38,'Allocation Factors - Ex Fran'!$B$12:$U$169,7,FALSE)*$J38,0)+IF($F38&lt;&gt;0,VLOOKUP($H38,'Allocation Factors - Ex Fran'!$B$12:$U$169,7,FALSE)*$F38,0)</f>
        <v>0</v>
      </c>
      <c r="Q38" s="79">
        <f ca="1">IF($J38&lt;&gt;0,VLOOKUP($L38,'Allocation Factors - Ex Fran'!$B$12:$U$169,8,FALSE)*$J38,0)+IF($F38&lt;&gt;0,VLOOKUP($H38,'Allocation Factors - Ex Fran'!$B$12:$U$169,8,FALSE)*$F38,0)</f>
        <v>0</v>
      </c>
      <c r="R38" s="79">
        <f ca="1">IF($J38&lt;&gt;0,VLOOKUP($L38,'Allocation Factors - Ex Fran'!$B$12:$U$169,9,FALSE)*$J38,0)+IF($F38&lt;&gt;0,VLOOKUP($H38,'Allocation Factors - Ex Fran'!$B$12:$U$169,9,FALSE)*$F38,0)</f>
        <v>0</v>
      </c>
      <c r="S38" s="79">
        <f ca="1">IF($J38&lt;&gt;0,VLOOKUP($L38,'Allocation Factors - Ex Fran'!$B$12:$U$169,10,FALSE)*$J38,0)+IF($F38&lt;&gt;0,VLOOKUP($H38,'Allocation Factors - Ex Fran'!$B$12:$U$169,10,FALSE)*$F38,0)</f>
        <v>0</v>
      </c>
      <c r="T38" s="79">
        <f ca="1">IF($J38&lt;&gt;0,VLOOKUP($L38,'Allocation Factors - Ex Fran'!$B$12:$U$169,11,FALSE)*$J38,0)+IF($F38&lt;&gt;0,VLOOKUP($H38,'Allocation Factors - Ex Fran'!$B$12:$U$169,11,FALSE)*$F38,0)</f>
        <v>0</v>
      </c>
      <c r="U38" s="79">
        <f ca="1">IF($J38&lt;&gt;0,VLOOKUP($L38,'Allocation Factors - Ex Fran'!$B$12:$U$169,12,FALSE)*$J38,0)+IF($F38&lt;&gt;0,VLOOKUP($H38,'Allocation Factors - Ex Fran'!$B$12:$U$169,12,FALSE)*$F38,0)</f>
        <v>0</v>
      </c>
      <c r="V38" s="79">
        <f ca="1">IF($J38&lt;&gt;0,VLOOKUP($L38,'Allocation Factors - Ex Fran'!$B$16:$U$169,13,FALSE)*$J38,0)+IF($F38&lt;&gt;0,VLOOKUP($H38,'Allocation Factors - Ex Fran'!$B$16:$U$169,13,FALSE)*$F38,0)</f>
        <v>0</v>
      </c>
    </row>
    <row r="39" spans="1:22" x14ac:dyDescent="0.2">
      <c r="A39" s="2">
        <f t="shared" ref="A39:A52" si="10">A38+1</f>
        <v>23</v>
      </c>
      <c r="B39" s="31" t="s">
        <v>289</v>
      </c>
      <c r="D39" s="79">
        <f ca="1">'Total Allocation RZ - Gas'!R39</f>
        <v>0</v>
      </c>
      <c r="E39" s="79"/>
      <c r="F39" s="79"/>
      <c r="G39" s="79"/>
      <c r="H39" s="79"/>
      <c r="I39" s="79"/>
      <c r="J39" s="79">
        <f t="shared" ca="1" si="9"/>
        <v>0</v>
      </c>
      <c r="K39" s="79"/>
      <c r="L39" s="2" t="s">
        <v>292</v>
      </c>
      <c r="N39" s="79">
        <f ca="1">IF($J39&lt;&gt;0,VLOOKUP($L39,'Allocation Factors - Ex Fran'!$B$12:$U$169,5,FALSE)*$J39,0)+IF($F39&lt;&gt;0,VLOOKUP($H39,'Allocation Factors - Ex Fran'!$B$12:$U$169,5,FALSE)*$F39,0)</f>
        <v>0</v>
      </c>
      <c r="O39" s="79">
        <f ca="1">IF($J39&lt;&gt;0,VLOOKUP($L39,'Allocation Factors - Ex Fran'!$B$12:$U$169,6,FALSE)*$J39,0)+IF($F39&lt;&gt;0,VLOOKUP($H39,'Allocation Factors - Ex Fran'!$B$12:$U$169,6,FALSE)*$F39,0)</f>
        <v>0</v>
      </c>
      <c r="P39" s="79">
        <f ca="1">IF($J39&lt;&gt;0,VLOOKUP($L39,'Allocation Factors - Ex Fran'!$B$12:$U$169,7,FALSE)*$J39,0)+IF($F39&lt;&gt;0,VLOOKUP($H39,'Allocation Factors - Ex Fran'!$B$12:$U$169,7,FALSE)*$F39,0)</f>
        <v>0</v>
      </c>
      <c r="Q39" s="79">
        <f ca="1">IF($J39&lt;&gt;0,VLOOKUP($L39,'Allocation Factors - Ex Fran'!$B$12:$U$169,8,FALSE)*$J39,0)+IF($F39&lt;&gt;0,VLOOKUP($H39,'Allocation Factors - Ex Fran'!$B$12:$U$169,8,FALSE)*$F39,0)</f>
        <v>0</v>
      </c>
      <c r="R39" s="79">
        <f ca="1">IF($J39&lt;&gt;0,VLOOKUP($L39,'Allocation Factors - Ex Fran'!$B$12:$U$169,9,FALSE)*$J39,0)+IF($F39&lt;&gt;0,VLOOKUP($H39,'Allocation Factors - Ex Fran'!$B$12:$U$169,9,FALSE)*$F39,0)</f>
        <v>0</v>
      </c>
      <c r="S39" s="79">
        <f ca="1">IF($J39&lt;&gt;0,VLOOKUP($L39,'Allocation Factors - Ex Fran'!$B$12:$U$169,10,FALSE)*$J39,0)+IF($F39&lt;&gt;0,VLOOKUP($H39,'Allocation Factors - Ex Fran'!$B$12:$U$169,10,FALSE)*$F39,0)</f>
        <v>0</v>
      </c>
      <c r="T39" s="79">
        <f ca="1">IF($J39&lt;&gt;0,VLOOKUP($L39,'Allocation Factors - Ex Fran'!$B$12:$U$169,11,FALSE)*$J39,0)+IF($F39&lt;&gt;0,VLOOKUP($H39,'Allocation Factors - Ex Fran'!$B$12:$U$169,11,FALSE)*$F39,0)</f>
        <v>0</v>
      </c>
      <c r="U39" s="79">
        <f ca="1">IF($J39&lt;&gt;0,VLOOKUP($L39,'Allocation Factors - Ex Fran'!$B$12:$U$169,12,FALSE)*$J39,0)+IF($F39&lt;&gt;0,VLOOKUP($H39,'Allocation Factors - Ex Fran'!$B$12:$U$169,12,FALSE)*$F39,0)</f>
        <v>0</v>
      </c>
      <c r="V39" s="79">
        <f ca="1">IF($J39&lt;&gt;0,VLOOKUP($L39,'Allocation Factors - Ex Fran'!$B$16:$U$169,13,FALSE)*$J39,0)+IF($F39&lt;&gt;0,VLOOKUP($H39,'Allocation Factors - Ex Fran'!$B$16:$U$169,13,FALSE)*$F39,0)</f>
        <v>0</v>
      </c>
    </row>
    <row r="40" spans="1:22" x14ac:dyDescent="0.2">
      <c r="B40" s="31" t="s">
        <v>163</v>
      </c>
      <c r="D40" s="79"/>
      <c r="E40" s="79"/>
      <c r="F40" s="79"/>
      <c r="G40" s="79"/>
      <c r="H40" s="79"/>
      <c r="I40" s="79"/>
      <c r="J40" s="123"/>
      <c r="K40" s="79"/>
      <c r="N40" s="2"/>
    </row>
    <row r="41" spans="1:22" x14ac:dyDescent="0.2">
      <c r="A41" s="2">
        <f>A39+1</f>
        <v>24</v>
      </c>
      <c r="B41" s="82" t="s">
        <v>165</v>
      </c>
      <c r="D41" s="79">
        <f ca="1">'Total Allocation RZ - Gas'!R41</f>
        <v>0</v>
      </c>
      <c r="E41" s="79"/>
      <c r="F41" s="79"/>
      <c r="G41" s="79"/>
      <c r="H41" s="79"/>
      <c r="I41" s="79"/>
      <c r="J41" s="79">
        <f t="shared" ref="J41:J46" ca="1" si="11">D41-F41</f>
        <v>0</v>
      </c>
      <c r="K41" s="79"/>
      <c r="L41" s="2" t="s">
        <v>161</v>
      </c>
      <c r="N41" s="79">
        <f ca="1">IF($J41&lt;&gt;0,VLOOKUP($L41,'Allocation Factors - Ex Fran'!$B$12:$U$169,5,FALSE)*$J41,0)+IF($F41&lt;&gt;0,VLOOKUP($H41,'Allocation Factors - Ex Fran'!$B$12:$U$169,5,FALSE)*$F41,0)</f>
        <v>0</v>
      </c>
      <c r="O41" s="79">
        <f ca="1">IF($J41&lt;&gt;0,VLOOKUP($L41,'Allocation Factors - Ex Fran'!$B$12:$U$169,6,FALSE)*$J41,0)+IF($F41&lt;&gt;0,VLOOKUP($H41,'Allocation Factors - Ex Fran'!$B$12:$U$169,6,FALSE)*$F41,0)</f>
        <v>0</v>
      </c>
      <c r="P41" s="79">
        <f ca="1">IF($J41&lt;&gt;0,VLOOKUP($L41,'Allocation Factors - Ex Fran'!$B$12:$U$169,7,FALSE)*$J41,0)+IF($F41&lt;&gt;0,VLOOKUP($H41,'Allocation Factors - Ex Fran'!$B$12:$U$169,7,FALSE)*$F41,0)</f>
        <v>0</v>
      </c>
      <c r="Q41" s="79">
        <f ca="1">IF($J41&lt;&gt;0,VLOOKUP($L41,'Allocation Factors - Ex Fran'!$B$12:$U$169,8,FALSE)*$J41,0)+IF($F41&lt;&gt;0,VLOOKUP($H41,'Allocation Factors - Ex Fran'!$B$12:$U$169,8,FALSE)*$F41,0)</f>
        <v>0</v>
      </c>
      <c r="R41" s="79">
        <f ca="1">IF($J41&lt;&gt;0,VLOOKUP($L41,'Allocation Factors - Ex Fran'!$B$12:$U$169,9,FALSE)*$J41,0)+IF($F41&lt;&gt;0,VLOOKUP($H41,'Allocation Factors - Ex Fran'!$B$12:$U$169,9,FALSE)*$F41,0)</f>
        <v>0</v>
      </c>
      <c r="S41" s="79">
        <f ca="1">IF($J41&lt;&gt;0,VLOOKUP($L41,'Allocation Factors - Ex Fran'!$B$12:$U$169,10,FALSE)*$J41,0)+IF($F41&lt;&gt;0,VLOOKUP($H41,'Allocation Factors - Ex Fran'!$B$12:$U$169,10,FALSE)*$F41,0)</f>
        <v>0</v>
      </c>
      <c r="T41" s="79">
        <f ca="1">IF($J41&lt;&gt;0,VLOOKUP($L41,'Allocation Factors - Ex Fran'!$B$12:$U$169,11,FALSE)*$J41,0)+IF($F41&lt;&gt;0,VLOOKUP($H41,'Allocation Factors - Ex Fran'!$B$12:$U$169,11,FALSE)*$F41,0)</f>
        <v>0</v>
      </c>
      <c r="U41" s="79">
        <f ca="1">IF($J41&lt;&gt;0,VLOOKUP($L41,'Allocation Factors - Ex Fran'!$B$12:$U$169,12,FALSE)*$J41,0)+IF($F41&lt;&gt;0,VLOOKUP($H41,'Allocation Factors - Ex Fran'!$B$12:$U$169,12,FALSE)*$F41,0)</f>
        <v>0</v>
      </c>
      <c r="V41" s="79">
        <f ca="1">IF($J41&lt;&gt;0,VLOOKUP($L41,'Allocation Factors - Ex Fran'!$B$16:$U$169,13,FALSE)*$J41,0)+IF($F41&lt;&gt;0,VLOOKUP($H41,'Allocation Factors - Ex Fran'!$B$16:$U$169,13,FALSE)*$F41,0)</f>
        <v>0</v>
      </c>
    </row>
    <row r="42" spans="1:22" x14ac:dyDescent="0.2">
      <c r="A42" s="2">
        <f t="shared" si="10"/>
        <v>25</v>
      </c>
      <c r="B42" s="82" t="s">
        <v>166</v>
      </c>
      <c r="D42" s="79">
        <f ca="1">'Total Allocation RZ - Gas'!R42</f>
        <v>0</v>
      </c>
      <c r="E42" s="79"/>
      <c r="F42" s="79"/>
      <c r="G42" s="79"/>
      <c r="H42" s="79"/>
      <c r="I42" s="79"/>
      <c r="J42" s="79">
        <f t="shared" ca="1" si="11"/>
        <v>0</v>
      </c>
      <c r="K42" s="79"/>
      <c r="L42" s="2" t="s">
        <v>162</v>
      </c>
      <c r="N42" s="79">
        <f ca="1">IF($J42&lt;&gt;0,VLOOKUP($L42,'Allocation Factors - Ex Fran'!$B$12:$U$169,5,FALSE)*$J42,0)+IF($F42&lt;&gt;0,VLOOKUP($H42,'Allocation Factors - Ex Fran'!$B$12:$U$169,5,FALSE)*$F42,0)</f>
        <v>0</v>
      </c>
      <c r="O42" s="79">
        <f ca="1">IF($J42&lt;&gt;0,VLOOKUP($L42,'Allocation Factors - Ex Fran'!$B$12:$U$169,6,FALSE)*$J42,0)+IF($F42&lt;&gt;0,VLOOKUP($H42,'Allocation Factors - Ex Fran'!$B$12:$U$169,6,FALSE)*$F42,0)</f>
        <v>0</v>
      </c>
      <c r="P42" s="79">
        <f ca="1">IF($J42&lt;&gt;0,VLOOKUP($L42,'Allocation Factors - Ex Fran'!$B$12:$U$169,7,FALSE)*$J42,0)+IF($F42&lt;&gt;0,VLOOKUP($H42,'Allocation Factors - Ex Fran'!$B$12:$U$169,7,FALSE)*$F42,0)</f>
        <v>0</v>
      </c>
      <c r="Q42" s="79">
        <f ca="1">IF($J42&lt;&gt;0,VLOOKUP($L42,'Allocation Factors - Ex Fran'!$B$12:$U$169,8,FALSE)*$J42,0)+IF($F42&lt;&gt;0,VLOOKUP($H42,'Allocation Factors - Ex Fran'!$B$12:$U$169,8,FALSE)*$F42,0)</f>
        <v>0</v>
      </c>
      <c r="R42" s="79">
        <f ca="1">IF($J42&lt;&gt;0,VLOOKUP($L42,'Allocation Factors - Ex Fran'!$B$12:$U$169,9,FALSE)*$J42,0)+IF($F42&lt;&gt;0,VLOOKUP($H42,'Allocation Factors - Ex Fran'!$B$12:$U$169,9,FALSE)*$F42,0)</f>
        <v>0</v>
      </c>
      <c r="S42" s="79">
        <f ca="1">IF($J42&lt;&gt;0,VLOOKUP($L42,'Allocation Factors - Ex Fran'!$B$12:$U$169,10,FALSE)*$J42,0)+IF($F42&lt;&gt;0,VLOOKUP($H42,'Allocation Factors - Ex Fran'!$B$12:$U$169,10,FALSE)*$F42,0)</f>
        <v>0</v>
      </c>
      <c r="T42" s="79">
        <f ca="1">IF($J42&lt;&gt;0,VLOOKUP($L42,'Allocation Factors - Ex Fran'!$B$12:$U$169,11,FALSE)*$J42,0)+IF($F42&lt;&gt;0,VLOOKUP($H42,'Allocation Factors - Ex Fran'!$B$12:$U$169,11,FALSE)*$F42,0)</f>
        <v>0</v>
      </c>
      <c r="U42" s="79">
        <f ca="1">IF($J42&lt;&gt;0,VLOOKUP($L42,'Allocation Factors - Ex Fran'!$B$12:$U$169,12,FALSE)*$J42,0)+IF($F42&lt;&gt;0,VLOOKUP($H42,'Allocation Factors - Ex Fran'!$B$12:$U$169,12,FALSE)*$F42,0)</f>
        <v>0</v>
      </c>
      <c r="V42" s="79">
        <f ca="1">IF($J42&lt;&gt;0,VLOOKUP($L42,'Allocation Factors - Ex Fran'!$B$16:$U$169,13,FALSE)*$J42,0)+IF($F42&lt;&gt;0,VLOOKUP($H42,'Allocation Factors - Ex Fran'!$B$16:$U$169,13,FALSE)*$F42,0)</f>
        <v>0</v>
      </c>
    </row>
    <row r="43" spans="1:22" x14ac:dyDescent="0.2">
      <c r="A43" s="2">
        <f t="shared" si="10"/>
        <v>26</v>
      </c>
      <c r="B43" s="31" t="s">
        <v>101</v>
      </c>
      <c r="D43" s="79">
        <f ca="1">'Total Allocation RZ - Gas'!R43</f>
        <v>0</v>
      </c>
      <c r="E43" s="79"/>
      <c r="F43" s="79"/>
      <c r="G43" s="79"/>
      <c r="H43" s="79"/>
      <c r="I43" s="79"/>
      <c r="J43" s="79">
        <f t="shared" ca="1" si="11"/>
        <v>0</v>
      </c>
      <c r="K43" s="79"/>
      <c r="L43" s="2" t="s">
        <v>220</v>
      </c>
      <c r="N43" s="79">
        <f ca="1">IF($J43&lt;&gt;0,VLOOKUP($L43,'Allocation Factors - Ex Fran'!$B$12:$U$169,5,FALSE)*$J43,0)+IF($F43&lt;&gt;0,VLOOKUP($H43,'Allocation Factors - Ex Fran'!$B$12:$U$169,5,FALSE)*$F43,0)</f>
        <v>0</v>
      </c>
      <c r="O43" s="79">
        <f ca="1">IF($J43&lt;&gt;0,VLOOKUP($L43,'Allocation Factors - Ex Fran'!$B$12:$U$169,6,FALSE)*$J43,0)+IF($F43&lt;&gt;0,VLOOKUP($H43,'Allocation Factors - Ex Fran'!$B$12:$U$169,6,FALSE)*$F43,0)</f>
        <v>0</v>
      </c>
      <c r="P43" s="79">
        <f ca="1">IF($J43&lt;&gt;0,VLOOKUP($L43,'Allocation Factors - Ex Fran'!$B$12:$U$169,7,FALSE)*$J43,0)+IF($F43&lt;&gt;0,VLOOKUP($H43,'Allocation Factors - Ex Fran'!$B$12:$U$169,7,FALSE)*$F43,0)</f>
        <v>0</v>
      </c>
      <c r="Q43" s="79">
        <f ca="1">IF($J43&lt;&gt;0,VLOOKUP($L43,'Allocation Factors - Ex Fran'!$B$12:$U$169,8,FALSE)*$J43,0)+IF($F43&lt;&gt;0,VLOOKUP($H43,'Allocation Factors - Ex Fran'!$B$12:$U$169,8,FALSE)*$F43,0)</f>
        <v>0</v>
      </c>
      <c r="R43" s="79">
        <f ca="1">IF($J43&lt;&gt;0,VLOOKUP($L43,'Allocation Factors - Ex Fran'!$B$12:$U$169,9,FALSE)*$J43,0)+IF($F43&lt;&gt;0,VLOOKUP($H43,'Allocation Factors - Ex Fran'!$B$12:$U$169,9,FALSE)*$F43,0)</f>
        <v>0</v>
      </c>
      <c r="S43" s="79">
        <f ca="1">IF($J43&lt;&gt;0,VLOOKUP($L43,'Allocation Factors - Ex Fran'!$B$12:$U$169,10,FALSE)*$J43,0)+IF($F43&lt;&gt;0,VLOOKUP($H43,'Allocation Factors - Ex Fran'!$B$12:$U$169,10,FALSE)*$F43,0)</f>
        <v>0</v>
      </c>
      <c r="T43" s="79">
        <f ca="1">IF($J43&lt;&gt;0,VLOOKUP($L43,'Allocation Factors - Ex Fran'!$B$12:$U$169,11,FALSE)*$J43,0)+IF($F43&lt;&gt;0,VLOOKUP($H43,'Allocation Factors - Ex Fran'!$B$12:$U$169,11,FALSE)*$F43,0)</f>
        <v>0</v>
      </c>
      <c r="U43" s="79">
        <f ca="1">IF($J43&lt;&gt;0,VLOOKUP($L43,'Allocation Factors - Ex Fran'!$B$12:$U$169,12,FALSE)*$J43,0)+IF($F43&lt;&gt;0,VLOOKUP($H43,'Allocation Factors - Ex Fran'!$B$12:$U$169,12,FALSE)*$F43,0)</f>
        <v>0</v>
      </c>
      <c r="V43" s="79">
        <f ca="1">IF($J43&lt;&gt;0,VLOOKUP($L43,'Allocation Factors - Ex Fran'!$B$16:$U$169,13,FALSE)*$J43,0)+IF($F43&lt;&gt;0,VLOOKUP($H43,'Allocation Factors - Ex Fran'!$B$16:$U$169,13,FALSE)*$F43,0)</f>
        <v>0</v>
      </c>
    </row>
    <row r="44" spans="1:22" x14ac:dyDescent="0.2">
      <c r="A44" s="2">
        <f t="shared" si="10"/>
        <v>27</v>
      </c>
      <c r="B44" s="31" t="s">
        <v>102</v>
      </c>
      <c r="D44" s="79">
        <f ca="1">'Total Allocation RZ - Gas'!R44</f>
        <v>0</v>
      </c>
      <c r="E44" s="79"/>
      <c r="F44" s="79"/>
      <c r="G44" s="79"/>
      <c r="H44" s="79"/>
      <c r="I44" s="79"/>
      <c r="J44" s="79">
        <f t="shared" ca="1" si="11"/>
        <v>0</v>
      </c>
      <c r="K44" s="79"/>
      <c r="L44" s="2" t="s">
        <v>220</v>
      </c>
      <c r="N44" s="79">
        <f ca="1">IF($J44&lt;&gt;0,VLOOKUP($L44,'Allocation Factors - Ex Fran'!$B$12:$U$169,5,FALSE)*$J44,0)+IF($F44&lt;&gt;0,VLOOKUP($H44,'Allocation Factors - Ex Fran'!$B$12:$U$169,5,FALSE)*$F44,0)</f>
        <v>0</v>
      </c>
      <c r="O44" s="79">
        <f ca="1">IF($J44&lt;&gt;0,VLOOKUP($L44,'Allocation Factors - Ex Fran'!$B$12:$U$169,6,FALSE)*$J44,0)+IF($F44&lt;&gt;0,VLOOKUP($H44,'Allocation Factors - Ex Fran'!$B$12:$U$169,6,FALSE)*$F44,0)</f>
        <v>0</v>
      </c>
      <c r="P44" s="79">
        <f ca="1">IF($J44&lt;&gt;0,VLOOKUP($L44,'Allocation Factors - Ex Fran'!$B$12:$U$169,7,FALSE)*$J44,0)+IF($F44&lt;&gt;0,VLOOKUP($H44,'Allocation Factors - Ex Fran'!$B$12:$U$169,7,FALSE)*$F44,0)</f>
        <v>0</v>
      </c>
      <c r="Q44" s="79">
        <f ca="1">IF($J44&lt;&gt;0,VLOOKUP($L44,'Allocation Factors - Ex Fran'!$B$12:$U$169,8,FALSE)*$J44,0)+IF($F44&lt;&gt;0,VLOOKUP($H44,'Allocation Factors - Ex Fran'!$B$12:$U$169,8,FALSE)*$F44,0)</f>
        <v>0</v>
      </c>
      <c r="R44" s="79">
        <f ca="1">IF($J44&lt;&gt;0,VLOOKUP($L44,'Allocation Factors - Ex Fran'!$B$12:$U$169,9,FALSE)*$J44,0)+IF($F44&lt;&gt;0,VLOOKUP($H44,'Allocation Factors - Ex Fran'!$B$12:$U$169,9,FALSE)*$F44,0)</f>
        <v>0</v>
      </c>
      <c r="S44" s="79">
        <f ca="1">IF($J44&lt;&gt;0,VLOOKUP($L44,'Allocation Factors - Ex Fran'!$B$12:$U$169,10,FALSE)*$J44,0)+IF($F44&lt;&gt;0,VLOOKUP($H44,'Allocation Factors - Ex Fran'!$B$12:$U$169,10,FALSE)*$F44,0)</f>
        <v>0</v>
      </c>
      <c r="T44" s="79">
        <f ca="1">IF($J44&lt;&gt;0,VLOOKUP($L44,'Allocation Factors - Ex Fran'!$B$12:$U$169,11,FALSE)*$J44,0)+IF($F44&lt;&gt;0,VLOOKUP($H44,'Allocation Factors - Ex Fran'!$B$12:$U$169,11,FALSE)*$F44,0)</f>
        <v>0</v>
      </c>
      <c r="U44" s="79">
        <f ca="1">IF($J44&lt;&gt;0,VLOOKUP($L44,'Allocation Factors - Ex Fran'!$B$12:$U$169,12,FALSE)*$J44,0)+IF($F44&lt;&gt;0,VLOOKUP($H44,'Allocation Factors - Ex Fran'!$B$12:$U$169,12,FALSE)*$F44,0)</f>
        <v>0</v>
      </c>
      <c r="V44" s="79">
        <f ca="1">IF($J44&lt;&gt;0,VLOOKUP($L44,'Allocation Factors - Ex Fran'!$B$16:$U$169,13,FALSE)*$J44,0)+IF($F44&lt;&gt;0,VLOOKUP($H44,'Allocation Factors - Ex Fran'!$B$16:$U$169,13,FALSE)*$F44,0)</f>
        <v>0</v>
      </c>
    </row>
    <row r="45" spans="1:22" x14ac:dyDescent="0.2">
      <c r="A45" s="2">
        <f t="shared" si="10"/>
        <v>28</v>
      </c>
      <c r="B45" s="31" t="s">
        <v>103</v>
      </c>
      <c r="D45" s="79">
        <f ca="1">'Total Allocation RZ - Gas'!R45</f>
        <v>0</v>
      </c>
      <c r="E45" s="79"/>
      <c r="F45" s="79"/>
      <c r="G45" s="79"/>
      <c r="H45" s="79"/>
      <c r="I45" s="79"/>
      <c r="J45" s="79">
        <f t="shared" ca="1" si="11"/>
        <v>0</v>
      </c>
      <c r="K45" s="79"/>
      <c r="L45" s="2" t="s">
        <v>190</v>
      </c>
      <c r="N45" s="79">
        <f ca="1">IF($J45&lt;&gt;0,VLOOKUP($L45,'Allocation Factors - Ex Fran'!$B$12:$U$169,5,FALSE)*$J45,0)+IF($F45&lt;&gt;0,VLOOKUP($H45,'Allocation Factors - Ex Fran'!$B$12:$U$169,5,FALSE)*$F45,0)</f>
        <v>0</v>
      </c>
      <c r="O45" s="79">
        <f ca="1">IF($J45&lt;&gt;0,VLOOKUP($L45,'Allocation Factors - Ex Fran'!$B$12:$U$169,6,FALSE)*$J45,0)+IF($F45&lt;&gt;0,VLOOKUP($H45,'Allocation Factors - Ex Fran'!$B$12:$U$169,6,FALSE)*$F45,0)</f>
        <v>0</v>
      </c>
      <c r="P45" s="79">
        <f ca="1">IF($J45&lt;&gt;0,VLOOKUP($L45,'Allocation Factors - Ex Fran'!$B$12:$U$169,7,FALSE)*$J45,0)+IF($F45&lt;&gt;0,VLOOKUP($H45,'Allocation Factors - Ex Fran'!$B$12:$U$169,7,FALSE)*$F45,0)</f>
        <v>0</v>
      </c>
      <c r="Q45" s="79">
        <f ca="1">IF($J45&lt;&gt;0,VLOOKUP($L45,'Allocation Factors - Ex Fran'!$B$12:$U$169,8,FALSE)*$J45,0)+IF($F45&lt;&gt;0,VLOOKUP($H45,'Allocation Factors - Ex Fran'!$B$12:$U$169,8,FALSE)*$F45,0)</f>
        <v>0</v>
      </c>
      <c r="R45" s="79">
        <f ca="1">IF($J45&lt;&gt;0,VLOOKUP($L45,'Allocation Factors - Ex Fran'!$B$12:$U$169,9,FALSE)*$J45,0)+IF($F45&lt;&gt;0,VLOOKUP($H45,'Allocation Factors - Ex Fran'!$B$12:$U$169,9,FALSE)*$F45,0)</f>
        <v>0</v>
      </c>
      <c r="S45" s="79">
        <f ca="1">IF($J45&lt;&gt;0,VLOOKUP($L45,'Allocation Factors - Ex Fran'!$B$12:$U$169,10,FALSE)*$J45,0)+IF($F45&lt;&gt;0,VLOOKUP($H45,'Allocation Factors - Ex Fran'!$B$12:$U$169,10,FALSE)*$F45,0)</f>
        <v>0</v>
      </c>
      <c r="T45" s="79">
        <f ca="1">IF($J45&lt;&gt;0,VLOOKUP($L45,'Allocation Factors - Ex Fran'!$B$12:$U$169,11,FALSE)*$J45,0)+IF($F45&lt;&gt;0,VLOOKUP($H45,'Allocation Factors - Ex Fran'!$B$12:$U$169,11,FALSE)*$F45,0)</f>
        <v>0</v>
      </c>
      <c r="U45" s="79">
        <f ca="1">IF($J45&lt;&gt;0,VLOOKUP($L45,'Allocation Factors - Ex Fran'!$B$12:$U$169,12,FALSE)*$J45,0)+IF($F45&lt;&gt;0,VLOOKUP($H45,'Allocation Factors - Ex Fran'!$B$12:$U$169,12,FALSE)*$F45,0)</f>
        <v>0</v>
      </c>
      <c r="V45" s="79">
        <f ca="1">IF($J45&lt;&gt;0,VLOOKUP($L45,'Allocation Factors - Ex Fran'!$B$16:$U$169,13,FALSE)*$J45,0)+IF($F45&lt;&gt;0,VLOOKUP($H45,'Allocation Factors - Ex Fran'!$B$16:$U$169,13,FALSE)*$F45,0)</f>
        <v>0</v>
      </c>
    </row>
    <row r="46" spans="1:22" x14ac:dyDescent="0.2">
      <c r="A46" s="2">
        <f t="shared" si="10"/>
        <v>29</v>
      </c>
      <c r="B46" s="31" t="s">
        <v>186</v>
      </c>
      <c r="D46" s="79">
        <f ca="1">'Total Allocation RZ - Gas'!R46</f>
        <v>0</v>
      </c>
      <c r="E46" s="79"/>
      <c r="F46" s="79"/>
      <c r="G46" s="79"/>
      <c r="H46" s="79"/>
      <c r="I46" s="79"/>
      <c r="J46" s="79">
        <f t="shared" ca="1" si="11"/>
        <v>0</v>
      </c>
      <c r="K46" s="79"/>
      <c r="L46" s="2" t="s">
        <v>191</v>
      </c>
      <c r="N46" s="79">
        <f ca="1">IF($J46&lt;&gt;0,VLOOKUP($L46,'Allocation Factors - Ex Fran'!$B$12:$U$169,5,FALSE)*$J46,0)+IF($F46&lt;&gt;0,VLOOKUP($H46,'Allocation Factors - Ex Fran'!$B$12:$U$169,5,FALSE)*$F46,0)</f>
        <v>0</v>
      </c>
      <c r="O46" s="79">
        <f ca="1">IF($J46&lt;&gt;0,VLOOKUP($L46,'Allocation Factors - Ex Fran'!$B$12:$U$169,6,FALSE)*$J46,0)+IF($F46&lt;&gt;0,VLOOKUP($H46,'Allocation Factors - Ex Fran'!$B$12:$U$169,6,FALSE)*$F46,0)</f>
        <v>0</v>
      </c>
      <c r="P46" s="79">
        <f ca="1">IF($J46&lt;&gt;0,VLOOKUP($L46,'Allocation Factors - Ex Fran'!$B$12:$U$169,7,FALSE)*$J46,0)+IF($F46&lt;&gt;0,VLOOKUP($H46,'Allocation Factors - Ex Fran'!$B$12:$U$169,7,FALSE)*$F46,0)</f>
        <v>0</v>
      </c>
      <c r="Q46" s="79">
        <f ca="1">IF($J46&lt;&gt;0,VLOOKUP($L46,'Allocation Factors - Ex Fran'!$B$12:$U$169,8,FALSE)*$J46,0)+IF($F46&lt;&gt;0,VLOOKUP($H46,'Allocation Factors - Ex Fran'!$B$12:$U$169,8,FALSE)*$F46,0)</f>
        <v>0</v>
      </c>
      <c r="R46" s="79">
        <f ca="1">IF($J46&lt;&gt;0,VLOOKUP($L46,'Allocation Factors - Ex Fran'!$B$12:$U$169,9,FALSE)*$J46,0)+IF($F46&lt;&gt;0,VLOOKUP($H46,'Allocation Factors - Ex Fran'!$B$12:$U$169,9,FALSE)*$F46,0)</f>
        <v>0</v>
      </c>
      <c r="S46" s="79">
        <f ca="1">IF($J46&lt;&gt;0,VLOOKUP($L46,'Allocation Factors - Ex Fran'!$B$12:$U$169,10,FALSE)*$J46,0)+IF($F46&lt;&gt;0,VLOOKUP($H46,'Allocation Factors - Ex Fran'!$B$12:$U$169,10,FALSE)*$F46,0)</f>
        <v>0</v>
      </c>
      <c r="T46" s="79">
        <f ca="1">IF($J46&lt;&gt;0,VLOOKUP($L46,'Allocation Factors - Ex Fran'!$B$12:$U$169,11,FALSE)*$J46,0)+IF($F46&lt;&gt;0,VLOOKUP($H46,'Allocation Factors - Ex Fran'!$B$12:$U$169,11,FALSE)*$F46,0)</f>
        <v>0</v>
      </c>
      <c r="U46" s="79">
        <f ca="1">IF($J46&lt;&gt;0,VLOOKUP($L46,'Allocation Factors - Ex Fran'!$B$12:$U$169,12,FALSE)*$J46,0)+IF($F46&lt;&gt;0,VLOOKUP($H46,'Allocation Factors - Ex Fran'!$B$12:$U$169,12,FALSE)*$F46,0)</f>
        <v>0</v>
      </c>
      <c r="V46" s="79">
        <f ca="1">IF($J46&lt;&gt;0,VLOOKUP($L46,'Allocation Factors - Ex Fran'!$B$16:$U$169,13,FALSE)*$J46,0)+IF($F46&lt;&gt;0,VLOOKUP($H46,'Allocation Factors - Ex Fran'!$B$16:$U$169,13,FALSE)*$F46,0)</f>
        <v>0</v>
      </c>
    </row>
    <row r="47" spans="1:22" x14ac:dyDescent="0.2">
      <c r="B47" s="31" t="s">
        <v>164</v>
      </c>
      <c r="D47" s="79">
        <f>'Total Allocation RZ - Gas'!N47</f>
        <v>0</v>
      </c>
      <c r="E47" s="79"/>
      <c r="F47" s="79"/>
      <c r="G47" s="79"/>
      <c r="H47" s="79"/>
      <c r="I47" s="79"/>
      <c r="J47" s="123"/>
      <c r="K47" s="79"/>
      <c r="N47" s="2"/>
      <c r="P47" s="79"/>
      <c r="Q47" s="79"/>
      <c r="R47" s="79"/>
      <c r="S47" s="79"/>
      <c r="T47" s="79"/>
      <c r="U47" s="79"/>
      <c r="V47" s="79"/>
    </row>
    <row r="48" spans="1:22" x14ac:dyDescent="0.2">
      <c r="A48" s="2">
        <f>A46+1</f>
        <v>30</v>
      </c>
      <c r="B48" s="82" t="s">
        <v>176</v>
      </c>
      <c r="D48" s="79">
        <f ca="1">'Total Allocation RZ - Gas'!R48</f>
        <v>0</v>
      </c>
      <c r="F48" s="79"/>
      <c r="H48" s="31"/>
      <c r="J48" s="79">
        <f t="shared" ref="J48:J51" ca="1" si="12">D48-F48</f>
        <v>0</v>
      </c>
      <c r="L48" s="2" t="s">
        <v>223</v>
      </c>
      <c r="N48" s="79">
        <f ca="1">IF($J48&lt;&gt;0,VLOOKUP($L48,'Allocation Factors - Ex Fran'!$B$12:$U$169,5,FALSE)*$J48,0)+IF($F48&lt;&gt;0,VLOOKUP($H48,'Allocation Factors - Ex Fran'!$B$12:$U$169,5,FALSE)*$F48,0)</f>
        <v>0</v>
      </c>
      <c r="O48" s="79">
        <f ca="1">IF($J48&lt;&gt;0,VLOOKUP($L48,'Allocation Factors - Ex Fran'!$B$12:$U$169,6,FALSE)*$J48,0)+IF($F48&lt;&gt;0,VLOOKUP($H48,'Allocation Factors - Ex Fran'!$B$12:$U$169,6,FALSE)*$F48,0)</f>
        <v>0</v>
      </c>
      <c r="P48" s="79">
        <f ca="1">IF($J48&lt;&gt;0,VLOOKUP($L48,'Allocation Factors - Ex Fran'!$B$12:$U$169,7,FALSE)*$J48,0)+IF($F48&lt;&gt;0,VLOOKUP($H48,'Allocation Factors - Ex Fran'!$B$12:$U$169,7,FALSE)*$F48,0)</f>
        <v>0</v>
      </c>
      <c r="Q48" s="79">
        <f ca="1">IF($J48&lt;&gt;0,VLOOKUP($L48,'Allocation Factors - Ex Fran'!$B$12:$U$169,8,FALSE)*$J48,0)+IF($F48&lt;&gt;0,VLOOKUP($H48,'Allocation Factors - Ex Fran'!$B$12:$U$169,8,FALSE)*$F48,0)</f>
        <v>0</v>
      </c>
      <c r="R48" s="79">
        <f ca="1">IF($J48&lt;&gt;0,VLOOKUP($L48,'Allocation Factors - Ex Fran'!$B$12:$U$169,9,FALSE)*$J48,0)+IF($F48&lt;&gt;0,VLOOKUP($H48,'Allocation Factors - Ex Fran'!$B$12:$U$169,9,FALSE)*$F48,0)</f>
        <v>0</v>
      </c>
      <c r="S48" s="79">
        <f ca="1">IF($J48&lt;&gt;0,VLOOKUP($L48,'Allocation Factors - Ex Fran'!$B$12:$U$169,10,FALSE)*$J48,0)+IF($F48&lt;&gt;0,VLOOKUP($H48,'Allocation Factors - Ex Fran'!$B$12:$U$169,10,FALSE)*$F48,0)</f>
        <v>0</v>
      </c>
      <c r="T48" s="79">
        <f ca="1">IF($J48&lt;&gt;0,VLOOKUP($L48,'Allocation Factors - Ex Fran'!$B$12:$U$169,11,FALSE)*$J48,0)+IF($F48&lt;&gt;0,VLOOKUP($H48,'Allocation Factors - Ex Fran'!$B$12:$U$169,11,FALSE)*$F48,0)</f>
        <v>0</v>
      </c>
      <c r="U48" s="79">
        <f ca="1">IF($J48&lt;&gt;0,VLOOKUP($L48,'Allocation Factors - Ex Fran'!$B$12:$U$169,12,FALSE)*$J48,0)+IF($F48&lt;&gt;0,VLOOKUP($H48,'Allocation Factors - Ex Fran'!$B$12:$U$169,12,FALSE)*$F48,0)</f>
        <v>0</v>
      </c>
      <c r="V48" s="79">
        <f ca="1">IF($J48&lt;&gt;0,VLOOKUP($L48,'Allocation Factors - Ex Fran'!$B$16:$U$169,13,FALSE)*$J48,0)+IF($F48&lt;&gt;0,VLOOKUP($H48,'Allocation Factors - Ex Fran'!$B$16:$U$169,13,FALSE)*$F48,0)</f>
        <v>0</v>
      </c>
    </row>
    <row r="49" spans="1:22" x14ac:dyDescent="0.2">
      <c r="A49" s="2">
        <f t="shared" si="10"/>
        <v>31</v>
      </c>
      <c r="B49" s="82" t="s">
        <v>72</v>
      </c>
      <c r="D49" s="79">
        <f ca="1">'Total Allocation RZ - Gas'!R49</f>
        <v>0</v>
      </c>
      <c r="F49" s="79"/>
      <c r="J49" s="79">
        <f t="shared" ca="1" si="12"/>
        <v>0</v>
      </c>
      <c r="L49" s="2" t="s">
        <v>220</v>
      </c>
      <c r="N49" s="79">
        <f ca="1">IF($J49&lt;&gt;0,VLOOKUP($L49,'Allocation Factors - Ex Fran'!$B$12:$U$169,5,FALSE)*$J49,0)+IF($F49&lt;&gt;0,VLOOKUP($H49,'Allocation Factors - Ex Fran'!$B$12:$U$169,5,FALSE)*$F49,0)</f>
        <v>0</v>
      </c>
      <c r="O49" s="79">
        <f ca="1">IF($J49&lt;&gt;0,VLOOKUP($L49,'Allocation Factors - Ex Fran'!$B$12:$U$169,6,FALSE)*$J49,0)+IF($F49&lt;&gt;0,VLOOKUP($H49,'Allocation Factors - Ex Fran'!$B$12:$U$169,6,FALSE)*$F49,0)</f>
        <v>0</v>
      </c>
      <c r="P49" s="79">
        <f ca="1">IF($J49&lt;&gt;0,VLOOKUP($L49,'Allocation Factors - Ex Fran'!$B$12:$U$169,7,FALSE)*$J49,0)+IF($F49&lt;&gt;0,VLOOKUP($H49,'Allocation Factors - Ex Fran'!$B$12:$U$169,7,FALSE)*$F49,0)</f>
        <v>0</v>
      </c>
      <c r="Q49" s="79">
        <f ca="1">IF($J49&lt;&gt;0,VLOOKUP($L49,'Allocation Factors - Ex Fran'!$B$12:$U$169,8,FALSE)*$J49,0)+IF($F49&lt;&gt;0,VLOOKUP($H49,'Allocation Factors - Ex Fran'!$B$12:$U$169,8,FALSE)*$F49,0)</f>
        <v>0</v>
      </c>
      <c r="R49" s="79">
        <f ca="1">IF($J49&lt;&gt;0,VLOOKUP($L49,'Allocation Factors - Ex Fran'!$B$12:$U$169,9,FALSE)*$J49,0)+IF($F49&lt;&gt;0,VLOOKUP($H49,'Allocation Factors - Ex Fran'!$B$12:$U$169,9,FALSE)*$F49,0)</f>
        <v>0</v>
      </c>
      <c r="S49" s="79">
        <f ca="1">IF($J49&lt;&gt;0,VLOOKUP($L49,'Allocation Factors - Ex Fran'!$B$12:$U$169,10,FALSE)*$J49,0)+IF($F49&lt;&gt;0,VLOOKUP($H49,'Allocation Factors - Ex Fran'!$B$12:$U$169,10,FALSE)*$F49,0)</f>
        <v>0</v>
      </c>
      <c r="T49" s="79">
        <f ca="1">IF($J49&lt;&gt;0,VLOOKUP($L49,'Allocation Factors - Ex Fran'!$B$12:$U$169,11,FALSE)*$J49,0)+IF($F49&lt;&gt;0,VLOOKUP($H49,'Allocation Factors - Ex Fran'!$B$12:$U$169,11,FALSE)*$F49,0)</f>
        <v>0</v>
      </c>
      <c r="U49" s="79">
        <f ca="1">IF($J49&lt;&gt;0,VLOOKUP($L49,'Allocation Factors - Ex Fran'!$B$12:$U$169,12,FALSE)*$J49,0)+IF($F49&lt;&gt;0,VLOOKUP($H49,'Allocation Factors - Ex Fran'!$B$12:$U$169,12,FALSE)*$F49,0)</f>
        <v>0</v>
      </c>
      <c r="V49" s="79">
        <f ca="1">IF($J49&lt;&gt;0,VLOOKUP($L49,'Allocation Factors - Ex Fran'!$B$16:$U$169,13,FALSE)*$J49,0)+IF($F49&lt;&gt;0,VLOOKUP($H49,'Allocation Factors - Ex Fran'!$B$16:$U$169,13,FALSE)*$F49,0)</f>
        <v>0</v>
      </c>
    </row>
    <row r="50" spans="1:22" x14ac:dyDescent="0.2">
      <c r="A50" s="2">
        <f t="shared" si="10"/>
        <v>32</v>
      </c>
      <c r="B50" s="82" t="s">
        <v>174</v>
      </c>
      <c r="D50" s="79">
        <f ca="1">'Total Allocation RZ - Gas'!R50</f>
        <v>0</v>
      </c>
      <c r="F50" s="79"/>
      <c r="H50" s="31"/>
      <c r="J50" s="79">
        <f t="shared" ca="1" si="12"/>
        <v>0</v>
      </c>
      <c r="L50" s="2" t="s">
        <v>272</v>
      </c>
      <c r="N50" s="79">
        <f ca="1">IF($J50&lt;&gt;0,VLOOKUP($L50,'Allocation Factors - Ex Fran'!$B$12:$U$169,5,FALSE)*$J50,0)+IF($F50&lt;&gt;0,VLOOKUP($H50,'Allocation Factors - Ex Fran'!$B$12:$U$169,5,FALSE)*$F50,0)</f>
        <v>0</v>
      </c>
      <c r="O50" s="79">
        <f ca="1">IF($J50&lt;&gt;0,VLOOKUP($L50,'Allocation Factors - Ex Fran'!$B$12:$U$169,6,FALSE)*$J50,0)+IF($F50&lt;&gt;0,VLOOKUP($H50,'Allocation Factors - Ex Fran'!$B$12:$U$169,6,FALSE)*$F50,0)</f>
        <v>0</v>
      </c>
      <c r="P50" s="79">
        <f ca="1">IF($J50&lt;&gt;0,VLOOKUP($L50,'Allocation Factors - Ex Fran'!$B$12:$U$169,7,FALSE)*$J50,0)+IF($F50&lt;&gt;0,VLOOKUP($H50,'Allocation Factors - Ex Fran'!$B$12:$U$169,7,FALSE)*$F50,0)</f>
        <v>0</v>
      </c>
      <c r="Q50" s="79">
        <f ca="1">IF($J50&lt;&gt;0,VLOOKUP($L50,'Allocation Factors - Ex Fran'!$B$12:$U$169,8,FALSE)*$J50,0)+IF($F50&lt;&gt;0,VLOOKUP($H50,'Allocation Factors - Ex Fran'!$B$12:$U$169,8,FALSE)*$F50,0)</f>
        <v>0</v>
      </c>
      <c r="R50" s="79">
        <f ca="1">IF($J50&lt;&gt;0,VLOOKUP($L50,'Allocation Factors - Ex Fran'!$B$12:$U$169,9,FALSE)*$J50,0)+IF($F50&lt;&gt;0,VLOOKUP($H50,'Allocation Factors - Ex Fran'!$B$12:$U$169,9,FALSE)*$F50,0)</f>
        <v>0</v>
      </c>
      <c r="S50" s="79">
        <f ca="1">IF($J50&lt;&gt;0,VLOOKUP($L50,'Allocation Factors - Ex Fran'!$B$12:$U$169,10,FALSE)*$J50,0)+IF($F50&lt;&gt;0,VLOOKUP($H50,'Allocation Factors - Ex Fran'!$B$12:$U$169,10,FALSE)*$F50,0)</f>
        <v>0</v>
      </c>
      <c r="T50" s="79">
        <f ca="1">IF($J50&lt;&gt;0,VLOOKUP($L50,'Allocation Factors - Ex Fran'!$B$12:$U$169,11,FALSE)*$J50,0)+IF($F50&lt;&gt;0,VLOOKUP($H50,'Allocation Factors - Ex Fran'!$B$12:$U$169,11,FALSE)*$F50,0)</f>
        <v>0</v>
      </c>
      <c r="U50" s="79">
        <f ca="1">IF($J50&lt;&gt;0,VLOOKUP($L50,'Allocation Factors - Ex Fran'!$B$12:$U$169,12,FALSE)*$J50,0)+IF($F50&lt;&gt;0,VLOOKUP($H50,'Allocation Factors - Ex Fran'!$B$12:$U$169,12,FALSE)*$F50,0)</f>
        <v>0</v>
      </c>
      <c r="V50" s="79">
        <f ca="1">IF($J50&lt;&gt;0,VLOOKUP($L50,'Allocation Factors - Ex Fran'!$B$16:$U$169,13,FALSE)*$J50,0)+IF($F50&lt;&gt;0,VLOOKUP($H50,'Allocation Factors - Ex Fran'!$B$16:$U$169,13,FALSE)*$F50,0)</f>
        <v>0</v>
      </c>
    </row>
    <row r="51" spans="1:22" x14ac:dyDescent="0.2">
      <c r="A51" s="2">
        <f t="shared" si="10"/>
        <v>33</v>
      </c>
      <c r="B51" s="31" t="s">
        <v>249</v>
      </c>
      <c r="D51" s="79">
        <f ca="1">'Total Allocation RZ - Gas'!R51</f>
        <v>0</v>
      </c>
      <c r="F51" s="79"/>
      <c r="H51" s="31"/>
      <c r="J51" s="79">
        <f t="shared" ca="1" si="12"/>
        <v>0</v>
      </c>
      <c r="L51" s="2" t="s">
        <v>336</v>
      </c>
      <c r="N51" s="79">
        <f ca="1">IF($J51&lt;&gt;0,VLOOKUP($L51,'Allocation Factors - Ex Fran'!$B$12:$U$169,5,FALSE)*$J51,0)+IF($F51&lt;&gt;0,VLOOKUP($H51,'Allocation Factors - Ex Fran'!$B$12:$U$169,5,FALSE)*$F51,0)</f>
        <v>0</v>
      </c>
      <c r="O51" s="79">
        <f ca="1">IF($J51&lt;&gt;0,VLOOKUP($L51,'Allocation Factors - Ex Fran'!$B$12:$U$169,6,FALSE)*$J51,0)+IF($F51&lt;&gt;0,VLOOKUP($H51,'Allocation Factors - Ex Fran'!$B$12:$U$169,6,FALSE)*$F51,0)</f>
        <v>0</v>
      </c>
      <c r="P51" s="79">
        <f ca="1">IF($J51&lt;&gt;0,VLOOKUP($L51,'Allocation Factors - Ex Fran'!$B$12:$U$169,7,FALSE)*$J51,0)+IF($F51&lt;&gt;0,VLOOKUP($H51,'Allocation Factors - Ex Fran'!$B$12:$U$169,7,FALSE)*$F51,0)</f>
        <v>0</v>
      </c>
      <c r="Q51" s="79">
        <f ca="1">IF($J51&lt;&gt;0,VLOOKUP($L51,'Allocation Factors - Ex Fran'!$B$12:$U$169,8,FALSE)*$J51,0)+IF($F51&lt;&gt;0,VLOOKUP($H51,'Allocation Factors - Ex Fran'!$B$12:$U$169,8,FALSE)*$F51,0)</f>
        <v>0</v>
      </c>
      <c r="R51" s="79">
        <f ca="1">IF($J51&lt;&gt;0,VLOOKUP($L51,'Allocation Factors - Ex Fran'!$B$12:$U$169,9,FALSE)*$J51,0)+IF($F51&lt;&gt;0,VLOOKUP($H51,'Allocation Factors - Ex Fran'!$B$12:$U$169,9,FALSE)*$F51,0)</f>
        <v>0</v>
      </c>
      <c r="S51" s="79">
        <f ca="1">IF($J51&lt;&gt;0,VLOOKUP($L51,'Allocation Factors - Ex Fran'!$B$12:$U$169,10,FALSE)*$J51,0)+IF($F51&lt;&gt;0,VLOOKUP($H51,'Allocation Factors - Ex Fran'!$B$12:$U$169,10,FALSE)*$F51,0)</f>
        <v>0</v>
      </c>
      <c r="T51" s="79">
        <f ca="1">IF($J51&lt;&gt;0,VLOOKUP($L51,'Allocation Factors - Ex Fran'!$B$12:$U$169,11,FALSE)*$J51,0)+IF($F51&lt;&gt;0,VLOOKUP($H51,'Allocation Factors - Ex Fran'!$B$12:$U$169,11,FALSE)*$F51,0)</f>
        <v>0</v>
      </c>
      <c r="U51" s="79">
        <f ca="1">IF($J51&lt;&gt;0,VLOOKUP($L51,'Allocation Factors - Ex Fran'!$B$12:$U$169,12,FALSE)*$J51,0)+IF($F51&lt;&gt;0,VLOOKUP($H51,'Allocation Factors - Ex Fran'!$B$12:$U$169,12,FALSE)*$F51,0)</f>
        <v>0</v>
      </c>
      <c r="V51" s="79">
        <f ca="1">IF($J51&lt;&gt;0,VLOOKUP($L51,'Allocation Factors - Ex Fran'!$B$16:$U$169,13,FALSE)*$J51,0)+IF($F51&lt;&gt;0,VLOOKUP($H51,'Allocation Factors - Ex Fran'!$B$16:$U$169,13,FALSE)*$F51,0)</f>
        <v>0</v>
      </c>
    </row>
    <row r="52" spans="1:22" x14ac:dyDescent="0.2">
      <c r="A52" s="2">
        <f t="shared" si="10"/>
        <v>34</v>
      </c>
      <c r="B52" s="31" t="s">
        <v>382</v>
      </c>
      <c r="D52" s="41">
        <f ca="1">SUM(D37:D51)</f>
        <v>10.795706928649199</v>
      </c>
      <c r="F52" s="41">
        <f>SUM(F37:F51)</f>
        <v>0</v>
      </c>
      <c r="H52" s="31"/>
      <c r="J52" s="41">
        <f ca="1">SUM(J37:J51)</f>
        <v>10.795706928649199</v>
      </c>
      <c r="L52" s="50"/>
      <c r="M52" s="50"/>
      <c r="N52" s="41">
        <f t="shared" ref="N52:V52" ca="1" si="13">SUM(N37:N51)</f>
        <v>0</v>
      </c>
      <c r="O52" s="41">
        <f t="shared" ca="1" si="13"/>
        <v>0</v>
      </c>
      <c r="P52" s="41">
        <f t="shared" ca="1" si="13"/>
        <v>0</v>
      </c>
      <c r="Q52" s="41">
        <f t="shared" ca="1" si="13"/>
        <v>0</v>
      </c>
      <c r="R52" s="41">
        <f t="shared" ca="1" si="13"/>
        <v>0</v>
      </c>
      <c r="S52" s="41">
        <f t="shared" ca="1" si="13"/>
        <v>0</v>
      </c>
      <c r="T52" s="41">
        <f t="shared" ca="1" si="13"/>
        <v>0</v>
      </c>
      <c r="U52" s="41">
        <f t="shared" ca="1" si="13"/>
        <v>0</v>
      </c>
      <c r="V52" s="41">
        <f t="shared" ca="1" si="13"/>
        <v>10.795706928649199</v>
      </c>
    </row>
    <row r="53" spans="1:22" x14ac:dyDescent="0.2">
      <c r="D53" s="50"/>
      <c r="F53" s="50"/>
      <c r="H53" s="31"/>
      <c r="J53" s="2"/>
      <c r="L53" s="31"/>
      <c r="N53" s="2"/>
    </row>
    <row r="54" spans="1:22" ht="13.5" thickBot="1" x14ac:dyDescent="0.25">
      <c r="A54" s="2">
        <f>A52+1</f>
        <v>35</v>
      </c>
      <c r="B54" s="31" t="s">
        <v>149</v>
      </c>
      <c r="D54" s="83">
        <f ca="1">D52+D34+D24+D17</f>
        <v>20666.92077284382</v>
      </c>
      <c r="F54" s="83">
        <f>F17+F24+F34+F52</f>
        <v>9719</v>
      </c>
      <c r="H54" s="31"/>
      <c r="J54" s="83">
        <f ca="1">J17+J24+J34+J52</f>
        <v>10947.92077284382</v>
      </c>
      <c r="L54" s="31"/>
      <c r="N54" s="83">
        <f ca="1">N17+N24+N34+N52</f>
        <v>0</v>
      </c>
      <c r="O54" s="83">
        <f ca="1">O17+O24+O34+O52</f>
        <v>0</v>
      </c>
      <c r="P54" s="83">
        <f ca="1">P17+P24+P34+P52</f>
        <v>0</v>
      </c>
      <c r="Q54" s="83">
        <f t="shared" ref="Q54:V54" ca="1" si="14">Q17+Q24+Q34+Q52</f>
        <v>4809.1394549072111</v>
      </c>
      <c r="R54" s="83">
        <f t="shared" ca="1" si="14"/>
        <v>2038.603043329879</v>
      </c>
      <c r="S54" s="83">
        <f t="shared" ca="1" si="14"/>
        <v>13402.2774997001</v>
      </c>
      <c r="T54" s="83">
        <f t="shared" ca="1" si="14"/>
        <v>76.400116379041748</v>
      </c>
      <c r="U54" s="83">
        <f t="shared" ca="1" si="14"/>
        <v>291.3035545656582</v>
      </c>
      <c r="V54" s="83">
        <f t="shared" ca="1" si="14"/>
        <v>49.197103961930338</v>
      </c>
    </row>
    <row r="55" spans="1:22" ht="13.5" thickTop="1" x14ac:dyDescent="0.2">
      <c r="H55" s="31"/>
      <c r="J55" s="31" t="s">
        <v>225</v>
      </c>
      <c r="L55" s="31"/>
      <c r="N55" s="50"/>
    </row>
    <row r="56" spans="1:22" x14ac:dyDescent="0.2">
      <c r="L56" s="31"/>
    </row>
    <row r="57" spans="1:22" x14ac:dyDescent="0.2">
      <c r="D57" s="96"/>
      <c r="E57" s="96"/>
      <c r="F57" s="96"/>
      <c r="G57" s="96"/>
      <c r="H57" s="156"/>
      <c r="I57" s="96"/>
      <c r="J57" s="96"/>
      <c r="K57" s="96"/>
      <c r="L57" s="156"/>
      <c r="M57" s="96"/>
      <c r="N57" s="96"/>
      <c r="O57" s="96"/>
      <c r="P57" s="96"/>
      <c r="Q57" s="96"/>
      <c r="R57" s="96"/>
      <c r="S57" s="96"/>
      <c r="T57" s="96"/>
      <c r="U57" s="96"/>
      <c r="V57" s="96"/>
    </row>
  </sheetData>
  <mergeCells count="2">
    <mergeCell ref="B2:L2"/>
    <mergeCell ref="B3:L3"/>
  </mergeCells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D44B7-434C-4CB9-AE3D-AE27200DCF78}">
  <dimension ref="A2:AV217"/>
  <sheetViews>
    <sheetView topLeftCell="A46" zoomScale="80" zoomScaleNormal="80" workbookViewId="0">
      <selection activeCell="T92" sqref="T92"/>
    </sheetView>
  </sheetViews>
  <sheetFormatPr defaultColWidth="9.140625" defaultRowHeight="12.75" x14ac:dyDescent="0.2"/>
  <cols>
    <col min="1" max="1" width="9.140625" style="18"/>
    <col min="2" max="2" width="29.140625" style="1" customWidth="1"/>
    <col min="3" max="3" width="9" style="1" customWidth="1"/>
    <col min="4" max="4" width="15.28515625" style="1" bestFit="1" customWidth="1"/>
    <col min="5" max="5" width="2.85546875" style="1" customWidth="1"/>
    <col min="6" max="14" width="14.7109375" style="1" customWidth="1"/>
    <col min="15" max="17" width="9.140625" style="1" customWidth="1"/>
    <col min="18" max="18" width="2" style="1" customWidth="1"/>
    <col min="19" max="16384" width="9.140625" style="1"/>
  </cols>
  <sheetData>
    <row r="2" spans="1:48" x14ac:dyDescent="0.2">
      <c r="D2" s="8"/>
      <c r="F2" s="8"/>
      <c r="G2" s="8"/>
      <c r="H2" s="8"/>
      <c r="I2" s="8"/>
      <c r="J2" s="8"/>
      <c r="K2" s="8"/>
      <c r="L2" s="8"/>
      <c r="M2" s="8"/>
      <c r="N2" s="8"/>
    </row>
    <row r="3" spans="1:48" x14ac:dyDescent="0.2">
      <c r="D3" s="8"/>
      <c r="F3" s="8"/>
      <c r="G3" s="8"/>
      <c r="H3" s="8"/>
      <c r="I3" s="8"/>
      <c r="J3" s="8"/>
      <c r="K3" s="8"/>
      <c r="L3" s="8"/>
      <c r="M3" s="8"/>
      <c r="N3" s="8"/>
    </row>
    <row r="4" spans="1:48" x14ac:dyDescent="0.2">
      <c r="D4" s="8"/>
      <c r="F4" s="8"/>
      <c r="G4" s="8"/>
      <c r="H4" s="8"/>
      <c r="I4" s="8"/>
      <c r="J4" s="8"/>
      <c r="K4" s="8"/>
      <c r="L4" s="8"/>
      <c r="M4" s="8"/>
      <c r="N4" s="8"/>
    </row>
    <row r="5" spans="1:48" ht="15" customHeight="1" x14ac:dyDescent="0.2">
      <c r="B5" s="157" t="s">
        <v>511</v>
      </c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</row>
    <row r="6" spans="1:48" ht="15" customHeight="1" x14ac:dyDescent="0.2">
      <c r="B6" s="157" t="s">
        <v>528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</row>
    <row r="8" spans="1:48" ht="15" x14ac:dyDescent="0.25">
      <c r="A8" s="18" t="s">
        <v>2</v>
      </c>
      <c r="D8" s="18"/>
      <c r="F8" s="159" t="s">
        <v>257</v>
      </c>
      <c r="G8" s="160"/>
      <c r="H8" s="160"/>
      <c r="I8" s="160"/>
      <c r="J8" s="160"/>
      <c r="K8" s="160"/>
      <c r="L8" s="160"/>
      <c r="M8" s="160"/>
      <c r="N8" s="160"/>
      <c r="Q8" s="18"/>
    </row>
    <row r="9" spans="1:48" x14ac:dyDescent="0.2">
      <c r="A9" s="4" t="s">
        <v>4</v>
      </c>
      <c r="B9" s="4" t="s">
        <v>405</v>
      </c>
      <c r="D9" s="4" t="s">
        <v>11</v>
      </c>
      <c r="E9" s="18"/>
      <c r="F9" s="4" t="s">
        <v>502</v>
      </c>
      <c r="G9" s="4" t="s">
        <v>503</v>
      </c>
      <c r="H9" s="4" t="s">
        <v>504</v>
      </c>
      <c r="I9" s="4" t="s">
        <v>505</v>
      </c>
      <c r="J9" s="4" t="s">
        <v>506</v>
      </c>
      <c r="K9" s="4" t="s">
        <v>507</v>
      </c>
      <c r="L9" s="4" t="s">
        <v>508</v>
      </c>
      <c r="M9" s="4" t="s">
        <v>509</v>
      </c>
      <c r="N9" s="4" t="s">
        <v>510</v>
      </c>
      <c r="Q9" s="18"/>
      <c r="S9" s="158"/>
      <c r="T9" s="158"/>
      <c r="U9" s="158"/>
      <c r="V9" s="158"/>
      <c r="W9" s="158"/>
      <c r="X9" s="1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8"/>
      <c r="AK9" s="158"/>
      <c r="AL9" s="158"/>
      <c r="AM9" s="18"/>
      <c r="AN9" s="158"/>
      <c r="AO9" s="158"/>
      <c r="AP9" s="158"/>
      <c r="AQ9" s="158"/>
      <c r="AR9" s="158"/>
      <c r="AS9" s="158"/>
      <c r="AT9" s="158"/>
      <c r="AU9" s="158"/>
      <c r="AV9" s="158"/>
    </row>
    <row r="10" spans="1:48" x14ac:dyDescent="0.2">
      <c r="D10" s="18" t="s">
        <v>12</v>
      </c>
      <c r="F10" s="18" t="s">
        <v>13</v>
      </c>
      <c r="G10" s="18" t="s">
        <v>14</v>
      </c>
      <c r="H10" s="18" t="s">
        <v>366</v>
      </c>
      <c r="I10" s="18" t="s">
        <v>15</v>
      </c>
      <c r="J10" s="18" t="s">
        <v>16</v>
      </c>
      <c r="K10" s="18" t="s">
        <v>59</v>
      </c>
      <c r="L10" s="18" t="s">
        <v>61</v>
      </c>
      <c r="M10" s="18" t="s">
        <v>62</v>
      </c>
      <c r="N10" s="18" t="s">
        <v>82</v>
      </c>
      <c r="Q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</row>
    <row r="11" spans="1:48" x14ac:dyDescent="0.2">
      <c r="Q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</row>
    <row r="12" spans="1:48" x14ac:dyDescent="0.2">
      <c r="A12" s="18">
        <v>1</v>
      </c>
      <c r="C12" s="18" t="s">
        <v>368</v>
      </c>
      <c r="D12" s="8">
        <f>SUM(F12:N12)</f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Q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</row>
    <row r="13" spans="1:48" x14ac:dyDescent="0.2">
      <c r="A13" s="18">
        <v>2</v>
      </c>
      <c r="B13" s="18" t="s">
        <v>333</v>
      </c>
      <c r="D13" s="37">
        <f>SUM(F13:N13)</f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Q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</row>
    <row r="14" spans="1:48" x14ac:dyDescent="0.2">
      <c r="Q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</row>
    <row r="15" spans="1:48" x14ac:dyDescent="0.2">
      <c r="A15" s="18">
        <v>3</v>
      </c>
      <c r="B15" s="18"/>
      <c r="C15" s="18" t="s">
        <v>367</v>
      </c>
      <c r="D15" s="8">
        <f>SUM(F15:N15)</f>
        <v>21.017310653740001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21.017310653740001</v>
      </c>
      <c r="L15" s="20">
        <v>0</v>
      </c>
      <c r="M15" s="20">
        <v>0</v>
      </c>
      <c r="N15" s="20">
        <v>0</v>
      </c>
      <c r="Q15" s="18"/>
    </row>
    <row r="16" spans="1:48" x14ac:dyDescent="0.2">
      <c r="A16" s="18">
        <v>4</v>
      </c>
      <c r="B16" s="18" t="s">
        <v>341</v>
      </c>
      <c r="D16" s="37">
        <f>SUM(F16:N16)</f>
        <v>1</v>
      </c>
      <c r="F16" s="37">
        <f t="shared" ref="F16:N16" si="0">F15/$D15</f>
        <v>0</v>
      </c>
      <c r="G16" s="37">
        <f t="shared" si="0"/>
        <v>0</v>
      </c>
      <c r="H16" s="37">
        <f t="shared" si="0"/>
        <v>0</v>
      </c>
      <c r="I16" s="37">
        <f t="shared" si="0"/>
        <v>0</v>
      </c>
      <c r="J16" s="37">
        <f t="shared" si="0"/>
        <v>0</v>
      </c>
      <c r="K16" s="37">
        <f t="shared" si="0"/>
        <v>1</v>
      </c>
      <c r="L16" s="37">
        <f t="shared" si="0"/>
        <v>0</v>
      </c>
      <c r="M16" s="37">
        <f t="shared" si="0"/>
        <v>0</v>
      </c>
      <c r="N16" s="37">
        <f t="shared" si="0"/>
        <v>0</v>
      </c>
      <c r="Q16" s="18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</row>
    <row r="17" spans="1:48" x14ac:dyDescent="0.2">
      <c r="Q17" s="18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</row>
    <row r="18" spans="1:48" x14ac:dyDescent="0.2">
      <c r="A18" s="18">
        <v>5</v>
      </c>
      <c r="B18" s="18"/>
      <c r="C18" s="18" t="s">
        <v>367</v>
      </c>
      <c r="D18" s="8">
        <f>SUM(F18:N18)</f>
        <v>67794.839139417498</v>
      </c>
      <c r="F18" s="20">
        <v>0</v>
      </c>
      <c r="G18" s="20">
        <v>0</v>
      </c>
      <c r="H18" s="20">
        <v>0</v>
      </c>
      <c r="I18" s="20">
        <v>5005.6758806647176</v>
      </c>
      <c r="J18" s="20">
        <v>9140.82178611155</v>
      </c>
      <c r="K18" s="20">
        <v>52704.71215257248</v>
      </c>
      <c r="L18" s="20">
        <v>0</v>
      </c>
      <c r="M18" s="20">
        <v>820.75313244703364</v>
      </c>
      <c r="N18" s="20">
        <v>122.87618762171402</v>
      </c>
      <c r="Q18" s="18"/>
    </row>
    <row r="19" spans="1:48" x14ac:dyDescent="0.2">
      <c r="A19" s="18">
        <v>6</v>
      </c>
      <c r="B19" s="18" t="s">
        <v>251</v>
      </c>
      <c r="D19" s="37">
        <f>SUM(F19:N19)</f>
        <v>0.99999999999999989</v>
      </c>
      <c r="F19" s="37">
        <f t="shared" ref="F19:N19" si="1">F18/$D18</f>
        <v>0</v>
      </c>
      <c r="G19" s="37">
        <f t="shared" si="1"/>
        <v>0</v>
      </c>
      <c r="H19" s="37">
        <f t="shared" si="1"/>
        <v>0</v>
      </c>
      <c r="I19" s="37">
        <f t="shared" si="1"/>
        <v>7.3835648025814118E-2</v>
      </c>
      <c r="J19" s="37">
        <f t="shared" si="1"/>
        <v>0.13483064348473192</v>
      </c>
      <c r="K19" s="37">
        <f t="shared" si="1"/>
        <v>0.77741481241938271</v>
      </c>
      <c r="L19" s="37">
        <f t="shared" si="1"/>
        <v>0</v>
      </c>
      <c r="M19" s="37">
        <f t="shared" si="1"/>
        <v>1.2106424956023366E-2</v>
      </c>
      <c r="N19" s="37">
        <f t="shared" si="1"/>
        <v>1.8124711140478384E-3</v>
      </c>
      <c r="Q19" s="18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</row>
    <row r="20" spans="1:48" x14ac:dyDescent="0.2">
      <c r="Q20" s="18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</row>
    <row r="21" spans="1:48" x14ac:dyDescent="0.2">
      <c r="A21" s="18">
        <v>7</v>
      </c>
      <c r="C21" s="18" t="s">
        <v>367</v>
      </c>
      <c r="D21" s="8">
        <f>SUM(F21:N21)</f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Q21" s="18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</row>
    <row r="22" spans="1:48" x14ac:dyDescent="0.2">
      <c r="A22" s="18">
        <v>8</v>
      </c>
      <c r="B22" s="18" t="s">
        <v>409</v>
      </c>
      <c r="D22" s="37">
        <f>SUM(F22:N22)</f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Q22" s="18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</row>
    <row r="23" spans="1:48" x14ac:dyDescent="0.2">
      <c r="Q23" s="18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</row>
    <row r="24" spans="1:48" x14ac:dyDescent="0.2">
      <c r="A24" s="18">
        <v>9</v>
      </c>
      <c r="B24" s="18"/>
      <c r="C24" s="18" t="s">
        <v>367</v>
      </c>
      <c r="D24" s="8">
        <f>SUM(F24:N24)</f>
        <v>60</v>
      </c>
      <c r="F24" s="20">
        <v>0</v>
      </c>
      <c r="G24" s="20">
        <v>60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Q24" s="18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</row>
    <row r="25" spans="1:48" x14ac:dyDescent="0.2">
      <c r="A25" s="18">
        <v>10</v>
      </c>
      <c r="B25" s="18" t="s">
        <v>332</v>
      </c>
      <c r="D25" s="37">
        <f>SUM(F25:N25)</f>
        <v>1</v>
      </c>
      <c r="F25" s="37">
        <f t="shared" ref="F25:N25" si="2">F24/$D24</f>
        <v>0</v>
      </c>
      <c r="G25" s="37">
        <f t="shared" si="2"/>
        <v>1</v>
      </c>
      <c r="H25" s="37">
        <f t="shared" si="2"/>
        <v>0</v>
      </c>
      <c r="I25" s="37">
        <f t="shared" si="2"/>
        <v>0</v>
      </c>
      <c r="J25" s="37">
        <f t="shared" si="2"/>
        <v>0</v>
      </c>
      <c r="K25" s="37">
        <f t="shared" si="2"/>
        <v>0</v>
      </c>
      <c r="L25" s="37">
        <f t="shared" si="2"/>
        <v>0</v>
      </c>
      <c r="M25" s="37">
        <f t="shared" si="2"/>
        <v>0</v>
      </c>
      <c r="N25" s="37">
        <f t="shared" si="2"/>
        <v>0</v>
      </c>
      <c r="Q25" s="18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</row>
    <row r="26" spans="1:48" x14ac:dyDescent="0.2">
      <c r="Q26" s="18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</row>
    <row r="27" spans="1:48" x14ac:dyDescent="0.2">
      <c r="A27" s="18">
        <v>11</v>
      </c>
      <c r="C27" s="18" t="s">
        <v>367</v>
      </c>
      <c r="D27" s="8">
        <f>SUM(F27:N27)</f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Q27" s="18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</row>
    <row r="28" spans="1:48" x14ac:dyDescent="0.2">
      <c r="A28" s="18">
        <v>12</v>
      </c>
      <c r="B28" s="18" t="s">
        <v>223</v>
      </c>
      <c r="D28" s="37">
        <f>SUM(F28:N28)</f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Q28" s="18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</row>
    <row r="29" spans="1:48" x14ac:dyDescent="0.2">
      <c r="Q29" s="18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</row>
    <row r="30" spans="1:48" x14ac:dyDescent="0.2">
      <c r="A30" s="18">
        <v>13</v>
      </c>
      <c r="B30" s="18"/>
      <c r="C30" s="18" t="s">
        <v>368</v>
      </c>
      <c r="D30" s="8">
        <f>SUM(F30:N30)</f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Q30" s="18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</row>
    <row r="31" spans="1:48" x14ac:dyDescent="0.2">
      <c r="A31" s="18">
        <v>14</v>
      </c>
      <c r="B31" s="18" t="s">
        <v>272</v>
      </c>
      <c r="D31" s="37">
        <f>SUM(F31:N31)</f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Q31" s="18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</row>
    <row r="32" spans="1:48" x14ac:dyDescent="0.2">
      <c r="Q32" s="18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</row>
    <row r="33" spans="1:48" x14ac:dyDescent="0.2">
      <c r="A33" s="18">
        <v>15</v>
      </c>
      <c r="B33" s="18"/>
      <c r="C33" s="18" t="s">
        <v>367</v>
      </c>
      <c r="D33" s="20">
        <f>SUM(F33:N33)</f>
        <v>80537.077789150469</v>
      </c>
      <c r="E33" s="20"/>
      <c r="F33" s="20">
        <v>0</v>
      </c>
      <c r="G33" s="20">
        <v>0</v>
      </c>
      <c r="H33" s="20">
        <v>0</v>
      </c>
      <c r="I33" s="20">
        <v>849.41146366427847</v>
      </c>
      <c r="J33" s="20">
        <v>0</v>
      </c>
      <c r="K33" s="20">
        <v>79460.875127942694</v>
      </c>
      <c r="L33" s="20">
        <v>0</v>
      </c>
      <c r="M33" s="20">
        <v>0</v>
      </c>
      <c r="N33" s="20">
        <v>226.79119754350052</v>
      </c>
      <c r="Q33" s="18"/>
    </row>
    <row r="34" spans="1:48" x14ac:dyDescent="0.2">
      <c r="A34" s="18">
        <v>16</v>
      </c>
      <c r="B34" s="18" t="s">
        <v>533</v>
      </c>
      <c r="D34" s="37">
        <f>SUM(F34:N34)</f>
        <v>1</v>
      </c>
      <c r="F34" s="37">
        <f t="shared" ref="F34:N34" si="3">F33/$D33</f>
        <v>0</v>
      </c>
      <c r="G34" s="37">
        <f t="shared" si="3"/>
        <v>0</v>
      </c>
      <c r="H34" s="37">
        <f t="shared" si="3"/>
        <v>0</v>
      </c>
      <c r="I34" s="37">
        <f t="shared" si="3"/>
        <v>1.0546837394424394E-2</v>
      </c>
      <c r="J34" s="37">
        <f t="shared" si="3"/>
        <v>0</v>
      </c>
      <c r="K34" s="37">
        <f t="shared" si="3"/>
        <v>0.98663717767330317</v>
      </c>
      <c r="L34" s="37">
        <f t="shared" si="3"/>
        <v>0</v>
      </c>
      <c r="M34" s="37">
        <f t="shared" si="3"/>
        <v>0</v>
      </c>
      <c r="N34" s="37">
        <f t="shared" si="3"/>
        <v>2.8159849322724325E-3</v>
      </c>
      <c r="Q34" s="18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</row>
    <row r="35" spans="1:48" x14ac:dyDescent="0.2">
      <c r="Q35" s="18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</row>
    <row r="36" spans="1:48" x14ac:dyDescent="0.2">
      <c r="A36" s="18">
        <v>17</v>
      </c>
      <c r="C36" s="18" t="s">
        <v>367</v>
      </c>
      <c r="D36" s="8">
        <f>SUM(F36:N36)</f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Q36" s="18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</row>
    <row r="37" spans="1:48" x14ac:dyDescent="0.2">
      <c r="A37" s="18">
        <v>18</v>
      </c>
      <c r="B37" s="18" t="s">
        <v>336</v>
      </c>
      <c r="D37" s="37">
        <f>SUM(F37:N37)</f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Q37" s="18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</row>
    <row r="38" spans="1:48" x14ac:dyDescent="0.2">
      <c r="Q38" s="18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</row>
    <row r="39" spans="1:48" x14ac:dyDescent="0.2">
      <c r="A39" s="18">
        <v>19</v>
      </c>
      <c r="B39" s="18"/>
      <c r="C39" s="18" t="s">
        <v>367</v>
      </c>
      <c r="D39" s="8">
        <f>SUM(F39:N39)</f>
        <v>11966.3574895087</v>
      </c>
      <c r="F39" s="20">
        <v>0</v>
      </c>
      <c r="G39" s="20">
        <v>0</v>
      </c>
      <c r="H39" s="20">
        <v>0</v>
      </c>
      <c r="I39" s="20">
        <v>194.46426049129991</v>
      </c>
      <c r="J39" s="20">
        <v>0</v>
      </c>
      <c r="K39" s="20">
        <v>11735.744980040941</v>
      </c>
      <c r="L39" s="20">
        <v>0</v>
      </c>
      <c r="M39" s="20">
        <v>0</v>
      </c>
      <c r="N39" s="20">
        <v>36.148248976458547</v>
      </c>
      <c r="Q39" s="18"/>
    </row>
    <row r="40" spans="1:48" x14ac:dyDescent="0.2">
      <c r="A40" s="18">
        <v>20</v>
      </c>
      <c r="B40" s="18" t="s">
        <v>222</v>
      </c>
      <c r="D40" s="37">
        <f>SUM(F40:N40)</f>
        <v>0.99999999999999989</v>
      </c>
      <c r="F40" s="37">
        <f t="shared" ref="F40:N40" si="4">F39/$D39</f>
        <v>0</v>
      </c>
      <c r="G40" s="37">
        <f t="shared" si="4"/>
        <v>0</v>
      </c>
      <c r="H40" s="37">
        <f t="shared" si="4"/>
        <v>0</v>
      </c>
      <c r="I40" s="37">
        <f t="shared" si="4"/>
        <v>1.6250915172958281E-2</v>
      </c>
      <c r="J40" s="37">
        <f t="shared" si="4"/>
        <v>0</v>
      </c>
      <c r="K40" s="37">
        <f t="shared" si="4"/>
        <v>0.9807282617396359</v>
      </c>
      <c r="L40" s="37">
        <f t="shared" si="4"/>
        <v>0</v>
      </c>
      <c r="M40" s="37">
        <f t="shared" si="4"/>
        <v>0</v>
      </c>
      <c r="N40" s="37">
        <f t="shared" si="4"/>
        <v>3.020823087405746E-3</v>
      </c>
      <c r="Q40" s="18"/>
      <c r="S40" s="8"/>
      <c r="T40" s="8"/>
      <c r="U40" s="22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</row>
    <row r="41" spans="1:48" x14ac:dyDescent="0.2">
      <c r="A41" s="1"/>
      <c r="Q41" s="18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</row>
    <row r="42" spans="1:48" x14ac:dyDescent="0.2">
      <c r="A42" s="18">
        <v>21</v>
      </c>
      <c r="C42" s="18" t="s">
        <v>367</v>
      </c>
      <c r="D42" s="8">
        <f>SUM(F42:N42)</f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Q42" s="18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</row>
    <row r="43" spans="1:48" x14ac:dyDescent="0.2">
      <c r="A43" s="18">
        <v>22</v>
      </c>
      <c r="B43" s="18" t="s">
        <v>162</v>
      </c>
      <c r="D43" s="37">
        <f>SUM(F43:N43)</f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Q43" s="18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</row>
    <row r="44" spans="1:48" x14ac:dyDescent="0.2">
      <c r="Q44" s="18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</row>
    <row r="45" spans="1:48" x14ac:dyDescent="0.2">
      <c r="A45" s="18">
        <v>23</v>
      </c>
      <c r="B45" s="18"/>
      <c r="C45" s="18" t="s">
        <v>367</v>
      </c>
      <c r="D45" s="8">
        <f>SUM(F45:N45)</f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Q45" s="18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</row>
    <row r="46" spans="1:48" x14ac:dyDescent="0.2">
      <c r="A46" s="18">
        <v>24</v>
      </c>
      <c r="B46" s="18" t="s">
        <v>161</v>
      </c>
      <c r="D46" s="37">
        <f>SUM(F46:N46)</f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Q46" s="18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</row>
    <row r="47" spans="1:48" x14ac:dyDescent="0.2">
      <c r="Q47" s="18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</row>
    <row r="48" spans="1:48" x14ac:dyDescent="0.2">
      <c r="A48" s="18">
        <v>25</v>
      </c>
      <c r="B48" s="18"/>
      <c r="C48" s="18" t="s">
        <v>367</v>
      </c>
      <c r="D48" s="8">
        <f>SUM(F48:N48)</f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Q48" s="18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</row>
    <row r="49" spans="1:48" x14ac:dyDescent="0.2">
      <c r="A49" s="18">
        <v>26</v>
      </c>
      <c r="B49" s="18" t="s">
        <v>291</v>
      </c>
      <c r="C49" s="18"/>
      <c r="D49" s="37">
        <f>SUM(F49:N49)</f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Q49" s="18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</row>
    <row r="50" spans="1:48" x14ac:dyDescent="0.2">
      <c r="B50" s="18"/>
      <c r="C50" s="18"/>
      <c r="D50" s="8"/>
      <c r="F50" s="20"/>
      <c r="G50" s="20"/>
      <c r="H50" s="20"/>
      <c r="I50" s="20"/>
      <c r="J50" s="20"/>
      <c r="K50" s="20"/>
      <c r="L50" s="20"/>
      <c r="M50" s="20"/>
      <c r="N50" s="20"/>
      <c r="Q50" s="18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</row>
    <row r="51" spans="1:48" x14ac:dyDescent="0.2">
      <c r="A51" s="18">
        <v>27</v>
      </c>
      <c r="B51" s="18"/>
      <c r="C51" s="18" t="s">
        <v>367</v>
      </c>
      <c r="D51" s="8">
        <f>SUM(F51:O51)</f>
        <v>226.79119754350052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226.79119754350052</v>
      </c>
      <c r="Q51" s="18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</row>
    <row r="52" spans="1:48" x14ac:dyDescent="0.2">
      <c r="A52" s="18">
        <v>28</v>
      </c>
      <c r="B52" s="18" t="s">
        <v>290</v>
      </c>
      <c r="D52" s="37">
        <f>SUM(F52:O52)</f>
        <v>1</v>
      </c>
      <c r="F52" s="37">
        <f t="shared" ref="F52:N52" si="5">F51/$D51</f>
        <v>0</v>
      </c>
      <c r="G52" s="37">
        <f t="shared" si="5"/>
        <v>0</v>
      </c>
      <c r="H52" s="37">
        <f t="shared" si="5"/>
        <v>0</v>
      </c>
      <c r="I52" s="37">
        <f t="shared" si="5"/>
        <v>0</v>
      </c>
      <c r="J52" s="37">
        <f t="shared" si="5"/>
        <v>0</v>
      </c>
      <c r="K52" s="37">
        <f t="shared" si="5"/>
        <v>0</v>
      </c>
      <c r="L52" s="37">
        <f t="shared" si="5"/>
        <v>0</v>
      </c>
      <c r="M52" s="37">
        <f t="shared" si="5"/>
        <v>0</v>
      </c>
      <c r="N52" s="37">
        <f t="shared" si="5"/>
        <v>1</v>
      </c>
      <c r="Q52" s="18"/>
      <c r="S52" s="8"/>
      <c r="T52" s="8"/>
      <c r="U52" s="22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</row>
    <row r="53" spans="1:48" x14ac:dyDescent="0.2">
      <c r="B53" s="18"/>
      <c r="Q53" s="18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</row>
    <row r="54" spans="1:48" x14ac:dyDescent="0.2">
      <c r="A54" s="18">
        <v>29</v>
      </c>
      <c r="B54" s="18"/>
      <c r="C54" s="18" t="s">
        <v>367</v>
      </c>
      <c r="D54" s="20">
        <f>SUM(F54:N54)</f>
        <v>13317.272262026612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13317.272262026612</v>
      </c>
      <c r="L54" s="20">
        <v>0</v>
      </c>
      <c r="M54" s="20">
        <v>0</v>
      </c>
      <c r="N54" s="20">
        <v>0</v>
      </c>
      <c r="Q54" s="18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</row>
    <row r="55" spans="1:48" x14ac:dyDescent="0.2">
      <c r="A55" s="18">
        <v>30</v>
      </c>
      <c r="B55" s="18" t="s">
        <v>218</v>
      </c>
      <c r="D55" s="37">
        <f>SUM(F55:N55)</f>
        <v>1</v>
      </c>
      <c r="F55" s="37">
        <f t="shared" ref="F55:N55" si="6">F54/$D54</f>
        <v>0</v>
      </c>
      <c r="G55" s="37">
        <f t="shared" si="6"/>
        <v>0</v>
      </c>
      <c r="H55" s="37">
        <f t="shared" si="6"/>
        <v>0</v>
      </c>
      <c r="I55" s="37">
        <f t="shared" si="6"/>
        <v>0</v>
      </c>
      <c r="J55" s="37">
        <f t="shared" si="6"/>
        <v>0</v>
      </c>
      <c r="K55" s="37">
        <f t="shared" si="6"/>
        <v>1</v>
      </c>
      <c r="L55" s="37">
        <f t="shared" si="6"/>
        <v>0</v>
      </c>
      <c r="M55" s="37">
        <f t="shared" si="6"/>
        <v>0</v>
      </c>
      <c r="N55" s="37">
        <f t="shared" si="6"/>
        <v>0</v>
      </c>
      <c r="Q55" s="18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</row>
    <row r="56" spans="1:48" x14ac:dyDescent="0.2">
      <c r="A56" s="1"/>
      <c r="B56" s="18"/>
      <c r="Q56" s="18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</row>
    <row r="57" spans="1:48" x14ac:dyDescent="0.2">
      <c r="A57" s="18">
        <v>31</v>
      </c>
      <c r="B57" s="18"/>
      <c r="C57" s="18" t="s">
        <v>367</v>
      </c>
      <c r="D57" s="8">
        <f>SUM(F57:N57)</f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Q57" s="18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</row>
    <row r="58" spans="1:48" x14ac:dyDescent="0.2">
      <c r="A58" s="18">
        <v>32</v>
      </c>
      <c r="B58" s="18" t="s">
        <v>263</v>
      </c>
      <c r="D58" s="37">
        <f>SUM(F58:N58)</f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Q58" s="18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</row>
    <row r="59" spans="1:48" x14ac:dyDescent="0.2">
      <c r="B59" s="18"/>
      <c r="Q59" s="18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</row>
    <row r="60" spans="1:48" x14ac:dyDescent="0.2">
      <c r="A60" s="18">
        <v>33</v>
      </c>
      <c r="B60" s="18"/>
      <c r="C60" s="18" t="s">
        <v>367</v>
      </c>
      <c r="D60" s="8">
        <f>SUM(F60:N60)</f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Q60" s="18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</row>
    <row r="61" spans="1:48" x14ac:dyDescent="0.2">
      <c r="A61" s="18">
        <v>34</v>
      </c>
      <c r="B61" s="18" t="s">
        <v>292</v>
      </c>
      <c r="D61" s="37">
        <f>SUM(F61:N61)</f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Q61" s="18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</row>
    <row r="62" spans="1:48" x14ac:dyDescent="0.2">
      <c r="Q62" s="18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</row>
    <row r="63" spans="1:48" x14ac:dyDescent="0.2">
      <c r="A63" s="18">
        <v>35</v>
      </c>
      <c r="B63" s="18"/>
      <c r="C63" s="18" t="s">
        <v>367</v>
      </c>
      <c r="D63" s="8">
        <f>SUM(F63:N63)</f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Q63" s="18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</row>
    <row r="64" spans="1:48" x14ac:dyDescent="0.2">
      <c r="A64" s="18">
        <v>36</v>
      </c>
      <c r="B64" s="18" t="s">
        <v>190</v>
      </c>
      <c r="D64" s="37">
        <f>SUM(F64:N64)</f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Q64" s="18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</row>
    <row r="65" spans="1:48" x14ac:dyDescent="0.2">
      <c r="Q65" s="18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</row>
    <row r="66" spans="1:48" x14ac:dyDescent="0.2">
      <c r="A66" s="18">
        <v>37</v>
      </c>
      <c r="B66" s="18"/>
      <c r="C66" s="18" t="s">
        <v>367</v>
      </c>
      <c r="D66" s="8">
        <f>SUM(F66:N66)</f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Q66" s="18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</row>
    <row r="67" spans="1:48" x14ac:dyDescent="0.2">
      <c r="A67" s="18">
        <v>38</v>
      </c>
      <c r="B67" s="18" t="s">
        <v>156</v>
      </c>
      <c r="D67" s="37">
        <f>SUM(F67:N67)</f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Q67" s="18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69"/>
      <c r="AO67" s="69"/>
      <c r="AP67" s="69"/>
      <c r="AQ67" s="69"/>
      <c r="AR67" s="69"/>
      <c r="AS67" s="69"/>
      <c r="AT67" s="69"/>
      <c r="AU67" s="69"/>
      <c r="AV67" s="69"/>
    </row>
    <row r="68" spans="1:48" x14ac:dyDescent="0.2">
      <c r="B68" s="18"/>
      <c r="Q68" s="18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</row>
    <row r="69" spans="1:48" x14ac:dyDescent="0.2">
      <c r="A69" s="18">
        <v>39</v>
      </c>
      <c r="B69" s="18"/>
      <c r="C69" s="18" t="s">
        <v>367</v>
      </c>
      <c r="D69" s="8">
        <f>SUM(F69:N69)</f>
        <v>27361.562933802219</v>
      </c>
      <c r="F69" s="20">
        <v>267.1389475346665</v>
      </c>
      <c r="G69" s="20">
        <v>2241.2048385081316</v>
      </c>
      <c r="H69" s="20">
        <v>0</v>
      </c>
      <c r="I69" s="20">
        <v>5795.8114137151751</v>
      </c>
      <c r="J69" s="20">
        <v>1003.199016379157</v>
      </c>
      <c r="K69" s="20">
        <v>17651.537306171274</v>
      </c>
      <c r="L69" s="20">
        <v>105.2543307338708</v>
      </c>
      <c r="M69" s="20">
        <v>239.22070091749936</v>
      </c>
      <c r="N69" s="20">
        <v>58.196379842444664</v>
      </c>
      <c r="Q69" s="18"/>
    </row>
    <row r="70" spans="1:48" x14ac:dyDescent="0.2">
      <c r="A70" s="18">
        <v>40</v>
      </c>
      <c r="B70" s="18" t="s">
        <v>346</v>
      </c>
      <c r="D70" s="37">
        <f>SUM(F70:N70)</f>
        <v>0.99999999999999989</v>
      </c>
      <c r="F70" s="37">
        <f t="shared" ref="F70:N70" si="7">F69/$D69</f>
        <v>9.7632926957050958E-3</v>
      </c>
      <c r="G70" s="37">
        <f t="shared" si="7"/>
        <v>8.191070239410074E-2</v>
      </c>
      <c r="H70" s="37">
        <f t="shared" si="7"/>
        <v>0</v>
      </c>
      <c r="I70" s="37">
        <f t="shared" si="7"/>
        <v>0.21182311214229227</v>
      </c>
      <c r="J70" s="37">
        <f t="shared" si="7"/>
        <v>3.6664536262283991E-2</v>
      </c>
      <c r="K70" s="37">
        <f t="shared" si="7"/>
        <v>0.64512167484280403</v>
      </c>
      <c r="L70" s="37">
        <f t="shared" si="7"/>
        <v>3.8467952648947763E-3</v>
      </c>
      <c r="M70" s="37">
        <f t="shared" si="7"/>
        <v>8.7429472320811157E-3</v>
      </c>
      <c r="N70" s="37">
        <f t="shared" si="7"/>
        <v>2.1269391658379792E-3</v>
      </c>
      <c r="Q70" s="18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</row>
    <row r="71" spans="1:48" x14ac:dyDescent="0.2">
      <c r="A71" s="1"/>
      <c r="B71" s="18"/>
      <c r="Q71" s="18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</row>
    <row r="72" spans="1:48" x14ac:dyDescent="0.2">
      <c r="A72" s="18">
        <v>41</v>
      </c>
      <c r="B72" s="18"/>
      <c r="C72" s="18" t="s">
        <v>367</v>
      </c>
      <c r="D72" s="8">
        <f>SUM(F72:N72)</f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Q72" s="18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/>
      <c r="AV72" s="69"/>
    </row>
    <row r="73" spans="1:48" x14ac:dyDescent="0.2">
      <c r="A73" s="18">
        <v>42</v>
      </c>
      <c r="B73" s="18" t="s">
        <v>229</v>
      </c>
      <c r="D73" s="37">
        <f>SUM(F73:N73)</f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Q73" s="18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69"/>
      <c r="AU73" s="69"/>
      <c r="AV73" s="69"/>
    </row>
    <row r="74" spans="1:48" x14ac:dyDescent="0.2">
      <c r="B74" s="18"/>
      <c r="Q74" s="18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</row>
    <row r="75" spans="1:48" x14ac:dyDescent="0.2">
      <c r="A75" s="18">
        <v>43</v>
      </c>
      <c r="B75" s="18"/>
      <c r="C75" s="18" t="s">
        <v>367</v>
      </c>
      <c r="D75" s="20">
        <f>SUM(F75:N75)</f>
        <v>51.378344616562565</v>
      </c>
      <c r="F75" s="61">
        <v>0</v>
      </c>
      <c r="G75" s="61">
        <v>0</v>
      </c>
      <c r="H75" s="61">
        <v>0</v>
      </c>
      <c r="I75" s="61">
        <v>0.69543203280216814</v>
      </c>
      <c r="J75" s="61">
        <v>0</v>
      </c>
      <c r="K75" s="61">
        <v>50.682912583760398</v>
      </c>
      <c r="L75" s="61">
        <v>0</v>
      </c>
      <c r="M75" s="61">
        <v>0</v>
      </c>
      <c r="N75" s="61">
        <v>0</v>
      </c>
      <c r="Q75" s="18"/>
    </row>
    <row r="76" spans="1:48" x14ac:dyDescent="0.2">
      <c r="A76" s="18">
        <v>44</v>
      </c>
      <c r="B76" s="18" t="s">
        <v>230</v>
      </c>
      <c r="D76" s="37">
        <f>SUM(F76:N76)</f>
        <v>1</v>
      </c>
      <c r="F76" s="37">
        <f t="shared" ref="F76:N76" si="8">F75/$D75</f>
        <v>0</v>
      </c>
      <c r="G76" s="37">
        <f t="shared" si="8"/>
        <v>0</v>
      </c>
      <c r="H76" s="37">
        <f t="shared" si="8"/>
        <v>0</v>
      </c>
      <c r="I76" s="37">
        <f t="shared" si="8"/>
        <v>1.3535508743852861E-2</v>
      </c>
      <c r="J76" s="37">
        <f t="shared" si="8"/>
        <v>0</v>
      </c>
      <c r="K76" s="37">
        <f t="shared" si="8"/>
        <v>0.98646449125614721</v>
      </c>
      <c r="L76" s="37">
        <f t="shared" si="8"/>
        <v>0</v>
      </c>
      <c r="M76" s="37">
        <f t="shared" si="8"/>
        <v>0</v>
      </c>
      <c r="N76" s="37">
        <f t="shared" si="8"/>
        <v>0</v>
      </c>
      <c r="Q76" s="18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</row>
    <row r="77" spans="1:48" x14ac:dyDescent="0.2">
      <c r="A77" s="1"/>
      <c r="B77" s="18"/>
      <c r="Q77" s="18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</row>
    <row r="78" spans="1:48" x14ac:dyDescent="0.2">
      <c r="A78" s="18">
        <v>45</v>
      </c>
      <c r="B78" s="18"/>
      <c r="C78" s="18" t="s">
        <v>367</v>
      </c>
      <c r="D78" s="8">
        <f>SUM(F78:N78)</f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Q78" s="18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</row>
    <row r="79" spans="1:48" x14ac:dyDescent="0.2">
      <c r="A79" s="18">
        <v>46</v>
      </c>
      <c r="B79" s="18" t="s">
        <v>191</v>
      </c>
      <c r="D79" s="37">
        <f>SUM(F79:N79)</f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Q79" s="18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</row>
    <row r="80" spans="1:48" x14ac:dyDescent="0.2">
      <c r="Q80" s="18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</row>
    <row r="81" spans="1:48" x14ac:dyDescent="0.2">
      <c r="A81" s="18">
        <v>47</v>
      </c>
      <c r="B81" s="18"/>
      <c r="C81" s="18" t="s">
        <v>367</v>
      </c>
      <c r="D81" s="8">
        <f>SUM(F81:N81)</f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Q81" s="18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</row>
    <row r="82" spans="1:48" x14ac:dyDescent="0.2">
      <c r="A82" s="18">
        <v>48</v>
      </c>
      <c r="B82" s="18" t="s">
        <v>157</v>
      </c>
      <c r="D82" s="37">
        <f>SUM(F82:N82)</f>
        <v>0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  <c r="L82" s="37">
        <v>0</v>
      </c>
      <c r="M82" s="37">
        <v>0</v>
      </c>
      <c r="N82" s="37">
        <v>0</v>
      </c>
      <c r="Q82" s="18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69"/>
      <c r="AU82" s="69"/>
      <c r="AV82" s="69"/>
    </row>
    <row r="83" spans="1:48" x14ac:dyDescent="0.2">
      <c r="B83" s="18"/>
      <c r="Q83" s="18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</row>
    <row r="84" spans="1:48" x14ac:dyDescent="0.2">
      <c r="A84" s="18">
        <v>49</v>
      </c>
      <c r="B84" s="18"/>
      <c r="C84" s="18" t="s">
        <v>367</v>
      </c>
      <c r="D84" s="8">
        <f>SUM(F84:N84)</f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0">
        <v>0</v>
      </c>
      <c r="Q84" s="18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69"/>
      <c r="AU84" s="69"/>
      <c r="AV84" s="69"/>
    </row>
    <row r="85" spans="1:48" x14ac:dyDescent="0.2">
      <c r="A85" s="18">
        <v>50</v>
      </c>
      <c r="B85" s="18" t="s">
        <v>334</v>
      </c>
      <c r="D85" s="37">
        <f>SUM(F85:N85)</f>
        <v>0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Q85" s="18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</row>
    <row r="86" spans="1:48" x14ac:dyDescent="0.2">
      <c r="Q86" s="18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/>
      <c r="AT86" s="69"/>
      <c r="AU86" s="69"/>
      <c r="AV86" s="69"/>
    </row>
    <row r="87" spans="1:48" x14ac:dyDescent="0.2">
      <c r="A87" s="18">
        <v>51</v>
      </c>
      <c r="B87" s="18"/>
      <c r="C87" s="18" t="s">
        <v>367</v>
      </c>
      <c r="D87" s="8">
        <f>SUM(F87:N87)</f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Q87" s="18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</row>
    <row r="88" spans="1:48" x14ac:dyDescent="0.2">
      <c r="A88" s="18">
        <v>52</v>
      </c>
      <c r="B88" s="18" t="s">
        <v>221</v>
      </c>
      <c r="D88" s="37">
        <f>SUM(F88:N88)</f>
        <v>0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  <c r="L88" s="37">
        <v>0</v>
      </c>
      <c r="M88" s="37">
        <v>0</v>
      </c>
      <c r="N88" s="37">
        <v>0</v>
      </c>
      <c r="Q88" s="18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</row>
    <row r="89" spans="1:48" x14ac:dyDescent="0.2">
      <c r="Q89" s="18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</row>
    <row r="90" spans="1:48" x14ac:dyDescent="0.2">
      <c r="A90" s="18">
        <v>53</v>
      </c>
      <c r="B90" s="18"/>
      <c r="C90" s="18" t="s">
        <v>367</v>
      </c>
      <c r="D90" s="8">
        <f>SUM(F90:N90)</f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20">
        <v>0</v>
      </c>
      <c r="Q90" s="18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</row>
    <row r="91" spans="1:48" x14ac:dyDescent="0.2">
      <c r="A91" s="18">
        <v>54</v>
      </c>
      <c r="B91" s="18" t="s">
        <v>220</v>
      </c>
      <c r="D91" s="37">
        <f>SUM(F91:N91)</f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  <c r="L91" s="37">
        <v>0</v>
      </c>
      <c r="M91" s="37">
        <v>0</v>
      </c>
      <c r="N91" s="37">
        <v>0</v>
      </c>
      <c r="Q91" s="18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</row>
    <row r="92" spans="1:48" x14ac:dyDescent="0.2">
      <c r="B92" s="137"/>
      <c r="Q92" s="18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</row>
    <row r="93" spans="1:48" x14ac:dyDescent="0.2">
      <c r="A93" s="18">
        <v>55</v>
      </c>
      <c r="B93" s="18"/>
      <c r="C93" s="18" t="s">
        <v>367</v>
      </c>
      <c r="D93" s="8">
        <f>SUM(F93:N93)</f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0</v>
      </c>
      <c r="M93" s="20">
        <v>0</v>
      </c>
      <c r="N93" s="20">
        <v>0</v>
      </c>
      <c r="Q93" s="18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</row>
    <row r="94" spans="1:48" x14ac:dyDescent="0.2">
      <c r="A94" s="18">
        <v>56</v>
      </c>
      <c r="B94" s="18" t="s">
        <v>262</v>
      </c>
      <c r="D94" s="37">
        <f>SUM(F94:N94)</f>
        <v>0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  <c r="L94" s="37">
        <v>0</v>
      </c>
      <c r="M94" s="37">
        <v>0</v>
      </c>
      <c r="N94" s="37">
        <v>0</v>
      </c>
      <c r="Q94" s="18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  <c r="AN94" s="69"/>
      <c r="AO94" s="69"/>
      <c r="AP94" s="69"/>
      <c r="AQ94" s="69"/>
      <c r="AR94" s="69"/>
      <c r="AS94" s="69"/>
      <c r="AT94" s="69"/>
      <c r="AU94" s="69"/>
      <c r="AV94" s="69"/>
    </row>
    <row r="95" spans="1:48" x14ac:dyDescent="0.2">
      <c r="Q95" s="18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  <c r="AN95" s="69"/>
      <c r="AO95" s="69"/>
      <c r="AP95" s="69"/>
      <c r="AQ95" s="69"/>
      <c r="AR95" s="69"/>
      <c r="AS95" s="69"/>
      <c r="AT95" s="69"/>
      <c r="AU95" s="69"/>
      <c r="AV95" s="69"/>
    </row>
    <row r="96" spans="1:48" x14ac:dyDescent="0.2">
      <c r="A96" s="18">
        <v>57</v>
      </c>
      <c r="B96" s="18"/>
      <c r="C96" s="18" t="s">
        <v>367</v>
      </c>
      <c r="D96" s="8">
        <f>SUM(F96:N96)</f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0</v>
      </c>
      <c r="M96" s="20">
        <v>0</v>
      </c>
      <c r="N96" s="20">
        <v>0</v>
      </c>
      <c r="Q96" s="18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</row>
    <row r="97" spans="1:48" x14ac:dyDescent="0.2">
      <c r="A97" s="18">
        <v>58</v>
      </c>
      <c r="B97" s="18" t="s">
        <v>264</v>
      </c>
      <c r="D97" s="37">
        <f>SUM(F97:N97)</f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Q97" s="18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</row>
    <row r="98" spans="1:48" x14ac:dyDescent="0.2">
      <c r="B98" s="18"/>
      <c r="Q98" s="18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</row>
    <row r="99" spans="1:48" x14ac:dyDescent="0.2">
      <c r="A99" s="18">
        <v>59</v>
      </c>
      <c r="B99" s="18"/>
      <c r="C99" s="18" t="s">
        <v>367</v>
      </c>
      <c r="D99" s="8">
        <f>SUM(F99:N99)</f>
        <v>10937.195281721026</v>
      </c>
      <c r="F99" s="20">
        <v>0</v>
      </c>
      <c r="G99" s="20">
        <v>0</v>
      </c>
      <c r="H99" s="20">
        <v>0</v>
      </c>
      <c r="I99" s="20">
        <v>4091.5570591710916</v>
      </c>
      <c r="J99" s="20">
        <v>728.18869420741589</v>
      </c>
      <c r="K99" s="20">
        <v>5846.6204725714824</v>
      </c>
      <c r="L99" s="20">
        <v>76.400606864037272</v>
      </c>
      <c r="M99" s="20">
        <v>173.64232518611135</v>
      </c>
      <c r="N99" s="20">
        <v>20.786123720887076</v>
      </c>
      <c r="Q99" s="18"/>
    </row>
    <row r="100" spans="1:48" x14ac:dyDescent="0.2">
      <c r="A100" s="18">
        <v>60</v>
      </c>
      <c r="B100" s="18" t="s">
        <v>335</v>
      </c>
      <c r="D100" s="37">
        <f>SUM(F100:N100)</f>
        <v>1</v>
      </c>
      <c r="F100" s="37">
        <f t="shared" ref="F100:N100" si="9">F99/$D99</f>
        <v>0</v>
      </c>
      <c r="G100" s="37">
        <f t="shared" si="9"/>
        <v>0</v>
      </c>
      <c r="H100" s="37">
        <f t="shared" si="9"/>
        <v>0</v>
      </c>
      <c r="I100" s="37">
        <f t="shared" si="9"/>
        <v>0.37409563912689536</v>
      </c>
      <c r="J100" s="37">
        <f t="shared" si="9"/>
        <v>6.6579106932872792E-2</v>
      </c>
      <c r="K100" s="37">
        <f t="shared" si="9"/>
        <v>0.53456305039581276</v>
      </c>
      <c r="L100" s="37">
        <f t="shared" si="9"/>
        <v>6.985392954601724E-3</v>
      </c>
      <c r="M100" s="37">
        <f t="shared" si="9"/>
        <v>1.5876312044671458E-2</v>
      </c>
      <c r="N100" s="37">
        <f t="shared" si="9"/>
        <v>1.9004985451458694E-3</v>
      </c>
      <c r="Q100" s="18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</row>
    <row r="101" spans="1:48" x14ac:dyDescent="0.2">
      <c r="B101" s="18"/>
      <c r="Q101" s="18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</row>
    <row r="102" spans="1:48" x14ac:dyDescent="0.2">
      <c r="B102" s="18"/>
    </row>
    <row r="103" spans="1:48" x14ac:dyDescent="0.2">
      <c r="B103" s="18"/>
    </row>
    <row r="104" spans="1:48" x14ac:dyDescent="0.2">
      <c r="B104" s="18"/>
    </row>
    <row r="105" spans="1:48" x14ac:dyDescent="0.2">
      <c r="B105" s="18"/>
    </row>
    <row r="114" spans="1:14" x14ac:dyDescent="0.2">
      <c r="A114" s="56"/>
    </row>
    <row r="115" spans="1:14" x14ac:dyDescent="0.2">
      <c r="A115" s="56"/>
    </row>
    <row r="117" spans="1:14" x14ac:dyDescent="0.2">
      <c r="A117" s="56"/>
    </row>
    <row r="118" spans="1:14" x14ac:dyDescent="0.2">
      <c r="A118" s="56"/>
    </row>
    <row r="119" spans="1:14" x14ac:dyDescent="0.2">
      <c r="B119" s="18"/>
      <c r="D119" s="17"/>
      <c r="F119" s="24"/>
      <c r="G119" s="24"/>
      <c r="H119" s="24"/>
    </row>
    <row r="120" spans="1:14" x14ac:dyDescent="0.2">
      <c r="A120" s="56"/>
    </row>
    <row r="121" spans="1:14" x14ac:dyDescent="0.2">
      <c r="A121" s="56"/>
    </row>
    <row r="122" spans="1:14" x14ac:dyDescent="0.2">
      <c r="B122" s="137"/>
      <c r="D122" s="137"/>
      <c r="F122" s="137"/>
      <c r="G122" s="137"/>
      <c r="H122" s="137"/>
      <c r="I122" s="137"/>
      <c r="J122" s="137"/>
      <c r="K122" s="137"/>
      <c r="L122" s="137"/>
      <c r="M122" s="137"/>
      <c r="N122" s="137"/>
    </row>
    <row r="123" spans="1:14" x14ac:dyDescent="0.2">
      <c r="A123" s="56"/>
    </row>
    <row r="124" spans="1:14" x14ac:dyDescent="0.2">
      <c r="A124" s="56"/>
    </row>
    <row r="125" spans="1:14" x14ac:dyDescent="0.2">
      <c r="B125" s="137"/>
      <c r="D125" s="137"/>
      <c r="F125" s="137"/>
      <c r="G125" s="137"/>
      <c r="H125" s="137"/>
      <c r="I125" s="137"/>
      <c r="J125" s="137"/>
      <c r="K125" s="137"/>
      <c r="L125" s="137"/>
      <c r="M125" s="137"/>
      <c r="N125" s="137"/>
    </row>
    <row r="126" spans="1:14" x14ac:dyDescent="0.2">
      <c r="A126" s="56"/>
    </row>
    <row r="127" spans="1:14" x14ac:dyDescent="0.2">
      <c r="A127" s="56"/>
    </row>
    <row r="128" spans="1:14" x14ac:dyDescent="0.2">
      <c r="B128" s="137"/>
      <c r="D128" s="137"/>
      <c r="F128" s="137"/>
      <c r="G128" s="137"/>
      <c r="H128" s="137"/>
      <c r="I128" s="137"/>
      <c r="J128" s="137"/>
      <c r="K128" s="137"/>
      <c r="L128" s="137"/>
      <c r="M128" s="137"/>
      <c r="N128" s="137"/>
    </row>
    <row r="129" spans="1:1" x14ac:dyDescent="0.2">
      <c r="A129" s="56"/>
    </row>
    <row r="130" spans="1:1" x14ac:dyDescent="0.2">
      <c r="A130" s="56"/>
    </row>
    <row r="132" spans="1:1" x14ac:dyDescent="0.2">
      <c r="A132" s="56"/>
    </row>
    <row r="133" spans="1:1" x14ac:dyDescent="0.2">
      <c r="A133" s="56"/>
    </row>
    <row r="135" spans="1:1" x14ac:dyDescent="0.2">
      <c r="A135" s="56"/>
    </row>
    <row r="136" spans="1:1" x14ac:dyDescent="0.2">
      <c r="A136" s="56"/>
    </row>
    <row r="138" spans="1:1" x14ac:dyDescent="0.2">
      <c r="A138" s="56"/>
    </row>
    <row r="139" spans="1:1" x14ac:dyDescent="0.2">
      <c r="A139" s="56"/>
    </row>
    <row r="141" spans="1:1" x14ac:dyDescent="0.2">
      <c r="A141" s="56"/>
    </row>
    <row r="142" spans="1:1" x14ac:dyDescent="0.2">
      <c r="A142" s="56"/>
    </row>
    <row r="144" spans="1:1" x14ac:dyDescent="0.2">
      <c r="A144" s="56"/>
    </row>
    <row r="145" spans="1:1" x14ac:dyDescent="0.2">
      <c r="A145" s="56"/>
    </row>
    <row r="147" spans="1:1" x14ac:dyDescent="0.2">
      <c r="A147" s="56"/>
    </row>
    <row r="148" spans="1:1" x14ac:dyDescent="0.2">
      <c r="A148" s="56"/>
    </row>
    <row r="150" spans="1:1" x14ac:dyDescent="0.2">
      <c r="A150" s="56"/>
    </row>
    <row r="151" spans="1:1" x14ac:dyDescent="0.2">
      <c r="A151" s="56"/>
    </row>
    <row r="153" spans="1:1" x14ac:dyDescent="0.2">
      <c r="A153" s="56"/>
    </row>
    <row r="154" spans="1:1" x14ac:dyDescent="0.2">
      <c r="A154" s="56"/>
    </row>
    <row r="156" spans="1:1" x14ac:dyDescent="0.2">
      <c r="A156" s="56"/>
    </row>
    <row r="157" spans="1:1" x14ac:dyDescent="0.2">
      <c r="A157" s="56"/>
    </row>
    <row r="159" spans="1:1" x14ac:dyDescent="0.2">
      <c r="A159" s="56"/>
    </row>
    <row r="160" spans="1:1" x14ac:dyDescent="0.2">
      <c r="A160" s="56"/>
    </row>
    <row r="162" spans="1:18" x14ac:dyDescent="0.2">
      <c r="A162" s="56"/>
      <c r="P162" s="40"/>
      <c r="Q162" s="40"/>
      <c r="R162" s="40"/>
    </row>
    <row r="163" spans="1:18" x14ac:dyDescent="0.2">
      <c r="A163" s="56"/>
    </row>
    <row r="165" spans="1:18" x14ac:dyDescent="0.2">
      <c r="A165" s="56"/>
    </row>
    <row r="166" spans="1:18" x14ac:dyDescent="0.2">
      <c r="A166" s="56"/>
    </row>
    <row r="167" spans="1:18" x14ac:dyDescent="0.2">
      <c r="F167" s="37"/>
      <c r="G167" s="37"/>
      <c r="H167" s="37"/>
      <c r="I167" s="37"/>
      <c r="J167" s="37"/>
      <c r="K167" s="37"/>
      <c r="L167" s="37"/>
      <c r="M167" s="37"/>
      <c r="N167" s="37"/>
    </row>
    <row r="168" spans="1:18" x14ac:dyDescent="0.2">
      <c r="A168" s="56"/>
    </row>
    <row r="169" spans="1:18" x14ac:dyDescent="0.2">
      <c r="A169" s="56"/>
    </row>
    <row r="170" spans="1:18" x14ac:dyDescent="0.2">
      <c r="F170" s="37"/>
      <c r="G170" s="37"/>
      <c r="H170" s="37"/>
      <c r="I170" s="37"/>
      <c r="J170" s="37"/>
      <c r="K170" s="37"/>
      <c r="L170" s="37"/>
      <c r="M170" s="37"/>
      <c r="N170" s="37"/>
    </row>
    <row r="171" spans="1:18" x14ac:dyDescent="0.2">
      <c r="A171" s="56"/>
    </row>
    <row r="172" spans="1:18" x14ac:dyDescent="0.2">
      <c r="A172" s="56"/>
    </row>
    <row r="174" spans="1:18" x14ac:dyDescent="0.2">
      <c r="A174" s="56"/>
      <c r="O174" s="8"/>
    </row>
    <row r="175" spans="1:18" x14ac:dyDescent="0.2">
      <c r="A175" s="56"/>
      <c r="O175" s="35"/>
    </row>
    <row r="177" spans="1:1" x14ac:dyDescent="0.2">
      <c r="A177" s="56"/>
    </row>
    <row r="178" spans="1:1" x14ac:dyDescent="0.2">
      <c r="A178" s="56"/>
    </row>
    <row r="180" spans="1:1" x14ac:dyDescent="0.2">
      <c r="A180" s="56"/>
    </row>
    <row r="181" spans="1:1" x14ac:dyDescent="0.2">
      <c r="A181" s="56"/>
    </row>
    <row r="183" spans="1:1" x14ac:dyDescent="0.2">
      <c r="A183" s="56"/>
    </row>
    <row r="184" spans="1:1" x14ac:dyDescent="0.2">
      <c r="A184" s="56"/>
    </row>
    <row r="186" spans="1:1" x14ac:dyDescent="0.2">
      <c r="A186" s="56"/>
    </row>
    <row r="187" spans="1:1" x14ac:dyDescent="0.2">
      <c r="A187" s="56"/>
    </row>
    <row r="189" spans="1:1" x14ac:dyDescent="0.2">
      <c r="A189" s="56"/>
    </row>
    <row r="190" spans="1:1" x14ac:dyDescent="0.2">
      <c r="A190" s="56"/>
    </row>
    <row r="192" spans="1:1" x14ac:dyDescent="0.2">
      <c r="A192" s="56"/>
    </row>
    <row r="193" spans="1:1" x14ac:dyDescent="0.2">
      <c r="A193" s="56"/>
    </row>
    <row r="195" spans="1:1" x14ac:dyDescent="0.2">
      <c r="A195" s="56"/>
    </row>
    <row r="196" spans="1:1" x14ac:dyDescent="0.2">
      <c r="A196" s="56"/>
    </row>
    <row r="198" spans="1:1" x14ac:dyDescent="0.2">
      <c r="A198" s="56"/>
    </row>
    <row r="199" spans="1:1" x14ac:dyDescent="0.2">
      <c r="A199" s="56"/>
    </row>
    <row r="201" spans="1:1" x14ac:dyDescent="0.2">
      <c r="A201" s="56"/>
    </row>
    <row r="202" spans="1:1" x14ac:dyDescent="0.2">
      <c r="A202" s="56"/>
    </row>
    <row r="204" spans="1:1" x14ac:dyDescent="0.2">
      <c r="A204" s="3"/>
    </row>
    <row r="205" spans="1:1" x14ac:dyDescent="0.2">
      <c r="A205" s="3"/>
    </row>
    <row r="207" spans="1:1" x14ac:dyDescent="0.2">
      <c r="A207" s="2"/>
    </row>
    <row r="208" spans="1:1" x14ac:dyDescent="0.2">
      <c r="A208" s="2"/>
    </row>
    <row r="210" spans="1:1" x14ac:dyDescent="0.2">
      <c r="A210" s="1"/>
    </row>
    <row r="211" spans="1:1" x14ac:dyDescent="0.2">
      <c r="A211" s="1"/>
    </row>
    <row r="213" spans="1:1" x14ac:dyDescent="0.2">
      <c r="A213" s="1"/>
    </row>
    <row r="214" spans="1:1" x14ac:dyDescent="0.2">
      <c r="A214" s="1"/>
    </row>
    <row r="216" spans="1:1" x14ac:dyDescent="0.2">
      <c r="A216" s="1"/>
    </row>
    <row r="217" spans="1:1" x14ac:dyDescent="0.2">
      <c r="A217" s="1"/>
    </row>
  </sheetData>
  <mergeCells count="7">
    <mergeCell ref="B5:N5"/>
    <mergeCell ref="B6:N6"/>
    <mergeCell ref="AH9:AL9"/>
    <mergeCell ref="AN9:AV9"/>
    <mergeCell ref="F8:N8"/>
    <mergeCell ref="S9:W9"/>
    <mergeCell ref="Y9:AG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B4EB5-2F7F-4564-A986-001D1C981D52}">
  <sheetPr>
    <pageSetUpPr fitToPage="1"/>
  </sheetPr>
  <dimension ref="A6:P21"/>
  <sheetViews>
    <sheetView zoomScale="80" zoomScaleNormal="80" workbookViewId="0"/>
  </sheetViews>
  <sheetFormatPr defaultColWidth="9.140625" defaultRowHeight="12.75" x14ac:dyDescent="0.2"/>
  <cols>
    <col min="1" max="1" width="6.42578125" style="1" customWidth="1"/>
    <col min="2" max="2" width="30.7109375" style="18" customWidth="1"/>
    <col min="3" max="3" width="8.28515625" style="1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1.7109375" style="1" customWidth="1"/>
    <col min="12" max="12" width="15.7109375" style="1" customWidth="1"/>
    <col min="13" max="13" width="1.7109375" style="1" customWidth="1"/>
    <col min="14" max="14" width="15.5703125" style="1" customWidth="1"/>
    <col min="15" max="15" width="1.7109375" style="1" customWidth="1"/>
    <col min="16" max="16" width="15.5703125" style="1" customWidth="1"/>
    <col min="17" max="16384" width="9.140625" style="1"/>
  </cols>
  <sheetData>
    <row r="6" spans="1:16" ht="15" customHeight="1" x14ac:dyDescent="0.2">
      <c r="B6" s="157" t="s">
        <v>511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</row>
    <row r="7" spans="1:16" ht="15" customHeight="1" x14ac:dyDescent="0.2">
      <c r="B7" s="157" t="s">
        <v>388</v>
      </c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</row>
    <row r="9" spans="1:16" x14ac:dyDescent="0.2">
      <c r="A9" s="18" t="s">
        <v>2</v>
      </c>
      <c r="B9" s="18" t="s">
        <v>7</v>
      </c>
      <c r="C9" s="18"/>
      <c r="F9" s="18" t="s">
        <v>111</v>
      </c>
      <c r="G9" s="18"/>
      <c r="H9" s="2" t="s">
        <v>116</v>
      </c>
      <c r="I9" s="2"/>
      <c r="J9" s="2" t="s">
        <v>116</v>
      </c>
      <c r="K9" s="3"/>
      <c r="L9" s="2" t="s">
        <v>113</v>
      </c>
      <c r="M9" s="3"/>
      <c r="N9" s="18" t="s">
        <v>113</v>
      </c>
      <c r="O9" s="18"/>
      <c r="P9" s="18"/>
    </row>
    <row r="10" spans="1:16" x14ac:dyDescent="0.2">
      <c r="A10" s="4" t="s">
        <v>4</v>
      </c>
      <c r="B10" s="4" t="s">
        <v>310</v>
      </c>
      <c r="C10" s="4"/>
      <c r="D10" s="4" t="s">
        <v>11</v>
      </c>
      <c r="F10" s="4" t="s">
        <v>112</v>
      </c>
      <c r="G10" s="18"/>
      <c r="H10" s="4" t="s">
        <v>286</v>
      </c>
      <c r="I10" s="18"/>
      <c r="J10" s="4" t="s">
        <v>49</v>
      </c>
      <c r="K10" s="18"/>
      <c r="L10" s="4" t="s">
        <v>114</v>
      </c>
      <c r="M10" s="18"/>
      <c r="N10" s="4" t="s">
        <v>49</v>
      </c>
      <c r="O10" s="18"/>
      <c r="P10" s="4" t="s">
        <v>135</v>
      </c>
    </row>
    <row r="11" spans="1:16" x14ac:dyDescent="0.2">
      <c r="A11" s="18"/>
      <c r="D11" s="18" t="s">
        <v>12</v>
      </c>
      <c r="E11" s="18"/>
      <c r="F11" s="57" t="s">
        <v>13</v>
      </c>
      <c r="G11" s="18"/>
      <c r="H11" s="57" t="s">
        <v>14</v>
      </c>
      <c r="I11" s="18"/>
      <c r="J11" s="57" t="s">
        <v>366</v>
      </c>
      <c r="K11" s="18"/>
      <c r="L11" s="57" t="s">
        <v>15</v>
      </c>
      <c r="N11" s="57" t="s">
        <v>16</v>
      </c>
      <c r="O11" s="18"/>
      <c r="P11" s="57" t="s">
        <v>59</v>
      </c>
    </row>
    <row r="12" spans="1:16" x14ac:dyDescent="0.2">
      <c r="B12" s="6"/>
      <c r="D12" s="18"/>
      <c r="E12" s="18"/>
      <c r="F12" s="57"/>
      <c r="G12" s="18"/>
      <c r="H12" s="57"/>
      <c r="I12" s="18"/>
      <c r="J12" s="57"/>
      <c r="K12" s="18"/>
      <c r="L12" s="57"/>
      <c r="N12" s="57"/>
      <c r="O12" s="18"/>
      <c r="P12" s="57"/>
    </row>
    <row r="13" spans="1:16" x14ac:dyDescent="0.2">
      <c r="A13" s="18">
        <v>1</v>
      </c>
      <c r="C13" s="44" t="s">
        <v>368</v>
      </c>
      <c r="D13" s="64">
        <f>SUM(F13:P13)</f>
        <v>1</v>
      </c>
      <c r="F13" s="20">
        <v>0</v>
      </c>
      <c r="H13" s="20">
        <v>0</v>
      </c>
      <c r="I13" s="20"/>
      <c r="J13" s="20">
        <v>0</v>
      </c>
      <c r="K13" s="20"/>
      <c r="L13" s="20">
        <v>0</v>
      </c>
      <c r="M13" s="20"/>
      <c r="N13" s="20">
        <v>0</v>
      </c>
      <c r="O13" s="20"/>
      <c r="P13" s="20">
        <v>1</v>
      </c>
    </row>
    <row r="14" spans="1:16" x14ac:dyDescent="0.2">
      <c r="A14" s="18">
        <v>2</v>
      </c>
      <c r="B14" s="18" t="s">
        <v>136</v>
      </c>
      <c r="C14" s="44"/>
      <c r="D14" s="105">
        <f>SUM(F14:P14)</f>
        <v>1</v>
      </c>
      <c r="F14" s="24">
        <f>F13/$D13</f>
        <v>0</v>
      </c>
      <c r="H14" s="24">
        <f>H13/$D13</f>
        <v>0</v>
      </c>
      <c r="J14" s="24">
        <f>J13/$D13</f>
        <v>0</v>
      </c>
      <c r="K14" s="24"/>
      <c r="L14" s="24">
        <f>L13/$D13</f>
        <v>0</v>
      </c>
      <c r="N14" s="24">
        <f>N13/$D13</f>
        <v>0</v>
      </c>
      <c r="P14" s="24">
        <f>P13/$D13</f>
        <v>1</v>
      </c>
    </row>
    <row r="15" spans="1:16" x14ac:dyDescent="0.2">
      <c r="A15" s="18"/>
      <c r="C15" s="44"/>
      <c r="D15" s="64"/>
    </row>
    <row r="16" spans="1:16" x14ac:dyDescent="0.2">
      <c r="A16" s="18">
        <v>3</v>
      </c>
      <c r="C16" s="44" t="s">
        <v>367</v>
      </c>
      <c r="D16" s="65">
        <f>SUM(F16:P16)</f>
        <v>2247538.0139059885</v>
      </c>
      <c r="F16" s="20">
        <v>1878311.1040714213</v>
      </c>
      <c r="G16" s="20"/>
      <c r="H16" s="20">
        <v>161486.41315728414</v>
      </c>
      <c r="I16" s="20"/>
      <c r="J16" s="20">
        <v>40328.527901042762</v>
      </c>
      <c r="K16" s="20"/>
      <c r="L16" s="20">
        <v>152523.42553920622</v>
      </c>
      <c r="M16" s="20"/>
      <c r="N16" s="20">
        <v>14888.543237034275</v>
      </c>
      <c r="O16" s="20"/>
      <c r="P16" s="20">
        <v>0</v>
      </c>
    </row>
    <row r="17" spans="1:16" x14ac:dyDescent="0.2">
      <c r="A17" s="18">
        <v>4</v>
      </c>
      <c r="B17" s="18" t="s">
        <v>356</v>
      </c>
      <c r="C17" s="44"/>
      <c r="D17" s="105">
        <f>SUM(F17:P17)</f>
        <v>1.0000000000000002</v>
      </c>
      <c r="F17" s="24">
        <f>F16/$D16</f>
        <v>0.83571939270878493</v>
      </c>
      <c r="H17" s="24">
        <f>H16/$D16</f>
        <v>7.1850358996436936E-2</v>
      </c>
      <c r="J17" s="24">
        <f>J16/$D16</f>
        <v>1.7943424160802492E-2</v>
      </c>
      <c r="K17" s="24"/>
      <c r="L17" s="24">
        <f>L16/$D16</f>
        <v>6.7862445304823243E-2</v>
      </c>
      <c r="N17" s="24">
        <f>N16/$D16</f>
        <v>6.6243788291524943E-3</v>
      </c>
      <c r="P17" s="24">
        <f>P16/$D16</f>
        <v>0</v>
      </c>
    </row>
    <row r="18" spans="1:16" x14ac:dyDescent="0.2">
      <c r="A18" s="18"/>
      <c r="C18" s="44"/>
      <c r="D18" s="64"/>
    </row>
    <row r="19" spans="1:16" x14ac:dyDescent="0.2">
      <c r="A19" s="18">
        <v>5</v>
      </c>
      <c r="C19" s="44" t="s">
        <v>368</v>
      </c>
      <c r="D19" s="65">
        <f>SUM(F19:P19)</f>
        <v>314009.83869649039</v>
      </c>
      <c r="F19" s="20">
        <v>0</v>
      </c>
      <c r="H19" s="20">
        <v>161486.41315728414</v>
      </c>
      <c r="I19" s="20"/>
      <c r="J19" s="20">
        <v>0</v>
      </c>
      <c r="K19" s="20"/>
      <c r="L19" s="20">
        <v>152523.42553920622</v>
      </c>
      <c r="M19" s="20"/>
      <c r="N19" s="20">
        <v>0</v>
      </c>
      <c r="O19" s="20"/>
      <c r="P19" s="20">
        <v>0</v>
      </c>
    </row>
    <row r="20" spans="1:16" x14ac:dyDescent="0.2">
      <c r="A20" s="18">
        <v>6</v>
      </c>
      <c r="B20" s="18" t="s">
        <v>247</v>
      </c>
      <c r="C20" s="85"/>
      <c r="D20" s="105">
        <f>SUM(F20:P20)</f>
        <v>0.99999999999999989</v>
      </c>
      <c r="F20" s="24">
        <f>F19/$D19</f>
        <v>0</v>
      </c>
      <c r="H20" s="24">
        <f>H19/$D19</f>
        <v>0.51427182609195432</v>
      </c>
      <c r="J20" s="24">
        <f>J19/$D19</f>
        <v>0</v>
      </c>
      <c r="K20" s="24"/>
      <c r="L20" s="24">
        <f>L19/$D19</f>
        <v>0.48572817390804557</v>
      </c>
      <c r="N20" s="24">
        <f>N19/$D19</f>
        <v>0</v>
      </c>
      <c r="P20" s="24">
        <f>P19/$D19</f>
        <v>0</v>
      </c>
    </row>
    <row r="21" spans="1:16" x14ac:dyDescent="0.2">
      <c r="A21" s="18"/>
      <c r="C21" s="18"/>
      <c r="D21" s="58"/>
      <c r="F21" s="20"/>
      <c r="H21" s="20"/>
      <c r="I21" s="20"/>
      <c r="J21" s="20"/>
      <c r="K21" s="20"/>
      <c r="L21" s="20"/>
      <c r="M21" s="20"/>
      <c r="N21" s="20"/>
      <c r="O21" s="20"/>
      <c r="P21" s="20"/>
    </row>
  </sheetData>
  <mergeCells count="2">
    <mergeCell ref="B6:P6"/>
    <mergeCell ref="B7:P7"/>
  </mergeCells>
  <pageMargins left="0.7" right="0.7" top="0.75" bottom="0.75" header="0.3" footer="0.3"/>
  <pageSetup scale="55" fitToHeight="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B3322-E30B-4998-9976-C8EC13B4BDD7}">
  <sheetPr>
    <tabColor theme="0" tint="-0.249977111117893"/>
    <pageSetUpPr fitToPage="1"/>
  </sheetPr>
  <dimension ref="B5:AN183"/>
  <sheetViews>
    <sheetView topLeftCell="D137" zoomScale="80" zoomScaleNormal="80" workbookViewId="0">
      <selection activeCell="AF162" sqref="AF162:AL162"/>
    </sheetView>
  </sheetViews>
  <sheetFormatPr defaultColWidth="9.140625" defaultRowHeight="12.75" x14ac:dyDescent="0.2"/>
  <cols>
    <col min="1" max="1" width="1.7109375" style="1" customWidth="1"/>
    <col min="2" max="2" width="5.5703125" style="18" bestFit="1" customWidth="1"/>
    <col min="3" max="3" width="1.7109375" style="1" customWidth="1"/>
    <col min="4" max="4" width="46" style="1" bestFit="1" customWidth="1"/>
    <col min="5" max="5" width="1.7109375" style="1" customWidth="1"/>
    <col min="6" max="6" width="19.7109375" style="31" customWidth="1"/>
    <col min="7" max="7" width="1.7109375" style="31" customWidth="1"/>
    <col min="8" max="8" width="13.140625" style="31" customWidth="1"/>
    <col min="9" max="9" width="1.7109375" style="31" customWidth="1"/>
    <col min="10" max="10" width="19.28515625" style="31" customWidth="1"/>
    <col min="11" max="11" width="1.7109375" style="74" customWidth="1"/>
    <col min="12" max="12" width="13.28515625" style="31" customWidth="1"/>
    <col min="13" max="13" width="1.7109375" style="1" customWidth="1"/>
    <col min="14" max="14" width="19.85546875" style="1" customWidth="1"/>
    <col min="15" max="15" width="1.7109375" style="74" customWidth="1"/>
    <col min="16" max="16" width="15.42578125" style="1" customWidth="1"/>
    <col min="17" max="17" width="1.7109375" style="1" customWidth="1"/>
    <col min="18" max="18" width="15.42578125" style="1" customWidth="1"/>
    <col min="19" max="19" width="1.7109375" style="1" customWidth="1"/>
    <col min="20" max="20" width="15.42578125" style="1" customWidth="1"/>
    <col min="21" max="21" width="1.7109375" style="1" customWidth="1"/>
    <col min="22" max="22" width="15.42578125" style="1" customWidth="1"/>
    <col min="23" max="23" width="1.7109375" style="1" customWidth="1"/>
    <col min="24" max="24" width="15.42578125" style="1" hidden="1" customWidth="1"/>
    <col min="25" max="25" width="9.140625" style="1"/>
    <col min="26" max="26" width="0" style="1" hidden="1" customWidth="1"/>
    <col min="27" max="27" width="9.5703125" style="1" bestFit="1" customWidth="1"/>
    <col min="28" max="28" width="9.140625" style="1"/>
    <col min="29" max="29" width="12" style="31" customWidth="1"/>
    <col min="30" max="30" width="9.140625" style="31"/>
    <col min="31" max="31" width="1.7109375" style="31" customWidth="1"/>
    <col min="32" max="32" width="11.42578125" style="31" customWidth="1"/>
    <col min="33" max="33" width="2.140625" style="31" customWidth="1"/>
    <col min="34" max="34" width="11.42578125" style="31" customWidth="1"/>
    <col min="35" max="35" width="2" style="31" customWidth="1"/>
    <col min="36" max="36" width="11.42578125" style="31" customWidth="1"/>
    <col min="37" max="37" width="1.85546875" style="31" customWidth="1"/>
    <col min="38" max="38" width="11.42578125" style="31" customWidth="1"/>
    <col min="39" max="39" width="1.85546875" style="31" customWidth="1"/>
    <col min="40" max="40" width="12" style="31" customWidth="1"/>
    <col min="41" max="16384" width="9.140625" style="1"/>
  </cols>
  <sheetData>
    <row r="5" spans="2:40" ht="15" customHeight="1" x14ac:dyDescent="0.2"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</row>
    <row r="6" spans="2:40" ht="15" customHeight="1" x14ac:dyDescent="0.2">
      <c r="B6" s="158" t="s">
        <v>511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</row>
    <row r="7" spans="2:40" ht="15" customHeight="1" x14ac:dyDescent="0.2">
      <c r="B7" s="157" t="s">
        <v>376</v>
      </c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</row>
    <row r="10" spans="2:40" x14ac:dyDescent="0.2">
      <c r="H10" s="2" t="s">
        <v>11</v>
      </c>
      <c r="J10" s="2" t="s">
        <v>130</v>
      </c>
      <c r="L10" s="2" t="s">
        <v>137</v>
      </c>
      <c r="N10" s="18" t="s">
        <v>8</v>
      </c>
      <c r="P10" s="159" t="s">
        <v>44</v>
      </c>
      <c r="Q10" s="159"/>
      <c r="R10" s="159"/>
      <c r="S10" s="159"/>
      <c r="T10" s="159"/>
      <c r="U10" s="3"/>
    </row>
    <row r="11" spans="2:40" x14ac:dyDescent="0.2">
      <c r="B11" s="18" t="s">
        <v>2</v>
      </c>
      <c r="F11" s="2" t="s">
        <v>3</v>
      </c>
      <c r="H11" s="2" t="s">
        <v>130</v>
      </c>
      <c r="J11" s="2" t="s">
        <v>131</v>
      </c>
      <c r="L11" s="2" t="s">
        <v>138</v>
      </c>
      <c r="N11" s="18" t="s">
        <v>141</v>
      </c>
      <c r="P11" s="18"/>
      <c r="Q11" s="18"/>
      <c r="R11" s="2"/>
      <c r="S11" s="3"/>
      <c r="T11" s="2" t="s">
        <v>343</v>
      </c>
      <c r="U11" s="3"/>
      <c r="V11" s="18" t="s">
        <v>8</v>
      </c>
    </row>
    <row r="12" spans="2:40" x14ac:dyDescent="0.2">
      <c r="B12" s="4" t="s">
        <v>4</v>
      </c>
      <c r="D12" s="5" t="s">
        <v>374</v>
      </c>
      <c r="F12" s="33" t="s">
        <v>5</v>
      </c>
      <c r="H12" s="33" t="s">
        <v>131</v>
      </c>
      <c r="J12" s="33" t="s">
        <v>6</v>
      </c>
      <c r="L12" s="33" t="s">
        <v>322</v>
      </c>
      <c r="N12" s="4" t="s">
        <v>6</v>
      </c>
      <c r="O12" s="73"/>
      <c r="P12" s="4" t="s">
        <v>46</v>
      </c>
      <c r="Q12" s="18"/>
      <c r="R12" s="4" t="s">
        <v>47</v>
      </c>
      <c r="S12" s="18"/>
      <c r="T12" s="4" t="s">
        <v>344</v>
      </c>
      <c r="U12" s="18"/>
      <c r="V12" s="4" t="s">
        <v>49</v>
      </c>
      <c r="X12" s="4" t="s">
        <v>11</v>
      </c>
      <c r="Z12" s="26" t="s">
        <v>84</v>
      </c>
      <c r="AB12" s="19"/>
    </row>
    <row r="13" spans="2:40" x14ac:dyDescent="0.2">
      <c r="F13" s="2" t="s">
        <v>12</v>
      </c>
      <c r="H13" s="2" t="s">
        <v>13</v>
      </c>
      <c r="J13" s="2" t="s">
        <v>14</v>
      </c>
      <c r="L13" s="2" t="s">
        <v>192</v>
      </c>
      <c r="N13" s="18" t="s">
        <v>15</v>
      </c>
      <c r="O13" s="73"/>
      <c r="P13" s="18" t="s">
        <v>16</v>
      </c>
      <c r="Q13" s="18"/>
      <c r="R13" s="18" t="s">
        <v>59</v>
      </c>
      <c r="S13" s="18"/>
      <c r="T13" s="18" t="s">
        <v>61</v>
      </c>
      <c r="U13" s="18"/>
      <c r="V13" s="18" t="s">
        <v>62</v>
      </c>
      <c r="X13" s="18" t="s">
        <v>140</v>
      </c>
      <c r="Z13" s="27"/>
    </row>
    <row r="14" spans="2:40" s="74" customFormat="1" x14ac:dyDescent="0.2">
      <c r="B14" s="73"/>
      <c r="F14" s="31"/>
      <c r="G14" s="31"/>
      <c r="H14" s="31"/>
      <c r="I14" s="31"/>
      <c r="J14" s="31"/>
      <c r="L14" s="31"/>
      <c r="P14" s="74">
        <v>4</v>
      </c>
      <c r="R14" s="74">
        <v>6</v>
      </c>
      <c r="T14" s="74">
        <v>8</v>
      </c>
      <c r="V14" s="74">
        <v>10</v>
      </c>
      <c r="Z14" s="75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</row>
    <row r="15" spans="2:40" x14ac:dyDescent="0.2">
      <c r="D15" s="6"/>
      <c r="E15" s="6"/>
      <c r="F15" s="77"/>
      <c r="Z15" s="25"/>
      <c r="AC15" s="2" t="s">
        <v>318</v>
      </c>
      <c r="AF15" s="2"/>
      <c r="AG15" s="2"/>
      <c r="AH15" s="2"/>
      <c r="AI15" s="2"/>
      <c r="AJ15" s="2" t="s">
        <v>45</v>
      </c>
      <c r="AK15" s="2"/>
      <c r="AL15" s="2" t="s">
        <v>8</v>
      </c>
      <c r="AM15" s="2"/>
      <c r="AN15" s="2"/>
    </row>
    <row r="16" spans="2:40" x14ac:dyDescent="0.2">
      <c r="D16" s="6" t="s">
        <v>295</v>
      </c>
      <c r="E16" s="7"/>
      <c r="F16" s="78"/>
      <c r="Z16" s="27"/>
      <c r="AC16" s="33" t="s">
        <v>319</v>
      </c>
      <c r="AF16" s="33" t="s">
        <v>46</v>
      </c>
      <c r="AG16" s="2"/>
      <c r="AH16" s="33" t="s">
        <v>47</v>
      </c>
      <c r="AI16" s="2"/>
      <c r="AJ16" s="33" t="s">
        <v>48</v>
      </c>
      <c r="AK16" s="2"/>
      <c r="AL16" s="33" t="s">
        <v>49</v>
      </c>
      <c r="AM16" s="2"/>
      <c r="AN16" s="33" t="s">
        <v>11</v>
      </c>
    </row>
    <row r="17" spans="2:40" x14ac:dyDescent="0.2">
      <c r="Z17" s="27"/>
    </row>
    <row r="18" spans="2:40" x14ac:dyDescent="0.2">
      <c r="B18" s="18">
        <v>1</v>
      </c>
      <c r="D18" s="1" t="s">
        <v>76</v>
      </c>
      <c r="F18" s="50">
        <f ca="1">Function!R18</f>
        <v>13017.78562077151</v>
      </c>
      <c r="H18" s="50">
        <f ca="1">IF(K18&lt;&gt;0,OFFSET('Stor Factors'!$B$12,'Storage Class'!$K18-1,2),0)</f>
        <v>7.3027000000000006</v>
      </c>
      <c r="J18" s="2" t="s">
        <v>267</v>
      </c>
      <c r="K18" s="73">
        <v>9</v>
      </c>
      <c r="L18" s="50">
        <f ca="1">F18-H18</f>
        <v>13010.48292077151</v>
      </c>
      <c r="N18" s="18" t="s">
        <v>50</v>
      </c>
      <c r="O18" s="73">
        <v>27</v>
      </c>
      <c r="P18" s="20">
        <f ca="1">OFFSET('Stor Factors'!$B$13,$O18-1,P$14)*$L18+OFFSET('Stor Factors'!$B$13,$K18-1,P$14)*$H18</f>
        <v>13017.78562077151</v>
      </c>
      <c r="R18" s="20">
        <f ca="1">OFFSET('Stor Factors'!$B$13,$O18-1,R$14)*$L18+OFFSET('Stor Factors'!$B$13,$K18-1,R$14)*$H18</f>
        <v>0</v>
      </c>
      <c r="S18" s="20"/>
      <c r="T18" s="20">
        <f ca="1">OFFSET('Stor Factors'!$B$13,$O18-1,T$14)*$L18+OFFSET('Stor Factors'!$B$13,$K18-1,T$14)*$H18</f>
        <v>0</v>
      </c>
      <c r="U18" s="20"/>
      <c r="V18" s="20">
        <f ca="1">OFFSET('Stor Factors'!$B$13,$O18-1,V$14)*$L18+OFFSET('Stor Factors'!$B$13,$K18-1,V$14)*$H18</f>
        <v>0</v>
      </c>
      <c r="X18" s="9">
        <f t="shared" ref="X18:X30" ca="1" si="0">P18+R18+T18+V18</f>
        <v>13017.78562077151</v>
      </c>
      <c r="Z18" s="25" t="str">
        <f ca="1">IF(ROUND(F18,4)=ROUND(X18,4), "", "check")</f>
        <v/>
      </c>
      <c r="AA18" s="8"/>
      <c r="AB18" s="20"/>
      <c r="AC18" s="79">
        <v>0</v>
      </c>
      <c r="AF18" s="93">
        <f ca="1">IFERROR(P18/$X18*$AC18,"")</f>
        <v>0</v>
      </c>
      <c r="AG18" s="96"/>
      <c r="AH18" s="93">
        <f ca="1">IFERROR(R18/$X18*$AC18,"")</f>
        <v>0</v>
      </c>
      <c r="AI18" s="96"/>
      <c r="AJ18" s="93">
        <f ca="1">IFERROR(T18/$X18*$AC18,"")</f>
        <v>0</v>
      </c>
      <c r="AK18" s="96"/>
      <c r="AL18" s="93">
        <f ca="1">IFERROR(V18/$X18*$AC18,"")</f>
        <v>0</v>
      </c>
      <c r="AM18" s="96"/>
      <c r="AN18" s="93">
        <f ca="1">SUM(AF18,AH18,AJ18,AL18)</f>
        <v>0</v>
      </c>
    </row>
    <row r="19" spans="2:40" x14ac:dyDescent="0.2">
      <c r="B19" s="18">
        <f>B18+1</f>
        <v>2</v>
      </c>
      <c r="D19" s="1" t="s">
        <v>75</v>
      </c>
      <c r="F19" s="50">
        <f ca="1">Function!R19</f>
        <v>74787.01496</v>
      </c>
      <c r="H19" s="50"/>
      <c r="J19" s="2"/>
      <c r="K19" s="73">
        <v>0</v>
      </c>
      <c r="L19" s="50">
        <f ca="1">F19-H19</f>
        <v>74787.01496</v>
      </c>
      <c r="N19" s="18" t="s">
        <v>347</v>
      </c>
      <c r="O19" s="73">
        <v>24</v>
      </c>
      <c r="P19" s="20">
        <f ca="1">OFFSET('Stor Factors'!$B$13,$O19-1,P$14)*$L19+OFFSET('Stor Factors'!$B$13,$K19-1,P$14)*$H19</f>
        <v>37393.50748</v>
      </c>
      <c r="R19" s="20">
        <f ca="1">OFFSET('Stor Factors'!$B$13,$O19-1,R$14)*$L19+OFFSET('Stor Factors'!$B$13,$K19-1,R$14)*$H19</f>
        <v>34467.551306072164</v>
      </c>
      <c r="S19" s="20"/>
      <c r="T19" s="20">
        <f ca="1">OFFSET('Stor Factors'!$B$13,$O19-1,T$14)*$L19+OFFSET('Stor Factors'!$B$13,$K19-1,T$14)*$H19</f>
        <v>2925.9561739278333</v>
      </c>
      <c r="U19" s="20"/>
      <c r="V19" s="20">
        <f ca="1">OFFSET('Stor Factors'!$B$13,$O19-1,V$14)*$L19+OFFSET('Stor Factors'!$B$13,$K19-1,V$14)*$H19</f>
        <v>0</v>
      </c>
      <c r="X19" s="9">
        <f t="shared" ca="1" si="0"/>
        <v>74787.014959999986</v>
      </c>
      <c r="Z19" s="25" t="str">
        <f t="shared" ref="Z19:Z32" ca="1" si="1">IF(ROUND(F19,4)=ROUND(X19,4), "", "check")</f>
        <v/>
      </c>
      <c r="AA19" s="8"/>
      <c r="AB19" s="20"/>
      <c r="AC19" s="79">
        <v>1070.580028657577</v>
      </c>
      <c r="AF19" s="93">
        <f t="shared" ref="AF19:AL30" ca="1" si="2">IFERROR(P19/$X19*$AC19,"")</f>
        <v>535.29001432878863</v>
      </c>
      <c r="AG19" s="96"/>
      <c r="AH19" s="93">
        <f t="shared" ca="1" si="2"/>
        <v>493.40479874410607</v>
      </c>
      <c r="AI19" s="96"/>
      <c r="AJ19" s="93">
        <f t="shared" ca="1" si="2"/>
        <v>41.885215584682491</v>
      </c>
      <c r="AK19" s="96"/>
      <c r="AL19" s="93">
        <f t="shared" ca="1" si="2"/>
        <v>0</v>
      </c>
      <c r="AM19" s="96"/>
      <c r="AN19" s="93">
        <f t="shared" ref="AN19:AN30" ca="1" si="3">SUM(AF19,AH19,AJ19,AL19)</f>
        <v>1070.5800286575773</v>
      </c>
    </row>
    <row r="20" spans="2:40" x14ac:dyDescent="0.2">
      <c r="B20" s="18">
        <f t="shared" ref="B20:B31" si="4">B19+1</f>
        <v>3</v>
      </c>
      <c r="D20" s="1" t="s">
        <v>19</v>
      </c>
      <c r="F20" s="50">
        <f ca="1">Function!R20</f>
        <v>79798.549934962299</v>
      </c>
      <c r="H20" s="50">
        <f ca="1">IF(K20&lt;&gt;0,OFFSET('Stor Factors'!$B$12,'Storage Class'!$K20-1,2),0)</f>
        <v>9113.3284516697677</v>
      </c>
      <c r="J20" s="2" t="s">
        <v>315</v>
      </c>
      <c r="K20" s="73">
        <v>15</v>
      </c>
      <c r="L20" s="50">
        <f t="shared" ref="L20:L30" ca="1" si="5">F20-H20</f>
        <v>70685.221483292524</v>
      </c>
      <c r="N20" s="18" t="s">
        <v>50</v>
      </c>
      <c r="O20" s="73">
        <v>27</v>
      </c>
      <c r="P20" s="20">
        <f ca="1">OFFSET('Stor Factors'!$B$13,$O20-1,P$14)*$L20+OFFSET('Stor Factors'!$B$13,$K20-1,P$14)*$H20</f>
        <v>79798.549934962299</v>
      </c>
      <c r="R20" s="20">
        <f ca="1">OFFSET('Stor Factors'!$B$13,$O20-1,R$14)*$L20+OFFSET('Stor Factors'!$B$13,$K20-1,R$14)*$H20</f>
        <v>0</v>
      </c>
      <c r="S20" s="20"/>
      <c r="T20" s="20">
        <f ca="1">OFFSET('Stor Factors'!$B$13,$O20-1,T$14)*$L20+OFFSET('Stor Factors'!$B$13,$K20-1,T$14)*$H20</f>
        <v>0</v>
      </c>
      <c r="U20" s="20"/>
      <c r="V20" s="20">
        <f ca="1">OFFSET('Stor Factors'!$B$13,$O20-1,V$14)*$L20+OFFSET('Stor Factors'!$B$13,$K20-1,V$14)*$H20</f>
        <v>0</v>
      </c>
      <c r="X20" s="9">
        <f t="shared" ca="1" si="0"/>
        <v>79798.549934962299</v>
      </c>
      <c r="Z20" s="25" t="str">
        <f t="shared" ca="1" si="1"/>
        <v/>
      </c>
      <c r="AA20" s="8"/>
      <c r="AB20" s="20"/>
      <c r="AC20" s="79">
        <v>2076.6267287063492</v>
      </c>
      <c r="AF20" s="93">
        <f t="shared" ca="1" si="2"/>
        <v>2076.6267287063492</v>
      </c>
      <c r="AG20" s="96"/>
      <c r="AH20" s="93">
        <f t="shared" ca="1" si="2"/>
        <v>0</v>
      </c>
      <c r="AI20" s="96"/>
      <c r="AJ20" s="93">
        <f t="shared" ca="1" si="2"/>
        <v>0</v>
      </c>
      <c r="AK20" s="96"/>
      <c r="AL20" s="93">
        <f t="shared" ca="1" si="2"/>
        <v>0</v>
      </c>
      <c r="AM20" s="96"/>
      <c r="AN20" s="93">
        <f t="shared" ca="1" si="3"/>
        <v>2076.6267287063492</v>
      </c>
    </row>
    <row r="21" spans="2:40" x14ac:dyDescent="0.2">
      <c r="B21" s="18">
        <f t="shared" si="4"/>
        <v>4</v>
      </c>
      <c r="D21" s="1" t="s">
        <v>21</v>
      </c>
      <c r="F21" s="50">
        <f ca="1">Function!R21</f>
        <v>40301.815387977447</v>
      </c>
      <c r="H21" s="50"/>
      <c r="J21" s="2"/>
      <c r="K21" s="73">
        <v>0</v>
      </c>
      <c r="L21" s="50">
        <f t="shared" ca="1" si="5"/>
        <v>40301.815387977447</v>
      </c>
      <c r="N21" s="18" t="s">
        <v>50</v>
      </c>
      <c r="O21" s="73">
        <v>27</v>
      </c>
      <c r="P21" s="20">
        <f ca="1">OFFSET('Stor Factors'!$B$13,$O21-1,P$14)*$L21+OFFSET('Stor Factors'!$B$13,$K21-1,P$14)*$H21</f>
        <v>40301.815387977447</v>
      </c>
      <c r="R21" s="20">
        <f ca="1">OFFSET('Stor Factors'!$B$13,$O21-1,R$14)*$L21+OFFSET('Stor Factors'!$B$13,$K21-1,R$14)*$H21</f>
        <v>0</v>
      </c>
      <c r="S21" s="20"/>
      <c r="T21" s="20">
        <f ca="1">OFFSET('Stor Factors'!$B$13,$O21-1,T$14)*$L21+OFFSET('Stor Factors'!$B$13,$K21-1,T$14)*$H21</f>
        <v>0</v>
      </c>
      <c r="U21" s="20"/>
      <c r="V21" s="20">
        <f ca="1">OFFSET('Stor Factors'!$B$13,$O21-1,V$14)*$L21+OFFSET('Stor Factors'!$B$13,$K21-1,V$14)*$H21</f>
        <v>0</v>
      </c>
      <c r="X21" s="9">
        <f t="shared" ca="1" si="0"/>
        <v>40301.815387977447</v>
      </c>
      <c r="Z21" s="25" t="str">
        <f t="shared" ca="1" si="1"/>
        <v/>
      </c>
      <c r="AA21" s="8"/>
      <c r="AB21" s="20"/>
      <c r="AC21" s="79">
        <v>819.51101529513221</v>
      </c>
      <c r="AF21" s="93">
        <f t="shared" ca="1" si="2"/>
        <v>819.51101529513221</v>
      </c>
      <c r="AG21" s="96"/>
      <c r="AH21" s="93">
        <f t="shared" ca="1" si="2"/>
        <v>0</v>
      </c>
      <c r="AI21" s="96"/>
      <c r="AJ21" s="93">
        <f t="shared" ca="1" si="2"/>
        <v>0</v>
      </c>
      <c r="AK21" s="96"/>
      <c r="AL21" s="93">
        <f t="shared" ca="1" si="2"/>
        <v>0</v>
      </c>
      <c r="AM21" s="96"/>
      <c r="AN21" s="93">
        <f t="shared" ca="1" si="3"/>
        <v>819.51101529513221</v>
      </c>
    </row>
    <row r="22" spans="2:40" x14ac:dyDescent="0.2">
      <c r="B22" s="18">
        <f t="shared" si="4"/>
        <v>5</v>
      </c>
      <c r="D22" s="1" t="s">
        <v>23</v>
      </c>
      <c r="F22" s="50">
        <f ca="1">Function!R22</f>
        <v>0</v>
      </c>
      <c r="H22" s="50"/>
      <c r="J22" s="2"/>
      <c r="K22" s="73">
        <v>0</v>
      </c>
      <c r="L22" s="50">
        <f t="shared" ca="1" si="5"/>
        <v>0</v>
      </c>
      <c r="N22" s="18" t="s">
        <v>50</v>
      </c>
      <c r="O22" s="73">
        <v>27</v>
      </c>
      <c r="P22" s="20">
        <f ca="1">OFFSET('Stor Factors'!$B$13,$O22-1,P$14)*$L22+OFFSET('Stor Factors'!$B$13,$K22-1,P$14)*$H22</f>
        <v>0</v>
      </c>
      <c r="R22" s="20">
        <f ca="1">OFFSET('Stor Factors'!$B$13,$O22-1,R$14)*$L22+OFFSET('Stor Factors'!$B$13,$K22-1,R$14)*$H22</f>
        <v>0</v>
      </c>
      <c r="S22" s="20"/>
      <c r="T22" s="20">
        <f ca="1">OFFSET('Stor Factors'!$B$13,$O22-1,T$14)*$L22+OFFSET('Stor Factors'!$B$13,$K22-1,T$14)*$H22</f>
        <v>0</v>
      </c>
      <c r="U22" s="20"/>
      <c r="V22" s="20">
        <f ca="1">OFFSET('Stor Factors'!$B$13,$O22-1,V$14)*$L22+OFFSET('Stor Factors'!$B$13,$K22-1,V$14)*$H22</f>
        <v>0</v>
      </c>
      <c r="X22" s="9">
        <f t="shared" ca="1" si="0"/>
        <v>0</v>
      </c>
      <c r="Z22" s="25" t="str">
        <f t="shared" ca="1" si="1"/>
        <v/>
      </c>
      <c r="AA22" s="8"/>
      <c r="AB22" s="20"/>
      <c r="AC22" s="79">
        <v>0</v>
      </c>
      <c r="AF22" s="93" t="str">
        <f t="shared" ca="1" si="2"/>
        <v/>
      </c>
      <c r="AG22" s="96"/>
      <c r="AH22" s="93" t="str">
        <f t="shared" ca="1" si="2"/>
        <v/>
      </c>
      <c r="AI22" s="96"/>
      <c r="AJ22" s="93" t="str">
        <f t="shared" ca="1" si="2"/>
        <v/>
      </c>
      <c r="AK22" s="96"/>
      <c r="AL22" s="93" t="str">
        <f t="shared" ca="1" si="2"/>
        <v/>
      </c>
      <c r="AM22" s="96"/>
      <c r="AN22" s="93">
        <f t="shared" ca="1" si="3"/>
        <v>0</v>
      </c>
    </row>
    <row r="23" spans="2:40" x14ac:dyDescent="0.2">
      <c r="B23" s="18">
        <f t="shared" si="4"/>
        <v>6</v>
      </c>
      <c r="D23" s="1" t="s">
        <v>25</v>
      </c>
      <c r="F23" s="50">
        <f ca="1">Function!R23</f>
        <v>376124.00347801473</v>
      </c>
      <c r="H23" s="50"/>
      <c r="K23" s="73">
        <v>0</v>
      </c>
      <c r="L23" s="50">
        <f t="shared" ca="1" si="5"/>
        <v>376124.00347801473</v>
      </c>
      <c r="N23" s="18" t="s">
        <v>50</v>
      </c>
      <c r="O23" s="73">
        <v>27</v>
      </c>
      <c r="P23" s="20">
        <f ca="1">OFFSET('Stor Factors'!$B$13,$O23-1,P$14)*$L23+OFFSET('Stor Factors'!$B$13,$K23-1,P$14)*$H23</f>
        <v>376124.00347801473</v>
      </c>
      <c r="R23" s="20">
        <f ca="1">OFFSET('Stor Factors'!$B$13,$O23-1,R$14)*$L23+OFFSET('Stor Factors'!$B$13,$K23-1,R$14)*$H23</f>
        <v>0</v>
      </c>
      <c r="S23" s="20"/>
      <c r="T23" s="20">
        <f ca="1">OFFSET('Stor Factors'!$B$13,$O23-1,T$14)*$L23+OFFSET('Stor Factors'!$B$13,$K23-1,T$14)*$H23</f>
        <v>0</v>
      </c>
      <c r="U23" s="20"/>
      <c r="V23" s="20">
        <f ca="1">OFFSET('Stor Factors'!$B$13,$O23-1,V$14)*$L23+OFFSET('Stor Factors'!$B$13,$K23-1,V$14)*$H23</f>
        <v>0</v>
      </c>
      <c r="X23" s="9">
        <f t="shared" ca="1" si="0"/>
        <v>376124.00347801473</v>
      </c>
      <c r="Z23" s="25" t="str">
        <f t="shared" ca="1" si="1"/>
        <v/>
      </c>
      <c r="AA23" s="8"/>
      <c r="AB23" s="20"/>
      <c r="AC23" s="79">
        <v>9048.8393891603864</v>
      </c>
      <c r="AF23" s="93">
        <f t="shared" ca="1" si="2"/>
        <v>9048.8393891603864</v>
      </c>
      <c r="AG23" s="96"/>
      <c r="AH23" s="93">
        <f t="shared" ca="1" si="2"/>
        <v>0</v>
      </c>
      <c r="AI23" s="96"/>
      <c r="AJ23" s="93">
        <f t="shared" ca="1" si="2"/>
        <v>0</v>
      </c>
      <c r="AK23" s="96"/>
      <c r="AL23" s="93">
        <f t="shared" ca="1" si="2"/>
        <v>0</v>
      </c>
      <c r="AM23" s="96"/>
      <c r="AN23" s="93">
        <f t="shared" ca="1" si="3"/>
        <v>9048.8393891603864</v>
      </c>
    </row>
    <row r="24" spans="2:40" x14ac:dyDescent="0.2">
      <c r="B24" s="18">
        <f t="shared" si="4"/>
        <v>7</v>
      </c>
      <c r="D24" s="1" t="s">
        <v>27</v>
      </c>
      <c r="F24" s="50">
        <f ca="1">Function!R24</f>
        <v>30022.717863727081</v>
      </c>
      <c r="H24" s="50">
        <f ca="1">IF(K24&lt;&gt;0,OFFSET('Stor Factors'!$B$12,'Storage Class'!$K24-1,2),0)</f>
        <v>30022.717863727081</v>
      </c>
      <c r="J24" s="2" t="s">
        <v>268</v>
      </c>
      <c r="K24" s="73">
        <v>3</v>
      </c>
      <c r="L24" s="50">
        <f t="shared" ca="1" si="5"/>
        <v>0</v>
      </c>
      <c r="N24" s="18" t="s">
        <v>50</v>
      </c>
      <c r="O24" s="73">
        <v>27</v>
      </c>
      <c r="P24" s="20">
        <f ca="1">OFFSET('Stor Factors'!$B$13,$O24-1,P$14)*$L24+OFFSET('Stor Factors'!$B$13,$K24-1,P$14)*$H24</f>
        <v>30022.717863727081</v>
      </c>
      <c r="R24" s="20">
        <f ca="1">OFFSET('Stor Factors'!$B$13,$O24-1,R$14)*$L24+OFFSET('Stor Factors'!$B$13,$K24-1,R$14)*$H24</f>
        <v>0</v>
      </c>
      <c r="S24" s="20"/>
      <c r="T24" s="20">
        <f ca="1">OFFSET('Stor Factors'!$B$13,$O24-1,T$14)*$L24+OFFSET('Stor Factors'!$B$13,$K24-1,T$14)*$H24</f>
        <v>0</v>
      </c>
      <c r="U24" s="20"/>
      <c r="V24" s="20">
        <f ca="1">OFFSET('Stor Factors'!$B$13,$O24-1,V$14)*$L24+OFFSET('Stor Factors'!$B$13,$K24-1,V$14)*$H24</f>
        <v>0</v>
      </c>
      <c r="X24" s="9">
        <f t="shared" ca="1" si="0"/>
        <v>30022.717863727081</v>
      </c>
      <c r="Z24" s="25" t="str">
        <f t="shared" ca="1" si="1"/>
        <v/>
      </c>
      <c r="AA24" s="8"/>
      <c r="AB24" s="20"/>
      <c r="AC24" s="79">
        <v>290.61922447862031</v>
      </c>
      <c r="AF24" s="93">
        <f t="shared" ca="1" si="2"/>
        <v>290.61922447862031</v>
      </c>
      <c r="AH24" s="93">
        <f t="shared" ca="1" si="2"/>
        <v>0</v>
      </c>
      <c r="AI24" s="96"/>
      <c r="AJ24" s="93">
        <f t="shared" ca="1" si="2"/>
        <v>0</v>
      </c>
      <c r="AK24" s="96"/>
      <c r="AL24" s="93">
        <f t="shared" ca="1" si="2"/>
        <v>0</v>
      </c>
      <c r="AM24" s="96"/>
      <c r="AN24" s="93">
        <f t="shared" ca="1" si="3"/>
        <v>290.61922447862031</v>
      </c>
    </row>
    <row r="25" spans="2:40" x14ac:dyDescent="0.2">
      <c r="B25" s="18">
        <f t="shared" si="4"/>
        <v>8</v>
      </c>
      <c r="D25" s="1" t="s">
        <v>29</v>
      </c>
      <c r="F25" s="50">
        <f ca="1">Function!R25</f>
        <v>385344.82101507834</v>
      </c>
      <c r="H25" s="50"/>
      <c r="K25" s="73">
        <v>0</v>
      </c>
      <c r="L25" s="50">
        <f t="shared" ca="1" si="5"/>
        <v>385344.82101507834</v>
      </c>
      <c r="N25" s="18" t="s">
        <v>347</v>
      </c>
      <c r="O25" s="73">
        <v>24</v>
      </c>
      <c r="P25" s="20">
        <f ca="1">OFFSET('Stor Factors'!$B$13,$O25-1,P$14)*$L25+OFFSET('Stor Factors'!$B$13,$K25-1,P$14)*$H25</f>
        <v>192672.41050753917</v>
      </c>
      <c r="R25" s="20">
        <f ca="1">OFFSET('Stor Factors'!$B$13,$O25-1,R$14)*$L25+OFFSET('Stor Factors'!$B$13,$K25-1,R$14)*$H25</f>
        <v>177596.23640507992</v>
      </c>
      <c r="S25" s="20"/>
      <c r="T25" s="20">
        <f ca="1">OFFSET('Stor Factors'!$B$13,$O25-1,T$14)*$L25+OFFSET('Stor Factors'!$B$13,$K25-1,T$14)*$H25</f>
        <v>15076.174102459248</v>
      </c>
      <c r="U25" s="20"/>
      <c r="V25" s="20">
        <f ca="1">OFFSET('Stor Factors'!$B$13,$O25-1,V$14)*$L25+OFFSET('Stor Factors'!$B$13,$K25-1,V$14)*$H25</f>
        <v>0</v>
      </c>
      <c r="X25" s="9">
        <f t="shared" ca="1" si="0"/>
        <v>385344.82101507834</v>
      </c>
      <c r="Z25" s="25" t="str">
        <f t="shared" ca="1" si="1"/>
        <v/>
      </c>
      <c r="AA25" s="8"/>
      <c r="AB25" s="20"/>
      <c r="AC25" s="79">
        <v>11547.17034640862</v>
      </c>
      <c r="AF25" s="93">
        <f t="shared" ca="1" si="2"/>
        <v>5773.5851732043102</v>
      </c>
      <c r="AH25" s="93">
        <f t="shared" ca="1" si="2"/>
        <v>5321.8153788818399</v>
      </c>
      <c r="AI25" s="96"/>
      <c r="AJ25" s="93">
        <f t="shared" ca="1" si="2"/>
        <v>451.76979432247015</v>
      </c>
      <c r="AK25" s="96"/>
      <c r="AL25" s="93">
        <f t="shared" ca="1" si="2"/>
        <v>0</v>
      </c>
      <c r="AM25" s="96"/>
      <c r="AN25" s="93">
        <f t="shared" ca="1" si="3"/>
        <v>11547.17034640862</v>
      </c>
    </row>
    <row r="26" spans="2:40" x14ac:dyDescent="0.2">
      <c r="B26" s="18">
        <f t="shared" si="4"/>
        <v>9</v>
      </c>
      <c r="D26" s="1" t="s">
        <v>30</v>
      </c>
      <c r="F26" s="50">
        <f ca="1">Function!R26</f>
        <v>68466.485990000001</v>
      </c>
      <c r="H26" s="50"/>
      <c r="K26" s="73">
        <v>0</v>
      </c>
      <c r="L26" s="50">
        <f t="shared" ca="1" si="5"/>
        <v>68466.485990000001</v>
      </c>
      <c r="N26" s="18" t="s">
        <v>348</v>
      </c>
      <c r="O26" s="73">
        <v>36</v>
      </c>
      <c r="P26" s="20">
        <f ca="1">OFFSET('Stor Factors'!$B$13,$O26-1,P$14)*$L26+OFFSET('Stor Factors'!$B$13,$K26-1,P$14)*$H26</f>
        <v>0</v>
      </c>
      <c r="R26" s="20">
        <f ca="1">OFFSET('Stor Factors'!$B$13,$O26-1,R$14)*$L26+OFFSET('Stor Factors'!$B$13,$K26-1,R$14)*$H26</f>
        <v>63109.14053379398</v>
      </c>
      <c r="S26" s="20"/>
      <c r="T26" s="20">
        <f ca="1">OFFSET('Stor Factors'!$B$13,$O26-1,T$14)*$L26+OFFSET('Stor Factors'!$B$13,$K26-1,T$14)*$H26</f>
        <v>5357.3454562060251</v>
      </c>
      <c r="U26" s="20"/>
      <c r="V26" s="20">
        <f ca="1">OFFSET('Stor Factors'!$B$13,$O26-1,V$14)*$L26+OFFSET('Stor Factors'!$B$13,$K26-1,V$14)*$H26</f>
        <v>0</v>
      </c>
      <c r="X26" s="9">
        <f t="shared" ca="1" si="0"/>
        <v>68466.485990000001</v>
      </c>
      <c r="Z26" s="25" t="str">
        <f t="shared" ca="1" si="1"/>
        <v/>
      </c>
      <c r="AA26" s="8"/>
      <c r="AB26" s="20"/>
      <c r="AC26" s="79">
        <v>0</v>
      </c>
      <c r="AF26" s="93">
        <f t="shared" ca="1" si="2"/>
        <v>0</v>
      </c>
      <c r="AH26" s="93">
        <f t="shared" ca="1" si="2"/>
        <v>0</v>
      </c>
      <c r="AI26" s="96"/>
      <c r="AJ26" s="93">
        <f t="shared" ca="1" si="2"/>
        <v>0</v>
      </c>
      <c r="AK26" s="96"/>
      <c r="AL26" s="93">
        <f t="shared" ca="1" si="2"/>
        <v>0</v>
      </c>
      <c r="AM26" s="96"/>
      <c r="AN26" s="93">
        <f t="shared" ca="1" si="3"/>
        <v>0</v>
      </c>
    </row>
    <row r="27" spans="2:40" x14ac:dyDescent="0.2">
      <c r="B27" s="18">
        <f t="shared" si="4"/>
        <v>10</v>
      </c>
      <c r="D27" s="1" t="s">
        <v>31</v>
      </c>
      <c r="F27" s="50">
        <f ca="1">Function!R27</f>
        <v>0</v>
      </c>
      <c r="H27" s="50"/>
      <c r="K27" s="73">
        <v>0</v>
      </c>
      <c r="L27" s="50">
        <f t="shared" ca="1" si="5"/>
        <v>0</v>
      </c>
      <c r="N27" s="18"/>
      <c r="O27" s="73">
        <v>0</v>
      </c>
      <c r="P27" s="20">
        <f ca="1">OFFSET('Stor Factors'!$B$13,$O27-1,P$14)*$L27+OFFSET('Stor Factors'!$B$13,$K27-1,P$14)*$H27</f>
        <v>0</v>
      </c>
      <c r="R27" s="20">
        <f ca="1">OFFSET('Stor Factors'!$B$13,$O27-1,R$14)*$L27+OFFSET('Stor Factors'!$B$13,$K27-1,R$14)*$H27</f>
        <v>0</v>
      </c>
      <c r="S27" s="20"/>
      <c r="T27" s="20">
        <f ca="1">OFFSET('Stor Factors'!$B$13,$O27-1,T$14)*$L27+OFFSET('Stor Factors'!$B$13,$K27-1,T$14)*$H27</f>
        <v>0</v>
      </c>
      <c r="U27" s="20"/>
      <c r="V27" s="20">
        <f ca="1">OFFSET('Stor Factors'!$B$13,$O27-1,V$14)*$L27+OFFSET('Stor Factors'!$B$13,$K27-1,V$14)*$H27</f>
        <v>0</v>
      </c>
      <c r="X27" s="9">
        <f t="shared" ca="1" si="0"/>
        <v>0</v>
      </c>
      <c r="Z27" s="25" t="str">
        <f t="shared" ca="1" si="1"/>
        <v/>
      </c>
      <c r="AA27" s="8"/>
      <c r="AB27" s="20"/>
      <c r="AC27" s="79">
        <v>0</v>
      </c>
      <c r="AF27" s="93" t="str">
        <f t="shared" ca="1" si="2"/>
        <v/>
      </c>
      <c r="AH27" s="93" t="str">
        <f t="shared" ca="1" si="2"/>
        <v/>
      </c>
      <c r="AI27" s="96"/>
      <c r="AJ27" s="93" t="str">
        <f t="shared" ca="1" si="2"/>
        <v/>
      </c>
      <c r="AK27" s="96">
        <v>0</v>
      </c>
      <c r="AL27" s="93" t="str">
        <f t="shared" ca="1" si="2"/>
        <v/>
      </c>
      <c r="AM27" s="96"/>
      <c r="AN27" s="93">
        <f t="shared" ca="1" si="3"/>
        <v>0</v>
      </c>
    </row>
    <row r="28" spans="2:40" x14ac:dyDescent="0.2">
      <c r="B28" s="18">
        <f t="shared" si="4"/>
        <v>11</v>
      </c>
      <c r="D28" s="1" t="s">
        <v>293</v>
      </c>
      <c r="F28" s="50">
        <f ca="1">Function!R28</f>
        <v>0</v>
      </c>
      <c r="H28" s="50"/>
      <c r="K28" s="73">
        <v>0</v>
      </c>
      <c r="L28" s="50">
        <f t="shared" ca="1" si="5"/>
        <v>0</v>
      </c>
      <c r="N28" s="18"/>
      <c r="O28" s="73">
        <v>0</v>
      </c>
      <c r="P28" s="20">
        <f ca="1">OFFSET('Stor Factors'!$B$13,$O28-1,P$14)*$L28+OFFSET('Stor Factors'!$B$13,$K28-1,P$14)*$H28</f>
        <v>0</v>
      </c>
      <c r="R28" s="20">
        <f ca="1">OFFSET('Stor Factors'!$B$13,$O28-1,R$14)*$L28+OFFSET('Stor Factors'!$B$13,$K28-1,R$14)*$H28</f>
        <v>0</v>
      </c>
      <c r="S28" s="20"/>
      <c r="T28" s="20">
        <f ca="1">OFFSET('Stor Factors'!$B$13,$O28-1,T$14)*$L28+OFFSET('Stor Factors'!$B$13,$K28-1,T$14)*$H28</f>
        <v>0</v>
      </c>
      <c r="U28" s="20"/>
      <c r="V28" s="20">
        <f ca="1">OFFSET('Stor Factors'!$B$13,$O28-1,V$14)*$L28+OFFSET('Stor Factors'!$B$13,$K28-1,V$14)*$H28</f>
        <v>0</v>
      </c>
      <c r="X28" s="9">
        <f t="shared" ca="1" si="0"/>
        <v>0</v>
      </c>
      <c r="Z28" s="25" t="str">
        <f t="shared" ca="1" si="1"/>
        <v/>
      </c>
      <c r="AA28" s="8"/>
      <c r="AB28" s="20"/>
      <c r="AC28" s="79">
        <v>0</v>
      </c>
      <c r="AF28" s="93" t="str">
        <f t="shared" ca="1" si="2"/>
        <v/>
      </c>
      <c r="AH28" s="93" t="str">
        <f t="shared" ca="1" si="2"/>
        <v/>
      </c>
      <c r="AI28" s="96"/>
      <c r="AJ28" s="93" t="str">
        <f t="shared" ca="1" si="2"/>
        <v/>
      </c>
      <c r="AK28" s="96"/>
      <c r="AL28" s="93" t="str">
        <f t="shared" ca="1" si="2"/>
        <v/>
      </c>
      <c r="AM28" s="96"/>
      <c r="AN28" s="93">
        <f t="shared" ca="1" si="3"/>
        <v>0</v>
      </c>
    </row>
    <row r="29" spans="2:40" x14ac:dyDescent="0.2">
      <c r="B29" s="18">
        <f>B28+1</f>
        <v>12</v>
      </c>
      <c r="D29" s="1" t="s">
        <v>34</v>
      </c>
      <c r="F29" s="50">
        <f ca="1">Function!R29</f>
        <v>0</v>
      </c>
      <c r="H29" s="50"/>
      <c r="K29" s="73">
        <v>0</v>
      </c>
      <c r="L29" s="50">
        <f t="shared" ca="1" si="5"/>
        <v>0</v>
      </c>
      <c r="N29" s="18"/>
      <c r="O29" s="73">
        <v>0</v>
      </c>
      <c r="P29" s="20">
        <f ca="1">OFFSET('Stor Factors'!$B$13,$O29-1,P$14)*$L29+OFFSET('Stor Factors'!$B$13,$K29-1,P$14)*$H29</f>
        <v>0</v>
      </c>
      <c r="R29" s="20">
        <f ca="1">OFFSET('Stor Factors'!$B$13,$O29-1,R$14)*$L29+OFFSET('Stor Factors'!$B$13,$K29-1,R$14)*$H29</f>
        <v>0</v>
      </c>
      <c r="S29" s="20"/>
      <c r="T29" s="20">
        <f ca="1">OFFSET('Stor Factors'!$B$13,$O29-1,T$14)*$L29+OFFSET('Stor Factors'!$B$13,$K29-1,T$14)*$H29</f>
        <v>0</v>
      </c>
      <c r="U29" s="20"/>
      <c r="V29" s="20">
        <f ca="1">OFFSET('Stor Factors'!$B$13,$O29-1,V$14)*$L29+OFFSET('Stor Factors'!$B$13,$K29-1,V$14)*$H29</f>
        <v>0</v>
      </c>
      <c r="X29" s="9">
        <f t="shared" ca="1" si="0"/>
        <v>0</v>
      </c>
      <c r="Z29" s="25" t="str">
        <f t="shared" ca="1" si="1"/>
        <v/>
      </c>
      <c r="AA29" s="8"/>
      <c r="AB29" s="20"/>
      <c r="AC29" s="79">
        <v>0</v>
      </c>
      <c r="AF29" s="93" t="str">
        <f t="shared" ca="1" si="2"/>
        <v/>
      </c>
      <c r="AH29" s="93" t="str">
        <f t="shared" ca="1" si="2"/>
        <v/>
      </c>
      <c r="AI29" s="96"/>
      <c r="AJ29" s="93" t="str">
        <f t="shared" ca="1" si="2"/>
        <v/>
      </c>
      <c r="AK29" s="96"/>
      <c r="AL29" s="93" t="str">
        <f t="shared" ca="1" si="2"/>
        <v/>
      </c>
      <c r="AM29" s="96"/>
      <c r="AN29" s="93">
        <f t="shared" ca="1" si="3"/>
        <v>0</v>
      </c>
    </row>
    <row r="30" spans="2:40" x14ac:dyDescent="0.2">
      <c r="B30" s="18">
        <f>B29+1</f>
        <v>13</v>
      </c>
      <c r="D30" s="1" t="s">
        <v>77</v>
      </c>
      <c r="F30" s="50">
        <f ca="1">Function!R30</f>
        <v>477.03131475162303</v>
      </c>
      <c r="H30" s="50"/>
      <c r="K30" s="73">
        <v>0</v>
      </c>
      <c r="L30" s="50">
        <f t="shared" ca="1" si="5"/>
        <v>477.03131475162303</v>
      </c>
      <c r="N30" s="18" t="s">
        <v>50</v>
      </c>
      <c r="O30" s="73">
        <v>27</v>
      </c>
      <c r="P30" s="20">
        <f ca="1">OFFSET('Stor Factors'!$B$13,$O30-1,P$14)*$L30+OFFSET('Stor Factors'!$B$13,$K30-1,P$14)*$H30</f>
        <v>477.03131475162303</v>
      </c>
      <c r="R30" s="20">
        <f ca="1">OFFSET('Stor Factors'!$B$13,$O30-1,R$14)*$L30+OFFSET('Stor Factors'!$B$13,$K30-1,R$14)*$H30</f>
        <v>0</v>
      </c>
      <c r="S30" s="20"/>
      <c r="T30" s="20">
        <f ca="1">OFFSET('Stor Factors'!$B$13,$O30-1,T$14)*$L30+OFFSET('Stor Factors'!$B$13,$K30-1,T$14)*$H30</f>
        <v>0</v>
      </c>
      <c r="U30" s="20"/>
      <c r="V30" s="20">
        <f ca="1">OFFSET('Stor Factors'!$B$13,$O30-1,V$14)*$L30+OFFSET('Stor Factors'!$B$13,$K30-1,V$14)*$H30</f>
        <v>0</v>
      </c>
      <c r="X30" s="9">
        <f t="shared" ca="1" si="0"/>
        <v>477.03131475162303</v>
      </c>
      <c r="Z30" s="25" t="str">
        <f t="shared" ca="1" si="1"/>
        <v/>
      </c>
      <c r="AA30" s="8"/>
      <c r="AB30" s="20"/>
      <c r="AC30" s="79">
        <v>0</v>
      </c>
      <c r="AF30" s="93">
        <f t="shared" ca="1" si="2"/>
        <v>0</v>
      </c>
      <c r="AH30" s="93">
        <f t="shared" ca="1" si="2"/>
        <v>0</v>
      </c>
      <c r="AI30" s="96"/>
      <c r="AJ30" s="93">
        <f t="shared" ca="1" si="2"/>
        <v>0</v>
      </c>
      <c r="AK30" s="96"/>
      <c r="AL30" s="93">
        <f t="shared" ca="1" si="2"/>
        <v>0</v>
      </c>
      <c r="AM30" s="96"/>
      <c r="AN30" s="93">
        <f t="shared" ca="1" si="3"/>
        <v>0</v>
      </c>
    </row>
    <row r="31" spans="2:40" x14ac:dyDescent="0.2">
      <c r="B31" s="18">
        <f t="shared" si="4"/>
        <v>14</v>
      </c>
      <c r="D31" s="1" t="s">
        <v>297</v>
      </c>
      <c r="F31" s="41">
        <f ca="1">SUM(F18:F30)</f>
        <v>1068340.2255652831</v>
      </c>
      <c r="H31" s="41">
        <f ca="1">SUM(H18:H30)</f>
        <v>39143.349015396845</v>
      </c>
      <c r="L31" s="41">
        <f ca="1">SUM(L18:L30)</f>
        <v>1029196.8765498861</v>
      </c>
      <c r="P31" s="28">
        <f ca="1">SUM(P18:P30)</f>
        <v>769807.82158774382</v>
      </c>
      <c r="Q31" s="23"/>
      <c r="R31" s="28">
        <f ca="1">SUM(R18:R30)</f>
        <v>275172.92824494606</v>
      </c>
      <c r="S31" s="22"/>
      <c r="T31" s="28">
        <f ca="1">SUM(T18:T30)</f>
        <v>23359.475732593106</v>
      </c>
      <c r="U31" s="22"/>
      <c r="V31" s="28">
        <f ca="1">SUM(V18:V30)</f>
        <v>0</v>
      </c>
      <c r="W31" s="18"/>
      <c r="X31" s="28">
        <f ca="1">SUM(X18:X30)</f>
        <v>1068340.2255652831</v>
      </c>
      <c r="Y31" s="8"/>
      <c r="Z31" s="25" t="str">
        <f t="shared" ca="1" si="1"/>
        <v/>
      </c>
      <c r="AB31" s="20"/>
      <c r="AC31" s="81">
        <f>SUM(AC18:AC30)</f>
        <v>24853.346732706683</v>
      </c>
      <c r="AF31" s="81">
        <f ca="1">SUM(AF18:AF30)</f>
        <v>18544.471545173586</v>
      </c>
      <c r="AG31" s="81"/>
      <c r="AH31" s="81">
        <f ca="1">SUM(AH18:AH30)</f>
        <v>5815.2201776259462</v>
      </c>
      <c r="AI31" s="81"/>
      <c r="AJ31" s="81">
        <f ca="1">SUM(AJ18:AJ30)</f>
        <v>493.65500990715265</v>
      </c>
      <c r="AK31" s="81"/>
      <c r="AL31" s="81">
        <f ca="1">SUM(AL18:AL30)</f>
        <v>0</v>
      </c>
      <c r="AM31" s="81"/>
      <c r="AN31" s="81">
        <f ca="1">SUM(AN18:AN30)</f>
        <v>24853.346732706683</v>
      </c>
    </row>
    <row r="32" spans="2:40" x14ac:dyDescent="0.2">
      <c r="R32" s="14"/>
      <c r="W32" s="18"/>
      <c r="Z32" s="25" t="str">
        <f t="shared" si="1"/>
        <v/>
      </c>
      <c r="AB32" s="20"/>
    </row>
    <row r="33" spans="2:37" x14ac:dyDescent="0.2">
      <c r="B33" s="18">
        <f>B31+1</f>
        <v>15</v>
      </c>
      <c r="D33" s="1" t="s">
        <v>196</v>
      </c>
      <c r="F33" s="50">
        <f ca="1">Function!R33</f>
        <v>43180.32742920662</v>
      </c>
      <c r="H33" s="50"/>
      <c r="K33" s="73">
        <v>0</v>
      </c>
      <c r="L33" s="50">
        <f t="shared" ref="L33" ca="1" si="6">F33-H33</f>
        <v>43180.32742920662</v>
      </c>
      <c r="N33" s="18" t="s">
        <v>120</v>
      </c>
      <c r="O33" s="73">
        <v>45</v>
      </c>
      <c r="P33" s="20">
        <f ca="1">OFFSET('Stor Factors'!$B$13,$O33-1,P$14)*$L33+OFFSET('Stor Factors'!$B$13,$K33-1,P$14)*$H33</f>
        <v>31429.981992504654</v>
      </c>
      <c r="R33" s="20">
        <f ca="1">OFFSET('Stor Factors'!$B$13,$O33-1,R$14)*$L33+OFFSET('Stor Factors'!$B$13,$K33-1,R$14)*$H33</f>
        <v>10830.907863356069</v>
      </c>
      <c r="S33" s="20"/>
      <c r="T33" s="20">
        <f ca="1">OFFSET('Stor Factors'!$B$13,$O33-1,T$14)*$L33+OFFSET('Stor Factors'!$B$13,$K33-1,T$14)*$H33</f>
        <v>919.43757334589725</v>
      </c>
      <c r="U33" s="20"/>
      <c r="V33" s="20">
        <f ca="1">OFFSET('Stor Factors'!$B$13,$O33-1,V$14)*$L33+OFFSET('Stor Factors'!$B$13,$K33-1,V$14)*$H33</f>
        <v>0</v>
      </c>
      <c r="X33" s="9">
        <f t="shared" ref="X33" ca="1" si="7">P33+R33+T33+V33</f>
        <v>43180.32742920662</v>
      </c>
      <c r="Z33" s="25"/>
      <c r="AB33" s="20"/>
    </row>
    <row r="34" spans="2:37" x14ac:dyDescent="0.2">
      <c r="W34" s="18"/>
      <c r="Z34" s="25" t="str">
        <f t="shared" ref="Z34:Z37" si="8">IF(ROUND(F34,4)=ROUND(X34,4), "", "check")</f>
        <v/>
      </c>
      <c r="AB34" s="20"/>
    </row>
    <row r="35" spans="2:37" x14ac:dyDescent="0.2">
      <c r="B35" s="18">
        <f>B33+1</f>
        <v>16</v>
      </c>
      <c r="D35" s="1" t="s">
        <v>392</v>
      </c>
      <c r="F35" s="41">
        <f ca="1">F31+F33</f>
        <v>1111520.5529944897</v>
      </c>
      <c r="H35" s="41">
        <f ca="1">H31+H33</f>
        <v>39143.349015396845</v>
      </c>
      <c r="L35" s="41">
        <f ca="1">L31+L33</f>
        <v>1072377.2039790927</v>
      </c>
      <c r="P35" s="10">
        <f ca="1">P31+P33</f>
        <v>801237.8035802485</v>
      </c>
      <c r="Q35" s="14"/>
      <c r="R35" s="10">
        <f ca="1">R31+R33</f>
        <v>286003.83610830212</v>
      </c>
      <c r="S35" s="8"/>
      <c r="T35" s="10">
        <f ca="1">T31+T33</f>
        <v>24278.913305939004</v>
      </c>
      <c r="U35" s="8"/>
      <c r="V35" s="10">
        <f ca="1">V31+V33</f>
        <v>0</v>
      </c>
      <c r="W35" s="18"/>
      <c r="X35" s="10">
        <f ca="1">X31+X33</f>
        <v>1111520.5529944897</v>
      </c>
      <c r="Z35" s="25" t="str">
        <f t="shared" ca="1" si="8"/>
        <v/>
      </c>
      <c r="AA35" s="8"/>
      <c r="AB35" s="20"/>
    </row>
    <row r="36" spans="2:37" x14ac:dyDescent="0.2">
      <c r="D36" s="6"/>
      <c r="F36" s="77"/>
      <c r="H36" s="77"/>
      <c r="L36" s="77"/>
      <c r="W36" s="18"/>
      <c r="Z36" s="25" t="str">
        <f t="shared" si="8"/>
        <v/>
      </c>
      <c r="AB36" s="20"/>
    </row>
    <row r="37" spans="2:37" x14ac:dyDescent="0.2">
      <c r="E37" s="6"/>
      <c r="W37" s="18"/>
      <c r="Z37" s="25" t="str">
        <f t="shared" si="8"/>
        <v/>
      </c>
      <c r="AB37" s="20"/>
    </row>
    <row r="38" spans="2:37" x14ac:dyDescent="0.2">
      <c r="D38" s="6" t="s">
        <v>296</v>
      </c>
      <c r="E38" s="7"/>
      <c r="F38" s="78"/>
      <c r="Z38" s="27"/>
    </row>
    <row r="39" spans="2:37" x14ac:dyDescent="0.2">
      <c r="Z39" s="27"/>
    </row>
    <row r="40" spans="2:37" x14ac:dyDescent="0.2">
      <c r="B40" s="18">
        <f>B35+1</f>
        <v>17</v>
      </c>
      <c r="D40" s="1" t="s">
        <v>76</v>
      </c>
      <c r="F40" s="50">
        <f ca="1">Function!R40</f>
        <v>0</v>
      </c>
      <c r="H40" s="50"/>
      <c r="J40" s="2"/>
      <c r="K40" s="73">
        <v>0</v>
      </c>
      <c r="L40" s="50">
        <f ca="1">F40-H40</f>
        <v>0</v>
      </c>
      <c r="N40" s="18" t="s">
        <v>50</v>
      </c>
      <c r="O40" s="73">
        <v>27</v>
      </c>
      <c r="P40" s="20">
        <f ca="1">OFFSET('Stor Factors'!$B$13,$O40-1,P$14)*$L40+OFFSET('Stor Factors'!$B$13,$K40-1,P$14)*$H40</f>
        <v>0</v>
      </c>
      <c r="R40" s="20">
        <f ca="1">OFFSET('Stor Factors'!$B$13,$O40-1,R$14)*$L40+OFFSET('Stor Factors'!$B$13,$K40-1,R$14)*$H40</f>
        <v>0</v>
      </c>
      <c r="S40" s="20"/>
      <c r="T40" s="20">
        <f ca="1">OFFSET('Stor Factors'!$B$13,$O40-1,T$14)*$L40+OFFSET('Stor Factors'!$B$13,$K40-1,T$14)*$H40</f>
        <v>0</v>
      </c>
      <c r="U40" s="20"/>
      <c r="V40" s="20">
        <f ca="1">OFFSET('Stor Factors'!$B$13,$O40-1,V$14)*$L40+OFFSET('Stor Factors'!$B$13,$K40-1,V$14)*$H40</f>
        <v>0</v>
      </c>
      <c r="X40" s="9">
        <f t="shared" ref="X40:X52" ca="1" si="9">P40+R40+T40+V40</f>
        <v>0</v>
      </c>
      <c r="Z40" s="25" t="str">
        <f ca="1">IF(ROUND(F40,4)=ROUND(X40,4), "", "check")</f>
        <v/>
      </c>
      <c r="AA40" s="8"/>
      <c r="AB40" s="20"/>
    </row>
    <row r="41" spans="2:37" x14ac:dyDescent="0.2">
      <c r="B41" s="18">
        <f>B40+1</f>
        <v>18</v>
      </c>
      <c r="D41" s="1" t="s">
        <v>75</v>
      </c>
      <c r="F41" s="50">
        <f ca="1">Function!R41</f>
        <v>-48713.415889674274</v>
      </c>
      <c r="H41" s="50"/>
      <c r="J41" s="2"/>
      <c r="K41" s="73">
        <v>0</v>
      </c>
      <c r="L41" s="50">
        <f ca="1">F41-H41</f>
        <v>-48713.415889674274</v>
      </c>
      <c r="N41" s="18" t="s">
        <v>347</v>
      </c>
      <c r="O41" s="73">
        <v>24</v>
      </c>
      <c r="P41" s="20">
        <f ca="1">OFFSET('Stor Factors'!$B$13,$O41-1,P$14)*$L41+OFFSET('Stor Factors'!$B$13,$K41-1,P$14)*$H41</f>
        <v>-24356.707944837137</v>
      </c>
      <c r="R41" s="20">
        <f ca="1">OFFSET('Stor Factors'!$B$13,$O41-1,R$14)*$L41+OFFSET('Stor Factors'!$B$13,$K41-1,R$14)*$H41</f>
        <v>-22450.851426138794</v>
      </c>
      <c r="S41" s="20"/>
      <c r="T41" s="20">
        <f ca="1">OFFSET('Stor Factors'!$B$13,$O41-1,T$14)*$L41+OFFSET('Stor Factors'!$B$13,$K41-1,T$14)*$H41</f>
        <v>-1905.8565186983451</v>
      </c>
      <c r="U41" s="20"/>
      <c r="V41" s="20">
        <f ca="1">OFFSET('Stor Factors'!$B$13,$O41-1,V$14)*$L41+OFFSET('Stor Factors'!$B$13,$K41-1,V$14)*$H41</f>
        <v>0</v>
      </c>
      <c r="X41" s="9">
        <f t="shared" ca="1" si="9"/>
        <v>-48713.415889674274</v>
      </c>
      <c r="Z41" s="25" t="str">
        <f t="shared" ref="Z41:Z54" ca="1" si="10">IF(ROUND(F41,4)=ROUND(X41,4), "", "check")</f>
        <v/>
      </c>
      <c r="AA41" s="8"/>
      <c r="AB41" s="20"/>
    </row>
    <row r="42" spans="2:37" x14ac:dyDescent="0.2">
      <c r="B42" s="18">
        <f t="shared" ref="B42:B53" si="11">B41+1</f>
        <v>19</v>
      </c>
      <c r="D42" s="1" t="s">
        <v>19</v>
      </c>
      <c r="F42" s="50">
        <f ca="1">Function!R42</f>
        <v>-30467.610982604227</v>
      </c>
      <c r="H42" s="50">
        <f ca="1">IF(K42&lt;&gt;0,OFFSET('Stor Factors'!$B$12,'Storage Class'!$K42-1,2),0)</f>
        <v>-2950.0008695332904</v>
      </c>
      <c r="J42" s="2" t="s">
        <v>316</v>
      </c>
      <c r="K42" s="73">
        <v>18</v>
      </c>
      <c r="L42" s="50">
        <f t="shared" ref="L42:L52" ca="1" si="12">F42-H42</f>
        <v>-27517.610113070936</v>
      </c>
      <c r="N42" s="18" t="s">
        <v>50</v>
      </c>
      <c r="O42" s="73">
        <v>27</v>
      </c>
      <c r="P42" s="20">
        <f ca="1">OFFSET('Stor Factors'!$B$13,$O42-1,P$14)*$L42+OFFSET('Stor Factors'!$B$13,$K42-1,P$14)*$H42</f>
        <v>-30467.610982604227</v>
      </c>
      <c r="R42" s="20">
        <f ca="1">OFFSET('Stor Factors'!$B$13,$O42-1,R$14)*$L42+OFFSET('Stor Factors'!$B$13,$K42-1,R$14)*$H42</f>
        <v>0</v>
      </c>
      <c r="S42" s="20"/>
      <c r="T42" s="20">
        <f ca="1">OFFSET('Stor Factors'!$B$13,$O42-1,T$14)*$L42+OFFSET('Stor Factors'!$B$13,$K42-1,T$14)*$H42</f>
        <v>0</v>
      </c>
      <c r="U42" s="20"/>
      <c r="V42" s="20">
        <f ca="1">OFFSET('Stor Factors'!$B$13,$O42-1,V$14)*$L42+OFFSET('Stor Factors'!$B$13,$K42-1,V$14)*$H42</f>
        <v>0</v>
      </c>
      <c r="X42" s="9">
        <f t="shared" ca="1" si="9"/>
        <v>-30467.610982604227</v>
      </c>
      <c r="Z42" s="25" t="str">
        <f t="shared" ca="1" si="10"/>
        <v/>
      </c>
      <c r="AA42" s="8"/>
      <c r="AB42" s="20"/>
    </row>
    <row r="43" spans="2:37" x14ac:dyDescent="0.2">
      <c r="B43" s="18">
        <f t="shared" si="11"/>
        <v>20</v>
      </c>
      <c r="D43" s="1" t="s">
        <v>21</v>
      </c>
      <c r="F43" s="50">
        <f ca="1">Function!R43</f>
        <v>-30169.664755768776</v>
      </c>
      <c r="H43" s="50"/>
      <c r="J43" s="2"/>
      <c r="K43" s="73">
        <v>0</v>
      </c>
      <c r="L43" s="50">
        <f t="shared" ca="1" si="12"/>
        <v>-30169.664755768776</v>
      </c>
      <c r="N43" s="18" t="s">
        <v>50</v>
      </c>
      <c r="O43" s="73">
        <v>27</v>
      </c>
      <c r="P43" s="20">
        <f ca="1">OFFSET('Stor Factors'!$B$13,$O43-1,P$14)*$L43+OFFSET('Stor Factors'!$B$13,$K43-1,P$14)*$H43</f>
        <v>-30169.664755768776</v>
      </c>
      <c r="R43" s="20">
        <f ca="1">OFFSET('Stor Factors'!$B$13,$O43-1,R$14)*$L43+OFFSET('Stor Factors'!$B$13,$K43-1,R$14)*$H43</f>
        <v>0</v>
      </c>
      <c r="S43" s="20"/>
      <c r="T43" s="20">
        <f ca="1">OFFSET('Stor Factors'!$B$13,$O43-1,T$14)*$L43+OFFSET('Stor Factors'!$B$13,$K43-1,T$14)*$H43</f>
        <v>0</v>
      </c>
      <c r="U43" s="20"/>
      <c r="V43" s="20">
        <f ca="1">OFFSET('Stor Factors'!$B$13,$O43-1,V$14)*$L43+OFFSET('Stor Factors'!$B$13,$K43-1,V$14)*$H43</f>
        <v>0</v>
      </c>
      <c r="X43" s="9">
        <f t="shared" ca="1" si="9"/>
        <v>-30169.664755768776</v>
      </c>
      <c r="Z43" s="25" t="str">
        <f t="shared" ca="1" si="10"/>
        <v/>
      </c>
      <c r="AA43" s="8"/>
      <c r="AB43" s="20"/>
    </row>
    <row r="44" spans="2:37" x14ac:dyDescent="0.2">
      <c r="B44" s="18">
        <f t="shared" si="11"/>
        <v>21</v>
      </c>
      <c r="D44" s="1" t="s">
        <v>23</v>
      </c>
      <c r="F44" s="50">
        <f ca="1">Function!R44</f>
        <v>0</v>
      </c>
      <c r="H44" s="50"/>
      <c r="J44" s="2"/>
      <c r="K44" s="73">
        <v>0</v>
      </c>
      <c r="L44" s="50">
        <f t="shared" ca="1" si="12"/>
        <v>0</v>
      </c>
      <c r="N44" s="18" t="s">
        <v>50</v>
      </c>
      <c r="O44" s="73">
        <v>27</v>
      </c>
      <c r="P44" s="20">
        <f ca="1">OFFSET('Stor Factors'!$B$13,$O44-1,P$14)*$L44+OFFSET('Stor Factors'!$B$13,$K44-1,P$14)*$H44</f>
        <v>0</v>
      </c>
      <c r="R44" s="20">
        <f ca="1">OFFSET('Stor Factors'!$B$13,$O44-1,R$14)*$L44+OFFSET('Stor Factors'!$B$13,$K44-1,R$14)*$H44</f>
        <v>0</v>
      </c>
      <c r="S44" s="20"/>
      <c r="T44" s="20">
        <f ca="1">OFFSET('Stor Factors'!$B$13,$O44-1,T$14)*$L44+OFFSET('Stor Factors'!$B$13,$K44-1,T$14)*$H44</f>
        <v>0</v>
      </c>
      <c r="U44" s="20"/>
      <c r="V44" s="20">
        <f ca="1">OFFSET('Stor Factors'!$B$13,$O44-1,V$14)*$L44+OFFSET('Stor Factors'!$B$13,$K44-1,V$14)*$H44</f>
        <v>0</v>
      </c>
      <c r="X44" s="9">
        <f t="shared" ca="1" si="9"/>
        <v>0</v>
      </c>
      <c r="Z44" s="25" t="str">
        <f t="shared" ca="1" si="10"/>
        <v/>
      </c>
      <c r="AA44" s="8"/>
      <c r="AB44" s="20"/>
    </row>
    <row r="45" spans="2:37" x14ac:dyDescent="0.2">
      <c r="B45" s="18">
        <f t="shared" si="11"/>
        <v>22</v>
      </c>
      <c r="D45" s="1" t="s">
        <v>25</v>
      </c>
      <c r="F45" s="50">
        <f ca="1">Function!R45</f>
        <v>-153844.17287634031</v>
      </c>
      <c r="H45" s="50"/>
      <c r="K45" s="73">
        <v>0</v>
      </c>
      <c r="L45" s="50">
        <f t="shared" ca="1" si="12"/>
        <v>-153844.17287634031</v>
      </c>
      <c r="N45" s="18" t="s">
        <v>50</v>
      </c>
      <c r="O45" s="73">
        <v>27</v>
      </c>
      <c r="P45" s="20">
        <f ca="1">OFFSET('Stor Factors'!$B$13,$O45-1,P$14)*$L45+OFFSET('Stor Factors'!$B$13,$K45-1,P$14)*$H45</f>
        <v>-153844.17287634031</v>
      </c>
      <c r="R45" s="20">
        <f ca="1">OFFSET('Stor Factors'!$B$13,$O45-1,R$14)*$L45+OFFSET('Stor Factors'!$B$13,$K45-1,R$14)*$H45</f>
        <v>0</v>
      </c>
      <c r="S45" s="20"/>
      <c r="T45" s="20">
        <f ca="1">OFFSET('Stor Factors'!$B$13,$O45-1,T$14)*$L45+OFFSET('Stor Factors'!$B$13,$K45-1,T$14)*$H45</f>
        <v>0</v>
      </c>
      <c r="U45" s="20"/>
      <c r="V45" s="20">
        <f ca="1">OFFSET('Stor Factors'!$B$13,$O45-1,V$14)*$L45+OFFSET('Stor Factors'!$B$13,$K45-1,V$14)*$H45</f>
        <v>0</v>
      </c>
      <c r="X45" s="9">
        <f t="shared" ca="1" si="9"/>
        <v>-153844.17287634031</v>
      </c>
      <c r="Z45" s="25" t="str">
        <f t="shared" ca="1" si="10"/>
        <v/>
      </c>
      <c r="AA45" s="8"/>
      <c r="AB45" s="20"/>
      <c r="AK45" s="95"/>
    </row>
    <row r="46" spans="2:37" x14ac:dyDescent="0.2">
      <c r="B46" s="18">
        <f t="shared" si="11"/>
        <v>23</v>
      </c>
      <c r="D46" s="1" t="s">
        <v>27</v>
      </c>
      <c r="F46" s="50">
        <f ca="1">Function!R46</f>
        <v>-17354.751934163171</v>
      </c>
      <c r="H46" s="50">
        <f ca="1">IF(K46&lt;&gt;0,OFFSET('Stor Factors'!$B$12,'Storage Class'!$K46-1,2),0)</f>
        <v>-17354.751934163171</v>
      </c>
      <c r="J46" s="2" t="s">
        <v>314</v>
      </c>
      <c r="K46" s="73">
        <v>6</v>
      </c>
      <c r="L46" s="50">
        <f t="shared" ca="1" si="12"/>
        <v>0</v>
      </c>
      <c r="N46" s="18" t="s">
        <v>50</v>
      </c>
      <c r="O46" s="73">
        <v>27</v>
      </c>
      <c r="P46" s="20">
        <f ca="1">OFFSET('Stor Factors'!$B$13,$O46-1,P$14)*$L46+OFFSET('Stor Factors'!$B$13,$K46-1,P$14)*$H46</f>
        <v>-17354.751934163171</v>
      </c>
      <c r="R46" s="20">
        <f ca="1">OFFSET('Stor Factors'!$B$13,$O46-1,R$14)*$L46+OFFSET('Stor Factors'!$B$13,$K46-1,R$14)*$H46</f>
        <v>0</v>
      </c>
      <c r="S46" s="20"/>
      <c r="T46" s="20">
        <f ca="1">OFFSET('Stor Factors'!$B$13,$O46-1,T$14)*$L46+OFFSET('Stor Factors'!$B$13,$K46-1,T$14)*$H46</f>
        <v>0</v>
      </c>
      <c r="U46" s="20"/>
      <c r="V46" s="20">
        <f ca="1">OFFSET('Stor Factors'!$B$13,$O46-1,V$14)*$L46+OFFSET('Stor Factors'!$B$13,$K46-1,V$14)*$H46</f>
        <v>0</v>
      </c>
      <c r="X46" s="9">
        <f t="shared" ca="1" si="9"/>
        <v>-17354.751934163171</v>
      </c>
      <c r="Z46" s="25" t="str">
        <f t="shared" ca="1" si="10"/>
        <v/>
      </c>
      <c r="AA46" s="8"/>
      <c r="AB46" s="20"/>
      <c r="AK46" s="95"/>
    </row>
    <row r="47" spans="2:37" x14ac:dyDescent="0.2">
      <c r="B47" s="18">
        <f t="shared" si="11"/>
        <v>24</v>
      </c>
      <c r="D47" s="1" t="s">
        <v>29</v>
      </c>
      <c r="F47" s="50">
        <f ca="1">Function!R47</f>
        <v>-127950.16722804983</v>
      </c>
      <c r="H47" s="50"/>
      <c r="K47" s="73">
        <v>0</v>
      </c>
      <c r="L47" s="50">
        <f t="shared" ca="1" si="12"/>
        <v>-127950.16722804983</v>
      </c>
      <c r="N47" s="18" t="s">
        <v>347</v>
      </c>
      <c r="O47" s="73">
        <v>24</v>
      </c>
      <c r="P47" s="20">
        <f ca="1">OFFSET('Stor Factors'!$B$13,$O47-1,P$14)*$L47+OFFSET('Stor Factors'!$B$13,$K47-1,P$14)*$H47</f>
        <v>-63975.083614024916</v>
      </c>
      <c r="R47" s="20">
        <f ca="1">OFFSET('Stor Factors'!$B$13,$O47-1,R$14)*$L47+OFFSET('Stor Factors'!$B$13,$K47-1,R$14)*$H47</f>
        <v>-58969.180089780137</v>
      </c>
      <c r="S47" s="20"/>
      <c r="T47" s="20">
        <f ca="1">OFFSET('Stor Factors'!$B$13,$O47-1,T$14)*$L47+OFFSET('Stor Factors'!$B$13,$K47-1,T$14)*$H47</f>
        <v>-5005.9035242447808</v>
      </c>
      <c r="U47" s="20"/>
      <c r="V47" s="20">
        <f ca="1">OFFSET('Stor Factors'!$B$13,$O47-1,V$14)*$L47+OFFSET('Stor Factors'!$B$13,$K47-1,V$14)*$H47</f>
        <v>0</v>
      </c>
      <c r="X47" s="9">
        <f t="shared" ca="1" si="9"/>
        <v>-127950.16722804983</v>
      </c>
      <c r="Z47" s="25" t="str">
        <f t="shared" ca="1" si="10"/>
        <v/>
      </c>
      <c r="AA47" s="8"/>
      <c r="AB47" s="20"/>
    </row>
    <row r="48" spans="2:37" x14ac:dyDescent="0.2">
      <c r="B48" s="18">
        <f t="shared" si="11"/>
        <v>25</v>
      </c>
      <c r="D48" s="1" t="s">
        <v>30</v>
      </c>
      <c r="F48" s="50">
        <f ca="1">Function!R48</f>
        <v>0</v>
      </c>
      <c r="H48" s="50"/>
      <c r="K48" s="73">
        <v>0</v>
      </c>
      <c r="L48" s="50">
        <f t="shared" ca="1" si="12"/>
        <v>0</v>
      </c>
      <c r="N48" s="18" t="s">
        <v>348</v>
      </c>
      <c r="O48" s="73">
        <v>36</v>
      </c>
      <c r="P48" s="20">
        <f ca="1">OFFSET('Stor Factors'!$B$13,$O48-1,P$14)*$L48+OFFSET('Stor Factors'!$B$13,$K48-1,P$14)*$H48</f>
        <v>0</v>
      </c>
      <c r="R48" s="20">
        <f ca="1">OFFSET('Stor Factors'!$B$13,$O48-1,R$14)*$L48+OFFSET('Stor Factors'!$B$13,$K48-1,R$14)*$H48</f>
        <v>0</v>
      </c>
      <c r="S48" s="20"/>
      <c r="T48" s="20">
        <f ca="1">OFFSET('Stor Factors'!$B$13,$O48-1,T$14)*$L48+OFFSET('Stor Factors'!$B$13,$K48-1,T$14)*$H48</f>
        <v>0</v>
      </c>
      <c r="U48" s="20"/>
      <c r="V48" s="20">
        <f ca="1">OFFSET('Stor Factors'!$B$13,$O48-1,V$14)*$L48+OFFSET('Stor Factors'!$B$13,$K48-1,V$14)*$H48</f>
        <v>0</v>
      </c>
      <c r="X48" s="9">
        <f t="shared" ca="1" si="9"/>
        <v>0</v>
      </c>
      <c r="Z48" s="25" t="str">
        <f t="shared" ca="1" si="10"/>
        <v/>
      </c>
      <c r="AA48" s="8"/>
      <c r="AB48" s="20"/>
    </row>
    <row r="49" spans="2:28" x14ac:dyDescent="0.2">
      <c r="B49" s="18">
        <f t="shared" si="11"/>
        <v>26</v>
      </c>
      <c r="D49" s="1" t="s">
        <v>31</v>
      </c>
      <c r="F49" s="50">
        <f ca="1">Function!R49</f>
        <v>0</v>
      </c>
      <c r="H49" s="50"/>
      <c r="K49" s="73">
        <v>0</v>
      </c>
      <c r="L49" s="50">
        <f t="shared" ca="1" si="12"/>
        <v>0</v>
      </c>
      <c r="N49" s="18"/>
      <c r="O49" s="73">
        <v>0</v>
      </c>
      <c r="P49" s="20">
        <f ca="1">OFFSET('Stor Factors'!$B$13,$O49-1,P$14)*$L49+OFFSET('Stor Factors'!$B$13,$K49-1,P$14)*$H49</f>
        <v>0</v>
      </c>
      <c r="R49" s="20">
        <f ca="1">OFFSET('Stor Factors'!$B$13,$O49-1,R$14)*$L49+OFFSET('Stor Factors'!$B$13,$K49-1,R$14)*$H49</f>
        <v>0</v>
      </c>
      <c r="S49" s="20"/>
      <c r="T49" s="20">
        <f ca="1">OFFSET('Stor Factors'!$B$13,$O49-1,T$14)*$L49+OFFSET('Stor Factors'!$B$13,$K49-1,T$14)*$H49</f>
        <v>0</v>
      </c>
      <c r="U49" s="20"/>
      <c r="V49" s="20">
        <f ca="1">OFFSET('Stor Factors'!$B$13,$O49-1,V$14)*$L49+OFFSET('Stor Factors'!$B$13,$K49-1,V$14)*$H49</f>
        <v>0</v>
      </c>
      <c r="X49" s="9">
        <f t="shared" ca="1" si="9"/>
        <v>0</v>
      </c>
      <c r="Z49" s="25" t="str">
        <f t="shared" ca="1" si="10"/>
        <v/>
      </c>
      <c r="AA49" s="8"/>
      <c r="AB49" s="20"/>
    </row>
    <row r="50" spans="2:28" x14ac:dyDescent="0.2">
      <c r="B50" s="18">
        <f t="shared" si="11"/>
        <v>27</v>
      </c>
      <c r="D50" s="1" t="s">
        <v>293</v>
      </c>
      <c r="F50" s="50">
        <f ca="1">Function!R50</f>
        <v>0</v>
      </c>
      <c r="H50" s="50"/>
      <c r="K50" s="73">
        <v>0</v>
      </c>
      <c r="L50" s="50">
        <f t="shared" ca="1" si="12"/>
        <v>0</v>
      </c>
      <c r="N50" s="18"/>
      <c r="O50" s="73">
        <v>0</v>
      </c>
      <c r="P50" s="20">
        <f ca="1">OFFSET('Stor Factors'!$B$13,$O50-1,P$14)*$L50+OFFSET('Stor Factors'!$B$13,$K50-1,P$14)*$H50</f>
        <v>0</v>
      </c>
      <c r="R50" s="20">
        <f ca="1">OFFSET('Stor Factors'!$B$13,$O50-1,R$14)*$L50+OFFSET('Stor Factors'!$B$13,$K50-1,R$14)*$H50</f>
        <v>0</v>
      </c>
      <c r="S50" s="20"/>
      <c r="T50" s="20">
        <f ca="1">OFFSET('Stor Factors'!$B$13,$O50-1,T$14)*$L50+OFFSET('Stor Factors'!$B$13,$K50-1,T$14)*$H50</f>
        <v>0</v>
      </c>
      <c r="U50" s="20"/>
      <c r="V50" s="20">
        <f ca="1">OFFSET('Stor Factors'!$B$13,$O50-1,V$14)*$L50+OFFSET('Stor Factors'!$B$13,$K50-1,V$14)*$H50</f>
        <v>0</v>
      </c>
      <c r="X50" s="9">
        <f t="shared" ca="1" si="9"/>
        <v>0</v>
      </c>
      <c r="Z50" s="25" t="str">
        <f t="shared" ca="1" si="10"/>
        <v/>
      </c>
      <c r="AA50" s="8"/>
      <c r="AB50" s="20"/>
    </row>
    <row r="51" spans="2:28" x14ac:dyDescent="0.2">
      <c r="B51" s="18">
        <f>B50+1</f>
        <v>28</v>
      </c>
      <c r="D51" s="1" t="s">
        <v>34</v>
      </c>
      <c r="F51" s="50">
        <f ca="1">Function!R51</f>
        <v>0</v>
      </c>
      <c r="H51" s="50"/>
      <c r="K51" s="73">
        <v>0</v>
      </c>
      <c r="L51" s="50">
        <f t="shared" ca="1" si="12"/>
        <v>0</v>
      </c>
      <c r="N51" s="18"/>
      <c r="O51" s="73">
        <v>0</v>
      </c>
      <c r="P51" s="20">
        <f ca="1">OFFSET('Stor Factors'!$B$13,$O51-1,P$14)*$L51+OFFSET('Stor Factors'!$B$13,$K51-1,P$14)*$H51</f>
        <v>0</v>
      </c>
      <c r="R51" s="20">
        <f ca="1">OFFSET('Stor Factors'!$B$13,$O51-1,R$14)*$L51+OFFSET('Stor Factors'!$B$13,$K51-1,R$14)*$H51</f>
        <v>0</v>
      </c>
      <c r="S51" s="20"/>
      <c r="T51" s="20">
        <f ca="1">OFFSET('Stor Factors'!$B$13,$O51-1,T$14)*$L51+OFFSET('Stor Factors'!$B$13,$K51-1,T$14)*$H51</f>
        <v>0</v>
      </c>
      <c r="U51" s="20"/>
      <c r="V51" s="20">
        <f ca="1">OFFSET('Stor Factors'!$B$13,$O51-1,V$14)*$L51+OFFSET('Stor Factors'!$B$13,$K51-1,V$14)*$H51</f>
        <v>0</v>
      </c>
      <c r="X51" s="9">
        <f t="shared" ca="1" si="9"/>
        <v>0</v>
      </c>
      <c r="Z51" s="25" t="str">
        <f t="shared" ca="1" si="10"/>
        <v/>
      </c>
      <c r="AA51" s="8"/>
      <c r="AB51" s="20"/>
    </row>
    <row r="52" spans="2:28" x14ac:dyDescent="0.2">
      <c r="B52" s="18">
        <f>B51+1</f>
        <v>29</v>
      </c>
      <c r="D52" s="1" t="s">
        <v>77</v>
      </c>
      <c r="F52" s="50">
        <f ca="1">Function!R52</f>
        <v>0</v>
      </c>
      <c r="H52" s="50"/>
      <c r="K52" s="73">
        <v>0</v>
      </c>
      <c r="L52" s="50">
        <f t="shared" ca="1" si="12"/>
        <v>0</v>
      </c>
      <c r="N52" s="18" t="s">
        <v>50</v>
      </c>
      <c r="O52" s="73">
        <v>27</v>
      </c>
      <c r="P52" s="20">
        <f ca="1">OFFSET('Stor Factors'!$B$13,$O52-1,P$14)*$L52+OFFSET('Stor Factors'!$B$13,$K52-1,P$14)*$H52</f>
        <v>0</v>
      </c>
      <c r="R52" s="20">
        <f ca="1">OFFSET('Stor Factors'!$B$13,$O52-1,R$14)*$L52+OFFSET('Stor Factors'!$B$13,$K52-1,R$14)*$H52</f>
        <v>0</v>
      </c>
      <c r="S52" s="20"/>
      <c r="T52" s="20">
        <f ca="1">OFFSET('Stor Factors'!$B$13,$O52-1,T$14)*$L52+OFFSET('Stor Factors'!$B$13,$K52-1,T$14)*$H52</f>
        <v>0</v>
      </c>
      <c r="U52" s="20"/>
      <c r="V52" s="20">
        <f ca="1">OFFSET('Stor Factors'!$B$13,$O52-1,V$14)*$L52+OFFSET('Stor Factors'!$B$13,$K52-1,V$14)*$H52</f>
        <v>0</v>
      </c>
      <c r="X52" s="9">
        <f t="shared" ca="1" si="9"/>
        <v>0</v>
      </c>
      <c r="Z52" s="25" t="str">
        <f t="shared" ca="1" si="10"/>
        <v/>
      </c>
      <c r="AA52" s="8"/>
      <c r="AB52" s="20"/>
    </row>
    <row r="53" spans="2:28" x14ac:dyDescent="0.2">
      <c r="B53" s="18">
        <f t="shared" si="11"/>
        <v>30</v>
      </c>
      <c r="D53" s="1" t="s">
        <v>298</v>
      </c>
      <c r="F53" s="41">
        <f ca="1">SUM(F40:F52)</f>
        <v>-408499.78366660059</v>
      </c>
      <c r="H53" s="41">
        <f ca="1">SUM(H40:H52)</f>
        <v>-20304.752803696461</v>
      </c>
      <c r="L53" s="41">
        <f ca="1">SUM(L40:L52)</f>
        <v>-388195.03086290415</v>
      </c>
      <c r="P53" s="28">
        <f ca="1">SUM(P40:P52)</f>
        <v>-320167.99210773851</v>
      </c>
      <c r="Q53" s="23"/>
      <c r="R53" s="28">
        <f ca="1">SUM(R40:R52)</f>
        <v>-81420.031515918934</v>
      </c>
      <c r="S53" s="22"/>
      <c r="T53" s="28">
        <f ca="1">SUM(T40:T52)</f>
        <v>-6911.7600429431259</v>
      </c>
      <c r="U53" s="22"/>
      <c r="V53" s="28">
        <f ca="1">SUM(V40:V52)</f>
        <v>0</v>
      </c>
      <c r="W53" s="18"/>
      <c r="X53" s="28">
        <f ca="1">SUM(X40:X52)</f>
        <v>-408499.78366660059</v>
      </c>
      <c r="Y53" s="8"/>
      <c r="Z53" s="25" t="str">
        <f t="shared" ca="1" si="10"/>
        <v/>
      </c>
      <c r="AB53" s="20"/>
    </row>
    <row r="54" spans="2:28" x14ac:dyDescent="0.2">
      <c r="R54" s="14"/>
      <c r="W54" s="18"/>
      <c r="Z54" s="25" t="str">
        <f t="shared" si="10"/>
        <v/>
      </c>
      <c r="AB54" s="20"/>
    </row>
    <row r="55" spans="2:28" x14ac:dyDescent="0.2">
      <c r="B55" s="18">
        <f>B53+1</f>
        <v>31</v>
      </c>
      <c r="D55" s="1" t="s">
        <v>196</v>
      </c>
      <c r="F55" s="50">
        <f ca="1">Function!R55</f>
        <v>-21589.070931578164</v>
      </c>
      <c r="H55" s="50"/>
      <c r="K55" s="73">
        <v>0</v>
      </c>
      <c r="L55" s="50">
        <f t="shared" ref="L55" ca="1" si="13">F55-H55</f>
        <v>-21589.070931578164</v>
      </c>
      <c r="N55" s="18" t="s">
        <v>120</v>
      </c>
      <c r="O55" s="73">
        <v>45</v>
      </c>
      <c r="P55" s="20">
        <f ca="1">OFFSET('Stor Factors'!$B$13,$O55-1,P$14)*$L55+OFFSET('Stor Factors'!$B$13,$K55-1,P$14)*$H55</f>
        <v>-15714.195584247675</v>
      </c>
      <c r="R55" s="20">
        <f ca="1">OFFSET('Stor Factors'!$B$13,$O55-1,R$14)*$L55+OFFSET('Stor Factors'!$B$13,$K55-1,R$14)*$H55</f>
        <v>-5415.1798292576814</v>
      </c>
      <c r="S55" s="20"/>
      <c r="T55" s="20">
        <f ca="1">OFFSET('Stor Factors'!$B$13,$O55-1,T$14)*$L55+OFFSET('Stor Factors'!$B$13,$K55-1,T$14)*$H55</f>
        <v>-459.69551807280931</v>
      </c>
      <c r="U55" s="20"/>
      <c r="V55" s="20">
        <f ca="1">OFFSET('Stor Factors'!$B$13,$O55-1,V$14)*$L55+OFFSET('Stor Factors'!$B$13,$K55-1,V$14)*$H55</f>
        <v>0</v>
      </c>
      <c r="X55" s="9">
        <f t="shared" ref="X55" ca="1" si="14">P55+R55+T55+V55</f>
        <v>-21589.070931578168</v>
      </c>
      <c r="Z55" s="25"/>
      <c r="AB55" s="20"/>
    </row>
    <row r="56" spans="2:28" x14ac:dyDescent="0.2">
      <c r="W56" s="18"/>
      <c r="Z56" s="25" t="str">
        <f t="shared" ref="Z56:Z59" si="15">IF(ROUND(F56,4)=ROUND(X56,4), "", "check")</f>
        <v/>
      </c>
      <c r="AB56" s="20"/>
    </row>
    <row r="57" spans="2:28" x14ac:dyDescent="0.2">
      <c r="B57" s="18">
        <f>B55+1</f>
        <v>32</v>
      </c>
      <c r="D57" s="1" t="s">
        <v>393</v>
      </c>
      <c r="F57" s="41">
        <f ca="1">F53+F55</f>
        <v>-430088.85459817876</v>
      </c>
      <c r="H57" s="41">
        <f ca="1">H53+H55</f>
        <v>-20304.752803696461</v>
      </c>
      <c r="L57" s="41">
        <f ca="1">L53+L55</f>
        <v>-409784.10179448233</v>
      </c>
      <c r="P57" s="10">
        <f ca="1">P53+P55</f>
        <v>-335882.18769198621</v>
      </c>
      <c r="Q57" s="14"/>
      <c r="R57" s="10">
        <f ca="1">R53+R55</f>
        <v>-86835.21134517662</v>
      </c>
      <c r="S57" s="8"/>
      <c r="T57" s="10">
        <f ca="1">T53+T55</f>
        <v>-7371.455561015935</v>
      </c>
      <c r="U57" s="8"/>
      <c r="V57" s="10">
        <f ca="1">V53+V55</f>
        <v>0</v>
      </c>
      <c r="W57" s="18"/>
      <c r="X57" s="10">
        <f ca="1">X53+X55</f>
        <v>-430088.85459817876</v>
      </c>
      <c r="Z57" s="25" t="str">
        <f t="shared" ca="1" si="15"/>
        <v/>
      </c>
      <c r="AA57" s="8"/>
      <c r="AB57" s="20"/>
    </row>
    <row r="58" spans="2:28" x14ac:dyDescent="0.2">
      <c r="D58" s="6"/>
      <c r="F58" s="77"/>
      <c r="H58" s="77"/>
      <c r="L58" s="77"/>
      <c r="W58" s="18"/>
      <c r="Z58" s="25" t="str">
        <f t="shared" si="15"/>
        <v/>
      </c>
      <c r="AB58" s="20"/>
    </row>
    <row r="59" spans="2:28" x14ac:dyDescent="0.2">
      <c r="E59" s="6"/>
      <c r="W59" s="18"/>
      <c r="Z59" s="25" t="str">
        <f t="shared" si="15"/>
        <v/>
      </c>
      <c r="AB59" s="20"/>
    </row>
    <row r="60" spans="2:28" x14ac:dyDescent="0.2">
      <c r="D60" s="6" t="s">
        <v>17</v>
      </c>
      <c r="E60" s="7"/>
      <c r="F60" s="78"/>
      <c r="Z60" s="27"/>
    </row>
    <row r="61" spans="2:28" x14ac:dyDescent="0.2">
      <c r="Z61" s="27"/>
    </row>
    <row r="62" spans="2:28" x14ac:dyDescent="0.2">
      <c r="B62" s="18">
        <f>B57+1</f>
        <v>33</v>
      </c>
      <c r="D62" s="1" t="s">
        <v>76</v>
      </c>
      <c r="F62" s="50">
        <f ca="1">F18+F40</f>
        <v>13017.78562077151</v>
      </c>
      <c r="H62" s="50">
        <f ca="1">H18+H40</f>
        <v>7.3027000000000006</v>
      </c>
      <c r="J62" s="2"/>
      <c r="K62" s="73">
        <v>0</v>
      </c>
      <c r="L62" s="50">
        <f ca="1">F62-H62</f>
        <v>13010.48292077151</v>
      </c>
      <c r="N62" s="18"/>
      <c r="O62" s="73">
        <v>0</v>
      </c>
      <c r="P62" s="20">
        <f ca="1">P18+P40</f>
        <v>13017.78562077151</v>
      </c>
      <c r="R62" s="20">
        <f ca="1">R18+R40</f>
        <v>0</v>
      </c>
      <c r="S62" s="20"/>
      <c r="T62" s="20">
        <f ca="1">T18+T40</f>
        <v>0</v>
      </c>
      <c r="U62" s="20"/>
      <c r="V62" s="20">
        <f ca="1">V18+V40</f>
        <v>0</v>
      </c>
      <c r="X62" s="9">
        <f t="shared" ref="X62:X74" ca="1" si="16">P62+R62+T62+V62</f>
        <v>13017.78562077151</v>
      </c>
      <c r="Z62" s="25" t="str">
        <f ca="1">IF(ROUND(F62,4)=ROUND(X62,4), "", "check")</f>
        <v/>
      </c>
      <c r="AB62" s="20"/>
    </row>
    <row r="63" spans="2:28" x14ac:dyDescent="0.2">
      <c r="B63" s="18">
        <f>B62+1</f>
        <v>34</v>
      </c>
      <c r="D63" s="1" t="s">
        <v>75</v>
      </c>
      <c r="F63" s="50">
        <f t="shared" ref="F63:F74" ca="1" si="17">F19+F41</f>
        <v>26073.599070325727</v>
      </c>
      <c r="H63" s="50"/>
      <c r="J63" s="2"/>
      <c r="K63" s="73">
        <v>0</v>
      </c>
      <c r="L63" s="50">
        <f ca="1">F63-H63</f>
        <v>26073.599070325727</v>
      </c>
      <c r="N63" s="18"/>
      <c r="O63" s="73">
        <v>0</v>
      </c>
      <c r="P63" s="20">
        <f t="shared" ref="P63:R74" ca="1" si="18">P19+P41</f>
        <v>13036.799535162863</v>
      </c>
      <c r="R63" s="20">
        <f t="shared" ca="1" si="18"/>
        <v>12016.699879933371</v>
      </c>
      <c r="S63" s="20"/>
      <c r="T63" s="20">
        <f t="shared" ref="T63:T74" ca="1" si="19">T19+T41</f>
        <v>1020.0996552294882</v>
      </c>
      <c r="U63" s="20"/>
      <c r="V63" s="20">
        <f t="shared" ref="V63:V74" ca="1" si="20">V19+V41</f>
        <v>0</v>
      </c>
      <c r="X63" s="9">
        <f t="shared" ca="1" si="16"/>
        <v>26073.599070325723</v>
      </c>
      <c r="Z63" s="25" t="str">
        <f t="shared" ref="Z63:Z126" ca="1" si="21">IF(ROUND(F63,4)=ROUND(X63,4), "", "check")</f>
        <v/>
      </c>
      <c r="AB63" s="20"/>
    </row>
    <row r="64" spans="2:28" x14ac:dyDescent="0.2">
      <c r="B64" s="18">
        <f t="shared" ref="B64:B75" si="22">B63+1</f>
        <v>35</v>
      </c>
      <c r="D64" s="1" t="s">
        <v>19</v>
      </c>
      <c r="F64" s="50">
        <f t="shared" ca="1" si="17"/>
        <v>49330.938952358076</v>
      </c>
      <c r="H64" s="50">
        <f ca="1">H20+H42</f>
        <v>6163.3275821364768</v>
      </c>
      <c r="J64" s="2"/>
      <c r="K64" s="73">
        <v>0</v>
      </c>
      <c r="L64" s="50">
        <f t="shared" ref="L64:L74" ca="1" si="23">F64-H64</f>
        <v>43167.611370221595</v>
      </c>
      <c r="N64" s="18"/>
      <c r="O64" s="73">
        <v>0</v>
      </c>
      <c r="P64" s="20">
        <f t="shared" ca="1" si="18"/>
        <v>49330.938952358076</v>
      </c>
      <c r="R64" s="20">
        <f t="shared" ca="1" si="18"/>
        <v>0</v>
      </c>
      <c r="S64" s="20"/>
      <c r="T64" s="20">
        <f t="shared" ca="1" si="19"/>
        <v>0</v>
      </c>
      <c r="U64" s="20"/>
      <c r="V64" s="20">
        <f t="shared" ca="1" si="20"/>
        <v>0</v>
      </c>
      <c r="X64" s="9">
        <f t="shared" ca="1" si="16"/>
        <v>49330.938952358076</v>
      </c>
      <c r="Z64" s="25" t="str">
        <f t="shared" ca="1" si="21"/>
        <v/>
      </c>
      <c r="AB64" s="20"/>
    </row>
    <row r="65" spans="2:37" x14ac:dyDescent="0.2">
      <c r="B65" s="18">
        <f t="shared" si="22"/>
        <v>36</v>
      </c>
      <c r="D65" s="1" t="s">
        <v>21</v>
      </c>
      <c r="F65" s="50">
        <f t="shared" ca="1" si="17"/>
        <v>10132.150632208672</v>
      </c>
      <c r="H65" s="50"/>
      <c r="J65" s="2"/>
      <c r="K65" s="73">
        <v>0</v>
      </c>
      <c r="L65" s="50">
        <f t="shared" ca="1" si="23"/>
        <v>10132.150632208672</v>
      </c>
      <c r="N65" s="18"/>
      <c r="O65" s="73">
        <v>0</v>
      </c>
      <c r="P65" s="20">
        <f t="shared" ca="1" si="18"/>
        <v>10132.150632208672</v>
      </c>
      <c r="R65" s="20">
        <f t="shared" ca="1" si="18"/>
        <v>0</v>
      </c>
      <c r="S65" s="20"/>
      <c r="T65" s="20">
        <f t="shared" ca="1" si="19"/>
        <v>0</v>
      </c>
      <c r="U65" s="20"/>
      <c r="V65" s="20">
        <f t="shared" ca="1" si="20"/>
        <v>0</v>
      </c>
      <c r="X65" s="9">
        <f t="shared" ca="1" si="16"/>
        <v>10132.150632208672</v>
      </c>
      <c r="Z65" s="25" t="str">
        <f t="shared" ca="1" si="21"/>
        <v/>
      </c>
      <c r="AB65" s="20"/>
    </row>
    <row r="66" spans="2:37" x14ac:dyDescent="0.2">
      <c r="B66" s="18">
        <f t="shared" si="22"/>
        <v>37</v>
      </c>
      <c r="D66" s="1" t="s">
        <v>23</v>
      </c>
      <c r="F66" s="50">
        <f t="shared" ca="1" si="17"/>
        <v>0</v>
      </c>
      <c r="H66" s="50"/>
      <c r="J66" s="2"/>
      <c r="K66" s="73">
        <v>0</v>
      </c>
      <c r="L66" s="50">
        <f t="shared" ca="1" si="23"/>
        <v>0</v>
      </c>
      <c r="N66" s="18"/>
      <c r="O66" s="73">
        <v>0</v>
      </c>
      <c r="P66" s="20">
        <f t="shared" ca="1" si="18"/>
        <v>0</v>
      </c>
      <c r="R66" s="20">
        <f t="shared" ca="1" si="18"/>
        <v>0</v>
      </c>
      <c r="S66" s="20"/>
      <c r="T66" s="20">
        <f t="shared" ca="1" si="19"/>
        <v>0</v>
      </c>
      <c r="U66" s="20"/>
      <c r="V66" s="20">
        <f t="shared" ca="1" si="20"/>
        <v>0</v>
      </c>
      <c r="X66" s="9">
        <f t="shared" ca="1" si="16"/>
        <v>0</v>
      </c>
      <c r="Z66" s="25" t="str">
        <f t="shared" ca="1" si="21"/>
        <v/>
      </c>
      <c r="AB66" s="20"/>
    </row>
    <row r="67" spans="2:37" x14ac:dyDescent="0.2">
      <c r="B67" s="18">
        <f t="shared" si="22"/>
        <v>38</v>
      </c>
      <c r="D67" s="1" t="s">
        <v>25</v>
      </c>
      <c r="F67" s="50">
        <f t="shared" ca="1" si="17"/>
        <v>222279.83060167442</v>
      </c>
      <c r="H67" s="50"/>
      <c r="K67" s="73">
        <v>0</v>
      </c>
      <c r="L67" s="50">
        <f t="shared" ca="1" si="23"/>
        <v>222279.83060167442</v>
      </c>
      <c r="N67" s="18"/>
      <c r="O67" s="73">
        <v>0</v>
      </c>
      <c r="P67" s="20">
        <f t="shared" ca="1" si="18"/>
        <v>222279.83060167442</v>
      </c>
      <c r="R67" s="20">
        <f t="shared" ca="1" si="18"/>
        <v>0</v>
      </c>
      <c r="S67" s="20"/>
      <c r="T67" s="20">
        <f t="shared" ca="1" si="19"/>
        <v>0</v>
      </c>
      <c r="U67" s="20"/>
      <c r="V67" s="20">
        <f t="shared" ca="1" si="20"/>
        <v>0</v>
      </c>
      <c r="X67" s="9">
        <f t="shared" ca="1" si="16"/>
        <v>222279.83060167442</v>
      </c>
      <c r="Z67" s="25" t="str">
        <f t="shared" ca="1" si="21"/>
        <v/>
      </c>
      <c r="AB67" s="20"/>
      <c r="AK67" s="95"/>
    </row>
    <row r="68" spans="2:37" x14ac:dyDescent="0.2">
      <c r="B68" s="18">
        <f t="shared" si="22"/>
        <v>39</v>
      </c>
      <c r="D68" s="1" t="s">
        <v>27</v>
      </c>
      <c r="F68" s="50">
        <f t="shared" ca="1" si="17"/>
        <v>12667.96592956391</v>
      </c>
      <c r="H68" s="50">
        <f ca="1">H24+H46</f>
        <v>12667.96592956391</v>
      </c>
      <c r="J68" s="2"/>
      <c r="K68" s="73">
        <v>0</v>
      </c>
      <c r="L68" s="50">
        <f t="shared" ca="1" si="23"/>
        <v>0</v>
      </c>
      <c r="N68" s="18"/>
      <c r="O68" s="73">
        <v>0</v>
      </c>
      <c r="P68" s="20">
        <f t="shared" ca="1" si="18"/>
        <v>12667.96592956391</v>
      </c>
      <c r="R68" s="20">
        <f t="shared" ca="1" si="18"/>
        <v>0</v>
      </c>
      <c r="S68" s="20"/>
      <c r="T68" s="20">
        <f t="shared" ca="1" si="19"/>
        <v>0</v>
      </c>
      <c r="U68" s="20"/>
      <c r="V68" s="20">
        <f t="shared" ca="1" si="20"/>
        <v>0</v>
      </c>
      <c r="X68" s="9">
        <f t="shared" ca="1" si="16"/>
        <v>12667.96592956391</v>
      </c>
      <c r="Z68" s="25" t="str">
        <f t="shared" ca="1" si="21"/>
        <v/>
      </c>
      <c r="AB68" s="20"/>
      <c r="AK68" s="95"/>
    </row>
    <row r="69" spans="2:37" x14ac:dyDescent="0.2">
      <c r="B69" s="18">
        <f t="shared" si="22"/>
        <v>40</v>
      </c>
      <c r="D69" s="1" t="s">
        <v>29</v>
      </c>
      <c r="F69" s="50">
        <f t="shared" ca="1" si="17"/>
        <v>257394.65378702851</v>
      </c>
      <c r="H69" s="50"/>
      <c r="K69" s="73">
        <v>0</v>
      </c>
      <c r="L69" s="50">
        <f t="shared" ca="1" si="23"/>
        <v>257394.65378702851</v>
      </c>
      <c r="N69" s="18"/>
      <c r="O69" s="73">
        <v>0</v>
      </c>
      <c r="P69" s="20">
        <f t="shared" ca="1" si="18"/>
        <v>128697.32689351426</v>
      </c>
      <c r="R69" s="20">
        <f t="shared" ca="1" si="18"/>
        <v>118627.05631529979</v>
      </c>
      <c r="S69" s="20"/>
      <c r="T69" s="20">
        <f t="shared" ca="1" si="19"/>
        <v>10070.270578214468</v>
      </c>
      <c r="U69" s="20"/>
      <c r="V69" s="20">
        <f t="shared" ca="1" si="20"/>
        <v>0</v>
      </c>
      <c r="X69" s="9">
        <f t="shared" ca="1" si="16"/>
        <v>257394.65378702851</v>
      </c>
      <c r="Z69" s="25" t="str">
        <f t="shared" ca="1" si="21"/>
        <v/>
      </c>
      <c r="AB69" s="20"/>
    </row>
    <row r="70" spans="2:37" x14ac:dyDescent="0.2">
      <c r="B70" s="18">
        <f t="shared" si="22"/>
        <v>41</v>
      </c>
      <c r="D70" s="1" t="s">
        <v>30</v>
      </c>
      <c r="F70" s="50">
        <f t="shared" ca="1" si="17"/>
        <v>68466.485990000001</v>
      </c>
      <c r="H70" s="50"/>
      <c r="K70" s="73">
        <v>0</v>
      </c>
      <c r="L70" s="50">
        <f t="shared" ca="1" si="23"/>
        <v>68466.485990000001</v>
      </c>
      <c r="N70" s="18"/>
      <c r="O70" s="73">
        <v>0</v>
      </c>
      <c r="P70" s="20">
        <f t="shared" ca="1" si="18"/>
        <v>0</v>
      </c>
      <c r="R70" s="20">
        <f t="shared" ca="1" si="18"/>
        <v>63109.14053379398</v>
      </c>
      <c r="S70" s="20"/>
      <c r="T70" s="20">
        <f t="shared" ca="1" si="19"/>
        <v>5357.3454562060251</v>
      </c>
      <c r="U70" s="20"/>
      <c r="V70" s="20">
        <f t="shared" ca="1" si="20"/>
        <v>0</v>
      </c>
      <c r="X70" s="9">
        <f t="shared" ca="1" si="16"/>
        <v>68466.485990000001</v>
      </c>
      <c r="Z70" s="25" t="str">
        <f t="shared" ca="1" si="21"/>
        <v/>
      </c>
      <c r="AB70" s="20"/>
    </row>
    <row r="71" spans="2:37" x14ac:dyDescent="0.2">
      <c r="B71" s="18">
        <f t="shared" si="22"/>
        <v>42</v>
      </c>
      <c r="D71" s="1" t="s">
        <v>31</v>
      </c>
      <c r="F71" s="50">
        <f t="shared" ca="1" si="17"/>
        <v>0</v>
      </c>
      <c r="H71" s="50"/>
      <c r="K71" s="73">
        <v>0</v>
      </c>
      <c r="L71" s="50">
        <f t="shared" ca="1" si="23"/>
        <v>0</v>
      </c>
      <c r="N71" s="18"/>
      <c r="O71" s="73">
        <v>0</v>
      </c>
      <c r="P71" s="20">
        <f t="shared" ca="1" si="18"/>
        <v>0</v>
      </c>
      <c r="R71" s="20">
        <f t="shared" ca="1" si="18"/>
        <v>0</v>
      </c>
      <c r="S71" s="20"/>
      <c r="T71" s="20">
        <f t="shared" ca="1" si="19"/>
        <v>0</v>
      </c>
      <c r="U71" s="20"/>
      <c r="V71" s="20">
        <f t="shared" ca="1" si="20"/>
        <v>0</v>
      </c>
      <c r="X71" s="9">
        <f t="shared" ca="1" si="16"/>
        <v>0</v>
      </c>
      <c r="Z71" s="25" t="str">
        <f t="shared" ca="1" si="21"/>
        <v/>
      </c>
      <c r="AB71" s="20"/>
    </row>
    <row r="72" spans="2:37" x14ac:dyDescent="0.2">
      <c r="B72" s="18">
        <f t="shared" si="22"/>
        <v>43</v>
      </c>
      <c r="D72" s="1" t="s">
        <v>293</v>
      </c>
      <c r="F72" s="50">
        <f t="shared" ca="1" si="17"/>
        <v>0</v>
      </c>
      <c r="H72" s="50"/>
      <c r="K72" s="73">
        <v>0</v>
      </c>
      <c r="L72" s="50">
        <f t="shared" ca="1" si="23"/>
        <v>0</v>
      </c>
      <c r="N72" s="18"/>
      <c r="O72" s="73">
        <v>0</v>
      </c>
      <c r="P72" s="20">
        <f t="shared" ca="1" si="18"/>
        <v>0</v>
      </c>
      <c r="R72" s="20">
        <f t="shared" ca="1" si="18"/>
        <v>0</v>
      </c>
      <c r="S72" s="20"/>
      <c r="T72" s="20">
        <f t="shared" ca="1" si="19"/>
        <v>0</v>
      </c>
      <c r="U72" s="20"/>
      <c r="V72" s="20">
        <f t="shared" ca="1" si="20"/>
        <v>0</v>
      </c>
      <c r="X72" s="9">
        <f t="shared" ca="1" si="16"/>
        <v>0</v>
      </c>
      <c r="Z72" s="25" t="str">
        <f t="shared" ca="1" si="21"/>
        <v/>
      </c>
      <c r="AB72" s="20"/>
    </row>
    <row r="73" spans="2:37" x14ac:dyDescent="0.2">
      <c r="B73" s="18">
        <f>B72+1</f>
        <v>44</v>
      </c>
      <c r="D73" s="1" t="s">
        <v>34</v>
      </c>
      <c r="F73" s="50">
        <f t="shared" ca="1" si="17"/>
        <v>0</v>
      </c>
      <c r="H73" s="50"/>
      <c r="K73" s="73">
        <v>0</v>
      </c>
      <c r="L73" s="50">
        <f t="shared" ca="1" si="23"/>
        <v>0</v>
      </c>
      <c r="N73" s="18"/>
      <c r="O73" s="73">
        <v>0</v>
      </c>
      <c r="P73" s="20">
        <f t="shared" ca="1" si="18"/>
        <v>0</v>
      </c>
      <c r="R73" s="20">
        <f t="shared" ca="1" si="18"/>
        <v>0</v>
      </c>
      <c r="S73" s="20"/>
      <c r="T73" s="20">
        <f t="shared" ca="1" si="19"/>
        <v>0</v>
      </c>
      <c r="U73" s="20"/>
      <c r="V73" s="20">
        <f t="shared" ca="1" si="20"/>
        <v>0</v>
      </c>
      <c r="X73" s="9">
        <f t="shared" ca="1" si="16"/>
        <v>0</v>
      </c>
      <c r="Z73" s="25" t="str">
        <f t="shared" ca="1" si="21"/>
        <v/>
      </c>
      <c r="AB73" s="20"/>
    </row>
    <row r="74" spans="2:37" x14ac:dyDescent="0.2">
      <c r="B74" s="18">
        <f>B73+1</f>
        <v>45</v>
      </c>
      <c r="D74" s="1" t="s">
        <v>77</v>
      </c>
      <c r="F74" s="50">
        <f t="shared" ca="1" si="17"/>
        <v>477.03131475162303</v>
      </c>
      <c r="H74" s="50"/>
      <c r="K74" s="73">
        <v>0</v>
      </c>
      <c r="L74" s="50">
        <f t="shared" ca="1" si="23"/>
        <v>477.03131475162303</v>
      </c>
      <c r="N74" s="18"/>
      <c r="O74" s="73">
        <v>0</v>
      </c>
      <c r="P74" s="20">
        <f t="shared" ca="1" si="18"/>
        <v>477.03131475162303</v>
      </c>
      <c r="R74" s="20">
        <f t="shared" ca="1" si="18"/>
        <v>0</v>
      </c>
      <c r="S74" s="20"/>
      <c r="T74" s="20">
        <f t="shared" ca="1" si="19"/>
        <v>0</v>
      </c>
      <c r="U74" s="20"/>
      <c r="V74" s="20">
        <f t="shared" ca="1" si="20"/>
        <v>0</v>
      </c>
      <c r="X74" s="9">
        <f t="shared" ca="1" si="16"/>
        <v>477.03131475162303</v>
      </c>
      <c r="Z74" s="25" t="str">
        <f t="shared" ca="1" si="21"/>
        <v/>
      </c>
      <c r="AB74" s="20"/>
    </row>
    <row r="75" spans="2:37" x14ac:dyDescent="0.2">
      <c r="B75" s="18">
        <f t="shared" si="22"/>
        <v>46</v>
      </c>
      <c r="D75" s="1" t="s">
        <v>394</v>
      </c>
      <c r="F75" s="41">
        <f ca="1">SUM(F62:F74)</f>
        <v>659840.44189868239</v>
      </c>
      <c r="H75" s="41">
        <f ca="1">SUM(H62:H74)</f>
        <v>18838.596211700387</v>
      </c>
      <c r="L75" s="41">
        <f ca="1">SUM(L62:L74)</f>
        <v>641001.84568698192</v>
      </c>
      <c r="P75" s="28">
        <f ca="1">SUM(P62:P74)</f>
        <v>449639.82948000531</v>
      </c>
      <c r="Q75" s="23"/>
      <c r="R75" s="28">
        <f ca="1">SUM(R62:R74)</f>
        <v>193752.89672902715</v>
      </c>
      <c r="S75" s="22"/>
      <c r="T75" s="28">
        <f ca="1">SUM(T62:T74)</f>
        <v>16447.71568964998</v>
      </c>
      <c r="U75" s="22"/>
      <c r="V75" s="28">
        <f ca="1">SUM(V62:V74)</f>
        <v>0</v>
      </c>
      <c r="W75" s="18"/>
      <c r="X75" s="28">
        <f ca="1">SUM(X62:X74)</f>
        <v>659840.44189868239</v>
      </c>
      <c r="Y75" s="8"/>
      <c r="Z75" s="25" t="str">
        <f t="shared" ca="1" si="21"/>
        <v/>
      </c>
      <c r="AB75" s="20"/>
    </row>
    <row r="76" spans="2:37" x14ac:dyDescent="0.2">
      <c r="W76" s="18"/>
      <c r="Z76" s="25" t="str">
        <f t="shared" si="21"/>
        <v/>
      </c>
      <c r="AB76" s="20"/>
    </row>
    <row r="77" spans="2:37" x14ac:dyDescent="0.2">
      <c r="B77" s="18">
        <f>B75+1</f>
        <v>47</v>
      </c>
      <c r="D77" s="1" t="s">
        <v>196</v>
      </c>
      <c r="F77" s="50">
        <f ca="1">F33+F55</f>
        <v>21591.256497628456</v>
      </c>
      <c r="H77" s="50"/>
      <c r="K77" s="73">
        <v>0</v>
      </c>
      <c r="L77" s="50">
        <f t="shared" ref="L77" ca="1" si="24">F77-H77</f>
        <v>21591.256497628456</v>
      </c>
      <c r="N77" s="18"/>
      <c r="O77" s="73">
        <v>0</v>
      </c>
      <c r="P77" s="20">
        <f ca="1">P33+P55</f>
        <v>15715.786408256979</v>
      </c>
      <c r="R77" s="20">
        <f ca="1">R33+R55</f>
        <v>5415.728034098388</v>
      </c>
      <c r="S77" s="20"/>
      <c r="T77" s="20">
        <f ca="1">T33+T55</f>
        <v>459.74205527308794</v>
      </c>
      <c r="U77" s="20"/>
      <c r="V77" s="20">
        <f ca="1">V33+V55</f>
        <v>0</v>
      </c>
      <c r="X77" s="9">
        <f t="shared" ref="X77" ca="1" si="25">P77+R77+T77+V77</f>
        <v>21591.256497628456</v>
      </c>
      <c r="Z77" s="25"/>
      <c r="AB77" s="20"/>
    </row>
    <row r="78" spans="2:37" x14ac:dyDescent="0.2">
      <c r="W78" s="18"/>
      <c r="Z78" s="25" t="str">
        <f t="shared" si="21"/>
        <v/>
      </c>
      <c r="AB78" s="20"/>
    </row>
    <row r="79" spans="2:37" x14ac:dyDescent="0.2">
      <c r="B79" s="18">
        <f>B77+1</f>
        <v>48</v>
      </c>
      <c r="D79" s="1" t="s">
        <v>395</v>
      </c>
      <c r="F79" s="41">
        <f ca="1">F75+F77</f>
        <v>681431.69839631079</v>
      </c>
      <c r="H79" s="41">
        <f ca="1">H75+H77</f>
        <v>18838.596211700387</v>
      </c>
      <c r="L79" s="41">
        <f ca="1">L75+L77</f>
        <v>662593.10218461032</v>
      </c>
      <c r="P79" s="10">
        <f ca="1">P75+P77</f>
        <v>465355.61588826228</v>
      </c>
      <c r="Q79" s="14"/>
      <c r="R79" s="10">
        <f ca="1">R75+R77</f>
        <v>199168.62476312555</v>
      </c>
      <c r="S79" s="8"/>
      <c r="T79" s="10">
        <f ca="1">T75+T77</f>
        <v>16907.457744923067</v>
      </c>
      <c r="U79" s="8"/>
      <c r="V79" s="10">
        <f ca="1">V75+V77</f>
        <v>0</v>
      </c>
      <c r="W79" s="18"/>
      <c r="X79" s="10">
        <f ca="1">X75+X77</f>
        <v>681431.69839631079</v>
      </c>
      <c r="Z79" s="25" t="str">
        <f t="shared" ca="1" si="21"/>
        <v/>
      </c>
      <c r="AA79" s="8"/>
      <c r="AB79" s="20"/>
    </row>
    <row r="80" spans="2:37" x14ac:dyDescent="0.2">
      <c r="D80" s="6"/>
      <c r="F80" s="77"/>
      <c r="H80" s="77"/>
      <c r="L80" s="77"/>
      <c r="W80" s="18"/>
      <c r="Z80" s="25" t="str">
        <f t="shared" si="21"/>
        <v/>
      </c>
      <c r="AB80" s="20"/>
    </row>
    <row r="81" spans="2:30" x14ac:dyDescent="0.2">
      <c r="E81" s="6"/>
      <c r="W81" s="18"/>
      <c r="Z81" s="25" t="str">
        <f t="shared" si="21"/>
        <v/>
      </c>
      <c r="AB81" s="20"/>
    </row>
    <row r="82" spans="2:30" x14ac:dyDescent="0.2">
      <c r="D82" s="6" t="s">
        <v>36</v>
      </c>
      <c r="F82" s="77"/>
      <c r="H82" s="77"/>
      <c r="L82" s="77"/>
      <c r="W82" s="18"/>
      <c r="Z82" s="25" t="str">
        <f t="shared" si="21"/>
        <v/>
      </c>
      <c r="AB82" s="22"/>
    </row>
    <row r="83" spans="2:30" x14ac:dyDescent="0.2">
      <c r="W83" s="18"/>
      <c r="Z83" s="25" t="str">
        <f t="shared" si="21"/>
        <v/>
      </c>
      <c r="AB83" s="22"/>
    </row>
    <row r="84" spans="2:30" x14ac:dyDescent="0.2">
      <c r="B84" s="18">
        <f>B79+1</f>
        <v>49</v>
      </c>
      <c r="D84" s="1" t="s">
        <v>41</v>
      </c>
      <c r="F84" s="50">
        <f ca="1">Function!R84</f>
        <v>4345.1165095733522</v>
      </c>
      <c r="H84" s="50"/>
      <c r="K84" s="73">
        <v>0</v>
      </c>
      <c r="L84" s="50">
        <f t="shared" ref="L84:L88" ca="1" si="26">F84-H84</f>
        <v>4345.1165095733522</v>
      </c>
      <c r="N84" s="18" t="s">
        <v>231</v>
      </c>
      <c r="O84" s="73">
        <v>51</v>
      </c>
      <c r="P84" s="20">
        <f ca="1">OFFSET('Stor Factors'!$B$13,$O84-1,P$14)*$L84+OFFSET('Stor Factors'!$B$13,$K84-1,P$14)*$H84</f>
        <v>3302.8851709377354</v>
      </c>
      <c r="R84" s="20">
        <f ca="1">OFFSET('Stor Factors'!$B$13,$O84-1,R$14)*$L84+OFFSET('Stor Factors'!$B$13,$K84-1,R$14)*$H84</f>
        <v>960.67912742427245</v>
      </c>
      <c r="S84" s="20"/>
      <c r="T84" s="20">
        <f ca="1">OFFSET('Stor Factors'!$B$13,$O84-1,T$14)*$L84+OFFSET('Stor Factors'!$B$13,$K84-1,T$14)*$H84</f>
        <v>81.552211211344584</v>
      </c>
      <c r="U84" s="20"/>
      <c r="V84" s="20">
        <f ca="1">OFFSET('Stor Factors'!$B$13,$O84-1,V$14)*$L84+OFFSET('Stor Factors'!$B$13,$K84-1,V$14)*$H84</f>
        <v>0</v>
      </c>
      <c r="X84" s="9">
        <f t="shared" ref="X84:X88" ca="1" si="27">P84+R84+T84+V84</f>
        <v>4345.1165095733531</v>
      </c>
      <c r="Z84" s="25" t="str">
        <f t="shared" ca="1" si="21"/>
        <v/>
      </c>
      <c r="AB84" s="22"/>
    </row>
    <row r="85" spans="2:30" x14ac:dyDescent="0.2">
      <c r="B85" s="18">
        <f>B84+1</f>
        <v>50</v>
      </c>
      <c r="D85" s="1" t="s">
        <v>379</v>
      </c>
      <c r="F85" s="50">
        <f ca="1">Function!R85</f>
        <v>-206.16452215560537</v>
      </c>
      <c r="H85" s="50"/>
      <c r="K85" s="73">
        <v>0</v>
      </c>
      <c r="L85" s="50">
        <f t="shared" ca="1" si="26"/>
        <v>-206.16452215560537</v>
      </c>
      <c r="N85" s="18" t="s">
        <v>231</v>
      </c>
      <c r="O85" s="73">
        <v>51</v>
      </c>
      <c r="P85" s="20">
        <f ca="1">OFFSET('Stor Factors'!$B$13,$O85-1,P$14)*$L85+OFFSET('Stor Factors'!$B$13,$K85-1,P$14)*$H85</f>
        <v>-156.71334508544044</v>
      </c>
      <c r="R85" s="20">
        <f ca="1">OFFSET('Stor Factors'!$B$13,$O85-1,R$14)*$L85+OFFSET('Stor Factors'!$B$13,$K85-1,R$14)*$H85</f>
        <v>-45.581735912930995</v>
      </c>
      <c r="S85" s="20"/>
      <c r="T85" s="20">
        <f ca="1">OFFSET('Stor Factors'!$B$13,$O85-1,T$14)*$L85+OFFSET('Stor Factors'!$B$13,$K85-1,T$14)*$H85</f>
        <v>-3.8694411572339513</v>
      </c>
      <c r="U85" s="20"/>
      <c r="V85" s="20">
        <f ca="1">OFFSET('Stor Factors'!$B$13,$O85-1,V$14)*$L85+OFFSET('Stor Factors'!$B$13,$K85-1,V$14)*$H85</f>
        <v>0</v>
      </c>
      <c r="X85" s="9">
        <f t="shared" ca="1" si="27"/>
        <v>-206.16452215560537</v>
      </c>
      <c r="Z85" s="25" t="str">
        <f t="shared" ca="1" si="21"/>
        <v/>
      </c>
      <c r="AB85" s="22"/>
    </row>
    <row r="86" spans="2:30" x14ac:dyDescent="0.2">
      <c r="B86" s="18">
        <f t="shared" ref="B86:B89" si="28">B85+1</f>
        <v>51</v>
      </c>
      <c r="D86" s="1" t="s">
        <v>42</v>
      </c>
      <c r="F86" s="50">
        <f ca="1">Function!R86</f>
        <v>-2444.2915726439505</v>
      </c>
      <c r="H86" s="50"/>
      <c r="K86" s="73">
        <v>0</v>
      </c>
      <c r="L86" s="50">
        <f t="shared" ca="1" si="26"/>
        <v>-2444.2915726439505</v>
      </c>
      <c r="N86" s="18" t="s">
        <v>231</v>
      </c>
      <c r="O86" s="73">
        <v>51</v>
      </c>
      <c r="P86" s="20">
        <f ca="1">OFFSET('Stor Factors'!$B$13,$O86-1,P$14)*$L86+OFFSET('Stor Factors'!$B$13,$K86-1,P$14)*$H86</f>
        <v>-1857.9972184742385</v>
      </c>
      <c r="R86" s="20">
        <f ca="1">OFFSET('Stor Factors'!$B$13,$O86-1,R$14)*$L86+OFFSET('Stor Factors'!$B$13,$K86-1,R$14)*$H86</f>
        <v>-540.41816600417496</v>
      </c>
      <c r="S86" s="20"/>
      <c r="T86" s="20">
        <f ca="1">OFFSET('Stor Factors'!$B$13,$O86-1,T$14)*$L86+OFFSET('Stor Factors'!$B$13,$K86-1,T$14)*$H86</f>
        <v>-45.876188165537137</v>
      </c>
      <c r="U86" s="20"/>
      <c r="V86" s="20">
        <f ca="1">OFFSET('Stor Factors'!$B$13,$O86-1,V$14)*$L86+OFFSET('Stor Factors'!$B$13,$K86-1,V$14)*$H86</f>
        <v>0</v>
      </c>
      <c r="X86" s="9">
        <f t="shared" ca="1" si="27"/>
        <v>-2444.2915726439505</v>
      </c>
      <c r="Z86" s="25" t="str">
        <f t="shared" ca="1" si="21"/>
        <v/>
      </c>
      <c r="AB86" s="22"/>
    </row>
    <row r="87" spans="2:30" x14ac:dyDescent="0.2">
      <c r="B87" s="18">
        <f t="shared" si="28"/>
        <v>52</v>
      </c>
      <c r="D87" s="1" t="s">
        <v>380</v>
      </c>
      <c r="F87" s="50">
        <f ca="1">Function!R87</f>
        <v>450894.64997650369</v>
      </c>
      <c r="H87" s="50"/>
      <c r="K87" s="73">
        <v>0</v>
      </c>
      <c r="L87" s="50">
        <f t="shared" ca="1" si="26"/>
        <v>450894.64997650369</v>
      </c>
      <c r="N87" s="18" t="s">
        <v>265</v>
      </c>
      <c r="O87" s="73">
        <v>30</v>
      </c>
      <c r="P87" s="20">
        <f ca="1">OFFSET('Stor Factors'!$B$13,$O87-1,P$14)*$L87+OFFSET('Stor Factors'!$B$13,$K87-1,P$14)*$H87</f>
        <v>0</v>
      </c>
      <c r="R87" s="20">
        <f ca="1">OFFSET('Stor Factors'!$B$13,$O87-1,R$14)*$L87+OFFSET('Stor Factors'!$B$13,$K87-1,R$14)*$H87</f>
        <v>411482.44165298209</v>
      </c>
      <c r="S87" s="20"/>
      <c r="T87" s="20">
        <f ca="1">OFFSET('Stor Factors'!$B$13,$O87-1,T$14)*$L87+OFFSET('Stor Factors'!$B$13,$K87-1,T$14)*$H87</f>
        <v>39412.208323521612</v>
      </c>
      <c r="U87" s="20"/>
      <c r="V87" s="20">
        <f ca="1">OFFSET('Stor Factors'!$B$13,$O87-1,V$14)*$L87+OFFSET('Stor Factors'!$B$13,$K87-1,V$14)*$H87</f>
        <v>0</v>
      </c>
      <c r="X87" s="9">
        <f t="shared" ca="1" si="27"/>
        <v>450894.64997650369</v>
      </c>
      <c r="Z87" s="25" t="str">
        <f t="shared" ca="1" si="21"/>
        <v/>
      </c>
      <c r="AB87" s="22"/>
      <c r="AC87" s="31" t="s">
        <v>325</v>
      </c>
    </row>
    <row r="88" spans="2:30" x14ac:dyDescent="0.2">
      <c r="B88" s="18">
        <f t="shared" si="28"/>
        <v>53</v>
      </c>
      <c r="D88" s="1" t="s">
        <v>381</v>
      </c>
      <c r="F88" s="50">
        <f ca="1">Function!R88</f>
        <v>-5295.833184271617</v>
      </c>
      <c r="H88" s="50"/>
      <c r="K88" s="73">
        <v>0</v>
      </c>
      <c r="L88" s="50">
        <f t="shared" ca="1" si="26"/>
        <v>-5295.833184271617</v>
      </c>
      <c r="N88" s="18" t="s">
        <v>231</v>
      </c>
      <c r="O88" s="73">
        <v>51</v>
      </c>
      <c r="P88" s="20">
        <f ca="1">OFFSET('Stor Factors'!$B$13,$O88-1,P$14)*$L88+OFFSET('Stor Factors'!$B$13,$K88-1,P$14)*$H88</f>
        <v>-4025.56038567725</v>
      </c>
      <c r="R88" s="20">
        <f ca="1">OFFSET('Stor Factors'!$B$13,$O88-1,R$14)*$L88+OFFSET('Stor Factors'!$B$13,$K88-1,R$14)*$H88</f>
        <v>-1170.8768663029741</v>
      </c>
      <c r="S88" s="20"/>
      <c r="T88" s="20">
        <f ca="1">OFFSET('Stor Factors'!$B$13,$O88-1,T$14)*$L88+OFFSET('Stor Factors'!$B$13,$K88-1,T$14)*$H88</f>
        <v>-99.395932291392924</v>
      </c>
      <c r="U88" s="20"/>
      <c r="V88" s="20">
        <f ca="1">OFFSET('Stor Factors'!$B$13,$O88-1,V$14)*$L88+OFFSET('Stor Factors'!$B$13,$K88-1,V$14)*$H88</f>
        <v>0</v>
      </c>
      <c r="X88" s="9">
        <f t="shared" ca="1" si="27"/>
        <v>-5295.833184271617</v>
      </c>
      <c r="Z88" s="25" t="str">
        <f t="shared" ca="1" si="21"/>
        <v/>
      </c>
      <c r="AB88" s="22"/>
    </row>
    <row r="89" spans="2:30" x14ac:dyDescent="0.2">
      <c r="B89" s="18">
        <f t="shared" si="28"/>
        <v>54</v>
      </c>
      <c r="D89" s="1" t="s">
        <v>396</v>
      </c>
      <c r="F89" s="41">
        <f ca="1">SUM(F82:F88)</f>
        <v>447293.47720700584</v>
      </c>
      <c r="H89" s="41">
        <f>SUM(H82:H88)</f>
        <v>0</v>
      </c>
      <c r="L89" s="41">
        <f ca="1">SUM(L82:L88)</f>
        <v>447293.47720700584</v>
      </c>
      <c r="P89" s="28">
        <f ca="1">SUM(P82:P88)</f>
        <v>-2737.3857782991936</v>
      </c>
      <c r="Q89" s="23"/>
      <c r="R89" s="28">
        <f ca="1">SUM(R82:R88)</f>
        <v>410686.2440121863</v>
      </c>
      <c r="S89" s="23"/>
      <c r="T89" s="28">
        <f ca="1">SUM(T82:T88)</f>
        <v>39344.618973118791</v>
      </c>
      <c r="U89" s="23"/>
      <c r="V89" s="29">
        <f ca="1">SUM(V82:V88)</f>
        <v>0</v>
      </c>
      <c r="W89" s="18"/>
      <c r="X89" s="28">
        <f ca="1">SUM(X82:X88)</f>
        <v>447293.47720700584</v>
      </c>
      <c r="Z89" s="25" t="str">
        <f t="shared" ca="1" si="21"/>
        <v/>
      </c>
      <c r="AB89" s="22"/>
      <c r="AC89" s="96">
        <f ca="1">R87</f>
        <v>411482.44165298209</v>
      </c>
      <c r="AD89" s="31" t="s">
        <v>326</v>
      </c>
    </row>
    <row r="90" spans="2:30" x14ac:dyDescent="0.2">
      <c r="W90" s="18"/>
      <c r="X90" s="8"/>
      <c r="Z90" s="25" t="str">
        <f t="shared" si="21"/>
        <v/>
      </c>
      <c r="AB90" s="22"/>
      <c r="AC90" s="116">
        <f>R95</f>
        <v>6.0821321807016528E-2</v>
      </c>
      <c r="AD90" s="31" t="s">
        <v>232</v>
      </c>
    </row>
    <row r="91" spans="2:30" x14ac:dyDescent="0.2">
      <c r="X91" s="8"/>
      <c r="Z91" s="25" t="str">
        <f t="shared" si="21"/>
        <v/>
      </c>
      <c r="AB91" s="22"/>
      <c r="AC91" s="96">
        <f ca="1">AC89*AC90</f>
        <v>25026.906001712927</v>
      </c>
      <c r="AD91" s="31" t="s">
        <v>233</v>
      </c>
    </row>
    <row r="92" spans="2:30" x14ac:dyDescent="0.2">
      <c r="B92" s="18">
        <f>B89+1</f>
        <v>55</v>
      </c>
      <c r="D92" s="1" t="s">
        <v>397</v>
      </c>
      <c r="F92" s="41">
        <f ca="1">F79+F89</f>
        <v>1128725.1756033166</v>
      </c>
      <c r="H92" s="41">
        <f ca="1">H79+H89</f>
        <v>18838.596211700387</v>
      </c>
      <c r="L92" s="41">
        <f ca="1">L79+L89</f>
        <v>1109886.5793916162</v>
      </c>
      <c r="P92" s="10">
        <f ca="1">P79+P89</f>
        <v>462618.2301099631</v>
      </c>
      <c r="Q92" s="8"/>
      <c r="R92" s="10">
        <f ca="1">R79+R89</f>
        <v>609854.86877531186</v>
      </c>
      <c r="S92" s="8"/>
      <c r="T92" s="10">
        <f ca="1">T79+T89</f>
        <v>56252.076718041862</v>
      </c>
      <c r="U92" s="8"/>
      <c r="V92" s="10">
        <f ca="1">V79+V89</f>
        <v>0</v>
      </c>
      <c r="W92" s="8"/>
      <c r="X92" s="10">
        <f ca="1">X79+X89</f>
        <v>1128725.1756033166</v>
      </c>
      <c r="Z92" s="25" t="str">
        <f t="shared" ca="1" si="21"/>
        <v/>
      </c>
      <c r="AA92" s="8"/>
      <c r="AB92" s="22"/>
      <c r="AC92" s="96">
        <f ca="1">AC91/R97*R108</f>
        <v>3229.6484055862934</v>
      </c>
      <c r="AD92" s="31" t="s">
        <v>39</v>
      </c>
    </row>
    <row r="93" spans="2:30" ht="13.5" thickBot="1" x14ac:dyDescent="0.25">
      <c r="Z93" s="25" t="str">
        <f t="shared" si="21"/>
        <v/>
      </c>
      <c r="AB93" s="22"/>
      <c r="AC93" s="97">
        <f ca="1">SUM(AC91:AC92)</f>
        <v>28256.55440729922</v>
      </c>
    </row>
    <row r="94" spans="2:30" ht="13.5" thickTop="1" x14ac:dyDescent="0.2">
      <c r="Z94" s="25" t="str">
        <f t="shared" si="21"/>
        <v/>
      </c>
      <c r="AB94" s="22"/>
    </row>
    <row r="95" spans="2:30" x14ac:dyDescent="0.2">
      <c r="B95" s="18">
        <f>B92+1</f>
        <v>56</v>
      </c>
      <c r="D95" s="1" t="s">
        <v>38</v>
      </c>
      <c r="F95" s="87">
        <f>Function!R95</f>
        <v>6.0821321807016528E-2</v>
      </c>
      <c r="H95" s="87">
        <v>6.0821321807016528E-2</v>
      </c>
      <c r="L95" s="87">
        <v>6.0821321807016528E-2</v>
      </c>
      <c r="P95" s="24">
        <f>$F$95</f>
        <v>6.0821321807016528E-2</v>
      </c>
      <c r="R95" s="24">
        <f>$F$95</f>
        <v>6.0821321807016528E-2</v>
      </c>
      <c r="T95" s="24">
        <f>$F$95</f>
        <v>6.0821321807016528E-2</v>
      </c>
      <c r="V95" s="24">
        <f>$F$95</f>
        <v>6.0821321807016528E-2</v>
      </c>
      <c r="W95" s="24"/>
      <c r="X95" s="24">
        <f>V95</f>
        <v>6.0821321807016528E-2</v>
      </c>
      <c r="Z95" s="25" t="str">
        <f t="shared" si="21"/>
        <v/>
      </c>
      <c r="AB95" s="22"/>
    </row>
    <row r="96" spans="2:30" x14ac:dyDescent="0.2">
      <c r="Z96" s="25" t="str">
        <f t="shared" si="21"/>
        <v/>
      </c>
      <c r="AB96" s="22"/>
    </row>
    <row r="97" spans="2:28" x14ac:dyDescent="0.2">
      <c r="B97" s="18">
        <f>B95+1</f>
        <v>57</v>
      </c>
      <c r="D97" s="1" t="s">
        <v>398</v>
      </c>
      <c r="F97" s="41">
        <f ca="1">F92*F95</f>
        <v>68650.557137050564</v>
      </c>
      <c r="H97" s="41">
        <f ca="1">H92*H95</f>
        <v>1145.7883225842718</v>
      </c>
      <c r="L97" s="41">
        <f ca="1">L92*L95</f>
        <v>67504.768814466282</v>
      </c>
      <c r="P97" s="10">
        <f ca="1">P92*P95</f>
        <v>28137.05224731049</v>
      </c>
      <c r="R97" s="10">
        <f ca="1">R92*R95</f>
        <v>37092.179229359077</v>
      </c>
      <c r="T97" s="10">
        <f ca="1">T92*T95</f>
        <v>3421.3256603810064</v>
      </c>
      <c r="V97" s="10">
        <f ca="1">V92*V95</f>
        <v>0</v>
      </c>
      <c r="X97" s="10">
        <f t="shared" ref="X97" ca="1" si="29">P97+R97+T97+V97</f>
        <v>68650.557137050564</v>
      </c>
      <c r="Z97" s="25" t="str">
        <f t="shared" ca="1" si="21"/>
        <v/>
      </c>
      <c r="AB97" s="22"/>
    </row>
    <row r="98" spans="2:28" x14ac:dyDescent="0.2">
      <c r="F98" s="50"/>
      <c r="H98" s="50"/>
      <c r="L98" s="50"/>
      <c r="Z98" s="25" t="str">
        <f t="shared" si="21"/>
        <v/>
      </c>
      <c r="AB98" s="22"/>
    </row>
    <row r="99" spans="2:28" x14ac:dyDescent="0.2">
      <c r="F99" s="50"/>
      <c r="H99" s="50"/>
      <c r="L99" s="50"/>
      <c r="Z99" s="25" t="str">
        <f t="shared" si="21"/>
        <v/>
      </c>
    </row>
    <row r="100" spans="2:28" x14ac:dyDescent="0.2">
      <c r="D100" s="6" t="s">
        <v>70</v>
      </c>
      <c r="Z100" s="25" t="str">
        <f t="shared" si="21"/>
        <v/>
      </c>
    </row>
    <row r="101" spans="2:28" x14ac:dyDescent="0.2">
      <c r="Z101" s="25" t="str">
        <f t="shared" si="21"/>
        <v/>
      </c>
    </row>
    <row r="102" spans="2:28" x14ac:dyDescent="0.2">
      <c r="B102" s="18">
        <f>B97+1</f>
        <v>58</v>
      </c>
      <c r="D102" s="1" t="s">
        <v>195</v>
      </c>
      <c r="F102" s="50">
        <f ca="1">Function!R102</f>
        <v>24853.346732706683</v>
      </c>
      <c r="H102" s="50"/>
      <c r="K102" s="73">
        <v>0</v>
      </c>
      <c r="L102" s="50">
        <f t="shared" ref="L102:L104" ca="1" si="30">F102-H102</f>
        <v>24853.346732706683</v>
      </c>
      <c r="N102" s="18" t="s">
        <v>244</v>
      </c>
      <c r="O102" s="73">
        <v>42</v>
      </c>
      <c r="P102" s="20">
        <f ca="1">OFFSET('Stor Factors'!$B$13,$O102-1,P$14)*$L102+OFFSET('Stor Factors'!$B$13,$K102-1,P$14)*$H102</f>
        <v>18544.471545173583</v>
      </c>
      <c r="R102" s="20">
        <f ca="1">OFFSET('Stor Factors'!$B$13,$O102-1,R$14)*$L102+OFFSET('Stor Factors'!$B$13,$K102-1,R$14)*$H102</f>
        <v>5815.2201776259453</v>
      </c>
      <c r="S102" s="20"/>
      <c r="T102" s="20">
        <f ca="1">OFFSET('Stor Factors'!$B$13,$O102-1,T$14)*$L102+OFFSET('Stor Factors'!$B$13,$K102-1,T$14)*$H102</f>
        <v>493.65500990715259</v>
      </c>
      <c r="U102" s="20"/>
      <c r="V102" s="20">
        <f ca="1">OFFSET('Stor Factors'!$B$13,$O102-1,V$14)*$L102+OFFSET('Stor Factors'!$B$13,$K102-1,V$14)*$H102</f>
        <v>0</v>
      </c>
      <c r="X102" s="9">
        <f t="shared" ref="X102:X103" ca="1" si="31">P102+R102+T102+V102</f>
        <v>24853.346732706683</v>
      </c>
      <c r="Z102" s="25" t="str">
        <f t="shared" ca="1" si="21"/>
        <v/>
      </c>
      <c r="AB102" s="22"/>
    </row>
    <row r="103" spans="2:28" x14ac:dyDescent="0.2">
      <c r="B103" s="18">
        <f>B102+1</f>
        <v>59</v>
      </c>
      <c r="D103" s="1" t="s">
        <v>196</v>
      </c>
      <c r="F103" s="50">
        <f ca="1">Function!R103</f>
        <v>3002.3106592115464</v>
      </c>
      <c r="H103" s="50"/>
      <c r="K103" s="73">
        <v>0</v>
      </c>
      <c r="L103" s="50">
        <f t="shared" ca="1" si="30"/>
        <v>3002.3106592115464</v>
      </c>
      <c r="N103" s="18" t="s">
        <v>120</v>
      </c>
      <c r="O103" s="73">
        <v>45</v>
      </c>
      <c r="P103" s="20">
        <f ca="1">OFFSET('Stor Factors'!$B$13,$O103-1,P$14)*$L103+OFFSET('Stor Factors'!$B$13,$K103-1,P$14)*$H103</f>
        <v>2185.3139050330137</v>
      </c>
      <c r="R103" s="20">
        <f ca="1">OFFSET('Stor Factors'!$B$13,$O103-1,R$14)*$L103+OFFSET('Stor Factors'!$B$13,$K103-1,R$14)*$H103</f>
        <v>753.06863247862952</v>
      </c>
      <c r="S103" s="20"/>
      <c r="T103" s="20">
        <f ca="1">OFFSET('Stor Factors'!$B$13,$O103-1,T$14)*$L103+OFFSET('Stor Factors'!$B$13,$K103-1,T$14)*$H103</f>
        <v>63.928121699903116</v>
      </c>
      <c r="U103" s="20"/>
      <c r="V103" s="20">
        <f ca="1">OFFSET('Stor Factors'!$B$13,$O103-1,V$14)*$L103+OFFSET('Stor Factors'!$B$13,$K103-1,V$14)*$H103</f>
        <v>0</v>
      </c>
      <c r="X103" s="9">
        <f t="shared" ca="1" si="31"/>
        <v>3002.310659211546</v>
      </c>
      <c r="Z103" s="25" t="str">
        <f t="shared" ca="1" si="21"/>
        <v/>
      </c>
    </row>
    <row r="104" spans="2:28" x14ac:dyDescent="0.2">
      <c r="B104" s="18">
        <f>B103+1</f>
        <v>60</v>
      </c>
      <c r="D104" s="1" t="s">
        <v>197</v>
      </c>
      <c r="F104" s="41">
        <v>27855.65739191823</v>
      </c>
      <c r="H104" s="41"/>
      <c r="L104" s="41">
        <f t="shared" si="30"/>
        <v>27855.65739191823</v>
      </c>
      <c r="P104" s="10">
        <f ca="1">P103+P102</f>
        <v>20729.785450206597</v>
      </c>
      <c r="R104" s="10">
        <f ca="1">R103+R102</f>
        <v>6568.2888101045746</v>
      </c>
      <c r="T104" s="10">
        <f ca="1">T103+T102</f>
        <v>557.58313160705575</v>
      </c>
      <c r="V104" s="10">
        <f ca="1">V103+V102</f>
        <v>0</v>
      </c>
      <c r="X104" s="11">
        <f ca="1">P104+R104+T104+V104</f>
        <v>27855.657391918226</v>
      </c>
      <c r="Z104" s="25" t="str">
        <f t="shared" ca="1" si="21"/>
        <v/>
      </c>
    </row>
    <row r="105" spans="2:28" x14ac:dyDescent="0.2">
      <c r="Z105" s="25" t="str">
        <f t="shared" si="21"/>
        <v/>
      </c>
    </row>
    <row r="106" spans="2:28" x14ac:dyDescent="0.2">
      <c r="D106" s="6" t="s">
        <v>69</v>
      </c>
      <c r="F106" s="50"/>
      <c r="H106" s="50"/>
      <c r="L106" s="50"/>
      <c r="Z106" s="25" t="str">
        <f t="shared" si="21"/>
        <v/>
      </c>
    </row>
    <row r="107" spans="2:28" x14ac:dyDescent="0.2">
      <c r="F107" s="50"/>
      <c r="H107" s="50"/>
      <c r="L107" s="50"/>
      <c r="Z107" s="25" t="str">
        <f t="shared" si="21"/>
        <v/>
      </c>
    </row>
    <row r="108" spans="2:28" x14ac:dyDescent="0.2">
      <c r="B108" s="18">
        <f>B104+1</f>
        <v>61</v>
      </c>
      <c r="D108" s="1" t="s">
        <v>39</v>
      </c>
      <c r="F108" s="50">
        <f ca="1">Function!R108</f>
        <v>8859.1519217401892</v>
      </c>
      <c r="H108" s="50"/>
      <c r="K108" s="73">
        <v>0</v>
      </c>
      <c r="L108" s="50">
        <f t="shared" ref="L108:L110" ca="1" si="32">F108-H108</f>
        <v>8859.1519217401892</v>
      </c>
      <c r="N108" s="18" t="s">
        <v>85</v>
      </c>
      <c r="O108" s="73">
        <v>60</v>
      </c>
      <c r="P108" s="20">
        <f ca="1">OFFSET('Stor Factors'!$B$13,$O108-1,P$14)*$L108+OFFSET('Stor Factors'!$B$13,$K108-1,P$14)*$H108</f>
        <v>3631.0036055677406</v>
      </c>
      <c r="R108" s="20">
        <f ca="1">OFFSET('Stor Factors'!$B$13,$O108-1,R$14)*$L108+OFFSET('Stor Factors'!$B$13,$K108-1,R$14)*$H108</f>
        <v>4786.6363305005189</v>
      </c>
      <c r="S108" s="20"/>
      <c r="T108" s="20">
        <f ca="1">OFFSET('Stor Factors'!$B$13,$O108-1,T$14)*$L108+OFFSET('Stor Factors'!$B$13,$K108-1,T$14)*$H108</f>
        <v>441.51198567192898</v>
      </c>
      <c r="U108" s="20"/>
      <c r="V108" s="20">
        <f ca="1">OFFSET('Stor Factors'!$B$13,$O108-1,V$14)*$L108+OFFSET('Stor Factors'!$B$13,$K108-1,V$14)*$H108</f>
        <v>0</v>
      </c>
      <c r="X108" s="9">
        <f t="shared" ref="X108:X109" ca="1" si="33">P108+R108+T108+V108</f>
        <v>8859.1519217401874</v>
      </c>
      <c r="Z108" s="25" t="str">
        <f t="shared" ca="1" si="21"/>
        <v/>
      </c>
      <c r="AB108" s="20"/>
    </row>
    <row r="109" spans="2:28" x14ac:dyDescent="0.2">
      <c r="B109" s="18">
        <f>B108+1</f>
        <v>62</v>
      </c>
      <c r="D109" s="1" t="s">
        <v>40</v>
      </c>
      <c r="F109" s="50">
        <f ca="1">Function!R109</f>
        <v>4332.8583914291694</v>
      </c>
      <c r="H109" s="50"/>
      <c r="K109" s="73">
        <v>0</v>
      </c>
      <c r="L109" s="50">
        <f t="shared" ca="1" si="32"/>
        <v>4332.8583914291694</v>
      </c>
      <c r="N109" s="18" t="s">
        <v>159</v>
      </c>
      <c r="O109" s="73">
        <v>57</v>
      </c>
      <c r="P109" s="20">
        <f ca="1">OFFSET('Stor Factors'!$B$13,$O109-1,P$14)*$L109+OFFSET('Stor Factors'!$B$13,$K109-1,P$14)*$H109</f>
        <v>4268.143739508665</v>
      </c>
      <c r="R109" s="20">
        <f ca="1">OFFSET('Stor Factors'!$B$13,$O109-1,R$14)*$L109+OFFSET('Stor Factors'!$B$13,$K109-1,R$14)*$H109</f>
        <v>59.650878872959638</v>
      </c>
      <c r="S109" s="20"/>
      <c r="T109" s="20">
        <f ca="1">OFFSET('Stor Factors'!$B$13,$O109-1,T$14)*$L109+OFFSET('Stor Factors'!$B$13,$K109-1,T$14)*$H109</f>
        <v>5.0637730475448528</v>
      </c>
      <c r="U109" s="20"/>
      <c r="V109" s="20">
        <f ca="1">OFFSET('Stor Factors'!$B$13,$O109-1,V$14)*$L109+OFFSET('Stor Factors'!$B$13,$K109-1,V$14)*$H109</f>
        <v>0</v>
      </c>
      <c r="X109" s="9">
        <f t="shared" ca="1" si="33"/>
        <v>4332.8583914291694</v>
      </c>
      <c r="Z109" s="25" t="str">
        <f t="shared" ca="1" si="21"/>
        <v/>
      </c>
      <c r="AB109" s="20"/>
    </row>
    <row r="110" spans="2:28" x14ac:dyDescent="0.2">
      <c r="B110" s="18">
        <f>B109+1</f>
        <v>63</v>
      </c>
      <c r="D110" s="1" t="s">
        <v>294</v>
      </c>
      <c r="F110" s="41">
        <v>13192.010313169358</v>
      </c>
      <c r="H110" s="41"/>
      <c r="L110" s="41">
        <f t="shared" si="32"/>
        <v>13192.010313169358</v>
      </c>
      <c r="P110" s="10">
        <f ca="1">P109+P108</f>
        <v>7899.1473450764061</v>
      </c>
      <c r="R110" s="10">
        <f ca="1">R109+R108</f>
        <v>4846.2872093734786</v>
      </c>
      <c r="T110" s="10">
        <f ca="1">T109+T108</f>
        <v>446.57575871947381</v>
      </c>
      <c r="V110" s="10">
        <f ca="1">V109+V108</f>
        <v>0</v>
      </c>
      <c r="X110" s="11">
        <f ca="1">P110+R110+T110+V110</f>
        <v>13192.010313169358</v>
      </c>
      <c r="Z110" s="25" t="str">
        <f t="shared" ca="1" si="21"/>
        <v/>
      </c>
    </row>
    <row r="111" spans="2:28" x14ac:dyDescent="0.2">
      <c r="Z111" s="25" t="str">
        <f t="shared" si="21"/>
        <v/>
      </c>
    </row>
    <row r="112" spans="2:28" x14ac:dyDescent="0.2">
      <c r="Z112" s="25" t="str">
        <f t="shared" si="21"/>
        <v/>
      </c>
    </row>
    <row r="113" spans="2:40" x14ac:dyDescent="0.2">
      <c r="D113" s="6" t="s">
        <v>74</v>
      </c>
      <c r="Z113" s="25" t="str">
        <f t="shared" si="21"/>
        <v/>
      </c>
      <c r="AC113" s="2" t="s">
        <v>181</v>
      </c>
      <c r="AD113" s="2" t="s">
        <v>189</v>
      </c>
      <c r="AE113" s="2"/>
      <c r="AF113" s="2"/>
      <c r="AG113" s="2"/>
      <c r="AH113" s="2"/>
      <c r="AI113" s="2"/>
      <c r="AJ113" s="2" t="s">
        <v>45</v>
      </c>
      <c r="AK113" s="2"/>
      <c r="AL113" s="2" t="s">
        <v>8</v>
      </c>
      <c r="AM113" s="2"/>
      <c r="AN113" s="2"/>
    </row>
    <row r="114" spans="2:40" x14ac:dyDescent="0.2">
      <c r="Z114" s="25" t="str">
        <f t="shared" si="21"/>
        <v/>
      </c>
      <c r="AC114" s="33" t="s">
        <v>187</v>
      </c>
      <c r="AD114" s="33" t="s">
        <v>188</v>
      </c>
      <c r="AE114" s="2"/>
      <c r="AF114" s="33" t="s">
        <v>46</v>
      </c>
      <c r="AG114" s="2"/>
      <c r="AH114" s="33" t="s">
        <v>47</v>
      </c>
      <c r="AI114" s="2"/>
      <c r="AJ114" s="33" t="s">
        <v>48</v>
      </c>
      <c r="AK114" s="2"/>
      <c r="AL114" s="33" t="s">
        <v>49</v>
      </c>
      <c r="AM114" s="2"/>
      <c r="AN114" s="33" t="s">
        <v>11</v>
      </c>
    </row>
    <row r="115" spans="2:40" x14ac:dyDescent="0.2">
      <c r="D115" s="1" t="s">
        <v>7</v>
      </c>
      <c r="P115" s="20"/>
      <c r="R115" s="20"/>
      <c r="S115" s="20"/>
      <c r="T115" s="20"/>
      <c r="U115" s="20"/>
      <c r="V115" s="20"/>
      <c r="X115" s="9"/>
      <c r="Z115" s="25" t="str">
        <f t="shared" si="21"/>
        <v/>
      </c>
      <c r="AB115" s="20"/>
    </row>
    <row r="116" spans="2:40" x14ac:dyDescent="0.2">
      <c r="B116" s="18">
        <f>B110+1</f>
        <v>64</v>
      </c>
      <c r="D116" s="36" t="s">
        <v>309</v>
      </c>
      <c r="F116" s="50">
        <f ca="1">Function!R116</f>
        <v>0</v>
      </c>
      <c r="H116" s="79"/>
      <c r="K116" s="73">
        <v>0</v>
      </c>
      <c r="L116" s="50">
        <f ca="1">F116-H116</f>
        <v>0</v>
      </c>
      <c r="O116" s="73">
        <v>0</v>
      </c>
      <c r="P116" s="20">
        <f ca="1">OFFSET('Stor Factors'!$B$13,$O116-1,P$14)*$L116+OFFSET('Stor Factors'!$B$13,$K116-1,P$14)*$H116</f>
        <v>0</v>
      </c>
      <c r="R116" s="20">
        <f ca="1">OFFSET('Stor Factors'!$B$13,$O116-1,R$14)*$L116+OFFSET('Stor Factors'!$B$13,$K116-1,R$14)*$H116</f>
        <v>0</v>
      </c>
      <c r="S116" s="20"/>
      <c r="T116" s="20">
        <f ca="1">OFFSET('Stor Factors'!$B$13,$O116-1,T$14)*$L116+OFFSET('Stor Factors'!$B$13,$K116-1,T$14)*$H116</f>
        <v>0</v>
      </c>
      <c r="U116" s="20"/>
      <c r="V116" s="20">
        <f ca="1">OFFSET('Stor Factors'!$B$13,$O116-1,V$14)*$L116+OFFSET('Stor Factors'!$B$13,$K116-1,V$14)*$H116</f>
        <v>0</v>
      </c>
      <c r="X116" s="9">
        <f t="shared" ref="X116:X131" ca="1" si="34">P116+R116+T116+V116</f>
        <v>0</v>
      </c>
      <c r="Z116" s="25" t="str">
        <f t="shared" ca="1" si="21"/>
        <v/>
      </c>
      <c r="AB116" s="20"/>
      <c r="AC116" s="93">
        <f ca="1">Function!AH116</f>
        <v>0</v>
      </c>
      <c r="AD116" s="100">
        <f ca="1">IFERROR(AC116/F116,0)</f>
        <v>0</v>
      </c>
      <c r="AF116" s="50"/>
      <c r="AH116" s="50"/>
      <c r="AJ116" s="50"/>
      <c r="AL116" s="50"/>
      <c r="AN116" s="50"/>
    </row>
    <row r="117" spans="2:40" x14ac:dyDescent="0.2">
      <c r="B117" s="18">
        <f t="shared" ref="B117:B122" si="35">B116+1</f>
        <v>65</v>
      </c>
      <c r="D117" s="36" t="s">
        <v>105</v>
      </c>
      <c r="F117" s="50">
        <f ca="1">Function!R117</f>
        <v>5732.3451488280325</v>
      </c>
      <c r="H117" s="79"/>
      <c r="K117" s="73">
        <v>0</v>
      </c>
      <c r="L117" s="50">
        <f t="shared" ref="L117:L122" ca="1" si="36">F117-H117</f>
        <v>5732.3451488280325</v>
      </c>
      <c r="N117" s="18" t="s">
        <v>258</v>
      </c>
      <c r="O117" s="73">
        <v>39</v>
      </c>
      <c r="P117" s="20">
        <f ca="1">OFFSET('Stor Factors'!$B$13,$O117-1,P$14)*$L117+OFFSET('Stor Factors'!$B$13,$K117-1,P$14)*$H117</f>
        <v>0</v>
      </c>
      <c r="R117" s="20">
        <f ca="1">OFFSET('Stor Factors'!$B$13,$O117-1,R$14)*$L117+OFFSET('Stor Factors'!$B$13,$K117-1,R$14)*$H117</f>
        <v>0</v>
      </c>
      <c r="S117" s="20"/>
      <c r="T117" s="20">
        <f ca="1">OFFSET('Stor Factors'!$B$13,$O117-1,T$14)*$L117+OFFSET('Stor Factors'!$B$13,$K117-1,T$14)*$H117</f>
        <v>0</v>
      </c>
      <c r="U117" s="20"/>
      <c r="V117" s="20">
        <f ca="1">OFFSET('Stor Factors'!$B$13,$O117-1,V$14)*$L117+OFFSET('Stor Factors'!$B$13,$K117-1,V$14)*$H117</f>
        <v>5732.3451488280325</v>
      </c>
      <c r="X117" s="9">
        <f t="shared" ca="1" si="34"/>
        <v>5732.3451488280325</v>
      </c>
      <c r="Z117" s="25" t="str">
        <f t="shared" ca="1" si="21"/>
        <v/>
      </c>
      <c r="AB117" s="20"/>
      <c r="AC117" s="93">
        <f ca="1">Function!AH117</f>
        <v>0</v>
      </c>
      <c r="AD117" s="100">
        <f t="shared" ref="AD117:AD122" ca="1" si="37">IFERROR(AC117/F117,0)</f>
        <v>0</v>
      </c>
      <c r="AF117" s="50"/>
      <c r="AH117" s="50"/>
      <c r="AJ117" s="50"/>
      <c r="AL117" s="50"/>
      <c r="AN117" s="50"/>
    </row>
    <row r="118" spans="2:40" x14ac:dyDescent="0.2">
      <c r="B118" s="18">
        <f t="shared" si="35"/>
        <v>66</v>
      </c>
      <c r="D118" s="36" t="s">
        <v>106</v>
      </c>
      <c r="F118" s="50">
        <f ca="1">Function!R118</f>
        <v>7509.5133219631934</v>
      </c>
      <c r="H118" s="79"/>
      <c r="K118" s="73">
        <v>0</v>
      </c>
      <c r="L118" s="50">
        <f t="shared" ca="1" si="36"/>
        <v>7509.5133219631934</v>
      </c>
      <c r="N118" s="18" t="s">
        <v>258</v>
      </c>
      <c r="O118" s="73">
        <v>39</v>
      </c>
      <c r="P118" s="20">
        <f ca="1">OFFSET('Stor Factors'!$B$13,$O118-1,P$14)*$L118+OFFSET('Stor Factors'!$B$13,$K118-1,P$14)*$H118</f>
        <v>0</v>
      </c>
      <c r="R118" s="20">
        <f ca="1">OFFSET('Stor Factors'!$B$13,$O118-1,R$14)*$L118+OFFSET('Stor Factors'!$B$13,$K118-1,R$14)*$H118</f>
        <v>0</v>
      </c>
      <c r="S118" s="20"/>
      <c r="T118" s="20">
        <f ca="1">OFFSET('Stor Factors'!$B$13,$O118-1,T$14)*$L118+OFFSET('Stor Factors'!$B$13,$K118-1,T$14)*$H118</f>
        <v>0</v>
      </c>
      <c r="U118" s="20"/>
      <c r="V118" s="20">
        <f ca="1">OFFSET('Stor Factors'!$B$13,$O118-1,V$14)*$L118+OFFSET('Stor Factors'!$B$13,$K118-1,V$14)*$H118</f>
        <v>7509.5133219631934</v>
      </c>
      <c r="X118" s="9">
        <f t="shared" ca="1" si="34"/>
        <v>7509.5133219631934</v>
      </c>
      <c r="Z118" s="25" t="str">
        <f t="shared" ca="1" si="21"/>
        <v/>
      </c>
      <c r="AB118" s="20"/>
      <c r="AC118" s="93">
        <f ca="1">Function!AH118</f>
        <v>0</v>
      </c>
      <c r="AD118" s="100">
        <f t="shared" ca="1" si="37"/>
        <v>0</v>
      </c>
      <c r="AF118" s="50"/>
      <c r="AH118" s="50"/>
      <c r="AJ118" s="50"/>
      <c r="AL118" s="50"/>
      <c r="AN118" s="50"/>
    </row>
    <row r="119" spans="2:40" x14ac:dyDescent="0.2">
      <c r="B119" s="18">
        <f t="shared" si="35"/>
        <v>67</v>
      </c>
      <c r="D119" s="36" t="s">
        <v>224</v>
      </c>
      <c r="F119" s="50">
        <f ca="1">Function!R119</f>
        <v>192.8819400195122</v>
      </c>
      <c r="H119" s="79"/>
      <c r="K119" s="73">
        <v>0</v>
      </c>
      <c r="L119" s="50">
        <f t="shared" ca="1" si="36"/>
        <v>192.8819400195122</v>
      </c>
      <c r="N119" s="18" t="s">
        <v>258</v>
      </c>
      <c r="O119" s="73">
        <v>39</v>
      </c>
      <c r="P119" s="20">
        <f ca="1">OFFSET('Stor Factors'!$B$13,$O119-1,P$14)*$L119+OFFSET('Stor Factors'!$B$13,$K119-1,P$14)*$H119</f>
        <v>0</v>
      </c>
      <c r="R119" s="20">
        <f ca="1">OFFSET('Stor Factors'!$B$13,$O119-1,R$14)*$L119+OFFSET('Stor Factors'!$B$13,$K119-1,R$14)*$H119</f>
        <v>0</v>
      </c>
      <c r="S119" s="20"/>
      <c r="T119" s="20">
        <f ca="1">OFFSET('Stor Factors'!$B$13,$O119-1,T$14)*$L119+OFFSET('Stor Factors'!$B$13,$K119-1,T$14)*$H119</f>
        <v>0</v>
      </c>
      <c r="U119" s="20"/>
      <c r="V119" s="20">
        <f ca="1">OFFSET('Stor Factors'!$B$13,$O119-1,V$14)*$L119+OFFSET('Stor Factors'!$B$13,$K119-1,V$14)*$H119</f>
        <v>192.8819400195122</v>
      </c>
      <c r="X119" s="9">
        <f t="shared" ca="1" si="34"/>
        <v>192.8819400195122</v>
      </c>
      <c r="Z119" s="25"/>
      <c r="AB119" s="20"/>
      <c r="AC119" s="93">
        <f ca="1">Function!AH119</f>
        <v>0</v>
      </c>
      <c r="AD119" s="100">
        <f t="shared" ca="1" si="37"/>
        <v>0</v>
      </c>
      <c r="AF119" s="50"/>
      <c r="AH119" s="50"/>
      <c r="AJ119" s="50"/>
      <c r="AL119" s="50"/>
      <c r="AN119" s="50"/>
    </row>
    <row r="120" spans="2:40" x14ac:dyDescent="0.2">
      <c r="B120" s="18">
        <f t="shared" si="35"/>
        <v>68</v>
      </c>
      <c r="D120" s="36" t="s">
        <v>337</v>
      </c>
      <c r="F120" s="50">
        <f ca="1">Function!R120</f>
        <v>13946.739835347375</v>
      </c>
      <c r="H120" s="50">
        <f ca="1">IF(K120&lt;&gt;0,OFFSET('Stor Factors'!$B$12,'Storage Class'!$K120-1,2),0)</f>
        <v>700.84706149023225</v>
      </c>
      <c r="J120" s="2" t="s">
        <v>215</v>
      </c>
      <c r="K120" s="73">
        <v>21</v>
      </c>
      <c r="L120" s="50">
        <f t="shared" ca="1" si="36"/>
        <v>13245.892773857142</v>
      </c>
      <c r="N120" s="18" t="s">
        <v>216</v>
      </c>
      <c r="O120" s="73">
        <v>33</v>
      </c>
      <c r="P120" s="20">
        <f ca="1">OFFSET('Stor Factors'!$B$13,$O120-1,P$14)*$L120+OFFSET('Stor Factors'!$B$13,$K120-1,P$14)*$H120</f>
        <v>10261.28838620118</v>
      </c>
      <c r="R120" s="20">
        <f ca="1">OFFSET('Stor Factors'!$B$13,$O120-1,R$14)*$L120+OFFSET('Stor Factors'!$B$13,$K120-1,R$14)*$H120</f>
        <v>2984.6043876559602</v>
      </c>
      <c r="S120" s="20"/>
      <c r="T120" s="20">
        <f ca="1">OFFSET('Stor Factors'!$B$13,$O120-1,T$14)*$L120+OFFSET('Stor Factors'!$B$13,$K120-1,T$14)*$H120</f>
        <v>0</v>
      </c>
      <c r="U120" s="20"/>
      <c r="V120" s="20">
        <f ca="1">OFFSET('Stor Factors'!$B$13,$O120-1,V$14)*$L120+OFFSET('Stor Factors'!$B$13,$K120-1,V$14)*$H120</f>
        <v>700.84706149023225</v>
      </c>
      <c r="X120" s="9">
        <f t="shared" ca="1" si="34"/>
        <v>13946.739835347373</v>
      </c>
      <c r="Z120" s="25" t="str">
        <f t="shared" ca="1" si="21"/>
        <v/>
      </c>
      <c r="AB120" s="20"/>
      <c r="AC120" s="93">
        <f ca="1">Function!AH120</f>
        <v>0</v>
      </c>
      <c r="AD120" s="100">
        <f t="shared" ca="1" si="37"/>
        <v>0</v>
      </c>
      <c r="AF120" s="50"/>
      <c r="AH120" s="50"/>
      <c r="AJ120" s="50"/>
      <c r="AL120" s="50"/>
      <c r="AN120" s="50"/>
    </row>
    <row r="121" spans="2:40" x14ac:dyDescent="0.2">
      <c r="B121" s="18">
        <f t="shared" si="35"/>
        <v>69</v>
      </c>
      <c r="D121" s="36" t="s">
        <v>203</v>
      </c>
      <c r="F121" s="50">
        <f ca="1">Function!R121</f>
        <v>0</v>
      </c>
      <c r="H121" s="79"/>
      <c r="J121" s="2"/>
      <c r="K121" s="73">
        <v>0</v>
      </c>
      <c r="L121" s="50"/>
      <c r="N121" s="18"/>
      <c r="O121" s="73">
        <v>0</v>
      </c>
      <c r="P121" s="20">
        <f ca="1">OFFSET('Stor Factors'!$B$13,$O121-1,P$14)*$L121+OFFSET('Stor Factors'!$B$13,$K121-1,P$14)*$H121</f>
        <v>0</v>
      </c>
      <c r="R121" s="20">
        <f ca="1">OFFSET('Stor Factors'!$B$13,$O121-1,R$14)*$L121+OFFSET('Stor Factors'!$B$13,$K121-1,R$14)*$H121</f>
        <v>0</v>
      </c>
      <c r="S121" s="20"/>
      <c r="T121" s="20">
        <f ca="1">OFFSET('Stor Factors'!$B$13,$O121-1,T$14)*$L121+OFFSET('Stor Factors'!$B$13,$K121-1,T$14)*$H121</f>
        <v>0</v>
      </c>
      <c r="U121" s="20"/>
      <c r="V121" s="20">
        <f ca="1">OFFSET('Stor Factors'!$B$13,$O121-1,V$14)*$L121+OFFSET('Stor Factors'!$B$13,$K121-1,V$14)*$H121</f>
        <v>0</v>
      </c>
      <c r="X121" s="9"/>
      <c r="Z121" s="25"/>
      <c r="AB121" s="20"/>
      <c r="AC121" s="93">
        <f ca="1">Function!AH121</f>
        <v>0</v>
      </c>
      <c r="AD121" s="100">
        <f t="shared" ca="1" si="37"/>
        <v>0</v>
      </c>
      <c r="AF121" s="50"/>
      <c r="AH121" s="50"/>
      <c r="AJ121" s="50"/>
      <c r="AL121" s="50"/>
      <c r="AN121" s="50"/>
    </row>
    <row r="122" spans="2:40" x14ac:dyDescent="0.2">
      <c r="B122" s="18">
        <f t="shared" si="35"/>
        <v>70</v>
      </c>
      <c r="D122" s="36" t="s">
        <v>117</v>
      </c>
      <c r="F122" s="50">
        <f ca="1">Function!R122</f>
        <v>0</v>
      </c>
      <c r="H122" s="79"/>
      <c r="J122" s="2"/>
      <c r="K122" s="73">
        <v>0</v>
      </c>
      <c r="L122" s="50">
        <f t="shared" ca="1" si="36"/>
        <v>0</v>
      </c>
      <c r="N122" s="18"/>
      <c r="O122" s="73">
        <v>0</v>
      </c>
      <c r="P122" s="20">
        <f ca="1">OFFSET('Stor Factors'!$B$13,$O122-1,P$14)*$L122+OFFSET('Stor Factors'!$B$13,$K122-1,P$14)*$H122</f>
        <v>0</v>
      </c>
      <c r="R122" s="20">
        <f ca="1">OFFSET('Stor Factors'!$B$13,$O122-1,R$14)*$L122+OFFSET('Stor Factors'!$B$13,$K122-1,R$14)*$H122</f>
        <v>0</v>
      </c>
      <c r="S122" s="20"/>
      <c r="T122" s="20">
        <f ca="1">OFFSET('Stor Factors'!$B$13,$O122-1,T$14)*$L122+OFFSET('Stor Factors'!$B$13,$K122-1,T$14)*$H122</f>
        <v>0</v>
      </c>
      <c r="U122" s="20"/>
      <c r="V122" s="20">
        <f ca="1">OFFSET('Stor Factors'!$B$13,$O122-1,V$14)*$L122+OFFSET('Stor Factors'!$B$13,$K122-1,V$14)*$H122</f>
        <v>0</v>
      </c>
      <c r="X122" s="9">
        <f t="shared" ca="1" si="34"/>
        <v>0</v>
      </c>
      <c r="Z122" s="25" t="str">
        <f t="shared" ca="1" si="21"/>
        <v/>
      </c>
      <c r="AB122" s="20"/>
      <c r="AC122" s="93">
        <f ca="1">Function!AH122</f>
        <v>0</v>
      </c>
      <c r="AD122" s="100">
        <f t="shared" ca="1" si="37"/>
        <v>0</v>
      </c>
      <c r="AF122" s="50"/>
      <c r="AH122" s="50"/>
      <c r="AJ122" s="50"/>
      <c r="AL122" s="50"/>
      <c r="AN122" s="50"/>
    </row>
    <row r="123" spans="2:40" x14ac:dyDescent="0.2">
      <c r="D123" s="1" t="s">
        <v>8</v>
      </c>
      <c r="N123" s="18"/>
      <c r="Z123" s="25" t="str">
        <f t="shared" si="21"/>
        <v/>
      </c>
      <c r="AB123" s="20"/>
      <c r="AF123" s="50"/>
      <c r="AH123" s="50"/>
      <c r="AJ123" s="50"/>
      <c r="AL123" s="50"/>
      <c r="AN123" s="50"/>
    </row>
    <row r="124" spans="2:40" x14ac:dyDescent="0.2">
      <c r="B124" s="18">
        <f>B122+1</f>
        <v>71</v>
      </c>
      <c r="D124" s="36" t="s">
        <v>71</v>
      </c>
      <c r="F124" s="50">
        <f ca="1">Function!R124</f>
        <v>1640.1810497976596</v>
      </c>
      <c r="H124" s="50">
        <f ca="1">IF(K124&lt;&gt;0,OFFSET('Stor Factors'!$B$12,'Storage Class'!$K124-1,2),0)</f>
        <v>1640.1810497976596</v>
      </c>
      <c r="J124" s="2" t="s">
        <v>271</v>
      </c>
      <c r="K124" s="73">
        <v>12</v>
      </c>
      <c r="L124" s="50">
        <f t="shared" ref="L124:L131" ca="1" si="38">F124-H124</f>
        <v>0</v>
      </c>
      <c r="N124" s="18"/>
      <c r="O124" s="73">
        <v>0</v>
      </c>
      <c r="P124" s="20">
        <f ca="1">OFFSET('Stor Factors'!$B$13,$O124-1,P$14)*$L124+OFFSET('Stor Factors'!$B$13,$K124-1,P$14)*$H124</f>
        <v>1640.1810497976596</v>
      </c>
      <c r="R124" s="20">
        <f ca="1">OFFSET('Stor Factors'!$B$13,$O124-1,R$14)*$L124+OFFSET('Stor Factors'!$B$13,$K124-1,R$14)*$H124</f>
        <v>0</v>
      </c>
      <c r="S124" s="20"/>
      <c r="T124" s="20">
        <f ca="1">OFFSET('Stor Factors'!$B$13,$O124-1,T$14)*$L124+OFFSET('Stor Factors'!$B$13,$K124-1,T$14)*$H124</f>
        <v>0</v>
      </c>
      <c r="U124" s="20"/>
      <c r="V124" s="20">
        <f ca="1">OFFSET('Stor Factors'!$B$13,$O124-1,V$14)*$L124+OFFSET('Stor Factors'!$B$13,$K124-1,V$14)*$H124</f>
        <v>0</v>
      </c>
      <c r="X124" s="9">
        <f t="shared" ca="1" si="34"/>
        <v>1640.1810497976596</v>
      </c>
      <c r="Z124" s="25" t="str">
        <f t="shared" ca="1" si="21"/>
        <v/>
      </c>
      <c r="AB124" s="20"/>
      <c r="AC124" s="93">
        <f ca="1">Function!AH124</f>
        <v>579.59980981929994</v>
      </c>
      <c r="AD124" s="100">
        <f t="shared" ref="AD124:AD131" ca="1" si="39">IFERROR(AC124/F124,0)</f>
        <v>0.35337550686297836</v>
      </c>
      <c r="AF124" s="50">
        <f ca="1">$AD124*P124</f>
        <v>579.59980981929994</v>
      </c>
      <c r="AH124" s="50">
        <f t="shared" ref="AH124:AL139" ca="1" si="40">$AD124*R124</f>
        <v>0</v>
      </c>
      <c r="AJ124" s="50">
        <f t="shared" ca="1" si="40"/>
        <v>0</v>
      </c>
      <c r="AK124" s="31">
        <f t="shared" ca="1" si="40"/>
        <v>0</v>
      </c>
      <c r="AL124" s="50">
        <f t="shared" ca="1" si="40"/>
        <v>0</v>
      </c>
      <c r="AN124" s="50">
        <f ca="1">SUM(AF124:AL124)</f>
        <v>579.59980981929994</v>
      </c>
    </row>
    <row r="125" spans="2:40" x14ac:dyDescent="0.2">
      <c r="B125" s="18">
        <f t="shared" ref="B125:B131" si="41">B124+1</f>
        <v>72</v>
      </c>
      <c r="D125" s="36" t="s">
        <v>171</v>
      </c>
      <c r="F125" s="50">
        <f ca="1">Function!R125</f>
        <v>14117.785878445757</v>
      </c>
      <c r="H125" s="79"/>
      <c r="K125" s="73">
        <v>0</v>
      </c>
      <c r="L125" s="50">
        <f t="shared" ca="1" si="38"/>
        <v>14117.785878445757</v>
      </c>
      <c r="N125" s="18" t="s">
        <v>350</v>
      </c>
      <c r="O125" s="73">
        <v>63</v>
      </c>
      <c r="P125" s="20">
        <f ca="1">OFFSET('Stor Factors'!$B$13,$O125-1,P$14)*$L125+OFFSET('Stor Factors'!$B$13,$K125-1,P$14)*$H125</f>
        <v>9482.7879254386644</v>
      </c>
      <c r="R125" s="20">
        <f ca="1">OFFSET('Stor Factors'!$B$13,$O125-1,R$14)*$L125+OFFSET('Stor Factors'!$B$13,$K125-1,R$14)*$H125</f>
        <v>4272.3199965731428</v>
      </c>
      <c r="S125" s="20"/>
      <c r="T125" s="20">
        <f ca="1">OFFSET('Stor Factors'!$B$13,$O125-1,T$14)*$L125+OFFSET('Stor Factors'!$B$13,$K125-1,T$14)*$H125</f>
        <v>362.67795643394857</v>
      </c>
      <c r="U125" s="20"/>
      <c r="V125" s="20">
        <f ca="1">OFFSET('Stor Factors'!$B$13,$O125-1,V$14)*$L125+OFFSET('Stor Factors'!$B$13,$K125-1,V$14)*$H125</f>
        <v>0</v>
      </c>
      <c r="X125" s="9">
        <f t="shared" ca="1" si="34"/>
        <v>14117.785878445757</v>
      </c>
      <c r="Z125" s="25" t="str">
        <f t="shared" ca="1" si="21"/>
        <v/>
      </c>
      <c r="AB125" s="20"/>
      <c r="AC125" s="93">
        <f ca="1">Function!AH125</f>
        <v>6028.7944072011724</v>
      </c>
      <c r="AD125" s="100">
        <f ca="1">IFERROR(AC125/F125,0)</f>
        <v>0.42703540478012186</v>
      </c>
      <c r="AF125" s="50">
        <f ca="1">$AD125*P125</f>
        <v>4049.4861801837519</v>
      </c>
      <c r="AH125" s="50">
        <f t="shared" ca="1" si="40"/>
        <v>1824.431899086821</v>
      </c>
      <c r="AJ125" s="50">
        <f t="shared" ca="1" si="40"/>
        <v>154.87632793059862</v>
      </c>
      <c r="AK125" s="31">
        <f t="shared" ca="1" si="40"/>
        <v>0</v>
      </c>
      <c r="AL125" s="50">
        <f t="shared" ca="1" si="40"/>
        <v>0</v>
      </c>
      <c r="AN125" s="50">
        <f t="shared" ref="AN125:AN160" ca="1" si="42">SUM(AF125:AL125)</f>
        <v>6028.7944072011715</v>
      </c>
    </row>
    <row r="126" spans="2:40" x14ac:dyDescent="0.2">
      <c r="B126" s="18">
        <f t="shared" si="41"/>
        <v>73</v>
      </c>
      <c r="D126" s="36" t="s">
        <v>179</v>
      </c>
      <c r="F126" s="50">
        <f ca="1">Function!R126</f>
        <v>1307.4095306239601</v>
      </c>
      <c r="H126" s="79"/>
      <c r="K126" s="73">
        <v>0</v>
      </c>
      <c r="L126" s="50">
        <f t="shared" ca="1" si="38"/>
        <v>1307.4095306239601</v>
      </c>
      <c r="N126" s="18" t="s">
        <v>347</v>
      </c>
      <c r="O126" s="73">
        <v>24</v>
      </c>
      <c r="P126" s="20">
        <f ca="1">OFFSET('Stor Factors'!$B$13,$O126-1,P$14)*$L126+OFFSET('Stor Factors'!$B$13,$K126-1,P$14)*$H126</f>
        <v>653.70476531198005</v>
      </c>
      <c r="R126" s="20">
        <f ca="1">OFFSET('Stor Factors'!$B$13,$O126-1,R$14)*$L126+OFFSET('Stor Factors'!$B$13,$K126-1,R$14)*$H126</f>
        <v>602.55386712427594</v>
      </c>
      <c r="S126" s="20"/>
      <c r="T126" s="20">
        <f ca="1">OFFSET('Stor Factors'!$B$13,$O126-1,T$14)*$L126+OFFSET('Stor Factors'!$B$13,$K126-1,T$14)*$H126</f>
        <v>51.150898187704144</v>
      </c>
      <c r="U126" s="20"/>
      <c r="V126" s="20">
        <f ca="1">OFFSET('Stor Factors'!$B$13,$O126-1,V$14)*$L126+OFFSET('Stor Factors'!$B$13,$K126-1,V$14)*$H126</f>
        <v>0</v>
      </c>
      <c r="X126" s="9">
        <f t="shared" ca="1" si="34"/>
        <v>1307.4095306239601</v>
      </c>
      <c r="Z126" s="25" t="str">
        <f t="shared" ca="1" si="21"/>
        <v/>
      </c>
      <c r="AB126" s="20"/>
      <c r="AC126" s="93">
        <f ca="1">Function!AH126</f>
        <v>0</v>
      </c>
      <c r="AD126" s="100">
        <f t="shared" ca="1" si="39"/>
        <v>0</v>
      </c>
      <c r="AF126" s="50">
        <f t="shared" ref="AF126:AF145" ca="1" si="43">$AD126*P126</f>
        <v>0</v>
      </c>
      <c r="AH126" s="50">
        <f t="shared" ca="1" si="40"/>
        <v>0</v>
      </c>
      <c r="AJ126" s="50">
        <f t="shared" ca="1" si="40"/>
        <v>0</v>
      </c>
      <c r="AK126" s="31">
        <f t="shared" ca="1" si="40"/>
        <v>0</v>
      </c>
      <c r="AL126" s="50">
        <f t="shared" ca="1" si="40"/>
        <v>0</v>
      </c>
      <c r="AN126" s="50">
        <f t="shared" ca="1" si="42"/>
        <v>0</v>
      </c>
    </row>
    <row r="127" spans="2:40" x14ac:dyDescent="0.2">
      <c r="B127" s="18">
        <f t="shared" si="41"/>
        <v>74</v>
      </c>
      <c r="D127" s="36" t="s">
        <v>199</v>
      </c>
      <c r="F127" s="50">
        <f ca="1">Function!R127</f>
        <v>1489.5035949216872</v>
      </c>
      <c r="H127" s="79"/>
      <c r="K127" s="73">
        <v>0</v>
      </c>
      <c r="L127" s="50">
        <f t="shared" ca="1" si="38"/>
        <v>1489.5035949216872</v>
      </c>
      <c r="N127" s="18" t="s">
        <v>50</v>
      </c>
      <c r="O127" s="73">
        <v>27</v>
      </c>
      <c r="P127" s="20">
        <f ca="1">OFFSET('Stor Factors'!$B$13,$O127-1,P$14)*$L127+OFFSET('Stor Factors'!$B$13,$K127-1,P$14)*$H127</f>
        <v>1489.5035949216872</v>
      </c>
      <c r="R127" s="20">
        <f ca="1">OFFSET('Stor Factors'!$B$13,$O127-1,R$14)*$L127+OFFSET('Stor Factors'!$B$13,$K127-1,R$14)*$H127</f>
        <v>0</v>
      </c>
      <c r="S127" s="20"/>
      <c r="T127" s="20">
        <f ca="1">OFFSET('Stor Factors'!$B$13,$O127-1,T$14)*$L127+OFFSET('Stor Factors'!$B$13,$K127-1,T$14)*$H127</f>
        <v>0</v>
      </c>
      <c r="U127" s="20"/>
      <c r="V127" s="20">
        <f ca="1">OFFSET('Stor Factors'!$B$13,$O127-1,V$14)*$L127+OFFSET('Stor Factors'!$B$13,$K127-1,V$14)*$H127</f>
        <v>0</v>
      </c>
      <c r="X127" s="9">
        <f t="shared" ca="1" si="34"/>
        <v>1489.5035949216872</v>
      </c>
      <c r="Z127" s="25" t="str">
        <f t="shared" ref="Z127:Z180" ca="1" si="44">IF(ROUND(F127,4)=ROUND(X127,4), "", "check")</f>
        <v/>
      </c>
      <c r="AB127" s="20"/>
      <c r="AC127" s="93">
        <f ca="1">Function!AH127</f>
        <v>221.52729747511745</v>
      </c>
      <c r="AD127" s="100">
        <f t="shared" ca="1" si="39"/>
        <v>0.14872558765913188</v>
      </c>
      <c r="AF127" s="50">
        <f t="shared" ca="1" si="43"/>
        <v>221.52729747511745</v>
      </c>
      <c r="AH127" s="50">
        <f t="shared" ca="1" si="40"/>
        <v>0</v>
      </c>
      <c r="AJ127" s="50">
        <f t="shared" ca="1" si="40"/>
        <v>0</v>
      </c>
      <c r="AK127" s="31">
        <f t="shared" ca="1" si="40"/>
        <v>0</v>
      </c>
      <c r="AL127" s="50">
        <f t="shared" ca="1" si="40"/>
        <v>0</v>
      </c>
      <c r="AN127" s="50">
        <f t="shared" ca="1" si="42"/>
        <v>221.52729747511745</v>
      </c>
    </row>
    <row r="128" spans="2:40" x14ac:dyDescent="0.2">
      <c r="B128" s="18">
        <f t="shared" si="41"/>
        <v>75</v>
      </c>
      <c r="D128" s="36" t="s">
        <v>21</v>
      </c>
      <c r="F128" s="50">
        <f ca="1">Function!R128</f>
        <v>417.64292401249998</v>
      </c>
      <c r="H128" s="79"/>
      <c r="K128" s="73">
        <v>0</v>
      </c>
      <c r="L128" s="50">
        <f t="shared" ca="1" si="38"/>
        <v>417.64292401249998</v>
      </c>
      <c r="N128" s="18" t="s">
        <v>50</v>
      </c>
      <c r="O128" s="73">
        <v>27</v>
      </c>
      <c r="P128" s="20">
        <f ca="1">OFFSET('Stor Factors'!$B$13,$O128-1,P$14)*$L128+OFFSET('Stor Factors'!$B$13,$K128-1,P$14)*$H128</f>
        <v>417.64292401249998</v>
      </c>
      <c r="R128" s="20">
        <f ca="1">OFFSET('Stor Factors'!$B$13,$O128-1,R$14)*$L128+OFFSET('Stor Factors'!$B$13,$K128-1,R$14)*$H128</f>
        <v>0</v>
      </c>
      <c r="S128" s="20"/>
      <c r="T128" s="20">
        <f ca="1">OFFSET('Stor Factors'!$B$13,$O128-1,T$14)*$L128+OFFSET('Stor Factors'!$B$13,$K128-1,T$14)*$H128</f>
        <v>0</v>
      </c>
      <c r="U128" s="20"/>
      <c r="V128" s="20">
        <f ca="1">OFFSET('Stor Factors'!$B$13,$O128-1,V$14)*$L128+OFFSET('Stor Factors'!$B$13,$K128-1,V$14)*$H128</f>
        <v>0</v>
      </c>
      <c r="X128" s="9">
        <f t="shared" ca="1" si="34"/>
        <v>417.64292401249998</v>
      </c>
      <c r="Z128" s="25" t="str">
        <f t="shared" ca="1" si="44"/>
        <v/>
      </c>
      <c r="AB128" s="20"/>
      <c r="AC128" s="93">
        <f ca="1">Function!AH128</f>
        <v>0</v>
      </c>
      <c r="AD128" s="100">
        <f t="shared" ca="1" si="39"/>
        <v>0</v>
      </c>
      <c r="AF128" s="50">
        <f t="shared" ca="1" si="43"/>
        <v>0</v>
      </c>
      <c r="AH128" s="50">
        <f t="shared" ca="1" si="40"/>
        <v>0</v>
      </c>
      <c r="AJ128" s="50">
        <f t="shared" ca="1" si="40"/>
        <v>0</v>
      </c>
      <c r="AK128" s="31">
        <f t="shared" ca="1" si="40"/>
        <v>0</v>
      </c>
      <c r="AL128" s="50">
        <f t="shared" ca="1" si="40"/>
        <v>0</v>
      </c>
      <c r="AN128" s="50">
        <f t="shared" ca="1" si="42"/>
        <v>0</v>
      </c>
    </row>
    <row r="129" spans="2:40" x14ac:dyDescent="0.2">
      <c r="B129" s="18">
        <f t="shared" si="41"/>
        <v>76</v>
      </c>
      <c r="D129" s="36" t="s">
        <v>200</v>
      </c>
      <c r="F129" s="50">
        <f ca="1">Function!R129</f>
        <v>191.86462860127</v>
      </c>
      <c r="H129" s="79"/>
      <c r="K129" s="73">
        <v>0</v>
      </c>
      <c r="L129" s="50">
        <f t="shared" ca="1" si="38"/>
        <v>191.86462860127</v>
      </c>
      <c r="N129" s="18" t="s">
        <v>50</v>
      </c>
      <c r="O129" s="73">
        <v>27</v>
      </c>
      <c r="P129" s="20">
        <f ca="1">OFFSET('Stor Factors'!$B$13,$O129-1,P$14)*$L129+OFFSET('Stor Factors'!$B$13,$K129-1,P$14)*$H129</f>
        <v>191.86462860127</v>
      </c>
      <c r="R129" s="20">
        <f ca="1">OFFSET('Stor Factors'!$B$13,$O129-1,R$14)*$L129+OFFSET('Stor Factors'!$B$13,$K129-1,R$14)*$H129</f>
        <v>0</v>
      </c>
      <c r="S129" s="20"/>
      <c r="T129" s="20">
        <f ca="1">OFFSET('Stor Factors'!$B$13,$O129-1,T$14)*$L129+OFFSET('Stor Factors'!$B$13,$K129-1,T$14)*$H129</f>
        <v>0</v>
      </c>
      <c r="U129" s="20"/>
      <c r="V129" s="20">
        <f ca="1">OFFSET('Stor Factors'!$B$13,$O129-1,V$14)*$L129+OFFSET('Stor Factors'!$B$13,$K129-1,V$14)*$H129</f>
        <v>0</v>
      </c>
      <c r="X129" s="9">
        <f t="shared" ca="1" si="34"/>
        <v>191.86462860127</v>
      </c>
      <c r="Z129" s="25" t="str">
        <f t="shared" ca="1" si="44"/>
        <v/>
      </c>
      <c r="AB129" s="20"/>
      <c r="AC129" s="93">
        <f ca="1">Function!AH129</f>
        <v>0</v>
      </c>
      <c r="AD129" s="100">
        <f t="shared" ca="1" si="39"/>
        <v>0</v>
      </c>
      <c r="AF129" s="50">
        <f t="shared" ca="1" si="43"/>
        <v>0</v>
      </c>
      <c r="AH129" s="50">
        <f t="shared" ca="1" si="40"/>
        <v>0</v>
      </c>
      <c r="AJ129" s="50">
        <f t="shared" ca="1" si="40"/>
        <v>0</v>
      </c>
      <c r="AK129" s="31">
        <f t="shared" ca="1" si="40"/>
        <v>0</v>
      </c>
      <c r="AL129" s="50">
        <f t="shared" ca="1" si="40"/>
        <v>0</v>
      </c>
      <c r="AN129" s="50">
        <f t="shared" ca="1" si="42"/>
        <v>0</v>
      </c>
    </row>
    <row r="130" spans="2:40" x14ac:dyDescent="0.2">
      <c r="B130" s="18">
        <f t="shared" si="41"/>
        <v>77</v>
      </c>
      <c r="D130" s="36" t="s">
        <v>180</v>
      </c>
      <c r="F130" s="50">
        <f ca="1">Function!R130</f>
        <v>4026.3844920256997</v>
      </c>
      <c r="H130" s="79"/>
      <c r="K130" s="73">
        <v>0</v>
      </c>
      <c r="L130" s="50">
        <f t="shared" ca="1" si="38"/>
        <v>4026.3844920256997</v>
      </c>
      <c r="N130" s="18" t="s">
        <v>347</v>
      </c>
      <c r="O130" s="73">
        <v>24</v>
      </c>
      <c r="P130" s="20">
        <f ca="1">OFFSET('Stor Factors'!$B$13,$O130-1,P$14)*$L130+OFFSET('Stor Factors'!$B$13,$K130-1,P$14)*$H130</f>
        <v>2013.1922460128499</v>
      </c>
      <c r="R130" s="20">
        <f ca="1">OFFSET('Stor Factors'!$B$13,$O130-1,R$14)*$L130+OFFSET('Stor Factors'!$B$13,$K130-1,R$14)*$H130</f>
        <v>1855.6645713309417</v>
      </c>
      <c r="S130" s="20"/>
      <c r="T130" s="20">
        <f ca="1">OFFSET('Stor Factors'!$B$13,$O130-1,T$14)*$L130+OFFSET('Stor Factors'!$B$13,$K130-1,T$14)*$H130</f>
        <v>157.52767468190817</v>
      </c>
      <c r="U130" s="20"/>
      <c r="V130" s="20">
        <f ca="1">OFFSET('Stor Factors'!$B$13,$O130-1,V$14)*$L130+OFFSET('Stor Factors'!$B$13,$K130-1,V$14)*$H130</f>
        <v>0</v>
      </c>
      <c r="X130" s="9">
        <f t="shared" ca="1" si="34"/>
        <v>4026.3844920256997</v>
      </c>
      <c r="Z130" s="25" t="str">
        <f t="shared" ca="1" si="44"/>
        <v/>
      </c>
      <c r="AB130" s="20"/>
      <c r="AC130" s="93">
        <f ca="1">Function!AH130</f>
        <v>0</v>
      </c>
      <c r="AD130" s="100">
        <f t="shared" ca="1" si="39"/>
        <v>0</v>
      </c>
      <c r="AF130" s="50">
        <f t="shared" ca="1" si="43"/>
        <v>0</v>
      </c>
      <c r="AH130" s="50">
        <f t="shared" ca="1" si="40"/>
        <v>0</v>
      </c>
      <c r="AJ130" s="50">
        <f t="shared" ca="1" si="40"/>
        <v>0</v>
      </c>
      <c r="AK130" s="31">
        <f t="shared" ca="1" si="40"/>
        <v>0</v>
      </c>
      <c r="AL130" s="50">
        <f t="shared" ca="1" si="40"/>
        <v>0</v>
      </c>
      <c r="AN130" s="50">
        <f t="shared" ca="1" si="42"/>
        <v>0</v>
      </c>
    </row>
    <row r="131" spans="2:40" x14ac:dyDescent="0.2">
      <c r="B131" s="18">
        <f t="shared" si="41"/>
        <v>78</v>
      </c>
      <c r="D131" s="36" t="s">
        <v>201</v>
      </c>
      <c r="F131" s="50">
        <f ca="1">Function!R131</f>
        <v>1816.3293445332881</v>
      </c>
      <c r="H131" s="79"/>
      <c r="K131" s="73">
        <v>0</v>
      </c>
      <c r="L131" s="50">
        <f t="shared" ca="1" si="38"/>
        <v>1816.3293445332881</v>
      </c>
      <c r="N131" s="18" t="s">
        <v>347</v>
      </c>
      <c r="O131" s="73">
        <v>24</v>
      </c>
      <c r="P131" s="20">
        <f ca="1">OFFSET('Stor Factors'!$B$13,$O131-1,P$14)*$L131+OFFSET('Stor Factors'!$B$13,$K131-1,P$14)*$H131</f>
        <v>908.16467226664406</v>
      </c>
      <c r="R131" s="20">
        <f ca="1">OFFSET('Stor Factors'!$B$13,$O131-1,R$14)*$L131+OFFSET('Stor Factors'!$B$13,$K131-1,R$14)*$H131</f>
        <v>837.10287012938886</v>
      </c>
      <c r="S131" s="20"/>
      <c r="T131" s="20">
        <f ca="1">OFFSET('Stor Factors'!$B$13,$O131-1,T$14)*$L131+OFFSET('Stor Factors'!$B$13,$K131-1,T$14)*$H131</f>
        <v>71.061802137255256</v>
      </c>
      <c r="U131" s="20"/>
      <c r="V131" s="20">
        <f ca="1">OFFSET('Stor Factors'!$B$13,$O131-1,V$14)*$L131+OFFSET('Stor Factors'!$B$13,$K131-1,V$14)*$H131</f>
        <v>0</v>
      </c>
      <c r="X131" s="9">
        <f t="shared" ca="1" si="34"/>
        <v>1816.3293445332881</v>
      </c>
      <c r="Z131" s="25" t="str">
        <f t="shared" ca="1" si="44"/>
        <v/>
      </c>
      <c r="AB131" s="20"/>
      <c r="AC131" s="93">
        <f ca="1">Function!AH131</f>
        <v>366.20012159340001</v>
      </c>
      <c r="AD131" s="100">
        <f t="shared" ca="1" si="39"/>
        <v>0.20161548493150419</v>
      </c>
      <c r="AF131" s="50">
        <f t="shared" ca="1" si="43"/>
        <v>183.10006079670001</v>
      </c>
      <c r="AH131" s="50">
        <f t="shared" ca="1" si="40"/>
        <v>168.77290109869071</v>
      </c>
      <c r="AJ131" s="50">
        <f t="shared" ca="1" si="40"/>
        <v>14.32715969800932</v>
      </c>
      <c r="AK131" s="31">
        <f t="shared" ca="1" si="40"/>
        <v>0</v>
      </c>
      <c r="AL131" s="50">
        <f t="shared" ca="1" si="40"/>
        <v>0</v>
      </c>
      <c r="AN131" s="50">
        <f t="shared" ca="1" si="42"/>
        <v>366.20012159340007</v>
      </c>
    </row>
    <row r="132" spans="2:40" x14ac:dyDescent="0.2">
      <c r="D132" s="1" t="s">
        <v>9</v>
      </c>
      <c r="N132" s="18"/>
      <c r="Z132" s="25" t="str">
        <f t="shared" si="44"/>
        <v/>
      </c>
      <c r="AF132" s="50">
        <f t="shared" si="43"/>
        <v>0</v>
      </c>
      <c r="AH132" s="50">
        <f t="shared" si="40"/>
        <v>0</v>
      </c>
      <c r="AJ132" s="50">
        <f t="shared" si="40"/>
        <v>0</v>
      </c>
      <c r="AK132" s="31">
        <f t="shared" si="40"/>
        <v>0</v>
      </c>
      <c r="AL132" s="50">
        <f t="shared" si="40"/>
        <v>0</v>
      </c>
      <c r="AN132" s="50">
        <f t="shared" si="42"/>
        <v>0</v>
      </c>
    </row>
    <row r="133" spans="2:40" x14ac:dyDescent="0.2">
      <c r="B133" s="18">
        <f>B131+1</f>
        <v>79</v>
      </c>
      <c r="D133" s="1" t="s">
        <v>214</v>
      </c>
      <c r="F133" s="50">
        <f ca="1">Function!R133</f>
        <v>0</v>
      </c>
      <c r="K133" s="73">
        <v>0</v>
      </c>
      <c r="L133" s="50">
        <f t="shared" ref="L133:L136" ca="1" si="45">F133-H133</f>
        <v>0</v>
      </c>
      <c r="N133" s="18"/>
      <c r="O133" s="73">
        <v>0</v>
      </c>
      <c r="P133" s="20">
        <f ca="1">OFFSET('Stor Factors'!$B$13,$O133-1,P$14)*$L133+OFFSET('Stor Factors'!$B$13,$K133-1,P$14)*$H133</f>
        <v>0</v>
      </c>
      <c r="R133" s="20">
        <f ca="1">OFFSET('Stor Factors'!$B$13,$O133-1,R$14)*$L133+OFFSET('Stor Factors'!$B$13,$K133-1,R$14)*$H133</f>
        <v>0</v>
      </c>
      <c r="S133" s="20"/>
      <c r="T133" s="20">
        <f ca="1">OFFSET('Stor Factors'!$B$13,$O133-1,T$14)*$L133+OFFSET('Stor Factors'!$B$13,$K133-1,T$14)*$H133</f>
        <v>0</v>
      </c>
      <c r="U133" s="20"/>
      <c r="V133" s="20">
        <f ca="1">OFFSET('Stor Factors'!$B$13,$O133-1,V$14)*$L133+OFFSET('Stor Factors'!$B$13,$K133-1,V$14)*$H133</f>
        <v>0</v>
      </c>
      <c r="X133" s="9">
        <f t="shared" ref="X133:X136" ca="1" si="46">P133+R133+T133+V133</f>
        <v>0</v>
      </c>
      <c r="Z133" s="25" t="str">
        <f t="shared" ca="1" si="44"/>
        <v/>
      </c>
      <c r="AB133" s="20"/>
      <c r="AC133" s="93">
        <f ca="1">Function!AH133</f>
        <v>0</v>
      </c>
      <c r="AD133" s="100">
        <f t="shared" ref="AD133:AD136" ca="1" si="47">IFERROR(AC133/F133,0)</f>
        <v>0</v>
      </c>
      <c r="AF133" s="50">
        <f t="shared" ca="1" si="43"/>
        <v>0</v>
      </c>
      <c r="AH133" s="50">
        <f t="shared" ca="1" si="40"/>
        <v>0</v>
      </c>
      <c r="AJ133" s="50">
        <f t="shared" ca="1" si="40"/>
        <v>0</v>
      </c>
      <c r="AK133" s="31">
        <f t="shared" ca="1" si="40"/>
        <v>0</v>
      </c>
      <c r="AL133" s="50">
        <f t="shared" ca="1" si="40"/>
        <v>0</v>
      </c>
      <c r="AN133" s="50">
        <f t="shared" ca="1" si="42"/>
        <v>0</v>
      </c>
    </row>
    <row r="134" spans="2:40" x14ac:dyDescent="0.2">
      <c r="B134" s="18">
        <f>B133+1</f>
        <v>80</v>
      </c>
      <c r="D134" s="36" t="s">
        <v>202</v>
      </c>
      <c r="F134" s="50">
        <f ca="1">Function!R134</f>
        <v>0</v>
      </c>
      <c r="H134" s="79"/>
      <c r="K134" s="73">
        <v>0</v>
      </c>
      <c r="L134" s="50">
        <f t="shared" ca="1" si="45"/>
        <v>0</v>
      </c>
      <c r="N134" s="18"/>
      <c r="O134" s="73">
        <v>0</v>
      </c>
      <c r="P134" s="20">
        <f ca="1">OFFSET('Stor Factors'!$B$13,$O134-1,P$14)*$L134+OFFSET('Stor Factors'!$B$13,$K134-1,P$14)*$H134</f>
        <v>0</v>
      </c>
      <c r="R134" s="20">
        <f ca="1">OFFSET('Stor Factors'!$B$13,$O134-1,R$14)*$L134+OFFSET('Stor Factors'!$B$13,$K134-1,R$14)*$H134</f>
        <v>0</v>
      </c>
      <c r="S134" s="20"/>
      <c r="T134" s="20">
        <f ca="1">OFFSET('Stor Factors'!$B$13,$O134-1,T$14)*$L134+OFFSET('Stor Factors'!$B$13,$K134-1,T$14)*$H134</f>
        <v>0</v>
      </c>
      <c r="U134" s="20"/>
      <c r="V134" s="20">
        <f ca="1">OFFSET('Stor Factors'!$B$13,$O134-1,V$14)*$L134+OFFSET('Stor Factors'!$B$13,$K134-1,V$14)*$H134</f>
        <v>0</v>
      </c>
      <c r="X134" s="9">
        <f t="shared" ca="1" si="46"/>
        <v>0</v>
      </c>
      <c r="Z134" s="25" t="str">
        <f t="shared" ca="1" si="44"/>
        <v/>
      </c>
      <c r="AB134" s="20"/>
      <c r="AC134" s="93">
        <f ca="1">Function!AH134</f>
        <v>0</v>
      </c>
      <c r="AD134" s="100">
        <f t="shared" ca="1" si="47"/>
        <v>0</v>
      </c>
      <c r="AF134" s="50">
        <f t="shared" ca="1" si="43"/>
        <v>0</v>
      </c>
      <c r="AH134" s="50">
        <f t="shared" ca="1" si="40"/>
        <v>0</v>
      </c>
      <c r="AJ134" s="50">
        <f t="shared" ca="1" si="40"/>
        <v>0</v>
      </c>
      <c r="AK134" s="31">
        <f t="shared" ca="1" si="40"/>
        <v>0</v>
      </c>
      <c r="AL134" s="50">
        <f t="shared" ca="1" si="40"/>
        <v>0</v>
      </c>
      <c r="AN134" s="50">
        <f t="shared" ca="1" si="42"/>
        <v>0</v>
      </c>
    </row>
    <row r="135" spans="2:40" x14ac:dyDescent="0.2">
      <c r="B135" s="18">
        <f t="shared" ref="B135:B136" si="48">B134+1</f>
        <v>81</v>
      </c>
      <c r="D135" s="36" t="s">
        <v>199</v>
      </c>
      <c r="F135" s="50">
        <f ca="1">Function!R135</f>
        <v>0</v>
      </c>
      <c r="H135" s="79"/>
      <c r="K135" s="73">
        <v>0</v>
      </c>
      <c r="L135" s="50">
        <f t="shared" ca="1" si="45"/>
        <v>0</v>
      </c>
      <c r="N135" s="18"/>
      <c r="O135" s="73">
        <v>0</v>
      </c>
      <c r="P135" s="20">
        <f ca="1">OFFSET('Stor Factors'!$B$13,$O135-1,P$14)*$L135+OFFSET('Stor Factors'!$B$13,$K135-1,P$14)*$H135</f>
        <v>0</v>
      </c>
      <c r="R135" s="20">
        <f ca="1">OFFSET('Stor Factors'!$B$13,$O135-1,R$14)*$L135+OFFSET('Stor Factors'!$B$13,$K135-1,R$14)*$H135</f>
        <v>0</v>
      </c>
      <c r="S135" s="20"/>
      <c r="T135" s="20">
        <f ca="1">OFFSET('Stor Factors'!$B$13,$O135-1,T$14)*$L135+OFFSET('Stor Factors'!$B$13,$K135-1,T$14)*$H135</f>
        <v>0</v>
      </c>
      <c r="U135" s="20"/>
      <c r="V135" s="20">
        <f ca="1">OFFSET('Stor Factors'!$B$13,$O135-1,V$14)*$L135+OFFSET('Stor Factors'!$B$13,$K135-1,V$14)*$H135</f>
        <v>0</v>
      </c>
      <c r="X135" s="9">
        <f t="shared" ca="1" si="46"/>
        <v>0</v>
      </c>
      <c r="Z135" s="25" t="str">
        <f t="shared" ca="1" si="44"/>
        <v/>
      </c>
      <c r="AB135" s="20"/>
      <c r="AC135" s="93">
        <f ca="1">Function!AH135</f>
        <v>0</v>
      </c>
      <c r="AD135" s="100">
        <f t="shared" ca="1" si="47"/>
        <v>0</v>
      </c>
      <c r="AF135" s="50">
        <f t="shared" ca="1" si="43"/>
        <v>0</v>
      </c>
      <c r="AH135" s="50">
        <f t="shared" ca="1" si="40"/>
        <v>0</v>
      </c>
      <c r="AJ135" s="50">
        <f t="shared" ca="1" si="40"/>
        <v>0</v>
      </c>
      <c r="AK135" s="31">
        <f t="shared" ca="1" si="40"/>
        <v>0</v>
      </c>
      <c r="AL135" s="50">
        <f t="shared" ca="1" si="40"/>
        <v>0</v>
      </c>
      <c r="AN135" s="50">
        <f t="shared" ca="1" si="42"/>
        <v>0</v>
      </c>
    </row>
    <row r="136" spans="2:40" x14ac:dyDescent="0.2">
      <c r="B136" s="18">
        <f t="shared" si="48"/>
        <v>82</v>
      </c>
      <c r="D136" s="36" t="s">
        <v>21</v>
      </c>
      <c r="F136" s="50">
        <f ca="1">Function!R136</f>
        <v>0</v>
      </c>
      <c r="H136" s="79"/>
      <c r="K136" s="73">
        <v>0</v>
      </c>
      <c r="L136" s="50">
        <f t="shared" ca="1" si="45"/>
        <v>0</v>
      </c>
      <c r="N136" s="18"/>
      <c r="O136" s="73">
        <v>0</v>
      </c>
      <c r="P136" s="20">
        <f ca="1">OFFSET('Stor Factors'!$B$13,$O136-1,P$14)*$L136+OFFSET('Stor Factors'!$B$13,$K136-1,P$14)*$H136</f>
        <v>0</v>
      </c>
      <c r="R136" s="20">
        <f ca="1">OFFSET('Stor Factors'!$B$13,$O136-1,R$14)*$L136+OFFSET('Stor Factors'!$B$13,$K136-1,R$14)*$H136</f>
        <v>0</v>
      </c>
      <c r="S136" s="20"/>
      <c r="T136" s="20">
        <f ca="1">OFFSET('Stor Factors'!$B$13,$O136-1,T$14)*$L136+OFFSET('Stor Factors'!$B$13,$K136-1,T$14)*$H136</f>
        <v>0</v>
      </c>
      <c r="U136" s="20"/>
      <c r="V136" s="20">
        <f ca="1">OFFSET('Stor Factors'!$B$13,$O136-1,V$14)*$L136+OFFSET('Stor Factors'!$B$13,$K136-1,V$14)*$H136</f>
        <v>0</v>
      </c>
      <c r="X136" s="9">
        <f t="shared" ca="1" si="46"/>
        <v>0</v>
      </c>
      <c r="Z136" s="25" t="str">
        <f t="shared" ca="1" si="44"/>
        <v/>
      </c>
      <c r="AB136" s="20"/>
      <c r="AC136" s="93">
        <f ca="1">Function!AH136</f>
        <v>0</v>
      </c>
      <c r="AD136" s="100">
        <f t="shared" ca="1" si="47"/>
        <v>0</v>
      </c>
      <c r="AF136" s="50">
        <f t="shared" ca="1" si="43"/>
        <v>0</v>
      </c>
      <c r="AH136" s="50">
        <f t="shared" ca="1" si="40"/>
        <v>0</v>
      </c>
      <c r="AJ136" s="50">
        <f t="shared" ca="1" si="40"/>
        <v>0</v>
      </c>
      <c r="AK136" s="31">
        <f t="shared" ca="1" si="40"/>
        <v>0</v>
      </c>
      <c r="AL136" s="50">
        <f t="shared" ca="1" si="40"/>
        <v>0</v>
      </c>
      <c r="AN136" s="50">
        <f t="shared" ca="1" si="42"/>
        <v>0</v>
      </c>
    </row>
    <row r="137" spans="2:40" x14ac:dyDescent="0.2">
      <c r="D137" s="1" t="s">
        <v>10</v>
      </c>
      <c r="N137" s="18"/>
      <c r="Z137" s="25" t="str">
        <f t="shared" si="44"/>
        <v/>
      </c>
      <c r="AB137" s="20"/>
      <c r="AD137" s="100"/>
      <c r="AF137" s="50">
        <f t="shared" si="43"/>
        <v>0</v>
      </c>
      <c r="AH137" s="50">
        <f t="shared" si="40"/>
        <v>0</v>
      </c>
      <c r="AJ137" s="50">
        <f t="shared" si="40"/>
        <v>0</v>
      </c>
      <c r="AK137" s="31">
        <f t="shared" si="40"/>
        <v>0</v>
      </c>
      <c r="AL137" s="50">
        <f t="shared" si="40"/>
        <v>0</v>
      </c>
      <c r="AN137" s="50">
        <f t="shared" si="42"/>
        <v>0</v>
      </c>
    </row>
    <row r="138" spans="2:40" x14ac:dyDescent="0.2">
      <c r="B138" s="18">
        <f>B136+1</f>
        <v>83</v>
      </c>
      <c r="D138" s="1" t="s">
        <v>217</v>
      </c>
      <c r="F138" s="50">
        <f ca="1">Function!R138</f>
        <v>0</v>
      </c>
      <c r="K138" s="73">
        <v>0</v>
      </c>
      <c r="L138" s="50">
        <f t="shared" ref="L138:L143" ca="1" si="49">F138-H138</f>
        <v>0</v>
      </c>
      <c r="N138" s="18"/>
      <c r="O138" s="73">
        <v>0</v>
      </c>
      <c r="P138" s="20">
        <f ca="1">OFFSET('Stor Factors'!$B$13,$O138-1,P$14)*$L138+OFFSET('Stor Factors'!$B$13,$K138-1,P$14)*$H138</f>
        <v>0</v>
      </c>
      <c r="R138" s="20">
        <f ca="1">OFFSET('Stor Factors'!$B$13,$O138-1,R$14)*$L138+OFFSET('Stor Factors'!$B$13,$K138-1,R$14)*$H138</f>
        <v>0</v>
      </c>
      <c r="S138" s="20"/>
      <c r="T138" s="20">
        <f ca="1">OFFSET('Stor Factors'!$B$13,$O138-1,T$14)*$L138+OFFSET('Stor Factors'!$B$13,$K138-1,T$14)*$H138</f>
        <v>0</v>
      </c>
      <c r="U138" s="20"/>
      <c r="V138" s="20">
        <f ca="1">OFFSET('Stor Factors'!$B$13,$O138-1,V$14)*$L138+OFFSET('Stor Factors'!$B$13,$K138-1,V$14)*$H138</f>
        <v>0</v>
      </c>
      <c r="X138" s="9">
        <f t="shared" ref="X138:X143" ca="1" si="50">P138+R138+T138+V138</f>
        <v>0</v>
      </c>
      <c r="Z138" s="25" t="str">
        <f t="shared" ca="1" si="44"/>
        <v/>
      </c>
      <c r="AB138" s="20"/>
      <c r="AC138" s="93">
        <f ca="1">Function!AH138</f>
        <v>0</v>
      </c>
      <c r="AD138" s="100">
        <f ca="1">IFERROR(AC138/F138,0)</f>
        <v>0</v>
      </c>
      <c r="AF138" s="50">
        <f t="shared" ca="1" si="43"/>
        <v>0</v>
      </c>
      <c r="AH138" s="50">
        <f t="shared" ca="1" si="40"/>
        <v>0</v>
      </c>
      <c r="AJ138" s="50">
        <f t="shared" ca="1" si="40"/>
        <v>0</v>
      </c>
      <c r="AK138" s="31">
        <f t="shared" ca="1" si="40"/>
        <v>0</v>
      </c>
      <c r="AL138" s="50">
        <f t="shared" ca="1" si="40"/>
        <v>0</v>
      </c>
      <c r="AN138" s="50">
        <f t="shared" ca="1" si="42"/>
        <v>0</v>
      </c>
    </row>
    <row r="139" spans="2:40" x14ac:dyDescent="0.2">
      <c r="B139" s="18">
        <f>B138+1</f>
        <v>84</v>
      </c>
      <c r="D139" s="36" t="s">
        <v>204</v>
      </c>
      <c r="F139" s="50">
        <f ca="1">Function!R139</f>
        <v>0</v>
      </c>
      <c r="H139" s="79"/>
      <c r="K139" s="73">
        <v>0</v>
      </c>
      <c r="L139" s="50">
        <f t="shared" ca="1" si="49"/>
        <v>0</v>
      </c>
      <c r="N139" s="18"/>
      <c r="O139" s="73">
        <v>0</v>
      </c>
      <c r="P139" s="20">
        <f ca="1">OFFSET('Stor Factors'!$B$13,$O139-1,P$14)*$L139+OFFSET('Stor Factors'!$B$13,$K139-1,P$14)*$H139</f>
        <v>0</v>
      </c>
      <c r="R139" s="20">
        <f ca="1">OFFSET('Stor Factors'!$B$13,$O139-1,R$14)*$L139+OFFSET('Stor Factors'!$B$13,$K139-1,R$14)*$H139</f>
        <v>0</v>
      </c>
      <c r="S139" s="20"/>
      <c r="T139" s="20">
        <f ca="1">OFFSET('Stor Factors'!$B$13,$O139-1,T$14)*$L139+OFFSET('Stor Factors'!$B$13,$K139-1,T$14)*$H139</f>
        <v>0</v>
      </c>
      <c r="U139" s="20"/>
      <c r="V139" s="20">
        <f ca="1">OFFSET('Stor Factors'!$B$13,$O139-1,V$14)*$L139+OFFSET('Stor Factors'!$B$13,$K139-1,V$14)*$H139</f>
        <v>0</v>
      </c>
      <c r="X139" s="9">
        <f t="shared" ca="1" si="50"/>
        <v>0</v>
      </c>
      <c r="Z139" s="25" t="str">
        <f t="shared" ca="1" si="44"/>
        <v/>
      </c>
      <c r="AB139" s="20"/>
      <c r="AC139" s="93">
        <f ca="1">Function!AH139</f>
        <v>0</v>
      </c>
      <c r="AD139" s="100">
        <f ca="1">IFERROR(AC139/F139,0)</f>
        <v>0</v>
      </c>
      <c r="AF139" s="50">
        <f t="shared" ca="1" si="43"/>
        <v>0</v>
      </c>
      <c r="AH139" s="50">
        <f t="shared" ca="1" si="40"/>
        <v>0</v>
      </c>
      <c r="AJ139" s="50">
        <f t="shared" ca="1" si="40"/>
        <v>0</v>
      </c>
      <c r="AK139" s="31">
        <f t="shared" ca="1" si="40"/>
        <v>0</v>
      </c>
      <c r="AL139" s="50">
        <f t="shared" ca="1" si="40"/>
        <v>0</v>
      </c>
      <c r="AN139" s="50">
        <f t="shared" ca="1" si="42"/>
        <v>0</v>
      </c>
    </row>
    <row r="140" spans="2:40" x14ac:dyDescent="0.2">
      <c r="B140" s="18">
        <f t="shared" ref="B140:B143" si="51">B139+1</f>
        <v>85</v>
      </c>
      <c r="D140" s="36" t="s">
        <v>178</v>
      </c>
      <c r="F140" s="50">
        <f ca="1">Function!R140</f>
        <v>0</v>
      </c>
      <c r="H140" s="79"/>
      <c r="K140" s="73">
        <v>0</v>
      </c>
      <c r="L140" s="50">
        <f t="shared" ca="1" si="49"/>
        <v>0</v>
      </c>
      <c r="N140" s="18"/>
      <c r="O140" s="73">
        <v>0</v>
      </c>
      <c r="P140" s="20">
        <f ca="1">OFFSET('Stor Factors'!$B$13,$O140-1,P$14)*$L140+OFFSET('Stor Factors'!$B$13,$K140-1,P$14)*$H140</f>
        <v>0</v>
      </c>
      <c r="R140" s="20">
        <f ca="1">OFFSET('Stor Factors'!$B$13,$O140-1,R$14)*$L140+OFFSET('Stor Factors'!$B$13,$K140-1,R$14)*$H140</f>
        <v>0</v>
      </c>
      <c r="S140" s="20"/>
      <c r="T140" s="20">
        <f ca="1">OFFSET('Stor Factors'!$B$13,$O140-1,T$14)*$L140+OFFSET('Stor Factors'!$B$13,$K140-1,T$14)*$H140</f>
        <v>0</v>
      </c>
      <c r="U140" s="20"/>
      <c r="V140" s="20">
        <f ca="1">OFFSET('Stor Factors'!$B$13,$O140-1,V$14)*$L140+OFFSET('Stor Factors'!$B$13,$K140-1,V$14)*$H140</f>
        <v>0</v>
      </c>
      <c r="X140" s="9">
        <f t="shared" ca="1" si="50"/>
        <v>0</v>
      </c>
      <c r="Z140" s="25" t="str">
        <f t="shared" ca="1" si="44"/>
        <v/>
      </c>
      <c r="AB140" s="20"/>
      <c r="AC140" s="93">
        <f ca="1">Function!AH140</f>
        <v>0</v>
      </c>
      <c r="AD140" s="100">
        <f t="shared" ref="AD140:AD143" ca="1" si="52">IFERROR(AC140/F140,0)</f>
        <v>0</v>
      </c>
      <c r="AF140" s="50">
        <f t="shared" ca="1" si="43"/>
        <v>0</v>
      </c>
      <c r="AH140" s="50">
        <f t="shared" ref="AH140:AH160" ca="1" si="53">$AD140*R140</f>
        <v>0</v>
      </c>
      <c r="AJ140" s="50">
        <f t="shared" ref="AJ140:AL160" ca="1" si="54">$AD140*T140</f>
        <v>0</v>
      </c>
      <c r="AK140" s="31">
        <f t="shared" ca="1" si="54"/>
        <v>0</v>
      </c>
      <c r="AL140" s="50">
        <f t="shared" ca="1" si="54"/>
        <v>0</v>
      </c>
      <c r="AN140" s="50">
        <f t="shared" ca="1" si="42"/>
        <v>0</v>
      </c>
    </row>
    <row r="141" spans="2:40" x14ac:dyDescent="0.2">
      <c r="B141" s="18">
        <f t="shared" si="51"/>
        <v>86</v>
      </c>
      <c r="D141" s="36" t="s">
        <v>205</v>
      </c>
      <c r="F141" s="50">
        <f ca="1">Function!R141</f>
        <v>0</v>
      </c>
      <c r="H141" s="79"/>
      <c r="K141" s="73">
        <v>0</v>
      </c>
      <c r="L141" s="50">
        <f t="shared" ca="1" si="49"/>
        <v>0</v>
      </c>
      <c r="N141" s="18"/>
      <c r="O141" s="73">
        <v>0</v>
      </c>
      <c r="P141" s="20">
        <f ca="1">OFFSET('Stor Factors'!$B$13,$O141-1,P$14)*$L141+OFFSET('Stor Factors'!$B$13,$K141-1,P$14)*$H141</f>
        <v>0</v>
      </c>
      <c r="R141" s="20">
        <f ca="1">OFFSET('Stor Factors'!$B$13,$O141-1,R$14)*$L141+OFFSET('Stor Factors'!$B$13,$K141-1,R$14)*$H141</f>
        <v>0</v>
      </c>
      <c r="S141" s="20"/>
      <c r="T141" s="20">
        <f ca="1">OFFSET('Stor Factors'!$B$13,$O141-1,T$14)*$L141+OFFSET('Stor Factors'!$B$13,$K141-1,T$14)*$H141</f>
        <v>0</v>
      </c>
      <c r="U141" s="20"/>
      <c r="V141" s="20">
        <f ca="1">OFFSET('Stor Factors'!$B$13,$O141-1,V$14)*$L141+OFFSET('Stor Factors'!$B$13,$K141-1,V$14)*$H141</f>
        <v>0</v>
      </c>
      <c r="X141" s="9">
        <f t="shared" ca="1" si="50"/>
        <v>0</v>
      </c>
      <c r="Z141" s="25" t="str">
        <f t="shared" ca="1" si="44"/>
        <v/>
      </c>
      <c r="AB141" s="20"/>
      <c r="AC141" s="93">
        <f ca="1">Function!AH141</f>
        <v>0</v>
      </c>
      <c r="AD141" s="100">
        <f t="shared" ca="1" si="52"/>
        <v>0</v>
      </c>
      <c r="AF141" s="50">
        <f t="shared" ca="1" si="43"/>
        <v>0</v>
      </c>
      <c r="AH141" s="50">
        <f t="shared" ca="1" si="53"/>
        <v>0</v>
      </c>
      <c r="AJ141" s="50">
        <f t="shared" ca="1" si="54"/>
        <v>0</v>
      </c>
      <c r="AK141" s="31">
        <f t="shared" ca="1" si="54"/>
        <v>0</v>
      </c>
      <c r="AL141" s="50">
        <f t="shared" ca="1" si="54"/>
        <v>0</v>
      </c>
      <c r="AN141" s="50">
        <f t="shared" ca="1" si="42"/>
        <v>0</v>
      </c>
    </row>
    <row r="142" spans="2:40" x14ac:dyDescent="0.2">
      <c r="B142" s="18">
        <f t="shared" si="51"/>
        <v>87</v>
      </c>
      <c r="D142" s="36" t="s">
        <v>21</v>
      </c>
      <c r="F142" s="50">
        <f ca="1">Function!R142</f>
        <v>0</v>
      </c>
      <c r="H142" s="79"/>
      <c r="K142" s="73">
        <v>0</v>
      </c>
      <c r="L142" s="50">
        <f t="shared" ca="1" si="49"/>
        <v>0</v>
      </c>
      <c r="N142" s="18"/>
      <c r="O142" s="73">
        <v>0</v>
      </c>
      <c r="P142" s="20">
        <f ca="1">OFFSET('Stor Factors'!$B$13,$O142-1,P$14)*$L142+OFFSET('Stor Factors'!$B$13,$K142-1,P$14)*$H142</f>
        <v>0</v>
      </c>
      <c r="R142" s="20">
        <f ca="1">OFFSET('Stor Factors'!$B$13,$O142-1,R$14)*$L142+OFFSET('Stor Factors'!$B$13,$K142-1,R$14)*$H142</f>
        <v>0</v>
      </c>
      <c r="S142" s="20"/>
      <c r="T142" s="20">
        <f ca="1">OFFSET('Stor Factors'!$B$13,$O142-1,T$14)*$L142+OFFSET('Stor Factors'!$B$13,$K142-1,T$14)*$H142</f>
        <v>0</v>
      </c>
      <c r="U142" s="20"/>
      <c r="V142" s="20">
        <f ca="1">OFFSET('Stor Factors'!$B$13,$O142-1,V$14)*$L142+OFFSET('Stor Factors'!$B$13,$K142-1,V$14)*$H142</f>
        <v>0</v>
      </c>
      <c r="X142" s="9">
        <f t="shared" ca="1" si="50"/>
        <v>0</v>
      </c>
      <c r="Z142" s="25" t="str">
        <f t="shared" ca="1" si="44"/>
        <v/>
      </c>
      <c r="AB142" s="20"/>
      <c r="AC142" s="93">
        <f ca="1">Function!AH142</f>
        <v>0</v>
      </c>
      <c r="AD142" s="100">
        <f t="shared" ca="1" si="52"/>
        <v>0</v>
      </c>
      <c r="AF142" s="50">
        <f t="shared" ca="1" si="43"/>
        <v>0</v>
      </c>
      <c r="AH142" s="50">
        <f t="shared" ca="1" si="53"/>
        <v>0</v>
      </c>
      <c r="AJ142" s="50">
        <f t="shared" ca="1" si="54"/>
        <v>0</v>
      </c>
      <c r="AK142" s="31">
        <f t="shared" ca="1" si="54"/>
        <v>0</v>
      </c>
      <c r="AL142" s="50">
        <f t="shared" ca="1" si="54"/>
        <v>0</v>
      </c>
      <c r="AN142" s="50">
        <f t="shared" ca="1" si="42"/>
        <v>0</v>
      </c>
    </row>
    <row r="143" spans="2:40" x14ac:dyDescent="0.2">
      <c r="B143" s="18">
        <f t="shared" si="51"/>
        <v>88</v>
      </c>
      <c r="D143" s="36" t="s">
        <v>206</v>
      </c>
      <c r="F143" s="50">
        <f ca="1">Function!R143</f>
        <v>0</v>
      </c>
      <c r="H143" s="79"/>
      <c r="K143" s="73">
        <v>0</v>
      </c>
      <c r="L143" s="50">
        <f t="shared" ca="1" si="49"/>
        <v>0</v>
      </c>
      <c r="N143" s="18"/>
      <c r="O143" s="73">
        <v>0</v>
      </c>
      <c r="P143" s="20">
        <f ca="1">OFFSET('Stor Factors'!$B$13,$O143-1,P$14)*$L143+OFFSET('Stor Factors'!$B$13,$K143-1,P$14)*$H143</f>
        <v>0</v>
      </c>
      <c r="R143" s="20">
        <f ca="1">OFFSET('Stor Factors'!$B$13,$O143-1,R$14)*$L143+OFFSET('Stor Factors'!$B$13,$K143-1,R$14)*$H143</f>
        <v>0</v>
      </c>
      <c r="S143" s="20"/>
      <c r="T143" s="20">
        <f ca="1">OFFSET('Stor Factors'!$B$13,$O143-1,T$14)*$L143+OFFSET('Stor Factors'!$B$13,$K143-1,T$14)*$H143</f>
        <v>0</v>
      </c>
      <c r="U143" s="20"/>
      <c r="V143" s="20">
        <f ca="1">OFFSET('Stor Factors'!$B$13,$O143-1,V$14)*$L143+OFFSET('Stor Factors'!$B$13,$K143-1,V$14)*$H143</f>
        <v>0</v>
      </c>
      <c r="X143" s="9">
        <f t="shared" ca="1" si="50"/>
        <v>0</v>
      </c>
      <c r="Z143" s="25" t="str">
        <f t="shared" ca="1" si="44"/>
        <v/>
      </c>
      <c r="AB143" s="20"/>
      <c r="AC143" s="93">
        <f ca="1">Function!AH143</f>
        <v>0</v>
      </c>
      <c r="AD143" s="100">
        <f t="shared" ca="1" si="52"/>
        <v>0</v>
      </c>
      <c r="AF143" s="50">
        <f t="shared" ca="1" si="43"/>
        <v>0</v>
      </c>
      <c r="AH143" s="50">
        <f t="shared" ca="1" si="53"/>
        <v>0</v>
      </c>
      <c r="AJ143" s="50">
        <f t="shared" ca="1" si="54"/>
        <v>0</v>
      </c>
      <c r="AK143" s="31">
        <f t="shared" ca="1" si="54"/>
        <v>0</v>
      </c>
      <c r="AL143" s="50">
        <f t="shared" ca="1" si="54"/>
        <v>0</v>
      </c>
      <c r="AN143" s="50">
        <f t="shared" ca="1" si="42"/>
        <v>0</v>
      </c>
    </row>
    <row r="144" spans="2:40" x14ac:dyDescent="0.2">
      <c r="D144" s="1" t="s">
        <v>207</v>
      </c>
      <c r="K144" s="73"/>
      <c r="N144" s="18"/>
      <c r="Z144" s="25" t="str">
        <f t="shared" si="44"/>
        <v/>
      </c>
      <c r="AB144" s="20"/>
      <c r="AF144" s="50">
        <f t="shared" si="43"/>
        <v>0</v>
      </c>
      <c r="AH144" s="50">
        <f t="shared" si="53"/>
        <v>0</v>
      </c>
      <c r="AJ144" s="50">
        <f t="shared" si="54"/>
        <v>0</v>
      </c>
      <c r="AK144" s="31">
        <f t="shared" si="54"/>
        <v>0</v>
      </c>
      <c r="AL144" s="50">
        <f t="shared" si="54"/>
        <v>0</v>
      </c>
      <c r="AN144" s="50">
        <f t="shared" si="42"/>
        <v>0</v>
      </c>
    </row>
    <row r="145" spans="2:40" x14ac:dyDescent="0.2">
      <c r="B145" s="18">
        <f>B143+1</f>
        <v>89</v>
      </c>
      <c r="D145" s="36" t="s">
        <v>208</v>
      </c>
      <c r="F145" s="50">
        <f ca="1">Function!R145</f>
        <v>7271.6222767735126</v>
      </c>
      <c r="H145" s="79"/>
      <c r="K145" s="73">
        <v>0</v>
      </c>
      <c r="L145" s="50">
        <f t="shared" ref="L145" ca="1" si="55">F145-H145</f>
        <v>7271.6222767735126</v>
      </c>
      <c r="N145" s="18" t="s">
        <v>231</v>
      </c>
      <c r="O145" s="73">
        <v>51</v>
      </c>
      <c r="P145" s="20">
        <f ca="1">OFFSET('Stor Factors'!$B$13,$O145-1,P$14)*$L145+OFFSET('Stor Factors'!$B$13,$K145-1,P$14)*$H145</f>
        <v>5527.431389630101</v>
      </c>
      <c r="R145" s="20">
        <f ca="1">OFFSET('Stor Factors'!$B$13,$O145-1,R$14)*$L145+OFFSET('Stor Factors'!$B$13,$K145-1,R$14)*$H145</f>
        <v>1607.711951663088</v>
      </c>
      <c r="S145" s="20"/>
      <c r="T145" s="20">
        <f ca="1">OFFSET('Stor Factors'!$B$13,$O145-1,T$14)*$L145+OFFSET('Stor Factors'!$B$13,$K145-1,T$14)*$H145</f>
        <v>136.47893548032394</v>
      </c>
      <c r="U145" s="20"/>
      <c r="V145" s="20">
        <f ca="1">OFFSET('Stor Factors'!$B$13,$O145-1,V$14)*$L145+OFFSET('Stor Factors'!$B$13,$K145-1,V$14)*$H145</f>
        <v>0</v>
      </c>
      <c r="X145" s="9">
        <f t="shared" ref="X145" ca="1" si="56">P145+R145+T145+V145</f>
        <v>7271.6222767735135</v>
      </c>
      <c r="Z145" s="25" t="str">
        <f t="shared" ca="1" si="44"/>
        <v/>
      </c>
      <c r="AB145" s="20"/>
      <c r="AC145" s="93">
        <f>Function!AH145</f>
        <v>3051.4045268930399</v>
      </c>
      <c r="AD145" s="100">
        <f t="shared" ref="AD145" ca="1" si="57">IFERROR(AC145/F145,0)</f>
        <v>0.41963188003309998</v>
      </c>
      <c r="AF145" s="50">
        <f t="shared" ca="1" si="43"/>
        <v>2319.4864257844497</v>
      </c>
      <c r="AH145" s="50">
        <f t="shared" ca="1" si="53"/>
        <v>674.64718882806596</v>
      </c>
      <c r="AJ145" s="50">
        <f t="shared" ca="1" si="54"/>
        <v>57.270912280524492</v>
      </c>
      <c r="AK145" s="31">
        <f t="shared" ca="1" si="54"/>
        <v>0</v>
      </c>
      <c r="AL145" s="50">
        <f t="shared" ca="1" si="54"/>
        <v>0</v>
      </c>
      <c r="AN145" s="50">
        <f t="shared" ca="1" si="42"/>
        <v>3051.4045268930404</v>
      </c>
    </row>
    <row r="146" spans="2:40" x14ac:dyDescent="0.2">
      <c r="D146" s="1" t="s">
        <v>209</v>
      </c>
      <c r="N146" s="18"/>
      <c r="Z146" s="25" t="str">
        <f t="shared" si="44"/>
        <v/>
      </c>
      <c r="AB146" s="20"/>
      <c r="AF146" s="50">
        <f>$AD146*P146</f>
        <v>0</v>
      </c>
      <c r="AH146" s="50">
        <f t="shared" si="53"/>
        <v>0</v>
      </c>
      <c r="AJ146" s="50">
        <f t="shared" si="54"/>
        <v>0</v>
      </c>
      <c r="AK146" s="31">
        <f t="shared" si="54"/>
        <v>0</v>
      </c>
      <c r="AL146" s="50">
        <f t="shared" si="54"/>
        <v>0</v>
      </c>
      <c r="AN146" s="50">
        <f t="shared" si="42"/>
        <v>0</v>
      </c>
    </row>
    <row r="147" spans="2:40" x14ac:dyDescent="0.2">
      <c r="B147" s="18">
        <f>B145+1</f>
        <v>90</v>
      </c>
      <c r="D147" s="36" t="s">
        <v>177</v>
      </c>
      <c r="F147" s="50">
        <f ca="1">Function!R147</f>
        <v>0</v>
      </c>
      <c r="H147" s="79"/>
      <c r="K147" s="73">
        <v>0</v>
      </c>
      <c r="L147" s="50">
        <f t="shared" ref="L147:L149" ca="1" si="58">F147-H147</f>
        <v>0</v>
      </c>
      <c r="N147" s="18"/>
      <c r="O147" s="73">
        <v>0</v>
      </c>
      <c r="P147" s="20">
        <f ca="1">OFFSET('Stor Factors'!$B$13,$O147-1,P$14)*$L147+OFFSET('Stor Factors'!$B$13,$K147-1,P$14)*$H147</f>
        <v>0</v>
      </c>
      <c r="R147" s="20">
        <f ca="1">OFFSET('Stor Factors'!$B$13,$O147-1,R$14)*$L147+OFFSET('Stor Factors'!$B$13,$K147-1,R$14)*$H147</f>
        <v>0</v>
      </c>
      <c r="S147" s="20"/>
      <c r="T147" s="20">
        <f ca="1">OFFSET('Stor Factors'!$B$13,$O147-1,T$14)*$L147+OFFSET('Stor Factors'!$B$13,$K147-1,T$14)*$H147</f>
        <v>0</v>
      </c>
      <c r="U147" s="20"/>
      <c r="V147" s="20">
        <f ca="1">OFFSET('Stor Factors'!$B$13,$O147-1,V$14)*$L147+OFFSET('Stor Factors'!$B$13,$K147-1,V$14)*$H147</f>
        <v>0</v>
      </c>
      <c r="X147" s="9">
        <f t="shared" ref="X147:X149" ca="1" si="59">P147+R147+T147+V147</f>
        <v>0</v>
      </c>
      <c r="Z147" s="25" t="str">
        <f t="shared" ca="1" si="44"/>
        <v/>
      </c>
      <c r="AB147" s="20"/>
      <c r="AC147" s="93">
        <f ca="1">Function!AH147</f>
        <v>0</v>
      </c>
      <c r="AD147" s="100">
        <f t="shared" ref="AD147:AD149" ca="1" si="60">IFERROR(AC147/F147,0)</f>
        <v>0</v>
      </c>
      <c r="AF147" s="50">
        <f t="shared" ref="AF147:AF160" ca="1" si="61">$AD147*P147</f>
        <v>0</v>
      </c>
      <c r="AH147" s="50">
        <f t="shared" ca="1" si="53"/>
        <v>0</v>
      </c>
      <c r="AJ147" s="50">
        <f t="shared" ca="1" si="54"/>
        <v>0</v>
      </c>
      <c r="AK147" s="31">
        <f t="shared" ca="1" si="54"/>
        <v>0</v>
      </c>
      <c r="AL147" s="50">
        <f t="shared" ca="1" si="54"/>
        <v>0</v>
      </c>
      <c r="AN147" s="50">
        <f t="shared" ca="1" si="42"/>
        <v>0</v>
      </c>
    </row>
    <row r="148" spans="2:40" x14ac:dyDescent="0.2">
      <c r="B148" s="18">
        <f>B147+1</f>
        <v>91</v>
      </c>
      <c r="D148" s="36" t="s">
        <v>122</v>
      </c>
      <c r="F148" s="50">
        <f ca="1">Function!R148</f>
        <v>0</v>
      </c>
      <c r="H148" s="79"/>
      <c r="K148" s="73">
        <v>0</v>
      </c>
      <c r="L148" s="50">
        <f t="shared" ca="1" si="58"/>
        <v>0</v>
      </c>
      <c r="N148" s="18"/>
      <c r="O148" s="73">
        <v>0</v>
      </c>
      <c r="P148" s="20">
        <f ca="1">OFFSET('Stor Factors'!$B$13,$O148-1,P$14)*$L148+OFFSET('Stor Factors'!$B$13,$K148-1,P$14)*$H148</f>
        <v>0</v>
      </c>
      <c r="R148" s="20">
        <f ca="1">OFFSET('Stor Factors'!$B$13,$O148-1,R$14)*$L148+OFFSET('Stor Factors'!$B$13,$K148-1,R$14)*$H148</f>
        <v>0</v>
      </c>
      <c r="S148" s="20"/>
      <c r="T148" s="20">
        <f ca="1">OFFSET('Stor Factors'!$B$13,$O148-1,T$14)*$L148+OFFSET('Stor Factors'!$B$13,$K148-1,T$14)*$H148</f>
        <v>0</v>
      </c>
      <c r="U148" s="20"/>
      <c r="V148" s="20">
        <f ca="1">OFFSET('Stor Factors'!$B$13,$O148-1,V$14)*$L148+OFFSET('Stor Factors'!$B$13,$K148-1,V$14)*$H148</f>
        <v>0</v>
      </c>
      <c r="X148" s="9">
        <f t="shared" ca="1" si="59"/>
        <v>0</v>
      </c>
      <c r="Z148" s="25" t="str">
        <f t="shared" ca="1" si="44"/>
        <v/>
      </c>
      <c r="AB148" s="20"/>
      <c r="AC148" s="93">
        <f ca="1">Function!AH148</f>
        <v>0</v>
      </c>
      <c r="AD148" s="100">
        <f t="shared" ca="1" si="60"/>
        <v>0</v>
      </c>
      <c r="AF148" s="50">
        <f t="shared" ca="1" si="61"/>
        <v>0</v>
      </c>
      <c r="AH148" s="50">
        <f t="shared" ca="1" si="53"/>
        <v>0</v>
      </c>
      <c r="AJ148" s="50">
        <f t="shared" ca="1" si="54"/>
        <v>0</v>
      </c>
      <c r="AK148" s="31">
        <f t="shared" ca="1" si="54"/>
        <v>0</v>
      </c>
      <c r="AL148" s="50">
        <f t="shared" ca="1" si="54"/>
        <v>0</v>
      </c>
      <c r="AN148" s="50">
        <f t="shared" ca="1" si="42"/>
        <v>0</v>
      </c>
    </row>
    <row r="149" spans="2:40" x14ac:dyDescent="0.2">
      <c r="B149" s="18">
        <f t="shared" ref="B149" si="62">B148+1</f>
        <v>92</v>
      </c>
      <c r="D149" s="36" t="s">
        <v>210</v>
      </c>
      <c r="F149" s="50">
        <f ca="1">Function!R149</f>
        <v>0</v>
      </c>
      <c r="H149" s="79"/>
      <c r="K149" s="73">
        <v>0</v>
      </c>
      <c r="L149" s="50">
        <f t="shared" ca="1" si="58"/>
        <v>0</v>
      </c>
      <c r="N149" s="18"/>
      <c r="O149" s="73">
        <v>0</v>
      </c>
      <c r="P149" s="20">
        <f ca="1">OFFSET('Stor Factors'!$B$13,$O149-1,P$14)*$L149+OFFSET('Stor Factors'!$B$13,$K149-1,P$14)*$H149</f>
        <v>0</v>
      </c>
      <c r="R149" s="20">
        <f ca="1">OFFSET('Stor Factors'!$B$13,$O149-1,R$14)*$L149+OFFSET('Stor Factors'!$B$13,$K149-1,R$14)*$H149</f>
        <v>0</v>
      </c>
      <c r="S149" s="20"/>
      <c r="T149" s="20">
        <f ca="1">OFFSET('Stor Factors'!$B$13,$O149-1,T$14)*$L149+OFFSET('Stor Factors'!$B$13,$K149-1,T$14)*$H149</f>
        <v>0</v>
      </c>
      <c r="U149" s="20"/>
      <c r="V149" s="20">
        <f ca="1">OFFSET('Stor Factors'!$B$13,$O149-1,V$14)*$L149+OFFSET('Stor Factors'!$B$13,$K149-1,V$14)*$H149</f>
        <v>0</v>
      </c>
      <c r="X149" s="9">
        <f t="shared" ca="1" si="59"/>
        <v>0</v>
      </c>
      <c r="Z149" s="25" t="str">
        <f t="shared" ca="1" si="44"/>
        <v/>
      </c>
      <c r="AB149" s="20"/>
      <c r="AC149" s="93">
        <f ca="1">Function!AH149</f>
        <v>0</v>
      </c>
      <c r="AD149" s="100">
        <f t="shared" ca="1" si="60"/>
        <v>0</v>
      </c>
      <c r="AF149" s="50">
        <f t="shared" ca="1" si="61"/>
        <v>0</v>
      </c>
      <c r="AH149" s="50">
        <f t="shared" ca="1" si="53"/>
        <v>0</v>
      </c>
      <c r="AJ149" s="50">
        <f t="shared" ca="1" si="54"/>
        <v>0</v>
      </c>
      <c r="AK149" s="31">
        <f t="shared" ca="1" si="54"/>
        <v>0</v>
      </c>
      <c r="AL149" s="50">
        <f t="shared" ca="1" si="54"/>
        <v>0</v>
      </c>
      <c r="AN149" s="50">
        <f t="shared" ca="1" si="42"/>
        <v>0</v>
      </c>
    </row>
    <row r="150" spans="2:40" x14ac:dyDescent="0.2">
      <c r="D150" s="1" t="s">
        <v>72</v>
      </c>
      <c r="N150" s="18"/>
      <c r="Z150" s="25" t="str">
        <f t="shared" si="44"/>
        <v/>
      </c>
      <c r="AB150" s="20"/>
      <c r="AF150" s="50">
        <f t="shared" si="61"/>
        <v>0</v>
      </c>
      <c r="AH150" s="50">
        <f t="shared" si="53"/>
        <v>0</v>
      </c>
      <c r="AJ150" s="50">
        <f t="shared" si="54"/>
        <v>0</v>
      </c>
      <c r="AK150" s="31">
        <f t="shared" si="54"/>
        <v>0</v>
      </c>
      <c r="AL150" s="50">
        <f t="shared" si="54"/>
        <v>0</v>
      </c>
      <c r="AN150" s="50">
        <f t="shared" si="42"/>
        <v>0</v>
      </c>
    </row>
    <row r="151" spans="2:40" x14ac:dyDescent="0.2">
      <c r="B151" s="18">
        <f>B149+1</f>
        <v>93</v>
      </c>
      <c r="D151" s="36" t="s">
        <v>171</v>
      </c>
      <c r="F151" s="50">
        <f ca="1">Function!R151</f>
        <v>0</v>
      </c>
      <c r="H151" s="79"/>
      <c r="K151" s="73">
        <v>0</v>
      </c>
      <c r="L151" s="50">
        <f t="shared" ref="L151:L160" ca="1" si="63">F151-H151</f>
        <v>0</v>
      </c>
      <c r="N151" s="18"/>
      <c r="O151" s="73">
        <v>0</v>
      </c>
      <c r="P151" s="20">
        <f ca="1">OFFSET('Stor Factors'!$B$13,$O151-1,P$14)*$L151+OFFSET('Stor Factors'!$B$13,$K151-1,P$14)*$H151</f>
        <v>0</v>
      </c>
      <c r="R151" s="20">
        <f ca="1">OFFSET('Stor Factors'!$B$13,$O151-1,R$14)*$L151+OFFSET('Stor Factors'!$B$13,$K151-1,R$14)*$H151</f>
        <v>0</v>
      </c>
      <c r="S151" s="20"/>
      <c r="T151" s="20">
        <f ca="1">OFFSET('Stor Factors'!$B$13,$O151-1,T$14)*$L151+OFFSET('Stor Factors'!$B$13,$K151-1,T$14)*$H151</f>
        <v>0</v>
      </c>
      <c r="U151" s="20"/>
      <c r="V151" s="20">
        <f ca="1">OFFSET('Stor Factors'!$B$13,$O151-1,V$14)*$L151+OFFSET('Stor Factors'!$B$13,$K151-1,V$14)*$H151</f>
        <v>0</v>
      </c>
      <c r="X151" s="9">
        <f t="shared" ref="X151:X157" ca="1" si="64">P151+R151+T151+V151</f>
        <v>0</v>
      </c>
      <c r="Z151" s="25" t="str">
        <f t="shared" ca="1" si="44"/>
        <v/>
      </c>
      <c r="AB151" s="20"/>
      <c r="AC151" s="93">
        <f>Function!AH151</f>
        <v>0</v>
      </c>
      <c r="AD151" s="100">
        <f t="shared" ref="AD151:AD157" ca="1" si="65">IFERROR(AC151/F151,0)</f>
        <v>0</v>
      </c>
      <c r="AF151" s="50">
        <f t="shared" ca="1" si="61"/>
        <v>0</v>
      </c>
      <c r="AH151" s="50">
        <f t="shared" ca="1" si="53"/>
        <v>0</v>
      </c>
      <c r="AJ151" s="50">
        <f t="shared" ca="1" si="54"/>
        <v>0</v>
      </c>
      <c r="AK151" s="31">
        <f t="shared" ca="1" si="54"/>
        <v>0</v>
      </c>
      <c r="AL151" s="50">
        <f t="shared" ca="1" si="54"/>
        <v>0</v>
      </c>
      <c r="AN151" s="50">
        <f t="shared" ca="1" si="42"/>
        <v>0</v>
      </c>
    </row>
    <row r="152" spans="2:40" x14ac:dyDescent="0.2">
      <c r="B152" s="18">
        <f>B151+1</f>
        <v>94</v>
      </c>
      <c r="D152" s="36" t="s">
        <v>211</v>
      </c>
      <c r="F152" s="50">
        <f ca="1">Function!R152</f>
        <v>0</v>
      </c>
      <c r="H152" s="79"/>
      <c r="K152" s="73">
        <v>0</v>
      </c>
      <c r="L152" s="50">
        <f t="shared" ca="1" si="63"/>
        <v>0</v>
      </c>
      <c r="N152" s="18"/>
      <c r="O152" s="73">
        <v>0</v>
      </c>
      <c r="P152" s="20">
        <f ca="1">OFFSET('Stor Factors'!$B$13,$O152-1,P$14)*$L152+OFFSET('Stor Factors'!$B$13,$K152-1,P$14)*$H152</f>
        <v>0</v>
      </c>
      <c r="R152" s="20">
        <f ca="1">OFFSET('Stor Factors'!$B$13,$O152-1,R$14)*$L152+OFFSET('Stor Factors'!$B$13,$K152-1,R$14)*$H152</f>
        <v>0</v>
      </c>
      <c r="S152" s="20"/>
      <c r="T152" s="20">
        <f ca="1">OFFSET('Stor Factors'!$B$13,$O152-1,T$14)*$L152+OFFSET('Stor Factors'!$B$13,$K152-1,T$14)*$H152</f>
        <v>0</v>
      </c>
      <c r="U152" s="20"/>
      <c r="V152" s="20">
        <f ca="1">OFFSET('Stor Factors'!$B$13,$O152-1,V$14)*$L152+OFFSET('Stor Factors'!$B$13,$K152-1,V$14)*$H152</f>
        <v>0</v>
      </c>
      <c r="X152" s="9">
        <f t="shared" ca="1" si="64"/>
        <v>0</v>
      </c>
      <c r="Z152" s="25" t="str">
        <f t="shared" ca="1" si="44"/>
        <v/>
      </c>
      <c r="AB152" s="20"/>
      <c r="AC152" s="93">
        <f ca="1">Function!AH152</f>
        <v>0</v>
      </c>
      <c r="AD152" s="100">
        <f t="shared" ca="1" si="65"/>
        <v>0</v>
      </c>
      <c r="AF152" s="50">
        <f t="shared" ca="1" si="61"/>
        <v>0</v>
      </c>
      <c r="AH152" s="50">
        <f t="shared" ca="1" si="53"/>
        <v>0</v>
      </c>
      <c r="AJ152" s="50">
        <f t="shared" ca="1" si="54"/>
        <v>0</v>
      </c>
      <c r="AK152" s="31">
        <f t="shared" ca="1" si="54"/>
        <v>0</v>
      </c>
      <c r="AL152" s="50">
        <f t="shared" ca="1" si="54"/>
        <v>0</v>
      </c>
      <c r="AN152" s="50">
        <f t="shared" ca="1" si="42"/>
        <v>0</v>
      </c>
    </row>
    <row r="153" spans="2:40" x14ac:dyDescent="0.2">
      <c r="B153" s="18">
        <f>B152+1</f>
        <v>95</v>
      </c>
      <c r="D153" s="36" t="s">
        <v>172</v>
      </c>
      <c r="F153" s="50">
        <f ca="1">Function!R153</f>
        <v>0</v>
      </c>
      <c r="H153" s="79"/>
      <c r="K153" s="73">
        <v>0</v>
      </c>
      <c r="L153" s="50">
        <f t="shared" ca="1" si="63"/>
        <v>0</v>
      </c>
      <c r="N153" s="18"/>
      <c r="O153" s="73">
        <v>0</v>
      </c>
      <c r="P153" s="20">
        <f ca="1">OFFSET('Stor Factors'!$B$13,$O153-1,P$14)*$L153+OFFSET('Stor Factors'!$B$13,$K153-1,P$14)*$H153</f>
        <v>0</v>
      </c>
      <c r="R153" s="20">
        <f ca="1">OFFSET('Stor Factors'!$B$13,$O153-1,R$14)*$L153+OFFSET('Stor Factors'!$B$13,$K153-1,R$14)*$H153</f>
        <v>0</v>
      </c>
      <c r="S153" s="20"/>
      <c r="T153" s="20">
        <f ca="1">OFFSET('Stor Factors'!$B$13,$O153-1,T$14)*$L153+OFFSET('Stor Factors'!$B$13,$K153-1,T$14)*$H153</f>
        <v>0</v>
      </c>
      <c r="U153" s="20"/>
      <c r="V153" s="20">
        <f ca="1">OFFSET('Stor Factors'!$B$13,$O153-1,V$14)*$L153+OFFSET('Stor Factors'!$B$13,$K153-1,V$14)*$H153</f>
        <v>0</v>
      </c>
      <c r="X153" s="9">
        <f t="shared" ca="1" si="64"/>
        <v>0</v>
      </c>
      <c r="Z153" s="25" t="str">
        <f t="shared" ca="1" si="44"/>
        <v/>
      </c>
      <c r="AB153" s="20"/>
      <c r="AC153" s="93">
        <f ca="1">Function!AH153</f>
        <v>0</v>
      </c>
      <c r="AD153" s="100">
        <f t="shared" ca="1" si="65"/>
        <v>0</v>
      </c>
      <c r="AF153" s="50">
        <f t="shared" ca="1" si="61"/>
        <v>0</v>
      </c>
      <c r="AH153" s="50">
        <f t="shared" ca="1" si="53"/>
        <v>0</v>
      </c>
      <c r="AJ153" s="50">
        <f t="shared" ca="1" si="54"/>
        <v>0</v>
      </c>
      <c r="AK153" s="31">
        <f t="shared" ca="1" si="54"/>
        <v>0</v>
      </c>
      <c r="AL153" s="50">
        <f t="shared" ca="1" si="54"/>
        <v>0</v>
      </c>
      <c r="AN153" s="50">
        <f t="shared" ca="1" si="42"/>
        <v>0</v>
      </c>
    </row>
    <row r="154" spans="2:40" x14ac:dyDescent="0.2">
      <c r="B154" s="18">
        <f t="shared" ref="B154:B157" si="66">B153+1</f>
        <v>96</v>
      </c>
      <c r="D154" s="36" t="s">
        <v>173</v>
      </c>
      <c r="F154" s="50">
        <f ca="1">Function!R154</f>
        <v>0</v>
      </c>
      <c r="H154" s="79"/>
      <c r="K154" s="73">
        <v>0</v>
      </c>
      <c r="L154" s="50">
        <f t="shared" ca="1" si="63"/>
        <v>0</v>
      </c>
      <c r="N154" s="18"/>
      <c r="O154" s="73">
        <v>0</v>
      </c>
      <c r="P154" s="20">
        <f ca="1">OFFSET('Stor Factors'!$B$13,$O154-1,P$14)*$L154+OFFSET('Stor Factors'!$B$13,$K154-1,P$14)*$H154</f>
        <v>0</v>
      </c>
      <c r="R154" s="20">
        <f ca="1">OFFSET('Stor Factors'!$B$13,$O154-1,R$14)*$L154+OFFSET('Stor Factors'!$B$13,$K154-1,R$14)*$H154</f>
        <v>0</v>
      </c>
      <c r="S154" s="20"/>
      <c r="T154" s="20">
        <f ca="1">OFFSET('Stor Factors'!$B$13,$O154-1,T$14)*$L154+OFFSET('Stor Factors'!$B$13,$K154-1,T$14)*$H154</f>
        <v>0</v>
      </c>
      <c r="U154" s="20"/>
      <c r="V154" s="20">
        <f ca="1">OFFSET('Stor Factors'!$B$13,$O154-1,V$14)*$L154+OFFSET('Stor Factors'!$B$13,$K154-1,V$14)*$H154</f>
        <v>0</v>
      </c>
      <c r="X154" s="9">
        <f t="shared" ca="1" si="64"/>
        <v>0</v>
      </c>
      <c r="Z154" s="25" t="str">
        <f t="shared" ca="1" si="44"/>
        <v/>
      </c>
      <c r="AB154" s="20"/>
      <c r="AC154" s="93">
        <f ca="1">Function!AH154</f>
        <v>0</v>
      </c>
      <c r="AD154" s="100">
        <f t="shared" ca="1" si="65"/>
        <v>0</v>
      </c>
      <c r="AF154" s="50">
        <f t="shared" ca="1" si="61"/>
        <v>0</v>
      </c>
      <c r="AH154" s="50">
        <f t="shared" ca="1" si="53"/>
        <v>0</v>
      </c>
      <c r="AJ154" s="50">
        <f t="shared" ca="1" si="54"/>
        <v>0</v>
      </c>
      <c r="AK154" s="31">
        <f t="shared" ca="1" si="54"/>
        <v>0</v>
      </c>
      <c r="AL154" s="50">
        <f t="shared" ca="1" si="54"/>
        <v>0</v>
      </c>
      <c r="AN154" s="50">
        <f t="shared" ca="1" si="42"/>
        <v>0</v>
      </c>
    </row>
    <row r="155" spans="2:40" x14ac:dyDescent="0.2">
      <c r="B155" s="18">
        <f t="shared" si="66"/>
        <v>97</v>
      </c>
      <c r="D155" s="36" t="s">
        <v>174</v>
      </c>
      <c r="F155" s="50">
        <f ca="1">Function!R155</f>
        <v>0</v>
      </c>
      <c r="H155" s="79"/>
      <c r="K155" s="73">
        <v>0</v>
      </c>
      <c r="L155" s="50">
        <f t="shared" ca="1" si="63"/>
        <v>0</v>
      </c>
      <c r="N155" s="18"/>
      <c r="O155" s="73">
        <v>0</v>
      </c>
      <c r="P155" s="20">
        <f ca="1">OFFSET('Stor Factors'!$B$13,$O155-1,P$14)*$L155+OFFSET('Stor Factors'!$B$13,$K155-1,P$14)*$H155</f>
        <v>0</v>
      </c>
      <c r="R155" s="20">
        <f ca="1">OFFSET('Stor Factors'!$B$13,$O155-1,R$14)*$L155+OFFSET('Stor Factors'!$B$13,$K155-1,R$14)*$H155</f>
        <v>0</v>
      </c>
      <c r="S155" s="20"/>
      <c r="T155" s="20">
        <f ca="1">OFFSET('Stor Factors'!$B$13,$O155-1,T$14)*$L155+OFFSET('Stor Factors'!$B$13,$K155-1,T$14)*$H155</f>
        <v>0</v>
      </c>
      <c r="U155" s="20"/>
      <c r="V155" s="20">
        <f ca="1">OFFSET('Stor Factors'!$B$13,$O155-1,V$14)*$L155+OFFSET('Stor Factors'!$B$13,$K155-1,V$14)*$H155</f>
        <v>0</v>
      </c>
      <c r="X155" s="9">
        <f t="shared" ca="1" si="64"/>
        <v>0</v>
      </c>
      <c r="Z155" s="25" t="str">
        <f t="shared" ca="1" si="44"/>
        <v/>
      </c>
      <c r="AB155" s="20"/>
      <c r="AC155" s="93">
        <f ca="1">Function!AH155</f>
        <v>0</v>
      </c>
      <c r="AD155" s="100">
        <f t="shared" ca="1" si="65"/>
        <v>0</v>
      </c>
      <c r="AF155" s="50">
        <f t="shared" ca="1" si="61"/>
        <v>0</v>
      </c>
      <c r="AH155" s="50">
        <f t="shared" ca="1" si="53"/>
        <v>0</v>
      </c>
      <c r="AJ155" s="50">
        <f t="shared" ca="1" si="54"/>
        <v>0</v>
      </c>
      <c r="AK155" s="31">
        <f t="shared" ca="1" si="54"/>
        <v>0</v>
      </c>
      <c r="AL155" s="50">
        <f t="shared" ca="1" si="54"/>
        <v>0</v>
      </c>
      <c r="AN155" s="50">
        <f t="shared" ca="1" si="42"/>
        <v>0</v>
      </c>
    </row>
    <row r="156" spans="2:40" x14ac:dyDescent="0.2">
      <c r="B156" s="18">
        <f t="shared" si="66"/>
        <v>98</v>
      </c>
      <c r="D156" s="36" t="s">
        <v>175</v>
      </c>
      <c r="F156" s="50">
        <f ca="1">Function!R156</f>
        <v>0</v>
      </c>
      <c r="H156" s="79"/>
      <c r="K156" s="73">
        <v>0</v>
      </c>
      <c r="L156" s="50">
        <f t="shared" ca="1" si="63"/>
        <v>0</v>
      </c>
      <c r="N156" s="18"/>
      <c r="O156" s="73">
        <v>0</v>
      </c>
      <c r="P156" s="20">
        <f ca="1">OFFSET('Stor Factors'!$B$13,$O156-1,P$14)*$L156+OFFSET('Stor Factors'!$B$13,$K156-1,P$14)*$H156</f>
        <v>0</v>
      </c>
      <c r="R156" s="20">
        <f ca="1">OFFSET('Stor Factors'!$B$13,$O156-1,R$14)*$L156+OFFSET('Stor Factors'!$B$13,$K156-1,R$14)*$H156</f>
        <v>0</v>
      </c>
      <c r="S156" s="20"/>
      <c r="T156" s="20">
        <f ca="1">OFFSET('Stor Factors'!$B$13,$O156-1,T$14)*$L156+OFFSET('Stor Factors'!$B$13,$K156-1,T$14)*$H156</f>
        <v>0</v>
      </c>
      <c r="U156" s="20"/>
      <c r="V156" s="20">
        <f ca="1">OFFSET('Stor Factors'!$B$13,$O156-1,V$14)*$L156+OFFSET('Stor Factors'!$B$13,$K156-1,V$14)*$H156</f>
        <v>0</v>
      </c>
      <c r="X156" s="9">
        <f t="shared" ca="1" si="64"/>
        <v>0</v>
      </c>
      <c r="Z156" s="25" t="str">
        <f t="shared" ca="1" si="44"/>
        <v/>
      </c>
      <c r="AB156" s="20"/>
      <c r="AC156" s="93">
        <f ca="1">Function!AH156</f>
        <v>0</v>
      </c>
      <c r="AD156" s="100">
        <f t="shared" ca="1" si="65"/>
        <v>0</v>
      </c>
      <c r="AF156" s="50">
        <f t="shared" ca="1" si="61"/>
        <v>0</v>
      </c>
      <c r="AH156" s="50">
        <f t="shared" ca="1" si="53"/>
        <v>0</v>
      </c>
      <c r="AJ156" s="50">
        <f t="shared" ca="1" si="54"/>
        <v>0</v>
      </c>
      <c r="AK156" s="31">
        <f t="shared" ca="1" si="54"/>
        <v>0</v>
      </c>
      <c r="AL156" s="50">
        <f t="shared" ca="1" si="54"/>
        <v>0</v>
      </c>
      <c r="AN156" s="50">
        <f t="shared" ca="1" si="42"/>
        <v>0</v>
      </c>
    </row>
    <row r="157" spans="2:40" x14ac:dyDescent="0.2">
      <c r="B157" s="18">
        <f t="shared" si="66"/>
        <v>99</v>
      </c>
      <c r="D157" s="36" t="s">
        <v>176</v>
      </c>
      <c r="F157" s="50">
        <f ca="1">Function!R157</f>
        <v>0</v>
      </c>
      <c r="H157" s="79"/>
      <c r="K157" s="73">
        <v>0</v>
      </c>
      <c r="L157" s="50">
        <f t="shared" ca="1" si="63"/>
        <v>0</v>
      </c>
      <c r="N157" s="18"/>
      <c r="O157" s="73">
        <v>0</v>
      </c>
      <c r="P157" s="20">
        <f ca="1">OFFSET('Stor Factors'!$B$13,$O157-1,P$14)*$L157+OFFSET('Stor Factors'!$B$13,$K157-1,P$14)*$H157</f>
        <v>0</v>
      </c>
      <c r="R157" s="20">
        <f ca="1">OFFSET('Stor Factors'!$B$13,$O157-1,R$14)*$L157+OFFSET('Stor Factors'!$B$13,$K157-1,R$14)*$H157</f>
        <v>0</v>
      </c>
      <c r="S157" s="20"/>
      <c r="T157" s="20">
        <f ca="1">OFFSET('Stor Factors'!$B$13,$O157-1,T$14)*$L157+OFFSET('Stor Factors'!$B$13,$K157-1,T$14)*$H157</f>
        <v>0</v>
      </c>
      <c r="U157" s="20"/>
      <c r="V157" s="20">
        <f ca="1">OFFSET('Stor Factors'!$B$13,$O157-1,V$14)*$L157+OFFSET('Stor Factors'!$B$13,$K157-1,V$14)*$H157</f>
        <v>0</v>
      </c>
      <c r="X157" s="9">
        <f t="shared" ca="1" si="64"/>
        <v>0</v>
      </c>
      <c r="Z157" s="25" t="str">
        <f t="shared" ca="1" si="44"/>
        <v/>
      </c>
      <c r="AB157" s="20"/>
      <c r="AC157" s="93">
        <f ca="1">Function!AH157</f>
        <v>0</v>
      </c>
      <c r="AD157" s="100">
        <f t="shared" ca="1" si="65"/>
        <v>0</v>
      </c>
      <c r="AF157" s="50">
        <f t="shared" ca="1" si="61"/>
        <v>0</v>
      </c>
      <c r="AH157" s="50">
        <f t="shared" ca="1" si="53"/>
        <v>0</v>
      </c>
      <c r="AJ157" s="50">
        <f t="shared" ca="1" si="54"/>
        <v>0</v>
      </c>
      <c r="AK157" s="31">
        <f t="shared" ca="1" si="54"/>
        <v>0</v>
      </c>
      <c r="AL157" s="50">
        <f t="shared" ca="1" si="54"/>
        <v>0</v>
      </c>
      <c r="AN157" s="50">
        <f t="shared" ca="1" si="42"/>
        <v>0</v>
      </c>
    </row>
    <row r="158" spans="2:40" x14ac:dyDescent="0.2">
      <c r="D158" s="1" t="s">
        <v>212</v>
      </c>
      <c r="N158" s="18"/>
      <c r="P158" s="20"/>
      <c r="R158" s="20"/>
      <c r="S158" s="20"/>
      <c r="T158" s="20"/>
      <c r="U158" s="20"/>
      <c r="V158" s="20"/>
      <c r="X158" s="9"/>
      <c r="Z158" s="25" t="str">
        <f t="shared" si="44"/>
        <v/>
      </c>
      <c r="AB158" s="20"/>
      <c r="AF158" s="50">
        <f t="shared" si="61"/>
        <v>0</v>
      </c>
      <c r="AH158" s="50">
        <f t="shared" si="53"/>
        <v>0</v>
      </c>
      <c r="AJ158" s="50">
        <f t="shared" si="54"/>
        <v>0</v>
      </c>
      <c r="AK158" s="31">
        <f t="shared" si="54"/>
        <v>0</v>
      </c>
      <c r="AL158" s="50">
        <f t="shared" si="54"/>
        <v>0</v>
      </c>
      <c r="AN158" s="50">
        <f t="shared" si="42"/>
        <v>0</v>
      </c>
    </row>
    <row r="159" spans="2:40" x14ac:dyDescent="0.2">
      <c r="B159" s="18">
        <f>B157+1</f>
        <v>100</v>
      </c>
      <c r="D159" s="36" t="s">
        <v>87</v>
      </c>
      <c r="F159" s="50">
        <f ca="1">Function!R159</f>
        <v>10406.168494020048</v>
      </c>
      <c r="H159" s="79"/>
      <c r="K159" s="73">
        <v>0</v>
      </c>
      <c r="L159" s="50">
        <f t="shared" ca="1" si="63"/>
        <v>10406.168494020048</v>
      </c>
      <c r="N159" s="18" t="s">
        <v>226</v>
      </c>
      <c r="O159" s="73">
        <v>48</v>
      </c>
      <c r="P159" s="20">
        <f ca="1">OFFSET('Stor Factors'!$B$13,$O159-1,P$14)*$L159+OFFSET('Stor Factors'!$B$13,$K159-1,P$14)*$H159</f>
        <v>7367.8795497630026</v>
      </c>
      <c r="R159" s="20">
        <f ca="1">OFFSET('Stor Factors'!$B$13,$O159-1,R$14)*$L159+OFFSET('Stor Factors'!$B$13,$K159-1,R$14)*$H159</f>
        <v>2800.5498046649577</v>
      </c>
      <c r="S159" s="20"/>
      <c r="T159" s="20">
        <f ca="1">OFFSET('Stor Factors'!$B$13,$O159-1,T$14)*$L159+OFFSET('Stor Factors'!$B$13,$K159-1,T$14)*$H159</f>
        <v>237.73913959209014</v>
      </c>
      <c r="U159" s="20"/>
      <c r="V159" s="20">
        <f ca="1">OFFSET('Stor Factors'!$B$13,$O159-1,V$14)*$L159+OFFSET('Stor Factors'!$B$13,$K159-1,V$14)*$H159</f>
        <v>0</v>
      </c>
      <c r="X159" s="9">
        <f t="shared" ref="X159:X160" ca="1" si="67">P159+R159+T159+V159</f>
        <v>10406.16849402005</v>
      </c>
      <c r="Z159" s="25" t="str">
        <f t="shared" ca="1" si="44"/>
        <v/>
      </c>
      <c r="AB159" s="20"/>
      <c r="AC159" s="93">
        <f>Function!AH159</f>
        <v>0</v>
      </c>
      <c r="AD159" s="100"/>
      <c r="AF159" s="50"/>
      <c r="AH159" s="50"/>
      <c r="AJ159" s="50"/>
      <c r="AL159" s="50"/>
      <c r="AN159" s="50"/>
    </row>
    <row r="160" spans="2:40" x14ac:dyDescent="0.2">
      <c r="B160" s="18">
        <f>B159+1</f>
        <v>101</v>
      </c>
      <c r="D160" s="36" t="s">
        <v>213</v>
      </c>
      <c r="F160" s="50">
        <f ca="1">Function!R160</f>
        <v>13722.89977979701</v>
      </c>
      <c r="H160" s="38"/>
      <c r="K160" s="73">
        <v>0</v>
      </c>
      <c r="L160" s="50">
        <f t="shared" ca="1" si="63"/>
        <v>13722.89977979701</v>
      </c>
      <c r="N160" s="18" t="s">
        <v>158</v>
      </c>
      <c r="O160" s="73">
        <v>54</v>
      </c>
      <c r="P160" s="20">
        <f ca="1">OFFSET('Stor Factors'!$B$13,$O160-1,P$14)*$L160+OFFSET('Stor Factors'!$B$13,$K160-1,P$14)*$H160</f>
        <v>9545.8875453148667</v>
      </c>
      <c r="R160" s="20">
        <f ca="1">OFFSET('Stor Factors'!$B$13,$O160-1,R$14)*$L160+OFFSET('Stor Factors'!$B$13,$K160-1,R$14)*$H160</f>
        <v>3850.1706098340146</v>
      </c>
      <c r="S160" s="22"/>
      <c r="T160" s="20">
        <f ca="1">OFFSET('Stor Factors'!$B$13,$O160-1,T$14)*$L160+OFFSET('Stor Factors'!$B$13,$K160-1,T$14)*$H160</f>
        <v>326.84162464812772</v>
      </c>
      <c r="U160" s="22"/>
      <c r="V160" s="20">
        <f ca="1">OFFSET('Stor Factors'!$B$13,$O160-1,V$14)*$L160+OFFSET('Stor Factors'!$B$13,$K160-1,V$14)*$H160</f>
        <v>0</v>
      </c>
      <c r="X160" s="13">
        <f t="shared" ca="1" si="67"/>
        <v>13722.89977979701</v>
      </c>
      <c r="Z160" s="25" t="str">
        <f t="shared" ca="1" si="44"/>
        <v/>
      </c>
      <c r="AB160" s="20"/>
      <c r="AC160" s="93">
        <f>Function!AH160</f>
        <v>7866.4838935195839</v>
      </c>
      <c r="AD160" s="100">
        <f t="shared" ref="AD160" ca="1" si="68">IFERROR(AC160/F160,0)</f>
        <v>0.57323772815864327</v>
      </c>
      <c r="AF160" s="50">
        <f t="shared" ca="1" si="61"/>
        <v>5472.0628897341821</v>
      </c>
      <c r="AH160" s="50">
        <f t="shared" ca="1" si="53"/>
        <v>2207.0630534044285</v>
      </c>
      <c r="AJ160" s="50">
        <f t="shared" ca="1" si="54"/>
        <v>187.35795038097277</v>
      </c>
      <c r="AK160" s="31">
        <f t="shared" ca="1" si="54"/>
        <v>0</v>
      </c>
      <c r="AL160" s="50">
        <f t="shared" ca="1" si="54"/>
        <v>0</v>
      </c>
      <c r="AN160" s="50">
        <f t="shared" ca="1" si="42"/>
        <v>7866.483893519583</v>
      </c>
    </row>
    <row r="161" spans="2:40" x14ac:dyDescent="0.2">
      <c r="N161" s="18"/>
      <c r="S161" s="20"/>
      <c r="U161" s="20"/>
      <c r="Z161" s="25" t="str">
        <f t="shared" si="44"/>
        <v/>
      </c>
      <c r="AB161" s="20"/>
    </row>
    <row r="162" spans="2:40" x14ac:dyDescent="0.2">
      <c r="B162" s="18">
        <f>B160+1</f>
        <v>102</v>
      </c>
      <c r="D162" s="1" t="s">
        <v>399</v>
      </c>
      <c r="F162" s="81">
        <f ca="1">SUM(F116:F160)</f>
        <v>83789.27223971051</v>
      </c>
      <c r="H162" s="81">
        <f ca="1">SUM(H115:H160)</f>
        <v>2341.028111287892</v>
      </c>
      <c r="L162" s="81">
        <f ca="1">SUM(L116:L160)</f>
        <v>81448.244128422622</v>
      </c>
      <c r="P162" s="11">
        <f ca="1">SUM(P115:P160)</f>
        <v>49499.528677272407</v>
      </c>
      <c r="R162" s="11">
        <f ca="1">SUM(R115:R160)</f>
        <v>18810.678058975769</v>
      </c>
      <c r="S162" s="20"/>
      <c r="T162" s="11">
        <f ca="1">SUM(T115:T160)</f>
        <v>1343.4780311613579</v>
      </c>
      <c r="U162" s="20"/>
      <c r="V162" s="11">
        <f ca="1">SUM(V115:V160)</f>
        <v>14135.587472300971</v>
      </c>
      <c r="X162" s="11">
        <f ca="1">SUM(X115:X160)</f>
        <v>83789.272239710524</v>
      </c>
      <c r="Z162" s="25" t="str">
        <f ca="1">IF(ROUND(F162,4)=ROUND(X162,4), "", "check")</f>
        <v/>
      </c>
      <c r="AB162" s="20"/>
      <c r="AC162" s="94">
        <f ca="1">SUM(AC116:AC161)</f>
        <v>18114.010056501611</v>
      </c>
      <c r="AF162" s="94">
        <f ca="1">SUM(AF116:AF161)</f>
        <v>12825.262663793503</v>
      </c>
      <c r="AH162" s="94">
        <f ca="1">SUM(AH116:AH161)</f>
        <v>4874.9150424180061</v>
      </c>
      <c r="AJ162" s="94">
        <f ca="1">SUM(AJ116:AJ161)</f>
        <v>413.83235029010518</v>
      </c>
      <c r="AL162" s="94">
        <f ca="1">SUM(AL116:AL161)</f>
        <v>0</v>
      </c>
      <c r="AN162" s="94">
        <f ca="1">SUM(AN116:AN161)</f>
        <v>18114.010056501615</v>
      </c>
    </row>
    <row r="163" spans="2:40" x14ac:dyDescent="0.2">
      <c r="S163" s="20"/>
      <c r="U163" s="20"/>
      <c r="Z163" s="25" t="str">
        <f t="shared" si="44"/>
        <v/>
      </c>
      <c r="AB163" s="20"/>
    </row>
    <row r="164" spans="2:40" ht="13.5" thickBot="1" x14ac:dyDescent="0.25">
      <c r="B164" s="18">
        <f>B162+1</f>
        <v>103</v>
      </c>
      <c r="D164" s="1" t="s">
        <v>400</v>
      </c>
      <c r="F164" s="83">
        <f ca="1">F162+F104+F109+F108+F97</f>
        <v>193487.49708184868</v>
      </c>
      <c r="H164" s="83">
        <f ca="1">H162+H102+H109+H108+H97</f>
        <v>3486.8164338721635</v>
      </c>
      <c r="L164" s="83">
        <f ca="1">L162+L104+L109+L108+L97</f>
        <v>190000.68064797649</v>
      </c>
      <c r="P164" s="34">
        <f ca="1">P162+P104+P109+P108+P97</f>
        <v>106265.51371986591</v>
      </c>
      <c r="R164" s="34">
        <f ca="1">R162+R104+R109+R108+R97</f>
        <v>67317.433307812898</v>
      </c>
      <c r="S164" s="20"/>
      <c r="T164" s="34">
        <f ca="1">T162+T104+T109+T108+T97</f>
        <v>5768.9625818688937</v>
      </c>
      <c r="U164" s="20"/>
      <c r="V164" s="34">
        <f ca="1">V162+V104+V109+V108+V97</f>
        <v>14135.587472300971</v>
      </c>
      <c r="X164" s="34">
        <f ca="1">X162+X104+X109+X108+X97</f>
        <v>193487.49708184868</v>
      </c>
      <c r="Z164" s="25" t="str">
        <f t="shared" ca="1" si="44"/>
        <v/>
      </c>
      <c r="AB164" s="20"/>
      <c r="AF164" s="103"/>
      <c r="AH164" s="103"/>
      <c r="AJ164" s="103"/>
      <c r="AL164" s="103"/>
      <c r="AN164" s="103"/>
    </row>
    <row r="165" spans="2:40" ht="13.5" thickTop="1" x14ac:dyDescent="0.2">
      <c r="F165" s="50"/>
      <c r="H165" s="50"/>
      <c r="L165" s="50"/>
      <c r="P165" s="21"/>
      <c r="R165" s="21"/>
      <c r="S165" s="20"/>
      <c r="T165" s="21"/>
      <c r="U165" s="20"/>
      <c r="V165" s="21"/>
      <c r="X165" s="21"/>
      <c r="Z165" s="25" t="str">
        <f t="shared" si="44"/>
        <v/>
      </c>
      <c r="AB165" s="20"/>
    </row>
    <row r="166" spans="2:40" x14ac:dyDescent="0.2">
      <c r="F166" s="50"/>
      <c r="H166" s="50"/>
      <c r="L166" s="50"/>
      <c r="P166" s="8"/>
      <c r="S166" s="20"/>
      <c r="U166" s="20"/>
      <c r="Z166" s="25" t="str">
        <f t="shared" si="44"/>
        <v/>
      </c>
      <c r="AB166" s="20"/>
      <c r="AH166" s="103"/>
      <c r="AJ166" s="103"/>
      <c r="AL166" s="103"/>
      <c r="AN166" s="103"/>
    </row>
    <row r="167" spans="2:40" x14ac:dyDescent="0.2">
      <c r="F167" s="50"/>
      <c r="H167" s="50"/>
      <c r="L167" s="50"/>
      <c r="S167" s="20"/>
      <c r="U167" s="20"/>
      <c r="Z167" s="25" t="str">
        <f t="shared" si="44"/>
        <v/>
      </c>
    </row>
    <row r="168" spans="2:40" x14ac:dyDescent="0.2">
      <c r="D168" s="6" t="s">
        <v>109</v>
      </c>
      <c r="S168" s="20"/>
      <c r="U168" s="20"/>
      <c r="Z168" s="25" t="str">
        <f t="shared" si="44"/>
        <v/>
      </c>
    </row>
    <row r="169" spans="2:40" x14ac:dyDescent="0.2">
      <c r="D169" s="6"/>
      <c r="F169" s="50"/>
      <c r="H169" s="79"/>
      <c r="K169" s="73"/>
      <c r="L169" s="50"/>
      <c r="O169" s="73"/>
      <c r="P169" s="20"/>
      <c r="R169" s="20"/>
      <c r="S169" s="20"/>
      <c r="T169" s="20"/>
      <c r="U169" s="20"/>
      <c r="V169" s="20"/>
      <c r="X169" s="9"/>
      <c r="Z169" s="25" t="str">
        <f t="shared" si="44"/>
        <v/>
      </c>
      <c r="AB169" s="20"/>
    </row>
    <row r="170" spans="2:40" x14ac:dyDescent="0.2">
      <c r="B170" s="18">
        <f>B164+1</f>
        <v>104</v>
      </c>
      <c r="D170" s="1" t="s">
        <v>123</v>
      </c>
      <c r="F170" s="50">
        <f ca="1">Function!R170</f>
        <v>0</v>
      </c>
      <c r="H170" s="79"/>
      <c r="K170" s="73">
        <v>0</v>
      </c>
      <c r="L170" s="50">
        <f t="shared" ref="L170:L176" ca="1" si="69">F170-H170</f>
        <v>0</v>
      </c>
      <c r="O170" s="73">
        <v>0</v>
      </c>
      <c r="P170" s="20">
        <f ca="1">OFFSET('Stor Factors'!$B$13,$O170-1,P$14)*$L170+OFFSET('Stor Factors'!$B$13,$K170-1,P$14)*$H170</f>
        <v>0</v>
      </c>
      <c r="R170" s="20">
        <f ca="1">OFFSET('Stor Factors'!$B$13,$O170-1,R$14)*$L170+OFFSET('Stor Factors'!$B$13,$K170-1,R$14)*$H170</f>
        <v>0</v>
      </c>
      <c r="S170" s="20"/>
      <c r="T170" s="20">
        <f ca="1">OFFSET('Stor Factors'!$B$13,$O170-1,T$14)*$L170+OFFSET('Stor Factors'!$B$13,$K170-1,T$14)*$H170</f>
        <v>0</v>
      </c>
      <c r="U170" s="20"/>
      <c r="V170" s="20">
        <f ca="1">OFFSET('Stor Factors'!$B$13,$O170-1,V$14)*$L170+OFFSET('Stor Factors'!$B$13,$K170-1,V$14)*$H170</f>
        <v>0</v>
      </c>
      <c r="X170" s="9">
        <f t="shared" ref="X170:X176" ca="1" si="70">P170+R170+T170+V170</f>
        <v>0</v>
      </c>
      <c r="Z170" s="25" t="str">
        <f t="shared" ca="1" si="44"/>
        <v/>
      </c>
      <c r="AB170" s="20"/>
    </row>
    <row r="171" spans="2:40" x14ac:dyDescent="0.2">
      <c r="B171" s="18">
        <f t="shared" ref="B171:B176" si="71">B170+1</f>
        <v>105</v>
      </c>
      <c r="D171" s="1" t="s">
        <v>134</v>
      </c>
      <c r="F171" s="50">
        <f ca="1">Function!R171</f>
        <v>0</v>
      </c>
      <c r="H171" s="79"/>
      <c r="J171" s="2"/>
      <c r="K171" s="73">
        <v>0</v>
      </c>
      <c r="L171" s="50">
        <f t="shared" ca="1" si="69"/>
        <v>0</v>
      </c>
      <c r="O171" s="73">
        <v>0</v>
      </c>
      <c r="P171" s="20">
        <f ca="1">OFFSET('Stor Factors'!$B$13,$O171-1,P$14)*$L171+OFFSET('Stor Factors'!$B$13,$K171-1,P$14)*$H171</f>
        <v>0</v>
      </c>
      <c r="R171" s="20">
        <f ca="1">OFFSET('Stor Factors'!$B$13,$O171-1,R$14)*$L171+OFFSET('Stor Factors'!$B$13,$K171-1,R$14)*$H171</f>
        <v>0</v>
      </c>
      <c r="S171" s="20"/>
      <c r="T171" s="20">
        <f ca="1">OFFSET('Stor Factors'!$B$13,$O171-1,T$14)*$L171+OFFSET('Stor Factors'!$B$13,$K171-1,T$14)*$H171</f>
        <v>0</v>
      </c>
      <c r="U171" s="20"/>
      <c r="V171" s="20">
        <f ca="1">OFFSET('Stor Factors'!$B$13,$O171-1,V$14)*$L171+OFFSET('Stor Factors'!$B$13,$K171-1,V$14)*$H171</f>
        <v>0</v>
      </c>
      <c r="X171" s="9">
        <f t="shared" ca="1" si="70"/>
        <v>0</v>
      </c>
      <c r="Z171" s="25" t="str">
        <f t="shared" ca="1" si="44"/>
        <v/>
      </c>
      <c r="AB171" s="20"/>
    </row>
    <row r="172" spans="2:40" x14ac:dyDescent="0.2">
      <c r="B172" s="18">
        <f t="shared" si="71"/>
        <v>106</v>
      </c>
      <c r="D172" s="1" t="s">
        <v>110</v>
      </c>
      <c r="F172" s="50">
        <f ca="1">Function!R172</f>
        <v>0</v>
      </c>
      <c r="H172" s="79"/>
      <c r="J172" s="2"/>
      <c r="K172" s="73">
        <v>0</v>
      </c>
      <c r="L172" s="50">
        <f t="shared" ca="1" si="69"/>
        <v>0</v>
      </c>
      <c r="O172" s="73">
        <v>0</v>
      </c>
      <c r="P172" s="20">
        <f ca="1">OFFSET('Stor Factors'!$B$13,$O172-1,P$14)*$L172+OFFSET('Stor Factors'!$B$13,$K172-1,P$14)*$H172</f>
        <v>0</v>
      </c>
      <c r="R172" s="20">
        <f ca="1">OFFSET('Stor Factors'!$B$13,$O172-1,R$14)*$L172+OFFSET('Stor Factors'!$B$13,$K172-1,R$14)*$H172</f>
        <v>0</v>
      </c>
      <c r="S172" s="20"/>
      <c r="T172" s="20">
        <f ca="1">OFFSET('Stor Factors'!$B$13,$O172-1,T$14)*$L172+OFFSET('Stor Factors'!$B$13,$K172-1,T$14)*$H172</f>
        <v>0</v>
      </c>
      <c r="U172" s="20"/>
      <c r="V172" s="20">
        <f ca="1">OFFSET('Stor Factors'!$B$13,$O172-1,V$14)*$L172+OFFSET('Stor Factors'!$B$13,$K172-1,V$14)*$H172</f>
        <v>0</v>
      </c>
      <c r="X172" s="9">
        <f t="shared" ca="1" si="70"/>
        <v>0</v>
      </c>
      <c r="Z172" s="25" t="str">
        <f t="shared" ca="1" si="44"/>
        <v/>
      </c>
      <c r="AB172" s="20"/>
    </row>
    <row r="173" spans="2:40" x14ac:dyDescent="0.2">
      <c r="B173" s="18">
        <f t="shared" si="71"/>
        <v>107</v>
      </c>
      <c r="D173" s="1" t="s">
        <v>125</v>
      </c>
      <c r="F173" s="50">
        <f ca="1">Function!R173</f>
        <v>0</v>
      </c>
      <c r="H173" s="79"/>
      <c r="J173" s="2"/>
      <c r="K173" s="73">
        <v>0</v>
      </c>
      <c r="L173" s="50">
        <f t="shared" ca="1" si="69"/>
        <v>0</v>
      </c>
      <c r="O173" s="73">
        <v>0</v>
      </c>
      <c r="P173" s="20">
        <f ca="1">OFFSET('Stor Factors'!$B$13,$O173-1,P$14)*$L173+OFFSET('Stor Factors'!$B$13,$K173-1,P$14)*$H173</f>
        <v>0</v>
      </c>
      <c r="R173" s="20">
        <f ca="1">OFFSET('Stor Factors'!$B$13,$O173-1,R$14)*$L173+OFFSET('Stor Factors'!$B$13,$K173-1,R$14)*$H173</f>
        <v>0</v>
      </c>
      <c r="S173" s="20"/>
      <c r="T173" s="20">
        <f ca="1">OFFSET('Stor Factors'!$B$13,$O173-1,T$14)*$L173+OFFSET('Stor Factors'!$B$13,$K173-1,T$14)*$H173</f>
        <v>0</v>
      </c>
      <c r="U173" s="20"/>
      <c r="V173" s="20">
        <f ca="1">OFFSET('Stor Factors'!$B$13,$O173-1,V$14)*$L173+OFFSET('Stor Factors'!$B$13,$K173-1,V$14)*$H173</f>
        <v>0</v>
      </c>
      <c r="X173" s="9">
        <f t="shared" ca="1" si="70"/>
        <v>0</v>
      </c>
      <c r="Z173" s="25" t="str">
        <f t="shared" ca="1" si="44"/>
        <v/>
      </c>
      <c r="AB173" s="20"/>
    </row>
    <row r="174" spans="2:40" x14ac:dyDescent="0.2">
      <c r="B174" s="18">
        <f t="shared" si="71"/>
        <v>108</v>
      </c>
      <c r="D174" s="1" t="s">
        <v>126</v>
      </c>
      <c r="F174" s="50">
        <f ca="1">Function!R174</f>
        <v>0</v>
      </c>
      <c r="H174" s="79"/>
      <c r="J174" s="2"/>
      <c r="K174" s="73">
        <v>0</v>
      </c>
      <c r="L174" s="50">
        <f t="shared" ca="1" si="69"/>
        <v>0</v>
      </c>
      <c r="O174" s="73">
        <v>0</v>
      </c>
      <c r="P174" s="20">
        <f ca="1">OFFSET('Stor Factors'!$B$13,$O174-1,P$14)*$L174+OFFSET('Stor Factors'!$B$13,$K174-1,P$14)*$H174</f>
        <v>0</v>
      </c>
      <c r="R174" s="20">
        <f ca="1">OFFSET('Stor Factors'!$B$13,$O174-1,R$14)*$L174+OFFSET('Stor Factors'!$B$13,$K174-1,R$14)*$H174</f>
        <v>0</v>
      </c>
      <c r="S174" s="20"/>
      <c r="T174" s="20">
        <f ca="1">OFFSET('Stor Factors'!$B$13,$O174-1,T$14)*$L174+OFFSET('Stor Factors'!$B$13,$K174-1,T$14)*$H174</f>
        <v>0</v>
      </c>
      <c r="U174" s="20"/>
      <c r="V174" s="20">
        <f ca="1">OFFSET('Stor Factors'!$B$13,$O174-1,V$14)*$L174+OFFSET('Stor Factors'!$B$13,$K174-1,V$14)*$H174</f>
        <v>0</v>
      </c>
      <c r="X174" s="9">
        <f t="shared" ca="1" si="70"/>
        <v>0</v>
      </c>
      <c r="Z174" s="25" t="str">
        <f t="shared" ca="1" si="44"/>
        <v/>
      </c>
      <c r="AB174" s="20"/>
    </row>
    <row r="175" spans="2:40" x14ac:dyDescent="0.2">
      <c r="B175" s="18">
        <f t="shared" si="71"/>
        <v>109</v>
      </c>
      <c r="D175" s="1" t="s">
        <v>127</v>
      </c>
      <c r="F175" s="50">
        <f ca="1">Function!R175</f>
        <v>0</v>
      </c>
      <c r="H175" s="79"/>
      <c r="J175" s="2"/>
      <c r="K175" s="73">
        <v>0</v>
      </c>
      <c r="L175" s="50">
        <f t="shared" ca="1" si="69"/>
        <v>0</v>
      </c>
      <c r="O175" s="73">
        <v>0</v>
      </c>
      <c r="P175" s="20">
        <f ca="1">OFFSET('Stor Factors'!$B$13,$O175-1,P$14)*$L175+OFFSET('Stor Factors'!$B$13,$K175-1,P$14)*$H175</f>
        <v>0</v>
      </c>
      <c r="R175" s="20">
        <f ca="1">OFFSET('Stor Factors'!$B$13,$O175-1,R$14)*$L175+OFFSET('Stor Factors'!$B$13,$K175-1,R$14)*$H175</f>
        <v>0</v>
      </c>
      <c r="S175" s="20"/>
      <c r="T175" s="20">
        <f ca="1">OFFSET('Stor Factors'!$B$13,$O175-1,T$14)*$L175+OFFSET('Stor Factors'!$B$13,$K175-1,T$14)*$H175</f>
        <v>0</v>
      </c>
      <c r="U175" s="20"/>
      <c r="V175" s="20">
        <f ca="1">OFFSET('Stor Factors'!$B$13,$O175-1,V$14)*$L175+OFFSET('Stor Factors'!$B$13,$K175-1,V$14)*$H175</f>
        <v>0</v>
      </c>
      <c r="X175" s="9">
        <f t="shared" ca="1" si="70"/>
        <v>0</v>
      </c>
      <c r="Z175" s="25" t="str">
        <f t="shared" ca="1" si="44"/>
        <v/>
      </c>
      <c r="AB175" s="20"/>
    </row>
    <row r="176" spans="2:40" x14ac:dyDescent="0.2">
      <c r="B176" s="18">
        <f t="shared" si="71"/>
        <v>110</v>
      </c>
      <c r="D176" s="1" t="s">
        <v>387</v>
      </c>
      <c r="F176" s="50">
        <f ca="1">Function!R176</f>
        <v>0</v>
      </c>
      <c r="H176" s="79"/>
      <c r="J176" s="2"/>
      <c r="K176" s="73">
        <v>0</v>
      </c>
      <c r="L176" s="50">
        <f t="shared" ca="1" si="69"/>
        <v>0</v>
      </c>
      <c r="O176" s="73">
        <v>0</v>
      </c>
      <c r="P176" s="20">
        <f ca="1">OFFSET('Stor Factors'!$B$13,$O176-1,P$14)*$L176+OFFSET('Stor Factors'!$B$13,$K176-1,P$14)*$H176</f>
        <v>0</v>
      </c>
      <c r="R176" s="20">
        <f ca="1">OFFSET('Stor Factors'!$B$13,$O176-1,R$14)*$L176+OFFSET('Stor Factors'!$B$13,$K176-1,R$14)*$H176</f>
        <v>0</v>
      </c>
      <c r="S176" s="20"/>
      <c r="T176" s="20">
        <f ca="1">OFFSET('Stor Factors'!$B$13,$O176-1,T$14)*$L176+OFFSET('Stor Factors'!$B$13,$K176-1,T$14)*$H176</f>
        <v>0</v>
      </c>
      <c r="U176" s="20"/>
      <c r="V176" s="20">
        <f ca="1">OFFSET('Stor Factors'!$B$13,$O176-1,V$14)*$L176+OFFSET('Stor Factors'!$B$13,$K176-1,V$14)*$H176</f>
        <v>0</v>
      </c>
      <c r="X176" s="9">
        <f t="shared" ca="1" si="70"/>
        <v>0</v>
      </c>
      <c r="Z176" s="25" t="str">
        <f t="shared" ca="1" si="44"/>
        <v/>
      </c>
      <c r="AB176" s="20"/>
    </row>
    <row r="177" spans="2:28" x14ac:dyDescent="0.2">
      <c r="S177" s="20"/>
      <c r="U177" s="20"/>
      <c r="Z177" s="25" t="str">
        <f t="shared" si="44"/>
        <v/>
      </c>
      <c r="AB177" s="20"/>
    </row>
    <row r="178" spans="2:28" x14ac:dyDescent="0.2">
      <c r="B178" s="18">
        <f>B176+1</f>
        <v>111</v>
      </c>
      <c r="D178" s="1" t="s">
        <v>401</v>
      </c>
      <c r="F178" s="41">
        <f ca="1">SUM(F170:F176)</f>
        <v>0</v>
      </c>
      <c r="H178" s="41">
        <f>SUM(H170:H176)</f>
        <v>0</v>
      </c>
      <c r="J178" s="2"/>
      <c r="L178" s="41">
        <f ca="1">SUM(L170:L176)</f>
        <v>0</v>
      </c>
      <c r="P178" s="10">
        <f ca="1">SUM(P170:P176)</f>
        <v>0</v>
      </c>
      <c r="R178" s="10">
        <f ca="1">SUM(R170:R176)</f>
        <v>0</v>
      </c>
      <c r="S178" s="20"/>
      <c r="T178" s="10">
        <f ca="1">SUM(T170:T176)</f>
        <v>0</v>
      </c>
      <c r="U178" s="20"/>
      <c r="V178" s="10">
        <f ca="1">SUM(V170:V176)</f>
        <v>0</v>
      </c>
      <c r="X178" s="10">
        <f ca="1">SUM(X170:X176)</f>
        <v>0</v>
      </c>
      <c r="Z178" s="25" t="str">
        <f t="shared" ca="1" si="44"/>
        <v/>
      </c>
      <c r="AB178" s="20"/>
    </row>
    <row r="179" spans="2:28" x14ac:dyDescent="0.2">
      <c r="S179" s="20"/>
      <c r="U179" s="20"/>
      <c r="Z179" s="25" t="str">
        <f t="shared" si="44"/>
        <v/>
      </c>
      <c r="AB179" s="20"/>
    </row>
    <row r="180" spans="2:28" ht="13.5" thickBot="1" x14ac:dyDescent="0.25">
      <c r="B180" s="18">
        <f>B178+1</f>
        <v>112</v>
      </c>
      <c r="D180" s="1" t="s">
        <v>148</v>
      </c>
      <c r="F180" s="83">
        <f ca="1">F164-F178</f>
        <v>193487.49708184868</v>
      </c>
      <c r="H180" s="83">
        <f ca="1">H164-H178</f>
        <v>3486.8164338721635</v>
      </c>
      <c r="L180" s="83">
        <f ca="1">L164-L178</f>
        <v>190000.68064797649</v>
      </c>
      <c r="P180" s="34">
        <f ca="1">P164-P178</f>
        <v>106265.51371986591</v>
      </c>
      <c r="R180" s="34">
        <f ca="1">R164-R178</f>
        <v>67317.433307812898</v>
      </c>
      <c r="S180" s="20"/>
      <c r="T180" s="34">
        <f ca="1">T164-T178</f>
        <v>5768.9625818688937</v>
      </c>
      <c r="U180" s="20"/>
      <c r="V180" s="34">
        <f ca="1">V164-V178</f>
        <v>14135.587472300971</v>
      </c>
      <c r="X180" s="34">
        <f ca="1">X164-X178</f>
        <v>193487.49708184868</v>
      </c>
      <c r="Z180" s="25" t="str">
        <f t="shared" ca="1" si="44"/>
        <v/>
      </c>
      <c r="AB180" s="20"/>
    </row>
    <row r="181" spans="2:28" ht="13.5" thickTop="1" x14ac:dyDescent="0.2">
      <c r="D181" s="1" t="s">
        <v>402</v>
      </c>
      <c r="S181" s="20"/>
      <c r="U181" s="20"/>
      <c r="AB181" s="20"/>
    </row>
    <row r="182" spans="2:28" x14ac:dyDescent="0.2">
      <c r="D182" s="1" t="s">
        <v>225</v>
      </c>
      <c r="R182" s="9"/>
      <c r="AB182" s="20"/>
    </row>
    <row r="183" spans="2:28" x14ac:dyDescent="0.2">
      <c r="L183" s="50"/>
      <c r="R183" s="9"/>
    </row>
  </sheetData>
  <mergeCells count="4">
    <mergeCell ref="P10:T10"/>
    <mergeCell ref="B5:X5"/>
    <mergeCell ref="B6:X6"/>
    <mergeCell ref="B7:X7"/>
  </mergeCells>
  <pageMargins left="0.7" right="0.7" top="0.75" bottom="0.75" header="0.3" footer="0.3"/>
  <pageSetup scale="56" fitToHeight="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2C6C7-65B2-4047-B59A-1E2BE7A6A0E7}">
  <sheetPr>
    <pageSetUpPr fitToPage="1"/>
  </sheetPr>
  <dimension ref="A6:AU76"/>
  <sheetViews>
    <sheetView topLeftCell="A30" zoomScale="80" zoomScaleNormal="80" workbookViewId="0">
      <selection activeCell="P33" sqref="P33"/>
    </sheetView>
  </sheetViews>
  <sheetFormatPr defaultColWidth="9.140625" defaultRowHeight="12.75" x14ac:dyDescent="0.2"/>
  <cols>
    <col min="1" max="1" width="6.42578125" style="1" customWidth="1"/>
    <col min="2" max="2" width="30.7109375" style="1" customWidth="1"/>
    <col min="3" max="3" width="8.28515625" style="1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1.7109375" style="1" customWidth="1"/>
    <col min="12" max="12" width="15.7109375" style="1" customWidth="1"/>
    <col min="13" max="15" width="9.140625" style="1"/>
    <col min="16" max="16" width="26.5703125" style="1" bestFit="1" customWidth="1"/>
    <col min="17" max="17" width="1.7109375" style="1" customWidth="1"/>
    <col min="18" max="18" width="11.140625" style="1" customWidth="1"/>
    <col min="19" max="19" width="1.7109375" style="1" customWidth="1"/>
    <col min="20" max="20" width="11.140625" style="1" customWidth="1"/>
    <col min="21" max="21" width="1.7109375" style="1" customWidth="1"/>
    <col min="22" max="22" width="11.140625" style="1" customWidth="1"/>
    <col min="23" max="23" width="1.7109375" style="1" customWidth="1"/>
    <col min="24" max="24" width="11.140625" style="1" customWidth="1"/>
    <col min="25" max="31" width="9.140625" style="1" customWidth="1"/>
    <col min="32" max="34" width="9.140625" style="1"/>
    <col min="35" max="36" width="9.140625" style="1" customWidth="1"/>
    <col min="37" max="38" width="9.140625" style="1"/>
    <col min="39" max="39" width="9.140625" style="1" customWidth="1"/>
    <col min="40" max="16384" width="9.140625" style="1"/>
  </cols>
  <sheetData>
    <row r="6" spans="1:47" x14ac:dyDescent="0.2">
      <c r="B6" s="157" t="s">
        <v>511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6"/>
      <c r="N6" s="6"/>
      <c r="O6" s="6"/>
      <c r="P6" s="6"/>
    </row>
    <row r="7" spans="1:47" x14ac:dyDescent="0.2">
      <c r="B7" s="157" t="s">
        <v>389</v>
      </c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6"/>
      <c r="N7" s="6"/>
      <c r="O7" s="6"/>
      <c r="P7" s="6"/>
    </row>
    <row r="9" spans="1:47" x14ac:dyDescent="0.2">
      <c r="A9" s="18" t="s">
        <v>2</v>
      </c>
      <c r="B9" s="18" t="s">
        <v>8</v>
      </c>
      <c r="F9" s="18"/>
      <c r="J9" s="18" t="s">
        <v>343</v>
      </c>
      <c r="L9" s="18" t="s">
        <v>8</v>
      </c>
    </row>
    <row r="10" spans="1:47" x14ac:dyDescent="0.2">
      <c r="A10" s="4" t="s">
        <v>4</v>
      </c>
      <c r="B10" s="4" t="s">
        <v>310</v>
      </c>
      <c r="C10" s="5"/>
      <c r="D10" s="4" t="s">
        <v>11</v>
      </c>
      <c r="F10" s="4" t="s">
        <v>46</v>
      </c>
      <c r="H10" s="16" t="s">
        <v>47</v>
      </c>
      <c r="J10" s="4" t="s">
        <v>344</v>
      </c>
      <c r="L10" s="4" t="s">
        <v>49</v>
      </c>
      <c r="AH10" s="18"/>
      <c r="AJ10" s="18"/>
      <c r="AO10" s="18"/>
      <c r="AS10" s="18"/>
      <c r="AU10" s="18"/>
    </row>
    <row r="11" spans="1:47" x14ac:dyDescent="0.2">
      <c r="A11" s="18"/>
      <c r="B11" s="18"/>
      <c r="D11" s="18" t="s">
        <v>12</v>
      </c>
      <c r="E11" s="18"/>
      <c r="F11" s="57" t="s">
        <v>13</v>
      </c>
      <c r="G11" s="18"/>
      <c r="H11" s="57" t="s">
        <v>14</v>
      </c>
      <c r="I11" s="18"/>
      <c r="J11" s="57" t="s">
        <v>366</v>
      </c>
      <c r="K11" s="18"/>
      <c r="L11" s="57" t="s">
        <v>15</v>
      </c>
      <c r="AH11" s="18"/>
      <c r="AJ11" s="18"/>
      <c r="AK11" s="18"/>
      <c r="AM11" s="18"/>
      <c r="AO11" s="18"/>
      <c r="AQ11" s="113"/>
      <c r="AS11" s="18"/>
      <c r="AU11" s="18"/>
    </row>
    <row r="12" spans="1:47" hidden="1" x14ac:dyDescent="0.2">
      <c r="AH12" s="18"/>
      <c r="AM12" s="18"/>
      <c r="AN12" s="18"/>
      <c r="AO12" s="57"/>
      <c r="AP12" s="18"/>
      <c r="AQ12" s="57"/>
      <c r="AR12" s="18"/>
      <c r="AS12" s="57"/>
      <c r="AT12" s="18"/>
      <c r="AU12" s="57"/>
    </row>
    <row r="13" spans="1:47" x14ac:dyDescent="0.2">
      <c r="B13" s="117"/>
      <c r="C13" s="2"/>
      <c r="AH13" s="18"/>
    </row>
    <row r="14" spans="1:47" x14ac:dyDescent="0.2">
      <c r="A14" s="18">
        <v>1</v>
      </c>
      <c r="B14" s="2"/>
      <c r="C14" s="2" t="s">
        <v>367</v>
      </c>
      <c r="D14" s="20">
        <f>SUM(F14:L14)</f>
        <v>30022.717863727081</v>
      </c>
      <c r="F14" s="20">
        <v>30022.717863727081</v>
      </c>
      <c r="G14" s="20"/>
      <c r="H14" s="20">
        <v>0</v>
      </c>
      <c r="I14" s="20"/>
      <c r="J14" s="20">
        <v>0</v>
      </c>
      <c r="K14" s="20"/>
      <c r="L14" s="20">
        <v>0</v>
      </c>
      <c r="AH14" s="18"/>
      <c r="AJ14" s="2"/>
      <c r="AK14" s="58"/>
      <c r="AM14" s="22"/>
      <c r="AO14" s="22"/>
      <c r="AP14" s="22"/>
      <c r="AQ14" s="22"/>
      <c r="AR14" s="22"/>
      <c r="AS14" s="22"/>
      <c r="AT14" s="22"/>
      <c r="AU14" s="22"/>
    </row>
    <row r="15" spans="1:47" x14ac:dyDescent="0.2">
      <c r="A15" s="18">
        <v>2</v>
      </c>
      <c r="B15" s="2" t="s">
        <v>268</v>
      </c>
      <c r="C15" s="2"/>
      <c r="D15" s="24">
        <f>SUM(F15:L15)</f>
        <v>1</v>
      </c>
      <c r="F15" s="24">
        <f>IFERROR(F14/$D14,0)</f>
        <v>1</v>
      </c>
      <c r="H15" s="24">
        <f>IFERROR(H14/$D14,0)</f>
        <v>0</v>
      </c>
      <c r="J15" s="24">
        <f>IFERROR(J14/$D14,0)</f>
        <v>0</v>
      </c>
      <c r="L15" s="24">
        <f>IFERROR(L14/$D14,0)</f>
        <v>0</v>
      </c>
      <c r="AH15" s="18"/>
      <c r="AJ15" s="2"/>
      <c r="AK15" s="58"/>
      <c r="AM15" s="63"/>
      <c r="AO15" s="63"/>
      <c r="AQ15" s="63"/>
      <c r="AS15" s="63"/>
      <c r="AU15" s="63"/>
    </row>
    <row r="16" spans="1:47" x14ac:dyDescent="0.2">
      <c r="A16" s="18"/>
      <c r="B16" s="2"/>
      <c r="C16" s="2"/>
      <c r="AH16" s="18"/>
      <c r="AJ16" s="31"/>
      <c r="AK16" s="31"/>
    </row>
    <row r="17" spans="1:47" x14ac:dyDescent="0.2">
      <c r="A17" s="18">
        <v>3</v>
      </c>
      <c r="B17" s="2"/>
      <c r="C17" s="2" t="s">
        <v>367</v>
      </c>
      <c r="D17" s="20">
        <f>SUM(F17:L17)</f>
        <v>-17354.751934163171</v>
      </c>
      <c r="F17" s="20">
        <v>-17354.751934163171</v>
      </c>
      <c r="G17" s="20"/>
      <c r="H17" s="20">
        <v>0</v>
      </c>
      <c r="I17" s="20"/>
      <c r="J17" s="20">
        <v>0</v>
      </c>
      <c r="K17" s="20"/>
      <c r="L17" s="20">
        <v>0</v>
      </c>
      <c r="AH17" s="18"/>
      <c r="AJ17" s="2"/>
      <c r="AK17" s="58"/>
      <c r="AM17" s="22"/>
      <c r="AO17" s="22"/>
      <c r="AP17" s="22"/>
      <c r="AQ17" s="22"/>
      <c r="AR17" s="22"/>
      <c r="AS17" s="22"/>
      <c r="AT17" s="22"/>
      <c r="AU17" s="22"/>
    </row>
    <row r="18" spans="1:47" x14ac:dyDescent="0.2">
      <c r="A18" s="18">
        <v>4</v>
      </c>
      <c r="B18" s="2" t="s">
        <v>314</v>
      </c>
      <c r="C18" s="2"/>
      <c r="D18" s="24">
        <f>SUM(F18:L18)</f>
        <v>1</v>
      </c>
      <c r="F18" s="24">
        <f>IFERROR(F17/$D17,0)</f>
        <v>1</v>
      </c>
      <c r="H18" s="24">
        <f>IFERROR(H17/$D17,0)</f>
        <v>0</v>
      </c>
      <c r="J18" s="24">
        <f>IFERROR(J17/$D17,0)</f>
        <v>0</v>
      </c>
      <c r="L18" s="24">
        <f>IFERROR(L17/$D17,0)</f>
        <v>0</v>
      </c>
      <c r="AH18" s="18"/>
      <c r="AJ18" s="2"/>
      <c r="AK18" s="58"/>
      <c r="AM18" s="63"/>
      <c r="AO18" s="63"/>
      <c r="AQ18" s="63"/>
      <c r="AS18" s="63"/>
      <c r="AU18" s="63"/>
    </row>
    <row r="19" spans="1:47" x14ac:dyDescent="0.2">
      <c r="A19" s="18"/>
      <c r="B19" s="2"/>
      <c r="C19" s="2"/>
      <c r="AH19" s="18"/>
      <c r="AJ19" s="31"/>
      <c r="AK19" s="31"/>
    </row>
    <row r="20" spans="1:47" x14ac:dyDescent="0.2">
      <c r="A20" s="18">
        <v>5</v>
      </c>
      <c r="B20" s="2"/>
      <c r="C20" s="2" t="s">
        <v>367</v>
      </c>
      <c r="D20" s="20">
        <f>SUM(F20:L20)</f>
        <v>7.3027000000000006</v>
      </c>
      <c r="F20" s="20">
        <v>7.3027000000000006</v>
      </c>
      <c r="G20" s="20"/>
      <c r="H20" s="20">
        <v>0</v>
      </c>
      <c r="I20" s="20"/>
      <c r="J20" s="20">
        <v>0</v>
      </c>
      <c r="K20" s="20"/>
      <c r="L20" s="20">
        <v>0</v>
      </c>
      <c r="AH20" s="18"/>
      <c r="AJ20" s="2"/>
      <c r="AK20" s="58"/>
      <c r="AM20" s="22"/>
      <c r="AO20" s="22"/>
      <c r="AP20" s="22"/>
      <c r="AQ20" s="22"/>
      <c r="AR20" s="22"/>
      <c r="AS20" s="22"/>
      <c r="AT20" s="22"/>
      <c r="AU20" s="22"/>
    </row>
    <row r="21" spans="1:47" x14ac:dyDescent="0.2">
      <c r="A21" s="18">
        <v>6</v>
      </c>
      <c r="B21" s="2" t="s">
        <v>267</v>
      </c>
      <c r="C21" s="2"/>
      <c r="D21" s="24">
        <f>SUM(F21:L21)</f>
        <v>1</v>
      </c>
      <c r="F21" s="24">
        <f>IFERROR(F20/$D20,0)</f>
        <v>1</v>
      </c>
      <c r="H21" s="24">
        <f>IFERROR(H20/$D20,0)</f>
        <v>0</v>
      </c>
      <c r="J21" s="24">
        <f>IFERROR(J20/$D20,0)</f>
        <v>0</v>
      </c>
      <c r="L21" s="24">
        <f>IFERROR(L20/$D20,0)</f>
        <v>0</v>
      </c>
      <c r="AH21" s="18"/>
      <c r="AJ21" s="2"/>
      <c r="AK21" s="58"/>
      <c r="AM21" s="63"/>
      <c r="AO21" s="63"/>
      <c r="AQ21" s="63"/>
      <c r="AS21" s="63"/>
      <c r="AU21" s="63"/>
    </row>
    <row r="22" spans="1:47" ht="15" x14ac:dyDescent="0.25">
      <c r="A22" s="18"/>
      <c r="B22" s="2"/>
      <c r="C22" s="2"/>
      <c r="D22"/>
      <c r="AH22" s="18"/>
      <c r="AJ22" s="59"/>
      <c r="AK22" s="31"/>
      <c r="AM22"/>
    </row>
    <row r="23" spans="1:47" x14ac:dyDescent="0.2">
      <c r="A23" s="18">
        <v>7</v>
      </c>
      <c r="B23" s="2"/>
      <c r="C23" s="2" t="s">
        <v>368</v>
      </c>
      <c r="D23" s="20">
        <f>SUM(F23:L23)</f>
        <v>1640.1810497976596</v>
      </c>
      <c r="F23" s="20">
        <v>1640.1810497976596</v>
      </c>
      <c r="G23" s="20"/>
      <c r="H23" s="20">
        <v>0</v>
      </c>
      <c r="I23" s="20"/>
      <c r="J23" s="20">
        <v>0</v>
      </c>
      <c r="K23" s="20"/>
      <c r="L23" s="20">
        <v>0</v>
      </c>
      <c r="AH23" s="18"/>
      <c r="AJ23" s="2"/>
      <c r="AK23" s="58"/>
      <c r="AM23" s="22"/>
      <c r="AO23" s="22"/>
      <c r="AP23" s="22"/>
      <c r="AQ23" s="22"/>
      <c r="AR23" s="22"/>
      <c r="AS23" s="22"/>
      <c r="AT23" s="22"/>
      <c r="AU23" s="22"/>
    </row>
    <row r="24" spans="1:47" x14ac:dyDescent="0.2">
      <c r="A24" s="18">
        <v>8</v>
      </c>
      <c r="B24" s="2" t="s">
        <v>271</v>
      </c>
      <c r="C24" s="2"/>
      <c r="D24" s="24">
        <f>SUM(F24:L24)</f>
        <v>1</v>
      </c>
      <c r="F24" s="24">
        <f>IFERROR(F23/$D23,0)</f>
        <v>1</v>
      </c>
      <c r="H24" s="24">
        <f>IFERROR(H23/$D23,0)</f>
        <v>0</v>
      </c>
      <c r="J24" s="24">
        <f>IFERROR(J23/$D23,0)</f>
        <v>0</v>
      </c>
      <c r="L24" s="24">
        <f>IFERROR(L23/$D23,0)</f>
        <v>0</v>
      </c>
      <c r="AH24" s="18"/>
      <c r="AJ24" s="2"/>
      <c r="AK24" s="31"/>
      <c r="AM24" s="63"/>
      <c r="AO24" s="63"/>
      <c r="AQ24" s="63"/>
      <c r="AS24" s="63"/>
      <c r="AU24" s="63"/>
    </row>
    <row r="25" spans="1:47" x14ac:dyDescent="0.2">
      <c r="A25" s="18"/>
      <c r="B25" s="2"/>
      <c r="C25" s="2"/>
      <c r="AH25" s="18"/>
      <c r="AJ25" s="31"/>
      <c r="AK25" s="31"/>
    </row>
    <row r="26" spans="1:47" x14ac:dyDescent="0.2">
      <c r="A26" s="18">
        <v>9</v>
      </c>
      <c r="B26" s="2"/>
      <c r="C26" s="2" t="s">
        <v>367</v>
      </c>
      <c r="D26" s="20">
        <f>SUM(F26:L26)</f>
        <v>9113.3284516697677</v>
      </c>
      <c r="F26" s="20">
        <v>9113.3284516697677</v>
      </c>
      <c r="G26" s="20"/>
      <c r="H26" s="20">
        <v>0</v>
      </c>
      <c r="I26" s="20"/>
      <c r="J26" s="20">
        <v>0</v>
      </c>
      <c r="K26" s="20"/>
      <c r="L26" s="20">
        <v>0</v>
      </c>
      <c r="AH26" s="18"/>
      <c r="AJ26" s="2"/>
      <c r="AK26" s="58"/>
      <c r="AM26" s="22"/>
      <c r="AO26" s="22"/>
      <c r="AP26" s="22"/>
      <c r="AQ26" s="22"/>
      <c r="AR26" s="22"/>
      <c r="AS26" s="22"/>
      <c r="AT26" s="22"/>
      <c r="AU26" s="22"/>
    </row>
    <row r="27" spans="1:47" x14ac:dyDescent="0.2">
      <c r="A27" s="18">
        <v>10</v>
      </c>
      <c r="B27" s="2" t="s">
        <v>315</v>
      </c>
      <c r="C27" s="2"/>
      <c r="D27" s="24">
        <f>SUM(F27:L27)</f>
        <v>1</v>
      </c>
      <c r="F27" s="24">
        <f>IFERROR(F26/$D26,0)</f>
        <v>1</v>
      </c>
      <c r="H27" s="24">
        <f>IFERROR(H26/$D26,0)</f>
        <v>0</v>
      </c>
      <c r="J27" s="24">
        <f>IFERROR(J26/$D26,0)</f>
        <v>0</v>
      </c>
      <c r="L27" s="24">
        <f>IFERROR(L26/$D26,0)</f>
        <v>0</v>
      </c>
      <c r="AH27" s="18"/>
      <c r="AJ27" s="2"/>
      <c r="AK27" s="58"/>
      <c r="AM27" s="63"/>
      <c r="AO27" s="63"/>
      <c r="AQ27" s="63"/>
      <c r="AS27" s="63"/>
      <c r="AU27" s="63"/>
    </row>
    <row r="28" spans="1:47" x14ac:dyDescent="0.2">
      <c r="A28" s="18"/>
      <c r="B28" s="2"/>
      <c r="C28" s="2"/>
      <c r="AH28" s="18"/>
      <c r="AJ28" s="31"/>
      <c r="AK28" s="31"/>
    </row>
    <row r="29" spans="1:47" x14ac:dyDescent="0.2">
      <c r="A29" s="18">
        <v>11</v>
      </c>
      <c r="B29" s="2"/>
      <c r="C29" s="2" t="s">
        <v>367</v>
      </c>
      <c r="D29" s="20">
        <f>SUM(F29:L29)</f>
        <v>-2950.0008695332904</v>
      </c>
      <c r="F29" s="20">
        <v>-2950.0008695332904</v>
      </c>
      <c r="G29" s="20"/>
      <c r="H29" s="20">
        <v>0</v>
      </c>
      <c r="I29" s="20"/>
      <c r="J29" s="20">
        <v>0</v>
      </c>
      <c r="K29" s="20"/>
      <c r="L29" s="20">
        <v>0</v>
      </c>
      <c r="AH29" s="18"/>
      <c r="AJ29" s="2"/>
      <c r="AK29" s="58"/>
      <c r="AM29" s="22"/>
      <c r="AO29" s="22"/>
      <c r="AP29" s="22"/>
      <c r="AQ29" s="22"/>
      <c r="AR29" s="22"/>
      <c r="AS29" s="22"/>
      <c r="AT29" s="22"/>
      <c r="AU29" s="22"/>
    </row>
    <row r="30" spans="1:47" x14ac:dyDescent="0.2">
      <c r="A30" s="18">
        <v>12</v>
      </c>
      <c r="B30" s="2" t="s">
        <v>316</v>
      </c>
      <c r="C30" s="2"/>
      <c r="D30" s="24">
        <f>SUM(F30:L30)</f>
        <v>1</v>
      </c>
      <c r="F30" s="24">
        <f>IFERROR(F29/$D29,0)</f>
        <v>1</v>
      </c>
      <c r="H30" s="24">
        <f>IFERROR(H29/$D29,0)</f>
        <v>0</v>
      </c>
      <c r="J30" s="24">
        <f>IFERROR(J29/$D29,0)</f>
        <v>0</v>
      </c>
      <c r="L30" s="24">
        <f>IFERROR(L29/$D29,0)</f>
        <v>0</v>
      </c>
      <c r="AH30" s="18"/>
      <c r="AJ30" s="2"/>
      <c r="AK30" s="58"/>
      <c r="AM30" s="63"/>
      <c r="AO30" s="63"/>
      <c r="AQ30" s="63"/>
      <c r="AS30" s="63"/>
      <c r="AU30" s="63"/>
    </row>
    <row r="31" spans="1:47" x14ac:dyDescent="0.2">
      <c r="A31" s="18"/>
      <c r="B31" s="2"/>
      <c r="C31" s="2"/>
      <c r="AH31" s="18"/>
      <c r="AJ31" s="31"/>
      <c r="AK31" s="31"/>
    </row>
    <row r="32" spans="1:47" x14ac:dyDescent="0.2">
      <c r="A32" s="18">
        <v>13</v>
      </c>
      <c r="B32" s="2"/>
      <c r="C32" s="2" t="s">
        <v>367</v>
      </c>
      <c r="D32" s="20">
        <f>SUM(F32:L32)</f>
        <v>700.84706149023225</v>
      </c>
      <c r="F32" s="20">
        <v>0</v>
      </c>
      <c r="G32" s="20"/>
      <c r="H32" s="20">
        <v>0</v>
      </c>
      <c r="I32" s="20"/>
      <c r="J32" s="20">
        <v>0</v>
      </c>
      <c r="K32" s="20"/>
      <c r="L32" s="20">
        <v>700.84706149023225</v>
      </c>
      <c r="AH32" s="18"/>
      <c r="AJ32" s="2"/>
      <c r="AK32" s="58"/>
      <c r="AM32" s="22"/>
      <c r="AO32" s="22"/>
      <c r="AP32" s="22"/>
      <c r="AQ32" s="22"/>
      <c r="AR32" s="22"/>
      <c r="AS32" s="22"/>
      <c r="AT32" s="22"/>
      <c r="AU32" s="22"/>
    </row>
    <row r="33" spans="1:47" x14ac:dyDescent="0.2">
      <c r="A33" s="18">
        <v>14</v>
      </c>
      <c r="B33" s="2" t="s">
        <v>215</v>
      </c>
      <c r="C33" s="2"/>
      <c r="D33" s="24">
        <f>SUM(F33:L33)</f>
        <v>1</v>
      </c>
      <c r="F33" s="24">
        <f>IFERROR(F32/$D32,0)</f>
        <v>0</v>
      </c>
      <c r="H33" s="24">
        <f>IFERROR(H32/$D32,0)</f>
        <v>0</v>
      </c>
      <c r="J33" s="24">
        <f>IFERROR(J32/$D32,0)</f>
        <v>0</v>
      </c>
      <c r="L33" s="24">
        <f>IFERROR(L32/$D32,0)</f>
        <v>1</v>
      </c>
      <c r="AH33" s="18"/>
      <c r="AJ33" s="2"/>
      <c r="AK33" s="31"/>
      <c r="AM33" s="63"/>
      <c r="AO33" s="63"/>
      <c r="AQ33" s="63"/>
      <c r="AS33" s="63"/>
      <c r="AU33" s="63"/>
    </row>
    <row r="34" spans="1:47" x14ac:dyDescent="0.2">
      <c r="A34" s="18"/>
      <c r="B34" s="2"/>
      <c r="C34" s="2"/>
      <c r="D34" s="24"/>
      <c r="F34" s="24"/>
      <c r="H34" s="24"/>
      <c r="J34" s="24"/>
      <c r="L34" s="24"/>
      <c r="AH34" s="18"/>
      <c r="AJ34" s="2"/>
      <c r="AK34" s="31"/>
      <c r="AM34" s="63"/>
      <c r="AO34" s="63"/>
      <c r="AQ34" s="63"/>
      <c r="AS34" s="63"/>
      <c r="AU34" s="63"/>
    </row>
    <row r="35" spans="1:47" x14ac:dyDescent="0.2">
      <c r="A35" s="18">
        <v>15</v>
      </c>
      <c r="B35" s="2"/>
      <c r="C35" s="2" t="s">
        <v>367</v>
      </c>
      <c r="D35" s="20">
        <f>SUM(F35:L35)</f>
        <v>100</v>
      </c>
      <c r="E35" s="14"/>
      <c r="F35" s="61">
        <v>50</v>
      </c>
      <c r="G35" s="61"/>
      <c r="H35" s="61">
        <v>46.087614707589566</v>
      </c>
      <c r="I35" s="61"/>
      <c r="J35" s="61">
        <v>3.9123852924104372</v>
      </c>
      <c r="K35" s="61"/>
      <c r="L35" s="61">
        <v>0</v>
      </c>
      <c r="AH35" s="18"/>
      <c r="AJ35" s="2"/>
      <c r="AK35" s="58"/>
      <c r="AM35" s="22"/>
      <c r="AN35" s="14"/>
      <c r="AO35" s="23"/>
      <c r="AP35" s="23"/>
      <c r="AQ35" s="23"/>
      <c r="AR35" s="23"/>
      <c r="AS35" s="23"/>
      <c r="AT35" s="23"/>
      <c r="AU35" s="23"/>
    </row>
    <row r="36" spans="1:47" x14ac:dyDescent="0.2">
      <c r="A36" s="18">
        <v>16</v>
      </c>
      <c r="B36" s="2" t="s">
        <v>347</v>
      </c>
      <c r="C36" s="2"/>
      <c r="D36" s="24">
        <f>SUM(F36:L36)</f>
        <v>1</v>
      </c>
      <c r="F36" s="24">
        <f>IFERROR(F35/$D35,0)</f>
        <v>0.5</v>
      </c>
      <c r="H36" s="24">
        <f>IFERROR(H35/$D35,0)</f>
        <v>0.46087614707589564</v>
      </c>
      <c r="J36" s="24">
        <f>IFERROR(J35/$D35,0)</f>
        <v>3.912385292410437E-2</v>
      </c>
      <c r="L36" s="24">
        <f>IFERROR(L35/$D35,0)</f>
        <v>0</v>
      </c>
      <c r="V36" s="40"/>
      <c r="W36" s="40"/>
      <c r="AH36" s="18"/>
      <c r="AJ36" s="2"/>
      <c r="AK36" s="58"/>
      <c r="AM36" s="63"/>
      <c r="AO36" s="63"/>
      <c r="AQ36" s="63"/>
      <c r="AS36" s="63"/>
      <c r="AU36" s="63"/>
    </row>
    <row r="37" spans="1:47" x14ac:dyDescent="0.2">
      <c r="A37" s="18"/>
      <c r="B37" s="2"/>
      <c r="C37" s="2"/>
      <c r="D37" s="66"/>
      <c r="F37" s="24"/>
      <c r="H37" s="24"/>
      <c r="J37" s="24"/>
      <c r="L37" s="24"/>
      <c r="AH37" s="18"/>
      <c r="AJ37" s="31"/>
      <c r="AK37" s="31"/>
      <c r="AL37" s="66"/>
      <c r="AM37" s="66"/>
      <c r="AO37" s="63"/>
      <c r="AQ37" s="63"/>
      <c r="AS37" s="63"/>
      <c r="AU37" s="63"/>
    </row>
    <row r="38" spans="1:47" x14ac:dyDescent="0.2">
      <c r="A38" s="18">
        <v>17</v>
      </c>
      <c r="B38" s="2"/>
      <c r="C38" s="2" t="s">
        <v>368</v>
      </c>
      <c r="D38" s="20">
        <f>SUM(F38:L38)</f>
        <v>1</v>
      </c>
      <c r="E38" s="20"/>
      <c r="F38" s="20">
        <v>1</v>
      </c>
      <c r="G38" s="20"/>
      <c r="H38" s="20">
        <v>0</v>
      </c>
      <c r="I38" s="20"/>
      <c r="J38" s="20">
        <v>0</v>
      </c>
      <c r="K38" s="20"/>
      <c r="L38" s="20">
        <v>0</v>
      </c>
      <c r="AH38" s="18"/>
      <c r="AJ38" s="2"/>
      <c r="AK38" s="58"/>
      <c r="AM38" s="22"/>
      <c r="AN38" s="22"/>
      <c r="AO38" s="22"/>
      <c r="AP38" s="22"/>
      <c r="AQ38" s="22"/>
      <c r="AR38" s="22"/>
      <c r="AS38" s="22"/>
      <c r="AT38" s="22"/>
      <c r="AU38" s="22"/>
    </row>
    <row r="39" spans="1:47" x14ac:dyDescent="0.2">
      <c r="A39" s="18">
        <v>18</v>
      </c>
      <c r="B39" s="2" t="s">
        <v>50</v>
      </c>
      <c r="C39" s="2"/>
      <c r="D39" s="24">
        <f>SUM(F39:L39)</f>
        <v>1</v>
      </c>
      <c r="F39" s="24">
        <f>IFERROR(F38/$D38,0)</f>
        <v>1</v>
      </c>
      <c r="H39" s="24">
        <f>IFERROR(H38/$D38,0)</f>
        <v>0</v>
      </c>
      <c r="J39" s="24">
        <f>IFERROR(J38/$D38,0)</f>
        <v>0</v>
      </c>
      <c r="L39" s="24">
        <f>IFERROR(L38/$D38,0)</f>
        <v>0</v>
      </c>
      <c r="AH39" s="18"/>
      <c r="AJ39" s="2"/>
      <c r="AK39" s="31"/>
      <c r="AM39" s="63"/>
      <c r="AO39" s="63"/>
      <c r="AQ39" s="63"/>
      <c r="AS39" s="63"/>
      <c r="AU39" s="63"/>
    </row>
    <row r="40" spans="1:47" x14ac:dyDescent="0.2">
      <c r="A40" s="18"/>
      <c r="B40" s="2"/>
      <c r="C40" s="2"/>
      <c r="AH40" s="18"/>
      <c r="AJ40" s="31"/>
      <c r="AK40" s="31"/>
    </row>
    <row r="41" spans="1:47" x14ac:dyDescent="0.2">
      <c r="A41" s="18">
        <v>19</v>
      </c>
      <c r="B41" s="2"/>
      <c r="C41" s="2" t="s">
        <v>367</v>
      </c>
      <c r="D41" s="20">
        <f>SUM(F41:L41)</f>
        <v>450894.64997650369</v>
      </c>
      <c r="F41" s="20">
        <v>0</v>
      </c>
      <c r="G41" s="20"/>
      <c r="H41" s="20">
        <v>411482.44165298209</v>
      </c>
      <c r="I41" s="20"/>
      <c r="J41" s="20">
        <v>39412.208323521612</v>
      </c>
      <c r="K41" s="20"/>
      <c r="L41" s="20">
        <v>0</v>
      </c>
      <c r="AH41" s="18"/>
      <c r="AJ41" s="2"/>
      <c r="AK41" s="58"/>
      <c r="AM41" s="22"/>
      <c r="AO41" s="22"/>
      <c r="AP41" s="22"/>
      <c r="AQ41" s="22"/>
      <c r="AR41" s="22"/>
      <c r="AS41" s="22"/>
      <c r="AT41" s="22"/>
      <c r="AU41" s="22"/>
    </row>
    <row r="42" spans="1:47" x14ac:dyDescent="0.2">
      <c r="A42" s="18">
        <v>20</v>
      </c>
      <c r="B42" s="2" t="s">
        <v>265</v>
      </c>
      <c r="C42" s="2"/>
      <c r="D42" s="24">
        <f>SUM(F42:L42)</f>
        <v>1</v>
      </c>
      <c r="F42" s="24">
        <f>IFERROR(F41/$D41,0)</f>
        <v>0</v>
      </c>
      <c r="G42" s="20"/>
      <c r="H42" s="24">
        <f>IFERROR(H41/$D41,0)</f>
        <v>0.91259109345037603</v>
      </c>
      <c r="I42" s="20"/>
      <c r="J42" s="24">
        <f>IFERROR(J41/$D41,0)</f>
        <v>8.7408906549623952E-2</v>
      </c>
      <c r="L42" s="24">
        <f>IFERROR(L41/$D41,0)</f>
        <v>0</v>
      </c>
      <c r="AH42" s="18"/>
      <c r="AJ42" s="2"/>
      <c r="AK42" s="58"/>
      <c r="AM42" s="63"/>
      <c r="AO42" s="63"/>
      <c r="AP42" s="22"/>
      <c r="AQ42" s="63"/>
      <c r="AR42" s="22"/>
      <c r="AS42" s="63"/>
      <c r="AU42" s="63"/>
    </row>
    <row r="43" spans="1:47" x14ac:dyDescent="0.2">
      <c r="A43" s="18"/>
      <c r="B43" s="2"/>
      <c r="C43" s="2"/>
      <c r="D43" s="20"/>
      <c r="F43" s="20"/>
      <c r="G43" s="20"/>
      <c r="H43" s="20"/>
      <c r="I43" s="20"/>
      <c r="J43" s="20"/>
      <c r="L43" s="20"/>
      <c r="AH43" s="18"/>
      <c r="AJ43" s="2"/>
      <c r="AK43" s="31"/>
      <c r="AM43" s="22"/>
      <c r="AO43" s="22"/>
      <c r="AP43" s="22"/>
      <c r="AQ43" s="22"/>
      <c r="AR43" s="22"/>
      <c r="AS43" s="22"/>
      <c r="AU43" s="22"/>
    </row>
    <row r="44" spans="1:47" x14ac:dyDescent="0.2">
      <c r="A44" s="18">
        <v>21</v>
      </c>
      <c r="B44" s="2"/>
      <c r="C44" s="2" t="s">
        <v>368</v>
      </c>
      <c r="D44" s="20">
        <f>SUM(F44:L44)</f>
        <v>579806.55436048692</v>
      </c>
      <c r="F44" s="20">
        <v>449162.79816525371</v>
      </c>
      <c r="G44" s="20"/>
      <c r="H44" s="20">
        <v>130643.75619523317</v>
      </c>
      <c r="I44" s="20"/>
      <c r="J44" s="20">
        <v>0</v>
      </c>
      <c r="K44" s="20"/>
      <c r="L44" s="20">
        <v>0</v>
      </c>
      <c r="AH44" s="18"/>
      <c r="AJ44" s="2"/>
      <c r="AK44" s="58"/>
      <c r="AM44" s="22"/>
      <c r="AO44" s="22"/>
      <c r="AP44" s="22"/>
      <c r="AQ44" s="22"/>
      <c r="AR44" s="22"/>
      <c r="AS44" s="22"/>
      <c r="AT44" s="22"/>
      <c r="AU44" s="22"/>
    </row>
    <row r="45" spans="1:47" x14ac:dyDescent="0.2">
      <c r="A45" s="18">
        <v>22</v>
      </c>
      <c r="B45" s="2" t="s">
        <v>216</v>
      </c>
      <c r="C45" s="2"/>
      <c r="D45" s="24">
        <f>SUM(F45:L45)</f>
        <v>1</v>
      </c>
      <c r="F45" s="24">
        <f>IFERROR(F44/$D44,0)</f>
        <v>0.77467699319244465</v>
      </c>
      <c r="H45" s="24">
        <f>IFERROR(H44/$D44,0)</f>
        <v>0.22532300680755529</v>
      </c>
      <c r="J45" s="24">
        <f>IFERROR(J44/$D44,0)</f>
        <v>0</v>
      </c>
      <c r="L45" s="24">
        <f>IFERROR(L44/$D44,0)</f>
        <v>0</v>
      </c>
      <c r="AH45" s="18"/>
      <c r="AJ45" s="2"/>
      <c r="AK45" s="31"/>
      <c r="AM45" s="63"/>
      <c r="AO45" s="63"/>
      <c r="AQ45" s="63"/>
      <c r="AS45" s="63"/>
      <c r="AU45" s="63"/>
    </row>
    <row r="46" spans="1:47" x14ac:dyDescent="0.2">
      <c r="A46" s="18"/>
      <c r="B46" s="2"/>
      <c r="C46" s="2"/>
      <c r="D46" s="20"/>
      <c r="F46" s="20"/>
      <c r="G46" s="20"/>
      <c r="H46" s="20"/>
      <c r="I46" s="20"/>
      <c r="J46" s="20"/>
      <c r="L46" s="20"/>
      <c r="AH46" s="18"/>
      <c r="AJ46" s="2"/>
      <c r="AK46" s="31"/>
      <c r="AM46" s="22"/>
      <c r="AO46" s="22"/>
      <c r="AP46" s="22"/>
      <c r="AQ46" s="22"/>
      <c r="AR46" s="22"/>
      <c r="AS46" s="22"/>
      <c r="AU46" s="22"/>
    </row>
    <row r="47" spans="1:47" x14ac:dyDescent="0.2">
      <c r="A47" s="18">
        <v>23</v>
      </c>
      <c r="B47" s="2"/>
      <c r="C47" s="2" t="s">
        <v>368</v>
      </c>
      <c r="D47" s="61">
        <f>SUM(F47:L47)</f>
        <v>100</v>
      </c>
      <c r="E47" s="61"/>
      <c r="F47" s="61">
        <v>0</v>
      </c>
      <c r="G47" s="61"/>
      <c r="H47" s="61">
        <f>H35/SUM($H$35:$J$35)*100</f>
        <v>92.175229415179132</v>
      </c>
      <c r="I47" s="61"/>
      <c r="J47" s="61">
        <f>J35/SUM($H$35:$J$35)*100</f>
        <v>7.8247705848208744</v>
      </c>
      <c r="K47" s="61"/>
      <c r="L47" s="61">
        <v>0</v>
      </c>
      <c r="AH47" s="18"/>
      <c r="AJ47" s="2"/>
      <c r="AK47" s="58"/>
      <c r="AM47" s="23"/>
      <c r="AN47" s="23"/>
      <c r="AO47" s="23"/>
      <c r="AP47" s="23"/>
      <c r="AQ47" s="23"/>
      <c r="AR47" s="23"/>
      <c r="AS47" s="23"/>
      <c r="AT47" s="23"/>
      <c r="AU47" s="23"/>
    </row>
    <row r="48" spans="1:47" x14ac:dyDescent="0.2">
      <c r="A48" s="18">
        <v>24</v>
      </c>
      <c r="B48" s="2" t="s">
        <v>348</v>
      </c>
      <c r="C48" s="2"/>
      <c r="D48" s="24">
        <f>SUM(F48:L48)</f>
        <v>1</v>
      </c>
      <c r="F48" s="24">
        <f>IFERROR(F47/$D47,0)</f>
        <v>0</v>
      </c>
      <c r="H48" s="24">
        <f>IFERROR(H47/$D47,0)</f>
        <v>0.92175229415179127</v>
      </c>
      <c r="J48" s="24">
        <f>IFERROR(J47/$D47,0)</f>
        <v>7.824770584820874E-2</v>
      </c>
      <c r="L48" s="24">
        <f>IFERROR(L47/$D47,0)</f>
        <v>0</v>
      </c>
      <c r="AH48" s="18"/>
      <c r="AJ48" s="2"/>
      <c r="AK48" s="31"/>
      <c r="AM48" s="63"/>
      <c r="AO48" s="63"/>
      <c r="AQ48" s="63"/>
      <c r="AS48" s="63"/>
      <c r="AU48" s="63"/>
    </row>
    <row r="49" spans="1:47" x14ac:dyDescent="0.2">
      <c r="A49" s="18"/>
      <c r="B49" s="2"/>
      <c r="C49" s="2"/>
      <c r="AH49" s="18"/>
      <c r="AJ49" s="31"/>
      <c r="AK49" s="31"/>
    </row>
    <row r="50" spans="1:47" x14ac:dyDescent="0.2">
      <c r="A50" s="18">
        <v>25</v>
      </c>
      <c r="B50" s="2"/>
      <c r="C50" s="2" t="s">
        <v>368</v>
      </c>
      <c r="D50" s="20">
        <f>SUM(F50:L50)</f>
        <v>1</v>
      </c>
      <c r="F50" s="20">
        <v>0</v>
      </c>
      <c r="G50" s="20"/>
      <c r="H50" s="20">
        <v>0</v>
      </c>
      <c r="I50" s="20"/>
      <c r="J50" s="20">
        <v>0</v>
      </c>
      <c r="K50" s="20"/>
      <c r="L50" s="20">
        <v>1</v>
      </c>
      <c r="AH50" s="18"/>
      <c r="AJ50" s="2"/>
      <c r="AK50" s="58"/>
      <c r="AM50" s="22"/>
      <c r="AO50" s="22"/>
      <c r="AP50" s="22"/>
      <c r="AQ50" s="22"/>
      <c r="AR50" s="22"/>
      <c r="AS50" s="22"/>
      <c r="AT50" s="22"/>
      <c r="AU50" s="22"/>
    </row>
    <row r="51" spans="1:47" x14ac:dyDescent="0.2">
      <c r="A51" s="18">
        <v>26</v>
      </c>
      <c r="B51" s="2" t="s">
        <v>258</v>
      </c>
      <c r="C51" s="2"/>
      <c r="D51" s="24">
        <f>SUM(F51:L51)</f>
        <v>1</v>
      </c>
      <c r="F51" s="24">
        <f>IFERROR(F50/$D50,0)</f>
        <v>0</v>
      </c>
      <c r="H51" s="24">
        <f>IFERROR(H50/$D50,0)</f>
        <v>0</v>
      </c>
      <c r="J51" s="24">
        <f>IFERROR(J50/$D50,0)</f>
        <v>0</v>
      </c>
      <c r="L51" s="24">
        <f>IFERROR(L50/$D50,0)</f>
        <v>1</v>
      </c>
      <c r="AH51" s="18"/>
      <c r="AJ51" s="2"/>
      <c r="AK51" s="31"/>
      <c r="AM51" s="63"/>
      <c r="AO51" s="63"/>
      <c r="AQ51" s="63"/>
      <c r="AS51" s="63"/>
      <c r="AU51" s="63"/>
    </row>
    <row r="52" spans="1:47" x14ac:dyDescent="0.2">
      <c r="A52" s="18"/>
      <c r="B52" s="2"/>
      <c r="C52" s="2"/>
      <c r="D52" s="24"/>
      <c r="F52" s="24"/>
      <c r="H52" s="24"/>
      <c r="J52" s="24"/>
      <c r="L52" s="24"/>
      <c r="AH52" s="18"/>
      <c r="AJ52" s="31"/>
      <c r="AK52" s="31"/>
      <c r="AM52" s="63"/>
      <c r="AO52" s="63"/>
      <c r="AQ52" s="63"/>
      <c r="AS52" s="63"/>
      <c r="AU52" s="63"/>
    </row>
    <row r="53" spans="1:47" x14ac:dyDescent="0.2">
      <c r="A53" s="18">
        <v>27</v>
      </c>
      <c r="B53" s="2"/>
      <c r="C53" s="2" t="s">
        <v>368</v>
      </c>
      <c r="D53" s="20">
        <f ca="1">SUM(F53:L53)</f>
        <v>24853.346732706686</v>
      </c>
      <c r="E53" s="14"/>
      <c r="F53" s="20">
        <f ca="1">'Storage Class'!AF31</f>
        <v>18544.471545173586</v>
      </c>
      <c r="G53" s="20">
        <f>'Storage Class'!AG31</f>
        <v>0</v>
      </c>
      <c r="H53" s="20">
        <f ca="1">'Storage Class'!AH31</f>
        <v>5815.2201776259462</v>
      </c>
      <c r="I53" s="20">
        <f>'Storage Class'!AI31</f>
        <v>0</v>
      </c>
      <c r="J53" s="20">
        <f ca="1">'Storage Class'!AJ31</f>
        <v>493.65500990715265</v>
      </c>
      <c r="K53" s="20">
        <f>'Storage Class'!AK31</f>
        <v>0</v>
      </c>
      <c r="L53" s="20">
        <f ca="1">'Storage Class'!AL31</f>
        <v>0</v>
      </c>
      <c r="AH53" s="18"/>
      <c r="AJ53" s="2"/>
      <c r="AK53" s="58"/>
      <c r="AM53" s="22"/>
      <c r="AN53" s="14"/>
      <c r="AO53" s="22"/>
      <c r="AP53" s="22"/>
      <c r="AQ53" s="22"/>
      <c r="AR53" s="22"/>
      <c r="AS53" s="22"/>
      <c r="AT53" s="22"/>
      <c r="AU53" s="22"/>
    </row>
    <row r="54" spans="1:47" x14ac:dyDescent="0.2">
      <c r="A54" s="18">
        <v>28</v>
      </c>
      <c r="B54" s="2" t="s">
        <v>244</v>
      </c>
      <c r="C54" s="2"/>
      <c r="D54" s="24">
        <f ca="1">SUM(F54:L54)</f>
        <v>0.99999999999999989</v>
      </c>
      <c r="F54" s="24">
        <f ca="1">IFERROR(F53/$D53,0)</f>
        <v>0.7461559098907713</v>
      </c>
      <c r="H54" s="24">
        <f ca="1">IFERROR(H53/$D53,0)</f>
        <v>0.23398137241505551</v>
      </c>
      <c r="J54" s="24">
        <f ca="1">IFERROR(J53/$D53,0)</f>
        <v>1.9862717694173113E-2</v>
      </c>
      <c r="L54" s="24">
        <f ca="1">IFERROR(L53/$D53,0)</f>
        <v>0</v>
      </c>
      <c r="AH54" s="18"/>
      <c r="AJ54" s="2"/>
      <c r="AK54" s="31"/>
      <c r="AM54" s="63"/>
      <c r="AO54" s="63"/>
      <c r="AQ54" s="63"/>
      <c r="AS54" s="63"/>
      <c r="AU54" s="63"/>
    </row>
    <row r="55" spans="1:47" x14ac:dyDescent="0.2">
      <c r="A55" s="18"/>
      <c r="B55" s="2"/>
      <c r="C55" s="2"/>
      <c r="AH55" s="18"/>
      <c r="AJ55" s="31"/>
      <c r="AK55" s="31"/>
    </row>
    <row r="56" spans="1:47" x14ac:dyDescent="0.2">
      <c r="A56" s="18">
        <v>29</v>
      </c>
      <c r="B56" s="2"/>
      <c r="C56" s="2" t="s">
        <v>368</v>
      </c>
      <c r="D56" s="61">
        <f>SUM(F56:L56)</f>
        <v>100</v>
      </c>
      <c r="E56" s="61"/>
      <c r="F56" s="61">
        <f>R66*100</f>
        <v>72.787734284862822</v>
      </c>
      <c r="G56" s="61"/>
      <c r="H56" s="61">
        <f>T66*100</f>
        <v>25.082968351995827</v>
      </c>
      <c r="I56" s="61"/>
      <c r="J56" s="61">
        <f>V66*100</f>
        <v>2.1292973631413492</v>
      </c>
      <c r="K56" s="61"/>
      <c r="L56" s="61">
        <f>X66*100</f>
        <v>0</v>
      </c>
      <c r="P56" s="77" t="s">
        <v>120</v>
      </c>
      <c r="AH56" s="18"/>
      <c r="AJ56" s="2"/>
      <c r="AK56" s="58"/>
      <c r="AM56" s="23"/>
      <c r="AN56" s="23"/>
      <c r="AO56" s="23"/>
      <c r="AP56" s="23"/>
      <c r="AQ56" s="23"/>
      <c r="AR56" s="23"/>
      <c r="AS56" s="23"/>
      <c r="AT56" s="23"/>
      <c r="AU56" s="23"/>
    </row>
    <row r="57" spans="1:47" x14ac:dyDescent="0.2">
      <c r="A57" s="18">
        <v>30</v>
      </c>
      <c r="B57" s="2" t="s">
        <v>120</v>
      </c>
      <c r="C57" s="2"/>
      <c r="D57" s="24">
        <f>SUM(F57:L57)</f>
        <v>1</v>
      </c>
      <c r="F57" s="24">
        <f>IFERROR(F56/$D56,0)</f>
        <v>0.72787734284862826</v>
      </c>
      <c r="H57" s="24">
        <f>IFERROR(H56/$D56,0)</f>
        <v>0.25082968351995827</v>
      </c>
      <c r="J57" s="24">
        <f>IFERROR(J56/$D56,0)</f>
        <v>2.1292973631413491E-2</v>
      </c>
      <c r="L57" s="24">
        <f>IFERROR(L56/$D56,0)</f>
        <v>0</v>
      </c>
      <c r="R57" s="18"/>
      <c r="V57" s="18" t="s">
        <v>343</v>
      </c>
      <c r="X57" s="18" t="s">
        <v>8</v>
      </c>
      <c r="AH57" s="18"/>
      <c r="AJ57" s="2"/>
      <c r="AK57" s="31"/>
      <c r="AM57" s="63"/>
      <c r="AO57" s="63"/>
      <c r="AQ57" s="63"/>
      <c r="AS57" s="63"/>
      <c r="AU57" s="63"/>
    </row>
    <row r="58" spans="1:47" x14ac:dyDescent="0.2">
      <c r="A58" s="18"/>
      <c r="B58" s="2"/>
      <c r="C58" s="2"/>
      <c r="R58" s="4" t="s">
        <v>46</v>
      </c>
      <c r="T58" s="16" t="s">
        <v>47</v>
      </c>
      <c r="V58" s="4" t="s">
        <v>344</v>
      </c>
      <c r="X58" s="4" t="s">
        <v>49</v>
      </c>
      <c r="AH58" s="18"/>
      <c r="AJ58" s="31"/>
      <c r="AK58" s="31"/>
    </row>
    <row r="59" spans="1:47" x14ac:dyDescent="0.2">
      <c r="A59" s="18">
        <v>31</v>
      </c>
      <c r="B59" s="2"/>
      <c r="C59" s="2" t="s">
        <v>368</v>
      </c>
      <c r="D59" s="20">
        <f ca="1">SUM(F59:L59)</f>
        <v>18114.010056501611</v>
      </c>
      <c r="E59" s="14"/>
      <c r="F59" s="20">
        <f ca="1">'Storage Class'!AF162</f>
        <v>12825.262663793503</v>
      </c>
      <c r="G59" s="20">
        <f>'Storage Class'!AG162</f>
        <v>0</v>
      </c>
      <c r="H59" s="20">
        <f ca="1">'Storage Class'!AH162</f>
        <v>4874.9150424180061</v>
      </c>
      <c r="I59" s="20">
        <f>'Storage Class'!AI162</f>
        <v>0</v>
      </c>
      <c r="J59" s="20">
        <f ca="1">'Storage Class'!AJ162</f>
        <v>413.83235029010518</v>
      </c>
      <c r="K59" s="20">
        <f>'Storage Class'!AK162</f>
        <v>0</v>
      </c>
      <c r="L59" s="20">
        <f ca="1">'Storage Class'!AL162</f>
        <v>0</v>
      </c>
      <c r="AH59" s="18"/>
      <c r="AJ59" s="2"/>
      <c r="AK59" s="58"/>
      <c r="AM59" s="22"/>
      <c r="AN59" s="14"/>
      <c r="AO59" s="22"/>
      <c r="AP59" s="22"/>
      <c r="AQ59" s="22"/>
      <c r="AR59" s="22"/>
      <c r="AS59" s="22"/>
      <c r="AT59" s="22"/>
      <c r="AU59" s="22"/>
    </row>
    <row r="60" spans="1:47" x14ac:dyDescent="0.2">
      <c r="A60" s="18">
        <v>32</v>
      </c>
      <c r="B60" s="2" t="s">
        <v>226</v>
      </c>
      <c r="C60" s="2"/>
      <c r="D60" s="24">
        <f ca="1">SUM(F60:L60)</f>
        <v>1.0000000000000002</v>
      </c>
      <c r="F60" s="24">
        <f ca="1">IFERROR(F59/$D59,0)</f>
        <v>0.70803000681730144</v>
      </c>
      <c r="H60" s="24">
        <f ca="1">IFERROR(H59/$D59,0)</f>
        <v>0.2691240110396354</v>
      </c>
      <c r="J60" s="24">
        <f ca="1">IFERROR(J59/$D59,0)</f>
        <v>2.2845982143063319E-2</v>
      </c>
      <c r="L60" s="24">
        <f ca="1">IFERROR(L59/$D59,0)</f>
        <v>0</v>
      </c>
      <c r="P60" s="1" t="s">
        <v>359</v>
      </c>
      <c r="R60" s="47">
        <v>449162.79816525371</v>
      </c>
      <c r="S60" s="20"/>
      <c r="T60" s="47">
        <v>130643.75619523317</v>
      </c>
      <c r="U60" s="20"/>
      <c r="V60" s="47">
        <v>11090.370233443955</v>
      </c>
      <c r="W60" s="20"/>
      <c r="X60" s="47">
        <v>0</v>
      </c>
      <c r="AH60" s="18"/>
      <c r="AJ60" s="2"/>
      <c r="AK60" s="31"/>
      <c r="AM60" s="63"/>
      <c r="AO60" s="63"/>
      <c r="AQ60" s="63"/>
      <c r="AS60" s="63"/>
      <c r="AU60" s="63"/>
    </row>
    <row r="61" spans="1:47" x14ac:dyDescent="0.2">
      <c r="A61" s="18"/>
      <c r="B61" s="2"/>
      <c r="C61" s="2"/>
      <c r="R61" s="24">
        <f>R60/SUM($R$60:$X$60)</f>
        <v>0.76013730901361865</v>
      </c>
      <c r="S61" s="24"/>
      <c r="T61" s="24">
        <f>T60/SUM($R$60:$X$60)</f>
        <v>0.22109398569811922</v>
      </c>
      <c r="U61" s="24"/>
      <c r="V61" s="24">
        <f>V60/SUM($R$60:$X$60)</f>
        <v>1.8768705288262157E-2</v>
      </c>
      <c r="W61" s="24"/>
      <c r="X61" s="24">
        <f>X60/SUM($R$60:$X$60)</f>
        <v>0</v>
      </c>
      <c r="AH61" s="18"/>
      <c r="AJ61" s="31"/>
      <c r="AK61" s="31"/>
    </row>
    <row r="62" spans="1:47" ht="15" x14ac:dyDescent="0.25">
      <c r="A62" s="18">
        <v>33</v>
      </c>
      <c r="B62" s="2"/>
      <c r="C62" s="2" t="s">
        <v>368</v>
      </c>
      <c r="D62" s="20">
        <f>SUM(F62:L62)</f>
        <v>590896.92459393083</v>
      </c>
      <c r="E62" s="14"/>
      <c r="F62" s="20">
        <v>449162.79816525371</v>
      </c>
      <c r="G62" s="20"/>
      <c r="H62" s="20">
        <v>130643.75619523317</v>
      </c>
      <c r="I62" s="20"/>
      <c r="J62" s="20">
        <v>11090.370233443955</v>
      </c>
      <c r="K62" s="20"/>
      <c r="L62" s="20">
        <v>0</v>
      </c>
      <c r="P62"/>
      <c r="Q62"/>
      <c r="R62"/>
      <c r="S62"/>
      <c r="T62"/>
      <c r="U62"/>
      <c r="V62"/>
      <c r="W62"/>
      <c r="X62"/>
      <c r="AH62" s="18"/>
      <c r="AJ62" s="2"/>
      <c r="AK62" s="58"/>
      <c r="AM62" s="22"/>
      <c r="AN62" s="14"/>
      <c r="AO62" s="22"/>
      <c r="AP62" s="22"/>
      <c r="AQ62" s="22"/>
      <c r="AR62" s="22"/>
      <c r="AS62" s="22"/>
      <c r="AT62" s="22"/>
      <c r="AU62" s="22"/>
    </row>
    <row r="63" spans="1:47" x14ac:dyDescent="0.2">
      <c r="A63" s="18">
        <v>34</v>
      </c>
      <c r="B63" s="2" t="s">
        <v>231</v>
      </c>
      <c r="C63" s="2"/>
      <c r="D63" s="24">
        <f>SUM(F63:L63)</f>
        <v>1</v>
      </c>
      <c r="F63" s="24">
        <f>IFERROR(F62/$D62,0)</f>
        <v>0.76013730901361865</v>
      </c>
      <c r="H63" s="24">
        <f>IFERROR(H62/$D62,0)</f>
        <v>0.22109398569811922</v>
      </c>
      <c r="J63" s="24">
        <f>IFERROR(J62/$D62,0)</f>
        <v>1.8768705288262157E-2</v>
      </c>
      <c r="L63" s="24">
        <f>IFERROR(L62/$D62,0)</f>
        <v>0</v>
      </c>
      <c r="P63" s="1" t="s">
        <v>37</v>
      </c>
      <c r="R63" s="47">
        <v>39238.240291071219</v>
      </c>
      <c r="S63" s="20"/>
      <c r="T63" s="47">
        <v>15826.073671319809</v>
      </c>
      <c r="U63" s="20"/>
      <c r="V63" s="47">
        <v>1343.4780311613576</v>
      </c>
      <c r="W63" s="20"/>
      <c r="X63" s="47">
        <v>0</v>
      </c>
      <c r="AH63" s="18"/>
      <c r="AJ63" s="2"/>
      <c r="AK63" s="31"/>
      <c r="AM63" s="63"/>
      <c r="AO63" s="63"/>
      <c r="AQ63" s="63"/>
      <c r="AS63" s="63"/>
      <c r="AU63" s="63"/>
    </row>
    <row r="64" spans="1:47" x14ac:dyDescent="0.2">
      <c r="A64" s="18"/>
      <c r="B64" s="2"/>
      <c r="C64" s="2"/>
      <c r="R64" s="24">
        <f>R63/SUM($R$63:$X$63)</f>
        <v>0.69561737668363788</v>
      </c>
      <c r="S64" s="24"/>
      <c r="T64" s="24">
        <f>T63/SUM($R$63:$X$63)</f>
        <v>0.28056538134179737</v>
      </c>
      <c r="U64" s="24"/>
      <c r="V64" s="24">
        <f>V63/SUM($R$63:$X$63)</f>
        <v>2.3817241974564828E-2</v>
      </c>
      <c r="W64" s="24"/>
      <c r="X64" s="24">
        <f>X63/SUM($R$63:$X$63)</f>
        <v>0</v>
      </c>
      <c r="AH64" s="18"/>
      <c r="AJ64" s="31"/>
      <c r="AK64" s="31"/>
    </row>
    <row r="65" spans="1:47" x14ac:dyDescent="0.2">
      <c r="A65" s="18">
        <v>35</v>
      </c>
      <c r="B65" s="2"/>
      <c r="C65" s="2" t="s">
        <v>368</v>
      </c>
      <c r="D65" s="20">
        <f>SUM(F65:L65)</f>
        <v>42684.892213755396</v>
      </c>
      <c r="E65" s="14"/>
      <c r="F65" s="20">
        <v>29692.352745756365</v>
      </c>
      <c r="G65" s="20"/>
      <c r="H65" s="20">
        <v>11975.903061485798</v>
      </c>
      <c r="I65" s="20"/>
      <c r="J65" s="20">
        <v>1016.6364065132302</v>
      </c>
      <c r="K65" s="20"/>
      <c r="L65" s="20">
        <v>0</v>
      </c>
      <c r="AH65" s="18"/>
      <c r="AJ65" s="2"/>
      <c r="AK65" s="58"/>
      <c r="AM65" s="22"/>
      <c r="AN65" s="14"/>
      <c r="AO65" s="22"/>
      <c r="AP65" s="22"/>
      <c r="AQ65" s="22"/>
      <c r="AR65" s="22"/>
      <c r="AS65" s="22"/>
      <c r="AT65" s="22"/>
      <c r="AU65" s="22"/>
    </row>
    <row r="66" spans="1:47" x14ac:dyDescent="0.2">
      <c r="A66" s="18">
        <v>36</v>
      </c>
      <c r="B66" s="2" t="s">
        <v>158</v>
      </c>
      <c r="C66" s="2"/>
      <c r="D66" s="24">
        <f>SUM(F66:L66)</f>
        <v>0.99999999999999989</v>
      </c>
      <c r="F66" s="24">
        <f>IFERROR(F65/$D65,0)</f>
        <v>0.69561737668363777</v>
      </c>
      <c r="H66" s="24">
        <f>IFERROR(H65/$D65,0)</f>
        <v>0.28056538134179732</v>
      </c>
      <c r="J66" s="24">
        <f>IFERROR(J65/$D65,0)</f>
        <v>2.3817241974564824E-2</v>
      </c>
      <c r="L66" s="24">
        <f>IFERROR(L65/$D65,0)</f>
        <v>0</v>
      </c>
      <c r="P66" s="31" t="s">
        <v>360</v>
      </c>
      <c r="Q66" s="118"/>
      <c r="R66" s="108">
        <f>0.5*R61+0.5*R64</f>
        <v>0.72787734284862826</v>
      </c>
      <c r="S66" s="107"/>
      <c r="T66" s="108">
        <f>0.5*T61+0.5*T64</f>
        <v>0.25082968351995827</v>
      </c>
      <c r="U66" s="106"/>
      <c r="V66" s="108">
        <f>0.5*V61+0.5*V64</f>
        <v>2.1292973631413491E-2</v>
      </c>
      <c r="W66" s="106"/>
      <c r="X66" s="108">
        <f>0.5*X61+0.5*X64</f>
        <v>0</v>
      </c>
      <c r="AH66" s="18"/>
      <c r="AJ66" s="2"/>
      <c r="AK66" s="31"/>
      <c r="AM66" s="63"/>
      <c r="AO66" s="63"/>
      <c r="AQ66" s="63"/>
      <c r="AS66" s="63"/>
      <c r="AU66" s="63"/>
    </row>
    <row r="67" spans="1:47" x14ac:dyDescent="0.2">
      <c r="A67" s="18"/>
      <c r="B67" s="2"/>
      <c r="C67" s="2"/>
      <c r="AH67" s="18"/>
      <c r="AJ67" s="31"/>
      <c r="AK67" s="31"/>
    </row>
    <row r="68" spans="1:47" x14ac:dyDescent="0.2">
      <c r="A68" s="18">
        <v>37</v>
      </c>
      <c r="B68" s="2"/>
      <c r="C68" s="2" t="s">
        <v>367</v>
      </c>
      <c r="D68" s="20">
        <f>SUM(F68:L68)</f>
        <v>4084.6733599950671</v>
      </c>
      <c r="F68" s="20">
        <v>4023.6655469486204</v>
      </c>
      <c r="G68" s="20"/>
      <c r="H68" s="20">
        <v>56.234091636745781</v>
      </c>
      <c r="I68" s="20"/>
      <c r="J68" s="20">
        <v>4.7737214097008689</v>
      </c>
      <c r="K68" s="20"/>
      <c r="L68" s="20">
        <v>0</v>
      </c>
      <c r="AH68" s="18"/>
      <c r="AJ68" s="2"/>
      <c r="AK68" s="58"/>
      <c r="AM68" s="22"/>
      <c r="AO68" s="22"/>
      <c r="AP68" s="22"/>
      <c r="AQ68" s="22"/>
      <c r="AR68" s="22"/>
      <c r="AS68" s="22"/>
      <c r="AT68" s="22"/>
      <c r="AU68" s="22"/>
    </row>
    <row r="69" spans="1:47" x14ac:dyDescent="0.2">
      <c r="A69" s="18">
        <v>38</v>
      </c>
      <c r="B69" s="2" t="s">
        <v>159</v>
      </c>
      <c r="C69" s="2"/>
      <c r="D69" s="24">
        <f>SUM(F69:L69)</f>
        <v>0.99999999999999989</v>
      </c>
      <c r="F69" s="24">
        <f>IFERROR(F68/$D68,0)</f>
        <v>0.98506421256496246</v>
      </c>
      <c r="H69" s="24">
        <f>IFERROR(H68/$D68,0)</f>
        <v>1.3767096333209295E-2</v>
      </c>
      <c r="J69" s="24">
        <f>IFERROR(J68/$D68,0)</f>
        <v>1.1686911018281849E-3</v>
      </c>
      <c r="L69" s="24">
        <f>IFERROR(L68/$D68,0)</f>
        <v>0</v>
      </c>
      <c r="AH69" s="18"/>
      <c r="AJ69" s="2"/>
      <c r="AK69" s="58"/>
      <c r="AM69" s="63"/>
      <c r="AO69" s="63"/>
      <c r="AQ69" s="63"/>
      <c r="AS69" s="63"/>
      <c r="AU69" s="63"/>
    </row>
    <row r="70" spans="1:47" x14ac:dyDescent="0.2">
      <c r="A70" s="18"/>
      <c r="B70" s="2"/>
      <c r="C70" s="2"/>
      <c r="D70" s="20"/>
      <c r="F70" s="20"/>
      <c r="G70" s="20"/>
      <c r="H70" s="20"/>
      <c r="I70" s="20"/>
      <c r="J70" s="20"/>
      <c r="L70" s="20"/>
      <c r="AH70" s="18"/>
      <c r="AJ70" s="2"/>
      <c r="AK70" s="31"/>
      <c r="AM70" s="22"/>
      <c r="AO70" s="22"/>
      <c r="AP70" s="22"/>
      <c r="AQ70" s="22"/>
      <c r="AR70" s="22"/>
      <c r="AS70" s="22"/>
      <c r="AU70" s="22"/>
    </row>
    <row r="71" spans="1:47" x14ac:dyDescent="0.2">
      <c r="A71" s="18">
        <v>39</v>
      </c>
      <c r="B71" s="2"/>
      <c r="C71" s="2" t="s">
        <v>368</v>
      </c>
      <c r="D71" s="20">
        <f>SUM(F71:L71)</f>
        <v>1128725.1756033169</v>
      </c>
      <c r="F71" s="20">
        <v>462618.2301099631</v>
      </c>
      <c r="G71" s="20"/>
      <c r="H71" s="20">
        <v>609854.86877531186</v>
      </c>
      <c r="I71" s="20"/>
      <c r="J71" s="20">
        <v>56252.076718041862</v>
      </c>
      <c r="K71" s="20"/>
      <c r="L71" s="20">
        <v>0</v>
      </c>
      <c r="M71" s="53"/>
      <c r="AH71" s="18"/>
      <c r="AJ71" s="2"/>
      <c r="AK71" s="58"/>
      <c r="AM71" s="22"/>
      <c r="AO71" s="22"/>
      <c r="AP71" s="22"/>
      <c r="AQ71" s="22"/>
      <c r="AR71" s="22"/>
      <c r="AS71" s="22"/>
      <c r="AT71" s="22"/>
      <c r="AU71" s="22"/>
    </row>
    <row r="72" spans="1:47" x14ac:dyDescent="0.2">
      <c r="A72" s="18">
        <v>40</v>
      </c>
      <c r="B72" s="2" t="s">
        <v>85</v>
      </c>
      <c r="C72" s="2"/>
      <c r="D72" s="24">
        <f>SUM(F72:L72)</f>
        <v>0.99999999999999989</v>
      </c>
      <c r="F72" s="24">
        <f>IFERROR(F71/$D71,0)</f>
        <v>0.40985905170644238</v>
      </c>
      <c r="H72" s="24">
        <f>IFERROR(H71/$D71,0)</f>
        <v>0.54030412535924632</v>
      </c>
      <c r="J72" s="24">
        <f>IFERROR(J71/$D71,0)</f>
        <v>4.9836822934311242E-2</v>
      </c>
      <c r="L72" s="24">
        <f>IFERROR(L71/$D71,0)</f>
        <v>0</v>
      </c>
      <c r="AH72" s="18"/>
      <c r="AJ72" s="2"/>
      <c r="AK72" s="31"/>
      <c r="AM72" s="63"/>
      <c r="AO72" s="63"/>
      <c r="AQ72" s="63"/>
      <c r="AS72" s="63"/>
      <c r="AU72" s="63"/>
    </row>
    <row r="73" spans="1:47" x14ac:dyDescent="0.2">
      <c r="A73" s="18"/>
      <c r="B73" s="2"/>
      <c r="C73" s="2"/>
      <c r="AH73" s="18"/>
      <c r="AJ73" s="31"/>
      <c r="AK73" s="31"/>
    </row>
    <row r="74" spans="1:47" x14ac:dyDescent="0.2">
      <c r="A74" s="18">
        <v>41</v>
      </c>
      <c r="B74" s="2"/>
      <c r="C74" s="2" t="s">
        <v>368</v>
      </c>
      <c r="D74" s="20">
        <f>SUM(F74:L74)</f>
        <v>10889.315564516064</v>
      </c>
      <c r="E74" s="14"/>
      <c r="F74" s="20">
        <v>7314.2538809245907</v>
      </c>
      <c r="G74" s="20"/>
      <c r="H74" s="20">
        <v>3295.3213085846064</v>
      </c>
      <c r="I74" s="20"/>
      <c r="J74" s="20">
        <v>279.74037500686757</v>
      </c>
      <c r="K74" s="20"/>
      <c r="L74" s="20">
        <v>0</v>
      </c>
      <c r="AH74" s="18"/>
      <c r="AJ74" s="2"/>
      <c r="AK74" s="58"/>
      <c r="AM74" s="22"/>
      <c r="AN74" s="14"/>
      <c r="AO74" s="22"/>
      <c r="AP74" s="22"/>
      <c r="AQ74" s="22"/>
      <c r="AR74" s="22"/>
      <c r="AS74" s="22"/>
      <c r="AT74" s="22"/>
      <c r="AU74" s="22"/>
    </row>
    <row r="75" spans="1:47" x14ac:dyDescent="0.2">
      <c r="A75" s="18">
        <v>42</v>
      </c>
      <c r="B75" s="2" t="s">
        <v>350</v>
      </c>
      <c r="D75" s="24">
        <f>SUM(F75:L75)</f>
        <v>0.99999999999999989</v>
      </c>
      <c r="F75" s="24">
        <f>IFERROR(F74/$D74,0)</f>
        <v>0.67169087327754795</v>
      </c>
      <c r="H75" s="24">
        <f>IFERROR(H74/$D74,0)</f>
        <v>0.30261969074739131</v>
      </c>
      <c r="J75" s="24">
        <f>IFERROR(J74/$D74,0)</f>
        <v>2.5689435975060716E-2</v>
      </c>
      <c r="L75" s="24">
        <f>IFERROR(L74/$D74,0)</f>
        <v>0</v>
      </c>
      <c r="AH75" s="18"/>
      <c r="AJ75" s="31"/>
      <c r="AK75" s="31"/>
      <c r="AM75" s="63"/>
      <c r="AO75" s="63"/>
      <c r="AQ75" s="63"/>
      <c r="AS75" s="63"/>
      <c r="AU75" s="63"/>
    </row>
    <row r="76" spans="1:47" x14ac:dyDescent="0.2">
      <c r="B76" s="18"/>
      <c r="D76" s="20"/>
      <c r="F76" s="20"/>
      <c r="G76" s="20"/>
      <c r="H76" s="20"/>
      <c r="I76" s="20"/>
      <c r="J76" s="20"/>
      <c r="L76" s="20"/>
      <c r="AH76" s="18"/>
      <c r="AJ76" s="31"/>
      <c r="AK76" s="31"/>
    </row>
  </sheetData>
  <mergeCells count="2">
    <mergeCell ref="B6:L6"/>
    <mergeCell ref="B7:L7"/>
  </mergeCells>
  <conditionalFormatting sqref="M119">
    <cfRule type="cellIs" dxfId="29" priority="15" operator="equal">
      <formula>"check"</formula>
    </cfRule>
    <cfRule type="cellIs" dxfId="28" priority="16" operator="equal">
      <formula>"ok"</formula>
    </cfRule>
  </conditionalFormatting>
  <conditionalFormatting sqref="M125">
    <cfRule type="cellIs" dxfId="27" priority="11" operator="equal">
      <formula>"check"</formula>
    </cfRule>
    <cfRule type="cellIs" dxfId="26" priority="12" operator="equal">
      <formula>"ok"</formula>
    </cfRule>
  </conditionalFormatting>
  <conditionalFormatting sqref="M128">
    <cfRule type="cellIs" dxfId="25" priority="9" operator="equal">
      <formula>"check"</formula>
    </cfRule>
    <cfRule type="cellIs" dxfId="24" priority="10" operator="equal">
      <formula>"ok"</formula>
    </cfRule>
  </conditionalFormatting>
  <conditionalFormatting sqref="M131">
    <cfRule type="cellIs" dxfId="23" priority="7" operator="equal">
      <formula>"check"</formula>
    </cfRule>
    <cfRule type="cellIs" dxfId="22" priority="8" operator="equal">
      <formula>"ok"</formula>
    </cfRule>
  </conditionalFormatting>
  <conditionalFormatting sqref="M134">
    <cfRule type="cellIs" dxfId="21" priority="5" operator="equal">
      <formula>"check"</formula>
    </cfRule>
    <cfRule type="cellIs" dxfId="20" priority="6" operator="equal">
      <formula>"ok"</formula>
    </cfRule>
  </conditionalFormatting>
  <conditionalFormatting sqref="M137">
    <cfRule type="cellIs" dxfId="19" priority="13" operator="equal">
      <formula>"check"</formula>
    </cfRule>
    <cfRule type="cellIs" dxfId="18" priority="14" operator="equal">
      <formula>"ok"</formula>
    </cfRule>
  </conditionalFormatting>
  <conditionalFormatting sqref="M140">
    <cfRule type="cellIs" dxfId="17" priority="1" operator="equal">
      <formula>"check"</formula>
    </cfRule>
    <cfRule type="cellIs" dxfId="16" priority="2" operator="equal">
      <formula>"ok"</formula>
    </cfRule>
  </conditionalFormatting>
  <pageMargins left="0.7" right="0.7" top="0.75" bottom="0.75" header="0.3" footer="0.3"/>
  <pageSetup scale="69" fitToHeight="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1ECE3-30C9-49DE-B9A7-24F0073C0501}">
  <sheetPr>
    <tabColor theme="0" tint="-0.249977111117893"/>
    <pageSetUpPr fitToPage="1"/>
  </sheetPr>
  <dimension ref="B5:AZ181"/>
  <sheetViews>
    <sheetView topLeftCell="A38" zoomScale="80" zoomScaleNormal="80" workbookViewId="0">
      <selection activeCell="AJ26" sqref="AJ26"/>
    </sheetView>
  </sheetViews>
  <sheetFormatPr defaultColWidth="9.140625" defaultRowHeight="12.75" x14ac:dyDescent="0.2"/>
  <cols>
    <col min="1" max="1" width="1.7109375" style="1" customWidth="1"/>
    <col min="2" max="2" width="5.5703125" style="18" bestFit="1" customWidth="1"/>
    <col min="3" max="3" width="1.7109375" style="1" customWidth="1"/>
    <col min="4" max="4" width="46" style="1" bestFit="1" customWidth="1"/>
    <col min="5" max="5" width="1.7109375" style="1" customWidth="1"/>
    <col min="6" max="6" width="19.7109375" style="31" customWidth="1"/>
    <col min="7" max="7" width="1.7109375" style="31" customWidth="1"/>
    <col min="8" max="8" width="13.140625" style="31" customWidth="1"/>
    <col min="9" max="9" width="1.7109375" style="31" customWidth="1"/>
    <col min="10" max="10" width="19.28515625" style="31" customWidth="1"/>
    <col min="11" max="11" width="1.7109375" style="74" customWidth="1"/>
    <col min="12" max="12" width="13.28515625" style="31" customWidth="1"/>
    <col min="13" max="13" width="1.7109375" style="1" customWidth="1"/>
    <col min="14" max="14" width="19.85546875" style="1" customWidth="1"/>
    <col min="15" max="15" width="1.7109375" style="74" customWidth="1"/>
    <col min="16" max="16" width="15.42578125" style="1" customWidth="1"/>
    <col min="17" max="17" width="1.7109375" style="1" customWidth="1"/>
    <col min="18" max="18" width="15.42578125" style="1" customWidth="1"/>
    <col min="19" max="19" width="1.7109375" style="1" customWidth="1"/>
    <col min="20" max="20" width="15.42578125" style="1" customWidth="1"/>
    <col min="21" max="21" width="1.7109375" style="1" customWidth="1"/>
    <col min="22" max="22" width="15.42578125" style="1" customWidth="1"/>
    <col min="23" max="23" width="1.7109375" style="1" customWidth="1"/>
    <col min="24" max="24" width="15.42578125" style="1" customWidth="1"/>
    <col min="25" max="25" width="1.7109375" style="1" customWidth="1"/>
    <col min="26" max="26" width="15.42578125" style="1" customWidth="1"/>
    <col min="27" max="27" width="1.7109375" style="1" customWidth="1"/>
    <col min="28" max="28" width="15.42578125" style="1" customWidth="1"/>
    <col min="29" max="29" width="1.7109375" style="1" customWidth="1"/>
    <col min="30" max="30" width="15.42578125" style="1" hidden="1" customWidth="1"/>
    <col min="31" max="31" width="9.140625" style="1"/>
    <col min="32" max="32" width="0" style="1" hidden="1" customWidth="1"/>
    <col min="33" max="33" width="9.140625" style="1"/>
    <col min="34" max="34" width="9.140625" style="31"/>
    <col min="35" max="35" width="11.5703125" style="31" customWidth="1"/>
    <col min="36" max="37" width="9.140625" style="31"/>
    <col min="38" max="38" width="11.5703125" style="31" customWidth="1"/>
    <col min="39" max="39" width="2.140625" style="31" customWidth="1"/>
    <col min="40" max="40" width="11.5703125" style="31" customWidth="1"/>
    <col min="41" max="41" width="2" style="31" customWidth="1"/>
    <col min="42" max="42" width="11.5703125" style="31" customWidth="1"/>
    <col min="43" max="43" width="2.140625" style="31" customWidth="1"/>
    <col min="44" max="44" width="11.5703125" style="31" customWidth="1"/>
    <col min="45" max="45" width="2.140625" style="31" customWidth="1"/>
    <col min="46" max="46" width="11.5703125" style="31" customWidth="1"/>
    <col min="47" max="47" width="2.140625" style="31" customWidth="1"/>
    <col min="48" max="48" width="11.5703125" style="31" customWidth="1"/>
    <col min="49" max="49" width="2.140625" style="31" customWidth="1"/>
    <col min="50" max="50" width="11.5703125" style="31" customWidth="1"/>
    <col min="51" max="51" width="2.140625" style="31" customWidth="1"/>
    <col min="52" max="52" width="11.5703125" style="31" customWidth="1"/>
    <col min="53" max="16384" width="9.140625" style="1"/>
  </cols>
  <sheetData>
    <row r="5" spans="2:52" ht="15" customHeight="1" x14ac:dyDescent="0.2"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</row>
    <row r="6" spans="2:52" ht="15" customHeight="1" x14ac:dyDescent="0.2">
      <c r="B6" s="158" t="s">
        <v>511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</row>
    <row r="7" spans="2:52" ht="15" customHeight="1" x14ac:dyDescent="0.2">
      <c r="B7" s="157" t="s">
        <v>377</v>
      </c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</row>
    <row r="10" spans="2:52" x14ac:dyDescent="0.2">
      <c r="H10" s="2" t="s">
        <v>11</v>
      </c>
      <c r="J10" s="2" t="s">
        <v>130</v>
      </c>
      <c r="L10" s="2" t="s">
        <v>137</v>
      </c>
      <c r="N10" s="18" t="s">
        <v>9</v>
      </c>
      <c r="P10" s="159" t="s">
        <v>51</v>
      </c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</row>
    <row r="11" spans="2:52" x14ac:dyDescent="0.2">
      <c r="B11" s="18" t="s">
        <v>2</v>
      </c>
      <c r="F11" s="2" t="s">
        <v>3</v>
      </c>
      <c r="H11" s="2" t="s">
        <v>130</v>
      </c>
      <c r="J11" s="2" t="s">
        <v>131</v>
      </c>
      <c r="L11" s="2" t="s">
        <v>138</v>
      </c>
      <c r="N11" s="18" t="s">
        <v>141</v>
      </c>
      <c r="P11" s="18" t="s">
        <v>52</v>
      </c>
      <c r="Q11" s="18"/>
      <c r="R11" s="2" t="s">
        <v>54</v>
      </c>
      <c r="S11" s="3"/>
      <c r="T11" s="2" t="s">
        <v>55</v>
      </c>
      <c r="U11" s="3"/>
      <c r="V11" s="2" t="s">
        <v>52</v>
      </c>
      <c r="W11" s="3"/>
      <c r="X11" s="2"/>
      <c r="Y11" s="3"/>
      <c r="Z11" s="2" t="s">
        <v>60</v>
      </c>
      <c r="AA11" s="2"/>
      <c r="AB11" s="2" t="s">
        <v>9</v>
      </c>
      <c r="AD11" s="2"/>
    </row>
    <row r="12" spans="2:52" x14ac:dyDescent="0.2">
      <c r="B12" s="4" t="s">
        <v>4</v>
      </c>
      <c r="D12" s="5" t="s">
        <v>374</v>
      </c>
      <c r="F12" s="33" t="s">
        <v>5</v>
      </c>
      <c r="H12" s="33" t="s">
        <v>131</v>
      </c>
      <c r="J12" s="33" t="s">
        <v>6</v>
      </c>
      <c r="K12" s="74" t="s">
        <v>252</v>
      </c>
      <c r="L12" s="33" t="s">
        <v>322</v>
      </c>
      <c r="N12" s="4" t="s">
        <v>6</v>
      </c>
      <c r="O12" s="73" t="s">
        <v>252</v>
      </c>
      <c r="P12" s="4" t="s">
        <v>53</v>
      </c>
      <c r="Q12" s="18"/>
      <c r="R12" s="4" t="s">
        <v>53</v>
      </c>
      <c r="S12" s="18"/>
      <c r="T12" s="4" t="s">
        <v>53</v>
      </c>
      <c r="U12" s="18"/>
      <c r="V12" s="4" t="s">
        <v>55</v>
      </c>
      <c r="W12" s="18"/>
      <c r="X12" s="4" t="s">
        <v>58</v>
      </c>
      <c r="Y12" s="18"/>
      <c r="Z12" s="4" t="s">
        <v>81</v>
      </c>
      <c r="AA12" s="18"/>
      <c r="AB12" s="4" t="s">
        <v>49</v>
      </c>
      <c r="AD12" s="4" t="s">
        <v>11</v>
      </c>
      <c r="AF12" s="26" t="s">
        <v>84</v>
      </c>
      <c r="AH12" s="98"/>
    </row>
    <row r="13" spans="2:52" x14ac:dyDescent="0.2">
      <c r="F13" s="2" t="s">
        <v>12</v>
      </c>
      <c r="H13" s="2" t="s">
        <v>13</v>
      </c>
      <c r="J13" s="2" t="s">
        <v>14</v>
      </c>
      <c r="L13" s="2" t="s">
        <v>192</v>
      </c>
      <c r="N13" s="18" t="s">
        <v>15</v>
      </c>
      <c r="O13" s="73"/>
      <c r="P13" s="18" t="s">
        <v>16</v>
      </c>
      <c r="Q13" s="18"/>
      <c r="R13" s="18" t="s">
        <v>59</v>
      </c>
      <c r="S13" s="18"/>
      <c r="T13" s="18" t="s">
        <v>61</v>
      </c>
      <c r="U13" s="18"/>
      <c r="V13" s="18" t="s">
        <v>62</v>
      </c>
      <c r="W13" s="18"/>
      <c r="X13" s="18" t="s">
        <v>82</v>
      </c>
      <c r="Y13" s="18"/>
      <c r="Z13" s="18" t="s">
        <v>143</v>
      </c>
      <c r="AA13" s="18"/>
      <c r="AB13" s="18" t="s">
        <v>144</v>
      </c>
      <c r="AD13" s="18" t="s">
        <v>270</v>
      </c>
      <c r="AF13" s="27"/>
    </row>
    <row r="14" spans="2:52" s="74" customFormat="1" x14ac:dyDescent="0.2">
      <c r="B14" s="73"/>
      <c r="F14" s="31"/>
      <c r="G14" s="31"/>
      <c r="H14" s="31"/>
      <c r="I14" s="31"/>
      <c r="J14" s="31"/>
      <c r="L14" s="31"/>
      <c r="P14" s="74">
        <v>4</v>
      </c>
      <c r="R14" s="74">
        <v>6</v>
      </c>
      <c r="T14" s="74">
        <v>8</v>
      </c>
      <c r="V14" s="74">
        <v>10</v>
      </c>
      <c r="X14" s="74">
        <v>12</v>
      </c>
      <c r="Z14" s="74">
        <v>14</v>
      </c>
      <c r="AB14" s="74">
        <v>16</v>
      </c>
      <c r="AF14" s="75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</row>
    <row r="15" spans="2:52" x14ac:dyDescent="0.2">
      <c r="D15" s="6"/>
      <c r="E15" s="6"/>
      <c r="F15" s="77"/>
      <c r="AF15" s="25"/>
      <c r="AI15" s="2" t="s">
        <v>318</v>
      </c>
      <c r="AL15" s="2" t="s">
        <v>52</v>
      </c>
      <c r="AM15" s="2"/>
      <c r="AN15" s="2" t="s">
        <v>54</v>
      </c>
      <c r="AO15" s="2"/>
      <c r="AP15" s="2" t="s">
        <v>55</v>
      </c>
      <c r="AQ15" s="2"/>
      <c r="AR15" s="2" t="s">
        <v>56</v>
      </c>
      <c r="AS15" s="2"/>
      <c r="AT15" s="2" t="s">
        <v>57</v>
      </c>
      <c r="AU15" s="2"/>
      <c r="AV15" s="2" t="s">
        <v>60</v>
      </c>
      <c r="AW15" s="2"/>
      <c r="AX15" s="2" t="s">
        <v>9</v>
      </c>
      <c r="AZ15" s="2"/>
    </row>
    <row r="16" spans="2:52" x14ac:dyDescent="0.2">
      <c r="D16" s="6" t="s">
        <v>295</v>
      </c>
      <c r="E16" s="7"/>
      <c r="F16" s="78"/>
      <c r="AF16" s="27"/>
      <c r="AI16" s="33" t="s">
        <v>319</v>
      </c>
      <c r="AL16" s="33" t="s">
        <v>53</v>
      </c>
      <c r="AM16" s="2"/>
      <c r="AN16" s="33" t="s">
        <v>53</v>
      </c>
      <c r="AO16" s="2"/>
      <c r="AP16" s="33" t="s">
        <v>53</v>
      </c>
      <c r="AQ16" s="2"/>
      <c r="AR16" s="33" t="s">
        <v>55</v>
      </c>
      <c r="AS16" s="2"/>
      <c r="AT16" s="33" t="s">
        <v>58</v>
      </c>
      <c r="AU16" s="2"/>
      <c r="AV16" s="33" t="s">
        <v>81</v>
      </c>
      <c r="AW16" s="2"/>
      <c r="AX16" s="33" t="s">
        <v>49</v>
      </c>
      <c r="AZ16" s="33" t="s">
        <v>11</v>
      </c>
    </row>
    <row r="17" spans="2:52" x14ac:dyDescent="0.2">
      <c r="AF17" s="25" t="str">
        <f t="shared" ref="AF17:AF30" si="0">IF(ROUND(F17,4)=ROUND(AD17,4), "", "check")</f>
        <v/>
      </c>
    </row>
    <row r="18" spans="2:52" x14ac:dyDescent="0.2">
      <c r="B18" s="18">
        <v>1</v>
      </c>
      <c r="D18" s="1" t="s">
        <v>76</v>
      </c>
      <c r="F18" s="50">
        <f ca="1">Function!T18</f>
        <v>79166.942309318154</v>
      </c>
      <c r="H18" s="50"/>
      <c r="J18" s="2"/>
      <c r="K18" s="73">
        <f>_xlfn.IFNA(MATCH(J18,'Trans Factors'!$B$13:$B$450,0),0)</f>
        <v>0</v>
      </c>
      <c r="L18" s="50">
        <f ca="1">F18-H18</f>
        <v>79166.942309318154</v>
      </c>
      <c r="N18" s="18" t="s">
        <v>273</v>
      </c>
      <c r="O18" s="73">
        <f>_xlfn.IFNA(MATCH(N18,'Trans Factors'!$B$13:$B$450,0),0)</f>
        <v>29</v>
      </c>
      <c r="P18" s="20">
        <f ca="1">OFFSET('Trans Factors'!$B$13,$O18-1,P$14)*$L18+OFFSET('Trans Factors'!$B$13,$K18-1,P$14)*$H18</f>
        <v>3031.2129016562189</v>
      </c>
      <c r="R18" s="20">
        <f ca="1">OFFSET('Trans Factors'!$B$13,$O18-1,R$14)*$L18+OFFSET('Trans Factors'!$B$13,$K18-1,R$14)*$H18</f>
        <v>0</v>
      </c>
      <c r="S18" s="20"/>
      <c r="T18" s="20">
        <f ca="1">OFFSET('Trans Factors'!$B$13,$O18-1,T$14)*$L18+OFFSET('Trans Factors'!$B$13,$K18-1,T$14)*$H18</f>
        <v>31159.855072747287</v>
      </c>
      <c r="U18" s="20"/>
      <c r="V18" s="20">
        <f ca="1">OFFSET('Trans Factors'!$B$13,$O18-1,V$14)*$L18+OFFSET('Trans Factors'!$B$13,$K18-1,V$14)*$H18</f>
        <v>39457.139453762698</v>
      </c>
      <c r="X18" s="20">
        <f ca="1">OFFSET('Trans Factors'!$B$13,$O18-1,X$14)*$L18+OFFSET('Trans Factors'!$B$13,$K18-1,X$14)*$H18</f>
        <v>42.977502499999986</v>
      </c>
      <c r="Y18" s="9"/>
      <c r="Z18" s="20">
        <f ca="1">OFFSET('Trans Factors'!$B$13,$O18-1,Z$14)*$L18+OFFSET('Trans Factors'!$B$13,$K18-1,Z$14)*$H18</f>
        <v>5475.7573786519433</v>
      </c>
      <c r="AA18" s="20"/>
      <c r="AB18" s="20">
        <f ca="1">OFFSET('Trans Factors'!$B$13,$O18-1,AB$14)*$L18+OFFSET('Trans Factors'!$B$13,$K18-1,AB$14)*$H18</f>
        <v>0</v>
      </c>
      <c r="AD18" s="20">
        <f ca="1">P18+R18+T18+V18+X18+Z18+AB18</f>
        <v>79166.942309318154</v>
      </c>
      <c r="AF18" s="25" t="str">
        <f t="shared" ca="1" si="0"/>
        <v/>
      </c>
      <c r="AI18" s="93">
        <v>0</v>
      </c>
      <c r="AL18" s="93">
        <f ca="1">IFERROR(P18/$AD18*$AI18,"")</f>
        <v>0</v>
      </c>
      <c r="AM18" s="96"/>
      <c r="AN18" s="93">
        <f ca="1">IFERROR(R18/$AD18*$AI18,"")</f>
        <v>0</v>
      </c>
      <c r="AO18" s="96"/>
      <c r="AP18" s="93">
        <f ca="1">IFERROR(T18/$AD18*$AI18,"")</f>
        <v>0</v>
      </c>
      <c r="AQ18" s="96"/>
      <c r="AR18" s="93">
        <f ca="1">IFERROR(V18/$AD18*$AI18,"")</f>
        <v>0</v>
      </c>
      <c r="AS18" s="96"/>
      <c r="AT18" s="93">
        <f ca="1">IFERROR(X18/$AD18*$AI18,"")</f>
        <v>0</v>
      </c>
      <c r="AU18" s="96"/>
      <c r="AV18" s="93">
        <f ca="1">IFERROR(Z18/$AD18*$AI18,"")</f>
        <v>0</v>
      </c>
      <c r="AW18" s="96"/>
      <c r="AX18" s="93">
        <f ca="1">IFERROR(AB18/$AD18*$AI18,"")</f>
        <v>0</v>
      </c>
      <c r="AZ18" s="99">
        <f ca="1">SUM(AL18:AX18)</f>
        <v>0</v>
      </c>
    </row>
    <row r="19" spans="2:52" x14ac:dyDescent="0.2">
      <c r="B19" s="18">
        <f>B18+1</f>
        <v>2</v>
      </c>
      <c r="D19" s="1" t="s">
        <v>75</v>
      </c>
      <c r="F19" s="50">
        <f ca="1">Function!T19</f>
        <v>66946.67524576078</v>
      </c>
      <c r="H19" s="50"/>
      <c r="J19" s="2"/>
      <c r="K19" s="73">
        <f>_xlfn.IFNA(MATCH(J19,'Trans Factors'!$B$13:$B$450,0),0)</f>
        <v>0</v>
      </c>
      <c r="L19" s="50">
        <f t="shared" ref="L19:L30" ca="1" si="1">F19-H19</f>
        <v>66946.67524576078</v>
      </c>
      <c r="N19" s="18" t="s">
        <v>274</v>
      </c>
      <c r="O19" s="73">
        <f>_xlfn.IFNA(MATCH(N19,'Trans Factors'!$B$13:$B$450,0),0)</f>
        <v>32</v>
      </c>
      <c r="P19" s="20">
        <f ca="1">OFFSET('Trans Factors'!$B$13,$O19-1,P$14)*$L19+OFFSET('Trans Factors'!$B$13,$K19-1,P$14)*$H19</f>
        <v>0</v>
      </c>
      <c r="R19" s="20">
        <f ca="1">OFFSET('Trans Factors'!$B$13,$O19-1,R$14)*$L19+OFFSET('Trans Factors'!$B$13,$K19-1,R$14)*$H19</f>
        <v>0</v>
      </c>
      <c r="S19" s="20"/>
      <c r="T19" s="20">
        <f ca="1">OFFSET('Trans Factors'!$B$13,$O19-1,T$14)*$L19+OFFSET('Trans Factors'!$B$13,$K19-1,T$14)*$H19</f>
        <v>449.29173225577108</v>
      </c>
      <c r="U19" s="20"/>
      <c r="V19" s="20">
        <f ca="1">OFFSET('Trans Factors'!$B$13,$O19-1,V$14)*$L19+OFFSET('Trans Factors'!$B$13,$K19-1,V$14)*$H19</f>
        <v>36010.838755091449</v>
      </c>
      <c r="X19" s="20">
        <f ca="1">OFFSET('Trans Factors'!$B$13,$O19-1,X$14)*$L19+OFFSET('Trans Factors'!$B$13,$K19-1,X$14)*$H19</f>
        <v>19861.049590000006</v>
      </c>
      <c r="Y19" s="9"/>
      <c r="Z19" s="20">
        <f ca="1">OFFSET('Trans Factors'!$B$13,$O19-1,Z$14)*$L19+OFFSET('Trans Factors'!$B$13,$K19-1,Z$14)*$H19</f>
        <v>10625.495168413567</v>
      </c>
      <c r="AA19" s="20"/>
      <c r="AB19" s="20">
        <f ca="1">OFFSET('Trans Factors'!$B$13,$O19-1,AB$14)*$L19+OFFSET('Trans Factors'!$B$13,$K19-1,AB$14)*$H19</f>
        <v>0</v>
      </c>
      <c r="AD19" s="20">
        <f t="shared" ref="AD19:AD30" ca="1" si="2">P19+R19+T19+V19+X19+Z19+AB19</f>
        <v>66946.675245760794</v>
      </c>
      <c r="AF19" s="25" t="str">
        <f t="shared" ca="1" si="0"/>
        <v/>
      </c>
      <c r="AI19" s="93">
        <v>1072.9007198544787</v>
      </c>
      <c r="AL19" s="93">
        <f t="shared" ref="AL19:AX30" ca="1" si="3">IFERROR(P19/$AD19*$AI19,"")</f>
        <v>0</v>
      </c>
      <c r="AM19" s="96"/>
      <c r="AN19" s="93">
        <f t="shared" ca="1" si="3"/>
        <v>0</v>
      </c>
      <c r="AO19" s="96"/>
      <c r="AP19" s="93">
        <f t="shared" ca="1" si="3"/>
        <v>7.2004385758112255</v>
      </c>
      <c r="AQ19" s="96"/>
      <c r="AR19" s="93">
        <f t="shared" ca="1" si="3"/>
        <v>577.11685727586143</v>
      </c>
      <c r="AS19" s="96"/>
      <c r="AT19" s="93">
        <f t="shared" ca="1" si="3"/>
        <v>318.29712713815212</v>
      </c>
      <c r="AU19" s="96"/>
      <c r="AV19" s="93">
        <f t="shared" ca="1" si="3"/>
        <v>170.28629686465393</v>
      </c>
      <c r="AW19" s="96"/>
      <c r="AX19" s="93">
        <f t="shared" ca="1" si="3"/>
        <v>0</v>
      </c>
      <c r="AZ19" s="99">
        <f t="shared" ref="AZ19:AZ30" ca="1" si="4">SUM(AL19:AX19)</f>
        <v>1072.9007198544787</v>
      </c>
    </row>
    <row r="20" spans="2:52" x14ac:dyDescent="0.2">
      <c r="B20" s="18">
        <f t="shared" ref="B20:B31" si="5">B19+1</f>
        <v>3</v>
      </c>
      <c r="D20" s="1" t="s">
        <v>19</v>
      </c>
      <c r="F20" s="50">
        <f ca="1">Function!T20</f>
        <v>211517.76996137522</v>
      </c>
      <c r="H20" s="50"/>
      <c r="J20" s="2"/>
      <c r="K20" s="73">
        <f>_xlfn.IFNA(MATCH(J20,'Trans Factors'!$B$13:$B$450,0),0)</f>
        <v>0</v>
      </c>
      <c r="L20" s="50">
        <f t="shared" ca="1" si="1"/>
        <v>211517.76996137522</v>
      </c>
      <c r="N20" s="18" t="s">
        <v>275</v>
      </c>
      <c r="O20" s="73">
        <f>_xlfn.IFNA(MATCH(N20,'Trans Factors'!$B$13:$B$450,0),0)</f>
        <v>65</v>
      </c>
      <c r="P20" s="20">
        <f ca="1">OFFSET('Trans Factors'!$B$13,$O20-1,P$14)*$L20+OFFSET('Trans Factors'!$B$13,$K20-1,P$14)*$H20</f>
        <v>38917.497387146519</v>
      </c>
      <c r="R20" s="20">
        <f ca="1">OFFSET('Trans Factors'!$B$13,$O20-1,R$14)*$L20+OFFSET('Trans Factors'!$B$13,$K20-1,R$14)*$H20</f>
        <v>1921.1219134951616</v>
      </c>
      <c r="S20" s="20"/>
      <c r="T20" s="20">
        <f ca="1">OFFSET('Trans Factors'!$B$13,$O20-1,T$14)*$L20+OFFSET('Trans Factors'!$B$13,$K20-1,T$14)*$H20</f>
        <v>78518.226456491451</v>
      </c>
      <c r="U20" s="20"/>
      <c r="V20" s="20">
        <f ca="1">OFFSET('Trans Factors'!$B$13,$O20-1,V$14)*$L20+OFFSET('Trans Factors'!$B$13,$K20-1,V$14)*$H20</f>
        <v>87003.762408955983</v>
      </c>
      <c r="X20" s="20">
        <f ca="1">OFFSET('Trans Factors'!$B$13,$O20-1,X$14)*$L20+OFFSET('Trans Factors'!$B$13,$K20-1,X$14)*$H20</f>
        <v>0</v>
      </c>
      <c r="Y20" s="9"/>
      <c r="Z20" s="20">
        <f ca="1">OFFSET('Trans Factors'!$B$13,$O20-1,Z$14)*$L20+OFFSET('Trans Factors'!$B$13,$K20-1,Z$14)*$H20</f>
        <v>5157.1617952860888</v>
      </c>
      <c r="AA20" s="20"/>
      <c r="AB20" s="20">
        <f ca="1">OFFSET('Trans Factors'!$B$13,$O20-1,AB$14)*$L20+OFFSET('Trans Factors'!$B$13,$K20-1,AB$14)*$H20</f>
        <v>0</v>
      </c>
      <c r="AD20" s="20">
        <f t="shared" ca="1" si="2"/>
        <v>211517.76996137519</v>
      </c>
      <c r="AF20" s="25" t="str">
        <f t="shared" ca="1" si="0"/>
        <v/>
      </c>
      <c r="AI20" s="93">
        <v>4666.9598691332048</v>
      </c>
      <c r="AL20" s="93">
        <f t="shared" ca="1" si="3"/>
        <v>858.68151194141069</v>
      </c>
      <c r="AM20" s="96"/>
      <c r="AN20" s="93">
        <f t="shared" ca="1" si="3"/>
        <v>42.387922658373043</v>
      </c>
      <c r="AO20" s="96"/>
      <c r="AP20" s="93">
        <f t="shared" ca="1" si="3"/>
        <v>1732.4379504136875</v>
      </c>
      <c r="AQ20" s="96"/>
      <c r="AR20" s="93">
        <f t="shared" ca="1" si="3"/>
        <v>1919.6640911084887</v>
      </c>
      <c r="AS20" s="96"/>
      <c r="AT20" s="93">
        <f t="shared" ca="1" si="3"/>
        <v>0</v>
      </c>
      <c r="AU20" s="96"/>
      <c r="AV20" s="93">
        <f t="shared" ca="1" si="3"/>
        <v>113.78839301124526</v>
      </c>
      <c r="AW20" s="96"/>
      <c r="AX20" s="93">
        <f t="shared" ca="1" si="3"/>
        <v>0</v>
      </c>
      <c r="AZ20" s="99">
        <f t="shared" ca="1" si="4"/>
        <v>4666.9598691332048</v>
      </c>
    </row>
    <row r="21" spans="2:52" x14ac:dyDescent="0.2">
      <c r="B21" s="18">
        <f t="shared" si="5"/>
        <v>4</v>
      </c>
      <c r="D21" s="1" t="s">
        <v>21</v>
      </c>
      <c r="F21" s="50">
        <f ca="1">Function!T21</f>
        <v>251233.18487320884</v>
      </c>
      <c r="H21" s="50"/>
      <c r="J21" s="2"/>
      <c r="K21" s="73">
        <f>_xlfn.IFNA(MATCH(J21,'Trans Factors'!$B$13:$B$450,0),0)</f>
        <v>0</v>
      </c>
      <c r="L21" s="50">
        <f t="shared" ca="1" si="1"/>
        <v>251233.18487320884</v>
      </c>
      <c r="N21" s="18" t="s">
        <v>276</v>
      </c>
      <c r="O21" s="73">
        <f>_xlfn.IFNA(MATCH(N21,'Trans Factors'!$B$13:$B$450,0),0)</f>
        <v>47</v>
      </c>
      <c r="P21" s="20">
        <f ca="1">OFFSET('Trans Factors'!$B$13,$O21-1,P$14)*$L21+OFFSET('Trans Factors'!$B$13,$K21-1,P$14)*$H21</f>
        <v>78959.90158724878</v>
      </c>
      <c r="R21" s="20">
        <f ca="1">OFFSET('Trans Factors'!$B$13,$O21-1,R$14)*$L21+OFFSET('Trans Factors'!$B$13,$K21-1,R$14)*$H21</f>
        <v>14671.957388417999</v>
      </c>
      <c r="S21" s="20"/>
      <c r="T21" s="20">
        <f ca="1">OFFSET('Trans Factors'!$B$13,$O21-1,T$14)*$L21+OFFSET('Trans Factors'!$B$13,$K21-1,T$14)*$H21</f>
        <v>59837.565322128161</v>
      </c>
      <c r="U21" s="20"/>
      <c r="V21" s="20">
        <f ca="1">OFFSET('Trans Factors'!$B$13,$O21-1,V$14)*$L21+OFFSET('Trans Factors'!$B$13,$K21-1,V$14)*$H21</f>
        <v>0</v>
      </c>
      <c r="X21" s="20">
        <f ca="1">OFFSET('Trans Factors'!$B$13,$O21-1,X$14)*$L21+OFFSET('Trans Factors'!$B$13,$K21-1,X$14)*$H21</f>
        <v>3464.1131800000003</v>
      </c>
      <c r="Y21" s="9"/>
      <c r="Z21" s="20">
        <f ca="1">OFFSET('Trans Factors'!$B$13,$O21-1,Z$14)*$L21+OFFSET('Trans Factors'!$B$13,$K21-1,Z$14)*$H21</f>
        <v>94299.647395413922</v>
      </c>
      <c r="AA21" s="20"/>
      <c r="AB21" s="20">
        <f ca="1">OFFSET('Trans Factors'!$B$13,$O21-1,AB$14)*$L21+OFFSET('Trans Factors'!$B$13,$K21-1,AB$14)*$H21</f>
        <v>0</v>
      </c>
      <c r="AD21" s="20">
        <f t="shared" ca="1" si="2"/>
        <v>251233.18487320884</v>
      </c>
      <c r="AF21" s="25" t="str">
        <f t="shared" ca="1" si="0"/>
        <v/>
      </c>
      <c r="AI21" s="93">
        <v>6385.0722624694008</v>
      </c>
      <c r="AL21" s="93">
        <f t="shared" ca="1" si="3"/>
        <v>2006.759886145197</v>
      </c>
      <c r="AM21" s="96"/>
      <c r="AN21" s="93">
        <f t="shared" ca="1" si="3"/>
        <v>372.88667977599971</v>
      </c>
      <c r="AO21" s="96"/>
      <c r="AP21" s="93">
        <f t="shared" ca="1" si="3"/>
        <v>1520.7671661084153</v>
      </c>
      <c r="AQ21" s="96"/>
      <c r="AR21" s="93">
        <f t="shared" ca="1" si="3"/>
        <v>0</v>
      </c>
      <c r="AS21" s="96"/>
      <c r="AT21" s="93">
        <f t="shared" ca="1" si="3"/>
        <v>88.040172681946402</v>
      </c>
      <c r="AU21" s="96"/>
      <c r="AV21" s="93">
        <f t="shared" ca="1" si="3"/>
        <v>2396.6183577578427</v>
      </c>
      <c r="AW21" s="96"/>
      <c r="AX21" s="93">
        <f t="shared" ca="1" si="3"/>
        <v>0</v>
      </c>
      <c r="AZ21" s="99">
        <f t="shared" ca="1" si="4"/>
        <v>6385.0722624694008</v>
      </c>
    </row>
    <row r="22" spans="2:52" x14ac:dyDescent="0.2">
      <c r="B22" s="18">
        <f t="shared" si="5"/>
        <v>5</v>
      </c>
      <c r="D22" s="1" t="s">
        <v>23</v>
      </c>
      <c r="F22" s="50">
        <f ca="1">Function!T22</f>
        <v>1996976.7673333895</v>
      </c>
      <c r="H22" s="50"/>
      <c r="K22" s="73">
        <f>_xlfn.IFNA(MATCH(J22,'Trans Factors'!$B$13:$B$450,0),0)</f>
        <v>0</v>
      </c>
      <c r="L22" s="50">
        <f t="shared" ca="1" si="1"/>
        <v>1996976.7673333895</v>
      </c>
      <c r="N22" s="18" t="s">
        <v>277</v>
      </c>
      <c r="O22" s="73">
        <f>_xlfn.IFNA(MATCH(N22,'Trans Factors'!$B$13:$B$450,0),0)</f>
        <v>41</v>
      </c>
      <c r="P22" s="20">
        <f ca="1">OFFSET('Trans Factors'!$B$13,$O22-1,P$14)*$L22+OFFSET('Trans Factors'!$B$13,$K22-1,P$14)*$H22</f>
        <v>0</v>
      </c>
      <c r="R22" s="20">
        <f ca="1">OFFSET('Trans Factors'!$B$13,$O22-1,R$14)*$L22+OFFSET('Trans Factors'!$B$13,$K22-1,R$14)*$H22</f>
        <v>216.64224552037109</v>
      </c>
      <c r="S22" s="20"/>
      <c r="T22" s="20">
        <f ca="1">OFFSET('Trans Factors'!$B$13,$O22-1,T$14)*$L22+OFFSET('Trans Factors'!$B$13,$K22-1,T$14)*$H22</f>
        <v>8200.9113909883254</v>
      </c>
      <c r="U22" s="20"/>
      <c r="V22" s="20">
        <f ca="1">OFFSET('Trans Factors'!$B$13,$O22-1,V$14)*$L22+OFFSET('Trans Factors'!$B$13,$K22-1,V$14)*$H22</f>
        <v>1264493.696065499</v>
      </c>
      <c r="X22" s="20">
        <f ca="1">OFFSET('Trans Factors'!$B$13,$O22-1,X$14)*$L22+OFFSET('Trans Factors'!$B$13,$K22-1,X$14)*$H22</f>
        <v>320167.83708339947</v>
      </c>
      <c r="Y22" s="9"/>
      <c r="Z22" s="20">
        <f ca="1">OFFSET('Trans Factors'!$B$13,$O22-1,Z$14)*$L22+OFFSET('Trans Factors'!$B$13,$K22-1,Z$14)*$H22</f>
        <v>403897.68054798234</v>
      </c>
      <c r="AA22" s="20"/>
      <c r="AB22" s="20">
        <f ca="1">OFFSET('Trans Factors'!$B$13,$O22-1,AB$14)*$L22+OFFSET('Trans Factors'!$B$13,$K22-1,AB$14)*$H22</f>
        <v>0</v>
      </c>
      <c r="AD22" s="20">
        <f t="shared" ca="1" si="2"/>
        <v>1996976.7673333897</v>
      </c>
      <c r="AF22" s="25" t="str">
        <f t="shared" ca="1" si="0"/>
        <v/>
      </c>
      <c r="AI22" s="93">
        <v>28061.061939974679</v>
      </c>
      <c r="AL22" s="93">
        <f t="shared" ca="1" si="3"/>
        <v>0</v>
      </c>
      <c r="AM22" s="96"/>
      <c r="AN22" s="93">
        <f t="shared" ca="1" si="3"/>
        <v>3.0442074088223121</v>
      </c>
      <c r="AO22" s="96"/>
      <c r="AP22" s="93">
        <f t="shared" ca="1" si="3"/>
        <v>115.23733589252535</v>
      </c>
      <c r="AQ22" s="96"/>
      <c r="AR22" s="93">
        <f t="shared" ca="1" si="3"/>
        <v>17768.376932788666</v>
      </c>
      <c r="AS22" s="96"/>
      <c r="AT22" s="93">
        <f t="shared" ca="1" si="3"/>
        <v>4498.9254029138638</v>
      </c>
      <c r="AU22" s="96"/>
      <c r="AV22" s="93">
        <f t="shared" ca="1" si="3"/>
        <v>5675.4780609707977</v>
      </c>
      <c r="AW22" s="96"/>
      <c r="AX22" s="93">
        <f t="shared" ca="1" si="3"/>
        <v>0</v>
      </c>
      <c r="AZ22" s="99">
        <f t="shared" ca="1" si="4"/>
        <v>28061.061939974679</v>
      </c>
    </row>
    <row r="23" spans="2:52" x14ac:dyDescent="0.2">
      <c r="B23" s="18">
        <f t="shared" si="5"/>
        <v>6</v>
      </c>
      <c r="D23" s="1" t="s">
        <v>25</v>
      </c>
      <c r="F23" s="50">
        <f ca="1">Function!T23</f>
        <v>1377669.911911838</v>
      </c>
      <c r="H23" s="50"/>
      <c r="K23" s="73">
        <f>_xlfn.IFNA(MATCH(J23,'Trans Factors'!$B$13:$B$450,0),0)</f>
        <v>0</v>
      </c>
      <c r="L23" s="50">
        <f t="shared" ca="1" si="1"/>
        <v>1377669.911911838</v>
      </c>
      <c r="N23" s="18" t="s">
        <v>278</v>
      </c>
      <c r="O23" s="73">
        <f>_xlfn.IFNA(MATCH(N23,'Trans Factors'!$B$13:$B$450,0),0)</f>
        <v>14</v>
      </c>
      <c r="P23" s="20">
        <f ca="1">OFFSET('Trans Factors'!$B$13,$O23-1,P$14)*$L23+OFFSET('Trans Factors'!$B$13,$K23-1,P$14)*$H23</f>
        <v>0</v>
      </c>
      <c r="R23" s="20">
        <f ca="1">OFFSET('Trans Factors'!$B$13,$O23-1,R$14)*$L23+OFFSET('Trans Factors'!$B$13,$K23-1,R$14)*$H23</f>
        <v>0</v>
      </c>
      <c r="S23" s="20"/>
      <c r="T23" s="20">
        <f ca="1">OFFSET('Trans Factors'!$B$13,$O23-1,T$14)*$L23+OFFSET('Trans Factors'!$B$13,$K23-1,T$14)*$H23</f>
        <v>312327.75774717639</v>
      </c>
      <c r="U23" s="20"/>
      <c r="V23" s="20">
        <f ca="1">OFFSET('Trans Factors'!$B$13,$O23-1,V$14)*$L23+OFFSET('Trans Factors'!$B$13,$K23-1,V$14)*$H23</f>
        <v>1051161.3967942924</v>
      </c>
      <c r="X23" s="20">
        <f ca="1">OFFSET('Trans Factors'!$B$13,$O23-1,X$14)*$L23+OFFSET('Trans Factors'!$B$13,$K23-1,X$14)*$H23</f>
        <v>0</v>
      </c>
      <c r="Y23" s="9"/>
      <c r="Z23" s="20">
        <f ca="1">OFFSET('Trans Factors'!$B$13,$O23-1,Z$14)*$L23+OFFSET('Trans Factors'!$B$13,$K23-1,Z$14)*$H23</f>
        <v>14180.757370368965</v>
      </c>
      <c r="AA23" s="20"/>
      <c r="AB23" s="20">
        <f ca="1">OFFSET('Trans Factors'!$B$13,$O23-1,AB$14)*$L23+OFFSET('Trans Factors'!$B$13,$K23-1,AB$14)*$H23</f>
        <v>0</v>
      </c>
      <c r="AD23" s="20">
        <f t="shared" ca="1" si="2"/>
        <v>1377669.9119118378</v>
      </c>
      <c r="AF23" s="25" t="str">
        <f t="shared" ca="1" si="0"/>
        <v/>
      </c>
      <c r="AI23" s="93">
        <v>42235.146781124742</v>
      </c>
      <c r="AL23" s="93">
        <f t="shared" ca="1" si="3"/>
        <v>0</v>
      </c>
      <c r="AM23" s="96"/>
      <c r="AN23" s="93">
        <f t="shared" ca="1" si="3"/>
        <v>0</v>
      </c>
      <c r="AO23" s="96"/>
      <c r="AP23" s="93">
        <f t="shared" ca="1" si="3"/>
        <v>9575.0139987928542</v>
      </c>
      <c r="AQ23" s="96"/>
      <c r="AR23" s="93">
        <f t="shared" ca="1" si="3"/>
        <v>32225.394124089798</v>
      </c>
      <c r="AS23" s="96"/>
      <c r="AT23" s="93">
        <f t="shared" ca="1" si="3"/>
        <v>0</v>
      </c>
      <c r="AU23" s="96"/>
      <c r="AV23" s="93">
        <f t="shared" ca="1" si="3"/>
        <v>434.73865824208929</v>
      </c>
      <c r="AW23" s="96"/>
      <c r="AX23" s="93">
        <f t="shared" ca="1" si="3"/>
        <v>0</v>
      </c>
      <c r="AZ23" s="99">
        <f t="shared" ca="1" si="4"/>
        <v>42235.146781124742</v>
      </c>
    </row>
    <row r="24" spans="2:52" x14ac:dyDescent="0.2">
      <c r="B24" s="18">
        <f t="shared" si="5"/>
        <v>7</v>
      </c>
      <c r="D24" s="1" t="s">
        <v>27</v>
      </c>
      <c r="F24" s="50">
        <f ca="1">Function!T24</f>
        <v>0</v>
      </c>
      <c r="H24" s="50"/>
      <c r="K24" s="73">
        <f>_xlfn.IFNA(MATCH(J24,'Trans Factors'!$B$13:$B$450,0),0)</f>
        <v>0</v>
      </c>
      <c r="L24" s="50">
        <f t="shared" ca="1" si="1"/>
        <v>0</v>
      </c>
      <c r="N24" s="18"/>
      <c r="O24" s="73">
        <f>_xlfn.IFNA(MATCH(N24,'Trans Factors'!$B$13:$B$450,0),0)</f>
        <v>0</v>
      </c>
      <c r="P24" s="20">
        <f ca="1">OFFSET('Trans Factors'!$B$13,$O24-1,P$14)*$L24+OFFSET('Trans Factors'!$B$13,$K24-1,P$14)*$H24</f>
        <v>0</v>
      </c>
      <c r="R24" s="20">
        <f ca="1">OFFSET('Trans Factors'!$B$13,$O24-1,R$14)*$L24+OFFSET('Trans Factors'!$B$13,$K24-1,R$14)*$H24</f>
        <v>0</v>
      </c>
      <c r="S24" s="20"/>
      <c r="T24" s="20">
        <f ca="1">OFFSET('Trans Factors'!$B$13,$O24-1,T$14)*$L24+OFFSET('Trans Factors'!$B$13,$K24-1,T$14)*$H24</f>
        <v>0</v>
      </c>
      <c r="U24" s="20"/>
      <c r="V24" s="20">
        <f ca="1">OFFSET('Trans Factors'!$B$13,$O24-1,V$14)*$L24+OFFSET('Trans Factors'!$B$13,$K24-1,V$14)*$H24</f>
        <v>0</v>
      </c>
      <c r="X24" s="20">
        <f ca="1">OFFSET('Trans Factors'!$B$13,$O24-1,X$14)*$L24+OFFSET('Trans Factors'!$B$13,$K24-1,X$14)*$H24</f>
        <v>0</v>
      </c>
      <c r="Y24" s="9"/>
      <c r="Z24" s="20">
        <f ca="1">OFFSET('Trans Factors'!$B$13,$O24-1,Z$14)*$L24+OFFSET('Trans Factors'!$B$13,$K24-1,Z$14)*$H24</f>
        <v>0</v>
      </c>
      <c r="AA24" s="20"/>
      <c r="AB24" s="20">
        <f ca="1">OFFSET('Trans Factors'!$B$13,$O24-1,AB$14)*$L24+OFFSET('Trans Factors'!$B$13,$K24-1,AB$14)*$H24</f>
        <v>0</v>
      </c>
      <c r="AD24" s="20">
        <f t="shared" ca="1" si="2"/>
        <v>0</v>
      </c>
      <c r="AF24" s="25" t="str">
        <f t="shared" ca="1" si="0"/>
        <v/>
      </c>
      <c r="AI24" s="93">
        <v>0</v>
      </c>
      <c r="AL24" s="93" t="str">
        <f t="shared" ca="1" si="3"/>
        <v/>
      </c>
      <c r="AN24" s="93" t="str">
        <f t="shared" ca="1" si="3"/>
        <v/>
      </c>
      <c r="AO24" s="96"/>
      <c r="AP24" s="93" t="str">
        <f t="shared" ca="1" si="3"/>
        <v/>
      </c>
      <c r="AQ24" s="96"/>
      <c r="AR24" s="93" t="str">
        <f t="shared" ca="1" si="3"/>
        <v/>
      </c>
      <c r="AS24" s="96"/>
      <c r="AT24" s="93" t="str">
        <f t="shared" ca="1" si="3"/>
        <v/>
      </c>
      <c r="AU24" s="96"/>
      <c r="AV24" s="93" t="str">
        <f t="shared" ca="1" si="3"/>
        <v/>
      </c>
      <c r="AW24" s="96"/>
      <c r="AX24" s="93" t="str">
        <f t="shared" ca="1" si="3"/>
        <v/>
      </c>
      <c r="AZ24" s="99">
        <f t="shared" ca="1" si="4"/>
        <v>0</v>
      </c>
    </row>
    <row r="25" spans="2:52" x14ac:dyDescent="0.2">
      <c r="B25" s="18">
        <f t="shared" si="5"/>
        <v>8</v>
      </c>
      <c r="D25" s="1" t="s">
        <v>29</v>
      </c>
      <c r="F25" s="50">
        <f ca="1">Function!T25</f>
        <v>0</v>
      </c>
      <c r="H25" s="50"/>
      <c r="K25" s="73">
        <f>_xlfn.IFNA(MATCH(J25,'Trans Factors'!$B$13:$B$450,0),0)</f>
        <v>0</v>
      </c>
      <c r="L25" s="50">
        <f t="shared" ca="1" si="1"/>
        <v>0</v>
      </c>
      <c r="N25" s="18"/>
      <c r="O25" s="73">
        <f>_xlfn.IFNA(MATCH(N25,'Trans Factors'!$B$13:$B$450,0),0)</f>
        <v>0</v>
      </c>
      <c r="P25" s="20">
        <f ca="1">OFFSET('Trans Factors'!$B$13,$O25-1,P$14)*$L25+OFFSET('Trans Factors'!$B$13,$K25-1,P$14)*$H25</f>
        <v>0</v>
      </c>
      <c r="R25" s="20">
        <f ca="1">OFFSET('Trans Factors'!$B$13,$O25-1,R$14)*$L25+OFFSET('Trans Factors'!$B$13,$K25-1,R$14)*$H25</f>
        <v>0</v>
      </c>
      <c r="S25" s="20"/>
      <c r="T25" s="20">
        <f ca="1">OFFSET('Trans Factors'!$B$13,$O25-1,T$14)*$L25+OFFSET('Trans Factors'!$B$13,$K25-1,T$14)*$H25</f>
        <v>0</v>
      </c>
      <c r="U25" s="20"/>
      <c r="V25" s="20">
        <f ca="1">OFFSET('Trans Factors'!$B$13,$O25-1,V$14)*$L25+OFFSET('Trans Factors'!$B$13,$K25-1,V$14)*$H25</f>
        <v>0</v>
      </c>
      <c r="X25" s="20">
        <f ca="1">OFFSET('Trans Factors'!$B$13,$O25-1,X$14)*$L25+OFFSET('Trans Factors'!$B$13,$K25-1,X$14)*$H25</f>
        <v>0</v>
      </c>
      <c r="Y25" s="9"/>
      <c r="Z25" s="20">
        <f ca="1">OFFSET('Trans Factors'!$B$13,$O25-1,Z$14)*$L25+OFFSET('Trans Factors'!$B$13,$K25-1,Z$14)*$H25</f>
        <v>0</v>
      </c>
      <c r="AA25" s="20"/>
      <c r="AB25" s="20">
        <f ca="1">OFFSET('Trans Factors'!$B$13,$O25-1,AB$14)*$L25+OFFSET('Trans Factors'!$B$13,$K25-1,AB$14)*$H25</f>
        <v>0</v>
      </c>
      <c r="AD25" s="20">
        <f t="shared" ca="1" si="2"/>
        <v>0</v>
      </c>
      <c r="AF25" s="25" t="str">
        <f t="shared" ca="1" si="0"/>
        <v/>
      </c>
      <c r="AI25" s="93">
        <v>0</v>
      </c>
      <c r="AL25" s="93" t="str">
        <f t="shared" ca="1" si="3"/>
        <v/>
      </c>
      <c r="AN25" s="93" t="str">
        <f t="shared" ca="1" si="3"/>
        <v/>
      </c>
      <c r="AO25" s="96"/>
      <c r="AP25" s="93" t="str">
        <f t="shared" ca="1" si="3"/>
        <v/>
      </c>
      <c r="AQ25" s="96"/>
      <c r="AR25" s="93" t="str">
        <f t="shared" ca="1" si="3"/>
        <v/>
      </c>
      <c r="AS25" s="96"/>
      <c r="AT25" s="93" t="str">
        <f t="shared" ca="1" si="3"/>
        <v/>
      </c>
      <c r="AU25" s="96"/>
      <c r="AV25" s="93" t="str">
        <f t="shared" ca="1" si="3"/>
        <v/>
      </c>
      <c r="AW25" s="96"/>
      <c r="AX25" s="93" t="str">
        <f t="shared" ca="1" si="3"/>
        <v/>
      </c>
      <c r="AZ25" s="99">
        <f t="shared" ca="1" si="4"/>
        <v>0</v>
      </c>
    </row>
    <row r="26" spans="2:52" x14ac:dyDescent="0.2">
      <c r="B26" s="18">
        <f t="shared" si="5"/>
        <v>9</v>
      </c>
      <c r="D26" s="1" t="s">
        <v>30</v>
      </c>
      <c r="F26" s="50">
        <f ca="1">Function!T26</f>
        <v>0</v>
      </c>
      <c r="H26" s="50"/>
      <c r="K26" s="73">
        <f>_xlfn.IFNA(MATCH(J26,'Trans Factors'!$B$13:$B$450,0),0)</f>
        <v>0</v>
      </c>
      <c r="L26" s="50">
        <f t="shared" ca="1" si="1"/>
        <v>0</v>
      </c>
      <c r="N26" s="18"/>
      <c r="O26" s="73">
        <f>_xlfn.IFNA(MATCH(N26,'Trans Factors'!$B$13:$B$450,0),0)</f>
        <v>0</v>
      </c>
      <c r="P26" s="20">
        <f ca="1">OFFSET('Trans Factors'!$B$13,$O26-1,P$14)*$L26+OFFSET('Trans Factors'!$B$13,$K26-1,P$14)*$H26</f>
        <v>0</v>
      </c>
      <c r="R26" s="20">
        <f ca="1">OFFSET('Trans Factors'!$B$13,$O26-1,R$14)*$L26+OFFSET('Trans Factors'!$B$13,$K26-1,R$14)*$H26</f>
        <v>0</v>
      </c>
      <c r="S26" s="20"/>
      <c r="T26" s="20">
        <f ca="1">OFFSET('Trans Factors'!$B$13,$O26-1,T$14)*$L26+OFFSET('Trans Factors'!$B$13,$K26-1,T$14)*$H26</f>
        <v>0</v>
      </c>
      <c r="U26" s="20"/>
      <c r="V26" s="20">
        <f ca="1">OFFSET('Trans Factors'!$B$13,$O26-1,V$14)*$L26+OFFSET('Trans Factors'!$B$13,$K26-1,V$14)*$H26</f>
        <v>0</v>
      </c>
      <c r="X26" s="20">
        <f ca="1">OFFSET('Trans Factors'!$B$13,$O26-1,X$14)*$L26+OFFSET('Trans Factors'!$B$13,$K26-1,X$14)*$H26</f>
        <v>0</v>
      </c>
      <c r="Y26" s="9"/>
      <c r="Z26" s="20">
        <f ca="1">OFFSET('Trans Factors'!$B$13,$O26-1,Z$14)*$L26+OFFSET('Trans Factors'!$B$13,$K26-1,Z$14)*$H26</f>
        <v>0</v>
      </c>
      <c r="AA26" s="20"/>
      <c r="AB26" s="20">
        <f ca="1">OFFSET('Trans Factors'!$B$13,$O26-1,AB$14)*$L26+OFFSET('Trans Factors'!$B$13,$K26-1,AB$14)*$H26</f>
        <v>0</v>
      </c>
      <c r="AD26" s="20">
        <f t="shared" ca="1" si="2"/>
        <v>0</v>
      </c>
      <c r="AF26" s="25" t="str">
        <f t="shared" ca="1" si="0"/>
        <v/>
      </c>
      <c r="AI26" s="93">
        <v>0</v>
      </c>
      <c r="AL26" s="93" t="str">
        <f t="shared" ca="1" si="3"/>
        <v/>
      </c>
      <c r="AN26" s="93" t="str">
        <f t="shared" ca="1" si="3"/>
        <v/>
      </c>
      <c r="AO26" s="96"/>
      <c r="AP26" s="93" t="str">
        <f t="shared" ca="1" si="3"/>
        <v/>
      </c>
      <c r="AQ26" s="96"/>
      <c r="AR26" s="93" t="str">
        <f t="shared" ca="1" si="3"/>
        <v/>
      </c>
      <c r="AS26" s="96"/>
      <c r="AT26" s="93" t="str">
        <f t="shared" ca="1" si="3"/>
        <v/>
      </c>
      <c r="AU26" s="96"/>
      <c r="AV26" s="93" t="str">
        <f t="shared" ca="1" si="3"/>
        <v/>
      </c>
      <c r="AW26" s="96"/>
      <c r="AX26" s="93" t="str">
        <f t="shared" ca="1" si="3"/>
        <v/>
      </c>
      <c r="AZ26" s="99">
        <f t="shared" ca="1" si="4"/>
        <v>0</v>
      </c>
    </row>
    <row r="27" spans="2:52" x14ac:dyDescent="0.2">
      <c r="B27" s="18">
        <f t="shared" si="5"/>
        <v>10</v>
      </c>
      <c r="D27" s="1" t="s">
        <v>31</v>
      </c>
      <c r="F27" s="50">
        <f ca="1">Function!T27</f>
        <v>0</v>
      </c>
      <c r="H27" s="50"/>
      <c r="K27" s="73">
        <f>_xlfn.IFNA(MATCH(J27,'Trans Factors'!$B$13:$B$450,0),0)</f>
        <v>0</v>
      </c>
      <c r="L27" s="50">
        <f t="shared" ca="1" si="1"/>
        <v>0</v>
      </c>
      <c r="N27" s="18"/>
      <c r="O27" s="73">
        <f>_xlfn.IFNA(MATCH(N27,'Trans Factors'!$B$13:$B$450,0),0)</f>
        <v>0</v>
      </c>
      <c r="P27" s="20">
        <f ca="1">OFFSET('Trans Factors'!$B$13,$O27-1,P$14)*$L27+OFFSET('Trans Factors'!$B$13,$K27-1,P$14)*$H27</f>
        <v>0</v>
      </c>
      <c r="R27" s="20">
        <f ca="1">OFFSET('Trans Factors'!$B$13,$O27-1,R$14)*$L27+OFFSET('Trans Factors'!$B$13,$K27-1,R$14)*$H27</f>
        <v>0</v>
      </c>
      <c r="S27" s="20"/>
      <c r="T27" s="20">
        <f ca="1">OFFSET('Trans Factors'!$B$13,$O27-1,T$14)*$L27+OFFSET('Trans Factors'!$B$13,$K27-1,T$14)*$H27</f>
        <v>0</v>
      </c>
      <c r="U27" s="20"/>
      <c r="V27" s="20">
        <f ca="1">OFFSET('Trans Factors'!$B$13,$O27-1,V$14)*$L27+OFFSET('Trans Factors'!$B$13,$K27-1,V$14)*$H27</f>
        <v>0</v>
      </c>
      <c r="X27" s="20">
        <f ca="1">OFFSET('Trans Factors'!$B$13,$O27-1,X$14)*$L27+OFFSET('Trans Factors'!$B$13,$K27-1,X$14)*$H27</f>
        <v>0</v>
      </c>
      <c r="Y27" s="9"/>
      <c r="Z27" s="20">
        <f ca="1">OFFSET('Trans Factors'!$B$13,$O27-1,Z$14)*$L27+OFFSET('Trans Factors'!$B$13,$K27-1,Z$14)*$H27</f>
        <v>0</v>
      </c>
      <c r="AA27" s="20"/>
      <c r="AB27" s="20">
        <f ca="1">OFFSET('Trans Factors'!$B$13,$O27-1,AB$14)*$L27+OFFSET('Trans Factors'!$B$13,$K27-1,AB$14)*$H27</f>
        <v>0</v>
      </c>
      <c r="AD27" s="20">
        <f t="shared" ca="1" si="2"/>
        <v>0</v>
      </c>
      <c r="AF27" s="25" t="str">
        <f t="shared" ca="1" si="0"/>
        <v/>
      </c>
      <c r="AI27" s="93">
        <v>0</v>
      </c>
      <c r="AL27" s="93" t="str">
        <f t="shared" ca="1" si="3"/>
        <v/>
      </c>
      <c r="AN27" s="93" t="str">
        <f t="shared" ca="1" si="3"/>
        <v/>
      </c>
      <c r="AO27" s="96"/>
      <c r="AP27" s="93" t="str">
        <f t="shared" ca="1" si="3"/>
        <v/>
      </c>
      <c r="AQ27" s="96"/>
      <c r="AR27" s="93" t="str">
        <f t="shared" ca="1" si="3"/>
        <v/>
      </c>
      <c r="AS27" s="96"/>
      <c r="AT27" s="93" t="str">
        <f t="shared" ca="1" si="3"/>
        <v/>
      </c>
      <c r="AU27" s="96"/>
      <c r="AV27" s="93" t="str">
        <f t="shared" ca="1" si="3"/>
        <v/>
      </c>
      <c r="AW27" s="96"/>
      <c r="AX27" s="93" t="str">
        <f t="shared" ca="1" si="3"/>
        <v/>
      </c>
      <c r="AZ27" s="99">
        <f t="shared" ca="1" si="4"/>
        <v>0</v>
      </c>
    </row>
    <row r="28" spans="2:52" x14ac:dyDescent="0.2">
      <c r="B28" s="18">
        <f t="shared" si="5"/>
        <v>11</v>
      </c>
      <c r="D28" s="1" t="s">
        <v>293</v>
      </c>
      <c r="F28" s="50">
        <f ca="1">Function!T28</f>
        <v>0</v>
      </c>
      <c r="H28" s="50"/>
      <c r="K28" s="73">
        <f>_xlfn.IFNA(MATCH(J28,'Trans Factors'!$B$13:$B$450,0),0)</f>
        <v>0</v>
      </c>
      <c r="L28" s="50">
        <f t="shared" ca="1" si="1"/>
        <v>0</v>
      </c>
      <c r="N28" s="18"/>
      <c r="O28" s="73">
        <f>_xlfn.IFNA(MATCH(N28,'Trans Factors'!$B$13:$B$450,0),0)</f>
        <v>0</v>
      </c>
      <c r="P28" s="20">
        <f ca="1">OFFSET('Trans Factors'!$B$13,$O28-1,P$14)*$L28+OFFSET('Trans Factors'!$B$13,$K28-1,P$14)*$H28</f>
        <v>0</v>
      </c>
      <c r="R28" s="20">
        <f ca="1">OFFSET('Trans Factors'!$B$13,$O28-1,R$14)*$L28+OFFSET('Trans Factors'!$B$13,$K28-1,R$14)*$H28</f>
        <v>0</v>
      </c>
      <c r="S28" s="20"/>
      <c r="T28" s="20">
        <f ca="1">OFFSET('Trans Factors'!$B$13,$O28-1,T$14)*$L28+OFFSET('Trans Factors'!$B$13,$K28-1,T$14)*$H28</f>
        <v>0</v>
      </c>
      <c r="U28" s="20"/>
      <c r="V28" s="20">
        <f ca="1">OFFSET('Trans Factors'!$B$13,$O28-1,V$14)*$L28+OFFSET('Trans Factors'!$B$13,$K28-1,V$14)*$H28</f>
        <v>0</v>
      </c>
      <c r="X28" s="20">
        <f ca="1">OFFSET('Trans Factors'!$B$13,$O28-1,X$14)*$L28+OFFSET('Trans Factors'!$B$13,$K28-1,X$14)*$H28</f>
        <v>0</v>
      </c>
      <c r="Y28" s="9"/>
      <c r="Z28" s="20">
        <f ca="1">OFFSET('Trans Factors'!$B$13,$O28-1,Z$14)*$L28+OFFSET('Trans Factors'!$B$13,$K28-1,Z$14)*$H28</f>
        <v>0</v>
      </c>
      <c r="AA28" s="20"/>
      <c r="AB28" s="20">
        <f ca="1">OFFSET('Trans Factors'!$B$13,$O28-1,AB$14)*$L28+OFFSET('Trans Factors'!$B$13,$K28-1,AB$14)*$H28</f>
        <v>0</v>
      </c>
      <c r="AD28" s="20">
        <f t="shared" ca="1" si="2"/>
        <v>0</v>
      </c>
      <c r="AF28" s="25" t="str">
        <f t="shared" ca="1" si="0"/>
        <v/>
      </c>
      <c r="AI28" s="93">
        <v>0</v>
      </c>
      <c r="AL28" s="93" t="str">
        <f t="shared" ca="1" si="3"/>
        <v/>
      </c>
      <c r="AN28" s="93" t="str">
        <f t="shared" ca="1" si="3"/>
        <v/>
      </c>
      <c r="AO28" s="96"/>
      <c r="AP28" s="93" t="str">
        <f t="shared" ca="1" si="3"/>
        <v/>
      </c>
      <c r="AQ28" s="96"/>
      <c r="AR28" s="93" t="str">
        <f t="shared" ca="1" si="3"/>
        <v/>
      </c>
      <c r="AS28" s="96"/>
      <c r="AT28" s="93" t="str">
        <f t="shared" ca="1" si="3"/>
        <v/>
      </c>
      <c r="AU28" s="96"/>
      <c r="AV28" s="93" t="str">
        <f t="shared" ca="1" si="3"/>
        <v/>
      </c>
      <c r="AW28" s="96"/>
      <c r="AX28" s="93" t="str">
        <f t="shared" ca="1" si="3"/>
        <v/>
      </c>
      <c r="AZ28" s="99">
        <f t="shared" ca="1" si="4"/>
        <v>0</v>
      </c>
    </row>
    <row r="29" spans="2:52" x14ac:dyDescent="0.2">
      <c r="B29" s="18">
        <f>B28+1</f>
        <v>12</v>
      </c>
      <c r="D29" s="1" t="s">
        <v>34</v>
      </c>
      <c r="F29" s="50">
        <f ca="1">Function!T29</f>
        <v>0</v>
      </c>
      <c r="H29" s="50"/>
      <c r="K29" s="73">
        <f>_xlfn.IFNA(MATCH(J29,'Trans Factors'!$B$13:$B$450,0),0)</f>
        <v>0</v>
      </c>
      <c r="L29" s="50">
        <f t="shared" ca="1" si="1"/>
        <v>0</v>
      </c>
      <c r="N29" s="18"/>
      <c r="O29" s="73">
        <f>_xlfn.IFNA(MATCH(N29,'Trans Factors'!$B$13:$B$450,0),0)</f>
        <v>0</v>
      </c>
      <c r="P29" s="20">
        <f ca="1">OFFSET('Trans Factors'!$B$13,$O29-1,P$14)*$L29+OFFSET('Trans Factors'!$B$13,$K29-1,P$14)*$H29</f>
        <v>0</v>
      </c>
      <c r="R29" s="20">
        <f ca="1">OFFSET('Trans Factors'!$B$13,$O29-1,R$14)*$L29+OFFSET('Trans Factors'!$B$13,$K29-1,R$14)*$H29</f>
        <v>0</v>
      </c>
      <c r="S29" s="20"/>
      <c r="T29" s="20">
        <f ca="1">OFFSET('Trans Factors'!$B$13,$O29-1,T$14)*$L29+OFFSET('Trans Factors'!$B$13,$K29-1,T$14)*$H29</f>
        <v>0</v>
      </c>
      <c r="U29" s="20"/>
      <c r="V29" s="20">
        <f ca="1">OFFSET('Trans Factors'!$B$13,$O29-1,V$14)*$L29+OFFSET('Trans Factors'!$B$13,$K29-1,V$14)*$H29</f>
        <v>0</v>
      </c>
      <c r="X29" s="20">
        <f ca="1">OFFSET('Trans Factors'!$B$13,$O29-1,X$14)*$L29+OFFSET('Trans Factors'!$B$13,$K29-1,X$14)*$H29</f>
        <v>0</v>
      </c>
      <c r="Y29" s="9"/>
      <c r="Z29" s="20">
        <f ca="1">OFFSET('Trans Factors'!$B$13,$O29-1,Z$14)*$L29+OFFSET('Trans Factors'!$B$13,$K29-1,Z$14)*$H29</f>
        <v>0</v>
      </c>
      <c r="AA29" s="20"/>
      <c r="AB29" s="20">
        <f ca="1">OFFSET('Trans Factors'!$B$13,$O29-1,AB$14)*$L29+OFFSET('Trans Factors'!$B$13,$K29-1,AB$14)*$H29</f>
        <v>0</v>
      </c>
      <c r="AD29" s="20">
        <f t="shared" ca="1" si="2"/>
        <v>0</v>
      </c>
      <c r="AF29" s="25" t="str">
        <f t="shared" ca="1" si="0"/>
        <v/>
      </c>
      <c r="AI29" s="93">
        <v>0</v>
      </c>
      <c r="AL29" s="93" t="str">
        <f t="shared" ca="1" si="3"/>
        <v/>
      </c>
      <c r="AN29" s="93" t="str">
        <f t="shared" ca="1" si="3"/>
        <v/>
      </c>
      <c r="AO29" s="96"/>
      <c r="AP29" s="93" t="str">
        <f t="shared" ca="1" si="3"/>
        <v/>
      </c>
      <c r="AQ29" s="96"/>
      <c r="AR29" s="93" t="str">
        <f t="shared" ca="1" si="3"/>
        <v/>
      </c>
      <c r="AS29" s="96"/>
      <c r="AT29" s="93" t="str">
        <f t="shared" ca="1" si="3"/>
        <v/>
      </c>
      <c r="AU29" s="96"/>
      <c r="AV29" s="93" t="str">
        <f t="shared" ca="1" si="3"/>
        <v/>
      </c>
      <c r="AW29" s="96"/>
      <c r="AX29" s="93" t="str">
        <f t="shared" ca="1" si="3"/>
        <v/>
      </c>
      <c r="AZ29" s="99">
        <f t="shared" ca="1" si="4"/>
        <v>0</v>
      </c>
    </row>
    <row r="30" spans="2:52" x14ac:dyDescent="0.2">
      <c r="B30" s="18">
        <f>B29+1</f>
        <v>13</v>
      </c>
      <c r="D30" s="1" t="s">
        <v>77</v>
      </c>
      <c r="F30" s="50">
        <f ca="1">Function!T30</f>
        <v>4318.2255996879157</v>
      </c>
      <c r="H30" s="50"/>
      <c r="K30" s="73">
        <f>_xlfn.IFNA(MATCH(J30,'Trans Factors'!$B$13:$B$450,0),0)</f>
        <v>0</v>
      </c>
      <c r="L30" s="50">
        <f t="shared" ca="1" si="1"/>
        <v>4318.2255996879157</v>
      </c>
      <c r="N30" s="18" t="s">
        <v>279</v>
      </c>
      <c r="O30" s="73">
        <f>_xlfn.IFNA(MATCH(N30,'Trans Factors'!$B$13:$B$450,0),0)</f>
        <v>38</v>
      </c>
      <c r="P30" s="20">
        <f ca="1">OFFSET('Trans Factors'!$B$13,$O30-1,P$14)*$L30+OFFSET('Trans Factors'!$B$13,$K30-1,P$14)*$H30</f>
        <v>0</v>
      </c>
      <c r="R30" s="20">
        <f ca="1">OFFSET('Trans Factors'!$B$13,$O30-1,R$14)*$L30+OFFSET('Trans Factors'!$B$13,$K30-1,R$14)*$H30</f>
        <v>0</v>
      </c>
      <c r="S30" s="20"/>
      <c r="T30" s="20">
        <f ca="1">OFFSET('Trans Factors'!$B$13,$O30-1,T$14)*$L30+OFFSET('Trans Factors'!$B$13,$K30-1,T$14)*$H30</f>
        <v>39.163422261415214</v>
      </c>
      <c r="U30" s="20"/>
      <c r="V30" s="20">
        <f ca="1">OFFSET('Trans Factors'!$B$13,$O30-1,V$14)*$L30+OFFSET('Trans Factors'!$B$13,$K30-1,V$14)*$H30</f>
        <v>3560.0134120638827</v>
      </c>
      <c r="X30" s="20">
        <f ca="1">OFFSET('Trans Factors'!$B$13,$O30-1,X$14)*$L30+OFFSET('Trans Factors'!$B$13,$K30-1,X$14)*$H30</f>
        <v>136.1762187887613</v>
      </c>
      <c r="Y30" s="9"/>
      <c r="Z30" s="20">
        <f ca="1">OFFSET('Trans Factors'!$B$13,$O30-1,Z$14)*$L30+OFFSET('Trans Factors'!$B$13,$K30-1,Z$14)*$H30</f>
        <v>582.87254657385631</v>
      </c>
      <c r="AA30" s="20"/>
      <c r="AB30" s="20">
        <f ca="1">OFFSET('Trans Factors'!$B$13,$O30-1,AB$14)*$L30+OFFSET('Trans Factors'!$B$13,$K30-1,AB$14)*$H30</f>
        <v>0</v>
      </c>
      <c r="AD30" s="20">
        <f t="shared" ca="1" si="2"/>
        <v>4318.2255996879157</v>
      </c>
      <c r="AF30" s="25" t="str">
        <f t="shared" ca="1" si="0"/>
        <v/>
      </c>
      <c r="AI30" s="93">
        <v>0</v>
      </c>
      <c r="AL30" s="93">
        <f t="shared" ca="1" si="3"/>
        <v>0</v>
      </c>
      <c r="AN30" s="93">
        <f t="shared" ca="1" si="3"/>
        <v>0</v>
      </c>
      <c r="AO30" s="96"/>
      <c r="AP30" s="93">
        <f t="shared" ca="1" si="3"/>
        <v>0</v>
      </c>
      <c r="AQ30" s="96"/>
      <c r="AR30" s="93">
        <f t="shared" ca="1" si="3"/>
        <v>0</v>
      </c>
      <c r="AS30" s="96"/>
      <c r="AT30" s="93">
        <f t="shared" ca="1" si="3"/>
        <v>0</v>
      </c>
      <c r="AU30" s="96"/>
      <c r="AV30" s="93">
        <f t="shared" ca="1" si="3"/>
        <v>0</v>
      </c>
      <c r="AW30" s="96"/>
      <c r="AX30" s="93">
        <f t="shared" ca="1" si="3"/>
        <v>0</v>
      </c>
      <c r="AZ30" s="99">
        <f t="shared" ca="1" si="4"/>
        <v>0</v>
      </c>
    </row>
    <row r="31" spans="2:52" x14ac:dyDescent="0.2">
      <c r="B31" s="18">
        <f t="shared" si="5"/>
        <v>14</v>
      </c>
      <c r="D31" s="1" t="s">
        <v>297</v>
      </c>
      <c r="F31" s="41">
        <f ca="1">SUM(F18:F30)</f>
        <v>3987829.4772345782</v>
      </c>
      <c r="H31" s="41">
        <f>SUM(H18:H30)</f>
        <v>0</v>
      </c>
      <c r="L31" s="41">
        <f ca="1">SUM(L18:L30)</f>
        <v>3987829.4772345782</v>
      </c>
      <c r="O31" s="73"/>
      <c r="P31" s="28">
        <f ca="1">SUM(P18:P30)</f>
        <v>120908.61187605152</v>
      </c>
      <c r="Q31" s="23"/>
      <c r="R31" s="28">
        <f ca="1">SUM(R18:R30)</f>
        <v>16809.721547433532</v>
      </c>
      <c r="S31" s="22"/>
      <c r="T31" s="28">
        <f ca="1">SUM(T18:T30)</f>
        <v>490532.77114404883</v>
      </c>
      <c r="U31" s="22"/>
      <c r="V31" s="28">
        <f ca="1">SUM(V18:V30)</f>
        <v>2481686.8468896654</v>
      </c>
      <c r="W31" s="18"/>
      <c r="X31" s="28">
        <f ca="1">SUM(X18:X30)</f>
        <v>343672.15357468824</v>
      </c>
      <c r="Y31" s="13"/>
      <c r="Z31" s="28">
        <f ca="1">SUM(Z18:Z30)</f>
        <v>534219.37220269069</v>
      </c>
      <c r="AA31" s="22"/>
      <c r="AB31" s="28">
        <f ca="1">SUM(AB18:AB30)</f>
        <v>0</v>
      </c>
      <c r="AD31" s="28">
        <f ca="1">SUM(AD18:AD30)</f>
        <v>3987829.4772345782</v>
      </c>
      <c r="AF31" s="25" t="str">
        <f ca="1">IF(ROUND(F31,4)=ROUND(AD31,4), "", "check")</f>
        <v/>
      </c>
      <c r="AI31" s="81">
        <f>SUM(AI18:AI29)</f>
        <v>82421.141572556502</v>
      </c>
      <c r="AL31" s="81">
        <f t="shared" ref="AL31:AZ31" ca="1" si="6">SUM(AL18:AL29)</f>
        <v>2865.4413980866075</v>
      </c>
      <c r="AM31" s="81">
        <f t="shared" si="6"/>
        <v>0</v>
      </c>
      <c r="AN31" s="81">
        <f t="shared" ca="1" si="6"/>
        <v>418.31880984319508</v>
      </c>
      <c r="AO31" s="81">
        <f t="shared" si="6"/>
        <v>0</v>
      </c>
      <c r="AP31" s="81">
        <f t="shared" ca="1" si="6"/>
        <v>12950.656889783293</v>
      </c>
      <c r="AQ31" s="81">
        <f t="shared" si="6"/>
        <v>0</v>
      </c>
      <c r="AR31" s="81">
        <f t="shared" ca="1" si="6"/>
        <v>52490.552005262813</v>
      </c>
      <c r="AS31" s="81">
        <f t="shared" si="6"/>
        <v>0</v>
      </c>
      <c r="AT31" s="81">
        <f t="shared" ca="1" si="6"/>
        <v>4905.2627027339622</v>
      </c>
      <c r="AU31" s="81">
        <f t="shared" si="6"/>
        <v>0</v>
      </c>
      <c r="AV31" s="81">
        <f t="shared" ca="1" si="6"/>
        <v>8790.9097668466293</v>
      </c>
      <c r="AW31" s="81">
        <f t="shared" si="6"/>
        <v>0</v>
      </c>
      <c r="AX31" s="81">
        <f t="shared" ca="1" si="6"/>
        <v>0</v>
      </c>
      <c r="AY31" s="81">
        <f t="shared" si="6"/>
        <v>0</v>
      </c>
      <c r="AZ31" s="81">
        <f t="shared" ca="1" si="6"/>
        <v>82421.141572556502</v>
      </c>
    </row>
    <row r="32" spans="2:52" x14ac:dyDescent="0.2">
      <c r="O32" s="73"/>
      <c r="W32" s="18"/>
      <c r="AF32" s="25" t="str">
        <f t="shared" ref="AF32:AF37" si="7">IF(ROUND(F32,4)=ROUND(AD32,4), "", "check")</f>
        <v/>
      </c>
    </row>
    <row r="33" spans="2:52" x14ac:dyDescent="0.2">
      <c r="B33" s="18">
        <f>B31+1</f>
        <v>15</v>
      </c>
      <c r="D33" s="1" t="s">
        <v>196</v>
      </c>
      <c r="F33" s="50">
        <f ca="1">Function!T33</f>
        <v>101710.50916156213</v>
      </c>
      <c r="H33" s="50"/>
      <c r="K33" s="73">
        <f>_xlfn.IFNA(MATCH(J33,'Trans Factors'!$B$13:$B$450,0),0)</f>
        <v>0</v>
      </c>
      <c r="L33" s="50">
        <f t="shared" ref="L33" ca="1" si="8">F33-H33</f>
        <v>101710.50916156213</v>
      </c>
      <c r="N33" s="18" t="s">
        <v>234</v>
      </c>
      <c r="O33" s="73">
        <f>_xlfn.IFNA(MATCH(N33,'Trans Factors'!$B$13:$B$450,0),0)</f>
        <v>23</v>
      </c>
      <c r="P33" s="20">
        <f ca="1">OFFSET('Trans Factors'!$B$13,$O33-1,P$14)*$L33+OFFSET('Trans Factors'!$B$13,$K33-1,P$14)*$H33</f>
        <v>3590.9482084043057</v>
      </c>
      <c r="R33" s="20">
        <f ca="1">OFFSET('Trans Factors'!$B$13,$O33-1,R$14)*$L33+OFFSET('Trans Factors'!$B$13,$K33-1,R$14)*$H33</f>
        <v>516.63997298820789</v>
      </c>
      <c r="S33" s="20"/>
      <c r="T33" s="20">
        <f ca="1">OFFSET('Trans Factors'!$B$13,$O33-1,T$14)*$L33+OFFSET('Trans Factors'!$B$13,$K33-1,T$14)*$H33</f>
        <v>13457.456974555596</v>
      </c>
      <c r="U33" s="20"/>
      <c r="V33" s="20">
        <f ca="1">OFFSET('Trans Factors'!$B$13,$O33-1,V$14)*$L33+OFFSET('Trans Factors'!$B$13,$K33-1,V$14)*$H33</f>
        <v>59333.303889413823</v>
      </c>
      <c r="X33" s="20">
        <f ca="1">OFFSET('Trans Factors'!$B$13,$O33-1,X$14)*$L33+OFFSET('Trans Factors'!$B$13,$K33-1,X$14)*$H33</f>
        <v>8873.615916390394</v>
      </c>
      <c r="Y33" s="9"/>
      <c r="Z33" s="20">
        <f ca="1">OFFSET('Trans Factors'!$B$13,$O33-1,Z$14)*$L33+OFFSET('Trans Factors'!$B$13,$K33-1,Z$14)*$H33</f>
        <v>15938.544199809821</v>
      </c>
      <c r="AA33" s="20"/>
      <c r="AB33" s="20">
        <f ca="1">OFFSET('Trans Factors'!$B$13,$O33-1,AB$14)*$L33+OFFSET('Trans Factors'!$B$13,$K33-1,AB$14)*$H33</f>
        <v>0</v>
      </c>
      <c r="AC33" s="9"/>
      <c r="AD33" s="20">
        <f ca="1">P33+R33+T33+V33+X33+Z33+AB33</f>
        <v>101710.50916156215</v>
      </c>
      <c r="AF33" s="25" t="str">
        <f t="shared" ca="1" si="7"/>
        <v/>
      </c>
    </row>
    <row r="34" spans="2:52" x14ac:dyDescent="0.2">
      <c r="W34" s="18"/>
      <c r="AF34" s="25" t="str">
        <f t="shared" si="7"/>
        <v/>
      </c>
    </row>
    <row r="35" spans="2:52" x14ac:dyDescent="0.2">
      <c r="B35" s="18">
        <f>B33+1</f>
        <v>16</v>
      </c>
      <c r="D35" s="1" t="s">
        <v>392</v>
      </c>
      <c r="F35" s="41">
        <f ca="1">F31+F33</f>
        <v>4089539.9863961404</v>
      </c>
      <c r="H35" s="41">
        <f>H31+H33</f>
        <v>0</v>
      </c>
      <c r="L35" s="41">
        <f ca="1">L31+L33</f>
        <v>4089539.9863961404</v>
      </c>
      <c r="P35" s="10">
        <f ca="1">P31+P33</f>
        <v>124499.56008445584</v>
      </c>
      <c r="Q35" s="14"/>
      <c r="R35" s="10">
        <f ca="1">R31+R33</f>
        <v>17326.361520421739</v>
      </c>
      <c r="S35" s="8"/>
      <c r="T35" s="10">
        <f ca="1">T31+T33</f>
        <v>503990.22811860446</v>
      </c>
      <c r="U35" s="8"/>
      <c r="V35" s="10">
        <f ca="1">V31+V33</f>
        <v>2541020.1507790792</v>
      </c>
      <c r="W35" s="18"/>
      <c r="X35" s="10">
        <f ca="1">X31+X33</f>
        <v>352545.76949107862</v>
      </c>
      <c r="Y35" s="8"/>
      <c r="Z35" s="10">
        <f ca="1">Z31+Z33</f>
        <v>550157.91640250047</v>
      </c>
      <c r="AA35" s="8"/>
      <c r="AB35" s="10">
        <f ca="1">AB31+AB33</f>
        <v>0</v>
      </c>
      <c r="AD35" s="10">
        <f ca="1">AD31+AD33</f>
        <v>4089539.9863961404</v>
      </c>
      <c r="AF35" s="25" t="str">
        <f t="shared" ca="1" si="7"/>
        <v/>
      </c>
    </row>
    <row r="36" spans="2:52" x14ac:dyDescent="0.2">
      <c r="D36" s="6"/>
      <c r="F36" s="77"/>
      <c r="H36" s="77"/>
      <c r="L36" s="77"/>
      <c r="W36" s="18"/>
      <c r="AF36" s="25" t="str">
        <f t="shared" si="7"/>
        <v/>
      </c>
    </row>
    <row r="37" spans="2:52" x14ac:dyDescent="0.2">
      <c r="E37" s="6"/>
      <c r="W37" s="18"/>
      <c r="AF37" s="25" t="str">
        <f t="shared" si="7"/>
        <v/>
      </c>
    </row>
    <row r="38" spans="2:52" x14ac:dyDescent="0.2">
      <c r="D38" s="6" t="s">
        <v>296</v>
      </c>
      <c r="E38" s="7"/>
      <c r="F38" s="78"/>
      <c r="AF38" s="27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Z38" s="2"/>
    </row>
    <row r="39" spans="2:52" x14ac:dyDescent="0.2">
      <c r="AF39" s="25" t="str">
        <f t="shared" ref="AF39:AF52" si="9">IF(ROUND(F39,4)=ROUND(AD39,4), "", "check")</f>
        <v/>
      </c>
    </row>
    <row r="40" spans="2:52" x14ac:dyDescent="0.2">
      <c r="B40" s="18">
        <f>B35+1</f>
        <v>17</v>
      </c>
      <c r="D40" s="1" t="s">
        <v>76</v>
      </c>
      <c r="F40" s="50">
        <f ca="1">Function!T40</f>
        <v>0</v>
      </c>
      <c r="H40" s="50"/>
      <c r="J40" s="2"/>
      <c r="K40" s="73">
        <f>_xlfn.IFNA(MATCH(J40,'Trans Factors'!$B$13:$B$450,0),0)</f>
        <v>0</v>
      </c>
      <c r="L40" s="50">
        <f ca="1">F40-H40</f>
        <v>0</v>
      </c>
      <c r="N40" s="18"/>
      <c r="O40" s="73">
        <f>_xlfn.IFNA(MATCH(N40,'Trans Factors'!$B$13:$B$450,0),0)</f>
        <v>0</v>
      </c>
      <c r="P40" s="20">
        <f ca="1">OFFSET('Trans Factors'!$B$13,$O40-1,P$14)*$L40+OFFSET('Trans Factors'!$B$13,$K40-1,P$14)*$H40</f>
        <v>0</v>
      </c>
      <c r="R40" s="20">
        <f ca="1">OFFSET('Trans Factors'!$B$13,$O40-1,R$14)*$L40+OFFSET('Trans Factors'!$B$13,$K40-1,R$14)*$H40</f>
        <v>0</v>
      </c>
      <c r="S40" s="20"/>
      <c r="T40" s="20">
        <f ca="1">OFFSET('Trans Factors'!$B$13,$O40-1,T$14)*$L40+OFFSET('Trans Factors'!$B$13,$K40-1,T$14)*$H40</f>
        <v>0</v>
      </c>
      <c r="U40" s="20"/>
      <c r="V40" s="20">
        <f ca="1">OFFSET('Trans Factors'!$B$13,$O40-1,V$14)*$L40+OFFSET('Trans Factors'!$B$13,$K40-1,V$14)*$H40</f>
        <v>0</v>
      </c>
      <c r="X40" s="20">
        <f ca="1">OFFSET('Trans Factors'!$B$13,$O40-1,X$14)*$L40+OFFSET('Trans Factors'!$B$13,$K40-1,X$14)*$H40</f>
        <v>0</v>
      </c>
      <c r="Y40" s="9"/>
      <c r="Z40" s="20">
        <f ca="1">OFFSET('Trans Factors'!$B$13,$O40-1,Z$14)*$L40+OFFSET('Trans Factors'!$B$13,$K40-1,Z$14)*$H40</f>
        <v>0</v>
      </c>
      <c r="AA40" s="20"/>
      <c r="AB40" s="20">
        <f ca="1">OFFSET('Trans Factors'!$B$13,$O40-1,AB$14)*$L40+OFFSET('Trans Factors'!$B$13,$K40-1,AB$14)*$H40</f>
        <v>0</v>
      </c>
      <c r="AD40" s="20">
        <f ca="1">P40+R40+T40+V40+X40+Z40+AB40</f>
        <v>0</v>
      </c>
      <c r="AF40" s="25" t="str">
        <f t="shared" ca="1" si="9"/>
        <v/>
      </c>
      <c r="AI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Z40" s="50"/>
    </row>
    <row r="41" spans="2:52" x14ac:dyDescent="0.2">
      <c r="B41" s="18">
        <f>B40+1</f>
        <v>18</v>
      </c>
      <c r="D41" s="1" t="s">
        <v>75</v>
      </c>
      <c r="F41" s="50">
        <f ca="1">Function!T41</f>
        <v>-17684.967853226444</v>
      </c>
      <c r="H41" s="50"/>
      <c r="J41" s="2"/>
      <c r="K41" s="73">
        <f>_xlfn.IFNA(MATCH(J41,'Trans Factors'!$B$13:$B$450,0),0)</f>
        <v>0</v>
      </c>
      <c r="L41" s="50">
        <f t="shared" ref="L41:L52" ca="1" si="10">F41-H41</f>
        <v>-17684.967853226444</v>
      </c>
      <c r="N41" s="18" t="s">
        <v>304</v>
      </c>
      <c r="O41" s="73">
        <f>_xlfn.IFNA(MATCH(N41,'Trans Factors'!$B$13:$B$450,0),0)</f>
        <v>35</v>
      </c>
      <c r="P41" s="20">
        <f ca="1">OFFSET('Trans Factors'!$B$13,$O41-1,P$14)*$L41+OFFSET('Trans Factors'!$B$13,$K41-1,P$14)*$H41</f>
        <v>0</v>
      </c>
      <c r="R41" s="20">
        <f ca="1">OFFSET('Trans Factors'!$B$13,$O41-1,R$14)*$L41+OFFSET('Trans Factors'!$B$13,$K41-1,R$14)*$H41</f>
        <v>0</v>
      </c>
      <c r="S41" s="20"/>
      <c r="T41" s="20">
        <f ca="1">OFFSET('Trans Factors'!$B$13,$O41-1,T$14)*$L41+OFFSET('Trans Factors'!$B$13,$K41-1,T$14)*$H41</f>
        <v>-81.470851186358061</v>
      </c>
      <c r="U41" s="20"/>
      <c r="V41" s="20">
        <f ca="1">OFFSET('Trans Factors'!$B$13,$O41-1,V$14)*$L41+OFFSET('Trans Factors'!$B$13,$K41-1,V$14)*$H41</f>
        <v>-14093.643890261523</v>
      </c>
      <c r="X41" s="20">
        <f ca="1">OFFSET('Trans Factors'!$B$13,$O41-1,X$14)*$L41+OFFSET('Trans Factors'!$B$13,$K41-1,X$14)*$H41</f>
        <v>-1728.3808892002776</v>
      </c>
      <c r="Y41" s="9"/>
      <c r="Z41" s="20">
        <f ca="1">OFFSET('Trans Factors'!$B$13,$O41-1,Z$14)*$L41+OFFSET('Trans Factors'!$B$13,$K41-1,Z$14)*$H41</f>
        <v>-1781.4722225782866</v>
      </c>
      <c r="AA41" s="20"/>
      <c r="AB41" s="20">
        <f ca="1">OFFSET('Trans Factors'!$B$13,$O41-1,AB$14)*$L41+OFFSET('Trans Factors'!$B$13,$K41-1,AB$14)*$H41</f>
        <v>0</v>
      </c>
      <c r="AD41" s="20">
        <f t="shared" ref="AD41:AD52" ca="1" si="11">P41+R41+T41+V41+X41+Z41+AB41</f>
        <v>-17684.967853226444</v>
      </c>
      <c r="AF41" s="25" t="str">
        <f t="shared" ca="1" si="9"/>
        <v/>
      </c>
      <c r="AI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Z41" s="50"/>
    </row>
    <row r="42" spans="2:52" x14ac:dyDescent="0.2">
      <c r="B42" s="18">
        <f t="shared" ref="B42:B53" si="12">B41+1</f>
        <v>19</v>
      </c>
      <c r="D42" s="1" t="s">
        <v>19</v>
      </c>
      <c r="F42" s="50">
        <f ca="1">Function!T42</f>
        <v>-77738.765516644649</v>
      </c>
      <c r="H42" s="50"/>
      <c r="J42" s="2"/>
      <c r="K42" s="73">
        <f>_xlfn.IFNA(MATCH(J42,'Trans Factors'!$B$13:$B$450,0),0)</f>
        <v>0</v>
      </c>
      <c r="L42" s="50">
        <f t="shared" ca="1" si="10"/>
        <v>-77738.765516644649</v>
      </c>
      <c r="N42" s="18" t="s">
        <v>305</v>
      </c>
      <c r="O42" s="73">
        <f>_xlfn.IFNA(MATCH(N42,'Trans Factors'!$B$13:$B$450,0),0)</f>
        <v>68</v>
      </c>
      <c r="P42" s="20">
        <f ca="1">OFFSET('Trans Factors'!$B$13,$O42-1,P$14)*$L42+OFFSET('Trans Factors'!$B$13,$K42-1,P$14)*$H42</f>
        <v>-23485.914549559006</v>
      </c>
      <c r="R42" s="20">
        <f ca="1">OFFSET('Trans Factors'!$B$13,$O42-1,R$14)*$L42+OFFSET('Trans Factors'!$B$13,$K42-1,R$14)*$H42</f>
        <v>-1066.4351039073856</v>
      </c>
      <c r="S42" s="20"/>
      <c r="T42" s="20">
        <f ca="1">OFFSET('Trans Factors'!$B$13,$O42-1,T$14)*$L42+OFFSET('Trans Factors'!$B$13,$K42-1,T$14)*$H42</f>
        <v>-24764.875005545597</v>
      </c>
      <c r="U42" s="20"/>
      <c r="V42" s="20">
        <f ca="1">OFFSET('Trans Factors'!$B$13,$O42-1,V$14)*$L42+OFFSET('Trans Factors'!$B$13,$K42-1,V$14)*$H42</f>
        <v>-25533.312542571388</v>
      </c>
      <c r="X42" s="20">
        <f ca="1">OFFSET('Trans Factors'!$B$13,$O42-1,X$14)*$L42+OFFSET('Trans Factors'!$B$13,$K42-1,X$14)*$H42</f>
        <v>0</v>
      </c>
      <c r="Y42" s="9"/>
      <c r="Z42" s="20">
        <f ca="1">OFFSET('Trans Factors'!$B$13,$O42-1,Z$14)*$L42+OFFSET('Trans Factors'!$B$13,$K42-1,Z$14)*$H42</f>
        <v>-2888.2283150612561</v>
      </c>
      <c r="AA42" s="20"/>
      <c r="AB42" s="20">
        <f ca="1">OFFSET('Trans Factors'!$B$13,$O42-1,AB$14)*$L42+OFFSET('Trans Factors'!$B$13,$K42-1,AB$14)*$H42</f>
        <v>0</v>
      </c>
      <c r="AD42" s="20">
        <f t="shared" ca="1" si="11"/>
        <v>-77738.765516644635</v>
      </c>
      <c r="AF42" s="25" t="str">
        <f t="shared" ca="1" si="9"/>
        <v/>
      </c>
      <c r="AI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Z42" s="50"/>
    </row>
    <row r="43" spans="2:52" x14ac:dyDescent="0.2">
      <c r="B43" s="18">
        <f t="shared" si="12"/>
        <v>20</v>
      </c>
      <c r="D43" s="1" t="s">
        <v>21</v>
      </c>
      <c r="F43" s="50">
        <f ca="1">Function!T43</f>
        <v>-91934.117047230378</v>
      </c>
      <c r="H43" s="50"/>
      <c r="J43" s="2"/>
      <c r="K43" s="73">
        <f>_xlfn.IFNA(MATCH(J43,'Trans Factors'!$B$13:$B$450,0),0)</f>
        <v>0</v>
      </c>
      <c r="L43" s="50">
        <f t="shared" ca="1" si="10"/>
        <v>-91934.117047230378</v>
      </c>
      <c r="N43" s="18" t="s">
        <v>306</v>
      </c>
      <c r="O43" s="73">
        <f>_xlfn.IFNA(MATCH(N43,'Trans Factors'!$B$13:$B$450,0),0)</f>
        <v>50</v>
      </c>
      <c r="P43" s="20">
        <f ca="1">OFFSET('Trans Factors'!$B$13,$O43-1,P$14)*$L43+OFFSET('Trans Factors'!$B$13,$K43-1,P$14)*$H43</f>
        <v>-34952.348121982686</v>
      </c>
      <c r="R43" s="20">
        <f ca="1">OFFSET('Trans Factors'!$B$13,$O43-1,R$14)*$L43+OFFSET('Trans Factors'!$B$13,$K43-1,R$14)*$H43</f>
        <v>-9130.3820732125623</v>
      </c>
      <c r="S43" s="20"/>
      <c r="T43" s="20">
        <f ca="1">OFFSET('Trans Factors'!$B$13,$O43-1,T$14)*$L43+OFFSET('Trans Factors'!$B$13,$K43-1,T$14)*$H43</f>
        <v>-18389.293021966987</v>
      </c>
      <c r="U43" s="20"/>
      <c r="V43" s="20">
        <f ca="1">OFFSET('Trans Factors'!$B$13,$O43-1,V$14)*$L43+OFFSET('Trans Factors'!$B$13,$K43-1,V$14)*$H43</f>
        <v>0</v>
      </c>
      <c r="X43" s="20">
        <f ca="1">OFFSET('Trans Factors'!$B$13,$O43-1,X$14)*$L43+OFFSET('Trans Factors'!$B$13,$K43-1,X$14)*$H43</f>
        <v>-517.39716281437381</v>
      </c>
      <c r="Y43" s="9"/>
      <c r="Z43" s="20">
        <f ca="1">OFFSET('Trans Factors'!$B$13,$O43-1,Z$14)*$L43+OFFSET('Trans Factors'!$B$13,$K43-1,Z$14)*$H43</f>
        <v>-28944.696667253767</v>
      </c>
      <c r="AA43" s="20"/>
      <c r="AB43" s="20">
        <f ca="1">OFFSET('Trans Factors'!$B$13,$O43-1,AB$14)*$L43+OFFSET('Trans Factors'!$B$13,$K43-1,AB$14)*$H43</f>
        <v>0</v>
      </c>
      <c r="AD43" s="20">
        <f t="shared" ca="1" si="11"/>
        <v>-91934.117047230378</v>
      </c>
      <c r="AF43" s="25" t="str">
        <f t="shared" ca="1" si="9"/>
        <v/>
      </c>
      <c r="AI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Z43" s="50"/>
    </row>
    <row r="44" spans="2:52" x14ac:dyDescent="0.2">
      <c r="B44" s="18">
        <f t="shared" si="12"/>
        <v>21</v>
      </c>
      <c r="D44" s="1" t="s">
        <v>23</v>
      </c>
      <c r="F44" s="50">
        <f ca="1">Function!T44</f>
        <v>-700300.98840433965</v>
      </c>
      <c r="H44" s="50"/>
      <c r="K44" s="73">
        <f>_xlfn.IFNA(MATCH(J44,'Trans Factors'!$B$13:$B$450,0),0)</f>
        <v>0</v>
      </c>
      <c r="L44" s="50">
        <f t="shared" ca="1" si="10"/>
        <v>-700300.98840433965</v>
      </c>
      <c r="N44" s="18" t="s">
        <v>307</v>
      </c>
      <c r="O44" s="73">
        <f>_xlfn.IFNA(MATCH(N44,'Trans Factors'!$B$13:$B$450,0),0)</f>
        <v>44</v>
      </c>
      <c r="P44" s="20">
        <f ca="1">OFFSET('Trans Factors'!$B$13,$O44-1,P$14)*$L44+OFFSET('Trans Factors'!$B$13,$K44-1,P$14)*$H44</f>
        <v>0</v>
      </c>
      <c r="R44" s="20">
        <f ca="1">OFFSET('Trans Factors'!$B$13,$O44-1,R$14)*$L44+OFFSET('Trans Factors'!$B$13,$K44-1,R$14)*$H44</f>
        <v>-12.200666647008878</v>
      </c>
      <c r="S44" s="20"/>
      <c r="T44" s="20">
        <f ca="1">OFFSET('Trans Factors'!$B$13,$O44-1,T$14)*$L44+OFFSET('Trans Factors'!$B$13,$K44-1,T$14)*$H44</f>
        <v>-1756.3198305423257</v>
      </c>
      <c r="U44" s="20"/>
      <c r="V44" s="20">
        <f ca="1">OFFSET('Trans Factors'!$B$13,$O44-1,V$14)*$L44+OFFSET('Trans Factors'!$B$13,$K44-1,V$14)*$H44</f>
        <v>-572450.84464776691</v>
      </c>
      <c r="X44" s="20">
        <f ca="1">OFFSET('Trans Factors'!$B$13,$O44-1,X$14)*$L44+OFFSET('Trans Factors'!$B$13,$K44-1,X$14)*$H44</f>
        <v>-51214.137142734056</v>
      </c>
      <c r="Y44" s="9"/>
      <c r="Z44" s="20">
        <f ca="1">OFFSET('Trans Factors'!$B$13,$O44-1,Z$14)*$L44+OFFSET('Trans Factors'!$B$13,$K44-1,Z$14)*$H44</f>
        <v>-74867.486116649408</v>
      </c>
      <c r="AA44" s="20"/>
      <c r="AB44" s="20">
        <f ca="1">OFFSET('Trans Factors'!$B$13,$O44-1,AB$14)*$L44+OFFSET('Trans Factors'!$B$13,$K44-1,AB$14)*$H44</f>
        <v>0</v>
      </c>
      <c r="AD44" s="20">
        <f t="shared" ca="1" si="11"/>
        <v>-700300.98840433965</v>
      </c>
      <c r="AF44" s="25" t="str">
        <f t="shared" ca="1" si="9"/>
        <v/>
      </c>
      <c r="AI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Z44" s="50"/>
    </row>
    <row r="45" spans="2:52" x14ac:dyDescent="0.2">
      <c r="B45" s="18">
        <f t="shared" si="12"/>
        <v>22</v>
      </c>
      <c r="D45" s="1" t="s">
        <v>25</v>
      </c>
      <c r="F45" s="50">
        <f ca="1">Function!T45</f>
        <v>-529309.68232222286</v>
      </c>
      <c r="H45" s="50"/>
      <c r="K45" s="73">
        <f>_xlfn.IFNA(MATCH(J45,'Trans Factors'!$B$13:$B$450,0),0)</f>
        <v>0</v>
      </c>
      <c r="L45" s="50">
        <f t="shared" ca="1" si="10"/>
        <v>-529309.68232222286</v>
      </c>
      <c r="N45" s="18" t="s">
        <v>308</v>
      </c>
      <c r="O45" s="73">
        <f>_xlfn.IFNA(MATCH(N45,'Trans Factors'!$B$13:$B$450,0),0)</f>
        <v>17</v>
      </c>
      <c r="P45" s="20">
        <f ca="1">OFFSET('Trans Factors'!$B$13,$O45-1,P$14)*$L45+OFFSET('Trans Factors'!$B$13,$K45-1,P$14)*$H45</f>
        <v>0</v>
      </c>
      <c r="R45" s="20">
        <f ca="1">OFFSET('Trans Factors'!$B$13,$O45-1,R$14)*$L45+OFFSET('Trans Factors'!$B$13,$K45-1,R$14)*$H45</f>
        <v>0</v>
      </c>
      <c r="S45" s="20"/>
      <c r="T45" s="20">
        <f ca="1">OFFSET('Trans Factors'!$B$13,$O45-1,T$14)*$L45+OFFSET('Trans Factors'!$B$13,$K45-1,T$14)*$H45</f>
        <v>-125363.51856244406</v>
      </c>
      <c r="U45" s="20"/>
      <c r="V45" s="20">
        <f ca="1">OFFSET('Trans Factors'!$B$13,$O45-1,V$14)*$L45+OFFSET('Trans Factors'!$B$13,$K45-1,V$14)*$H45</f>
        <v>-394898.99494617968</v>
      </c>
      <c r="X45" s="20">
        <f ca="1">OFFSET('Trans Factors'!$B$13,$O45-1,X$14)*$L45+OFFSET('Trans Factors'!$B$13,$K45-1,X$14)*$H45</f>
        <v>0</v>
      </c>
      <c r="Y45" s="9"/>
      <c r="Z45" s="20">
        <f ca="1">OFFSET('Trans Factors'!$B$13,$O45-1,Z$14)*$L45+OFFSET('Trans Factors'!$B$13,$K45-1,Z$14)*$H45</f>
        <v>-9047.1688135990662</v>
      </c>
      <c r="AA45" s="20"/>
      <c r="AB45" s="20">
        <f ca="1">OFFSET('Trans Factors'!$B$13,$O45-1,AB$14)*$L45+OFFSET('Trans Factors'!$B$13,$K45-1,AB$14)*$H45</f>
        <v>0</v>
      </c>
      <c r="AD45" s="20">
        <f t="shared" ca="1" si="11"/>
        <v>-529309.68232222286</v>
      </c>
      <c r="AF45" s="25" t="str">
        <f t="shared" ca="1" si="9"/>
        <v/>
      </c>
      <c r="AI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Z45" s="50"/>
    </row>
    <row r="46" spans="2:52" x14ac:dyDescent="0.2">
      <c r="B46" s="18">
        <f t="shared" si="12"/>
        <v>23</v>
      </c>
      <c r="D46" s="1" t="s">
        <v>27</v>
      </c>
      <c r="F46" s="50">
        <f ca="1">Function!T46</f>
        <v>0</v>
      </c>
      <c r="H46" s="50"/>
      <c r="K46" s="73">
        <f>_xlfn.IFNA(MATCH(J46,'Trans Factors'!$B$13:$B$450,0),0)</f>
        <v>0</v>
      </c>
      <c r="L46" s="50">
        <f t="shared" ca="1" si="10"/>
        <v>0</v>
      </c>
      <c r="N46" s="18"/>
      <c r="O46" s="73">
        <f>_xlfn.IFNA(MATCH(N46,'Trans Factors'!$B$13:$B$450,0),0)</f>
        <v>0</v>
      </c>
      <c r="P46" s="20">
        <f ca="1">OFFSET('Trans Factors'!$B$13,$O46-1,P$14)*$L46+OFFSET('Trans Factors'!$B$13,$K46-1,P$14)*$H46</f>
        <v>0</v>
      </c>
      <c r="R46" s="20">
        <f ca="1">OFFSET('Trans Factors'!$B$13,$O46-1,R$14)*$L46+OFFSET('Trans Factors'!$B$13,$K46-1,R$14)*$H46</f>
        <v>0</v>
      </c>
      <c r="S46" s="20"/>
      <c r="T46" s="20">
        <f ca="1">OFFSET('Trans Factors'!$B$13,$O46-1,T$14)*$L46+OFFSET('Trans Factors'!$B$13,$K46-1,T$14)*$H46</f>
        <v>0</v>
      </c>
      <c r="U46" s="20"/>
      <c r="V46" s="20">
        <f ca="1">OFFSET('Trans Factors'!$B$13,$O46-1,V$14)*$L46+OFFSET('Trans Factors'!$B$13,$K46-1,V$14)*$H46</f>
        <v>0</v>
      </c>
      <c r="X46" s="20">
        <f ca="1">OFFSET('Trans Factors'!$B$13,$O46-1,X$14)*$L46+OFFSET('Trans Factors'!$B$13,$K46-1,X$14)*$H46</f>
        <v>0</v>
      </c>
      <c r="Y46" s="9"/>
      <c r="Z46" s="20">
        <f ca="1">OFFSET('Trans Factors'!$B$13,$O46-1,Z$14)*$L46+OFFSET('Trans Factors'!$B$13,$K46-1,Z$14)*$H46</f>
        <v>0</v>
      </c>
      <c r="AA46" s="20"/>
      <c r="AB46" s="20">
        <f ca="1">OFFSET('Trans Factors'!$B$13,$O46-1,AB$14)*$L46+OFFSET('Trans Factors'!$B$13,$K46-1,AB$14)*$H46</f>
        <v>0</v>
      </c>
      <c r="AD46" s="20">
        <f t="shared" ca="1" si="11"/>
        <v>0</v>
      </c>
      <c r="AF46" s="25" t="str">
        <f t="shared" ca="1" si="9"/>
        <v/>
      </c>
      <c r="AI46" s="38"/>
      <c r="AL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Z46" s="50"/>
    </row>
    <row r="47" spans="2:52" x14ac:dyDescent="0.2">
      <c r="B47" s="18">
        <f t="shared" si="12"/>
        <v>24</v>
      </c>
      <c r="D47" s="1" t="s">
        <v>29</v>
      </c>
      <c r="F47" s="50">
        <f ca="1">Function!T47</f>
        <v>0</v>
      </c>
      <c r="H47" s="50"/>
      <c r="K47" s="73">
        <f>_xlfn.IFNA(MATCH(J47,'Trans Factors'!$B$13:$B$450,0),0)</f>
        <v>0</v>
      </c>
      <c r="L47" s="50">
        <f t="shared" ca="1" si="10"/>
        <v>0</v>
      </c>
      <c r="N47" s="18"/>
      <c r="O47" s="73">
        <f>_xlfn.IFNA(MATCH(N47,'Trans Factors'!$B$13:$B$450,0),0)</f>
        <v>0</v>
      </c>
      <c r="P47" s="20">
        <f ca="1">OFFSET('Trans Factors'!$B$13,$O47-1,P$14)*$L47+OFFSET('Trans Factors'!$B$13,$K47-1,P$14)*$H47</f>
        <v>0</v>
      </c>
      <c r="R47" s="20">
        <f ca="1">OFFSET('Trans Factors'!$B$13,$O47-1,R$14)*$L47+OFFSET('Trans Factors'!$B$13,$K47-1,R$14)*$H47</f>
        <v>0</v>
      </c>
      <c r="S47" s="20"/>
      <c r="T47" s="20">
        <f ca="1">OFFSET('Trans Factors'!$B$13,$O47-1,T$14)*$L47+OFFSET('Trans Factors'!$B$13,$K47-1,T$14)*$H47</f>
        <v>0</v>
      </c>
      <c r="U47" s="20"/>
      <c r="V47" s="20">
        <f ca="1">OFFSET('Trans Factors'!$B$13,$O47-1,V$14)*$L47+OFFSET('Trans Factors'!$B$13,$K47-1,V$14)*$H47</f>
        <v>0</v>
      </c>
      <c r="X47" s="20">
        <f ca="1">OFFSET('Trans Factors'!$B$13,$O47-1,X$14)*$L47+OFFSET('Trans Factors'!$B$13,$K47-1,X$14)*$H47</f>
        <v>0</v>
      </c>
      <c r="Y47" s="9"/>
      <c r="Z47" s="20">
        <f ca="1">OFFSET('Trans Factors'!$B$13,$O47-1,Z$14)*$L47+OFFSET('Trans Factors'!$B$13,$K47-1,Z$14)*$H47</f>
        <v>0</v>
      </c>
      <c r="AA47" s="20"/>
      <c r="AB47" s="20">
        <f ca="1">OFFSET('Trans Factors'!$B$13,$O47-1,AB$14)*$L47+OFFSET('Trans Factors'!$B$13,$K47-1,AB$14)*$H47</f>
        <v>0</v>
      </c>
      <c r="AD47" s="20">
        <f t="shared" ca="1" si="11"/>
        <v>0</v>
      </c>
      <c r="AF47" s="25" t="str">
        <f t="shared" ca="1" si="9"/>
        <v/>
      </c>
      <c r="AI47" s="38"/>
      <c r="AL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Z47" s="50"/>
    </row>
    <row r="48" spans="2:52" x14ac:dyDescent="0.2">
      <c r="B48" s="18">
        <f t="shared" si="12"/>
        <v>25</v>
      </c>
      <c r="D48" s="1" t="s">
        <v>30</v>
      </c>
      <c r="F48" s="50">
        <f ca="1">Function!T48</f>
        <v>0</v>
      </c>
      <c r="H48" s="50"/>
      <c r="K48" s="73">
        <f>_xlfn.IFNA(MATCH(J48,'Trans Factors'!$B$13:$B$450,0),0)</f>
        <v>0</v>
      </c>
      <c r="L48" s="50">
        <f t="shared" ca="1" si="10"/>
        <v>0</v>
      </c>
      <c r="N48" s="18"/>
      <c r="O48" s="73">
        <f>_xlfn.IFNA(MATCH(N48,'Trans Factors'!$B$13:$B$450,0),0)</f>
        <v>0</v>
      </c>
      <c r="P48" s="20">
        <f ca="1">OFFSET('Trans Factors'!$B$13,$O48-1,P$14)*$L48+OFFSET('Trans Factors'!$B$13,$K48-1,P$14)*$H48</f>
        <v>0</v>
      </c>
      <c r="R48" s="20">
        <f ca="1">OFFSET('Trans Factors'!$B$13,$O48-1,R$14)*$L48+OFFSET('Trans Factors'!$B$13,$K48-1,R$14)*$H48</f>
        <v>0</v>
      </c>
      <c r="S48" s="20"/>
      <c r="T48" s="20">
        <f ca="1">OFFSET('Trans Factors'!$B$13,$O48-1,T$14)*$L48+OFFSET('Trans Factors'!$B$13,$K48-1,T$14)*$H48</f>
        <v>0</v>
      </c>
      <c r="U48" s="20"/>
      <c r="V48" s="20">
        <f ca="1">OFFSET('Trans Factors'!$B$13,$O48-1,V$14)*$L48+OFFSET('Trans Factors'!$B$13,$K48-1,V$14)*$H48</f>
        <v>0</v>
      </c>
      <c r="X48" s="20">
        <f ca="1">OFFSET('Trans Factors'!$B$13,$O48-1,X$14)*$L48+OFFSET('Trans Factors'!$B$13,$K48-1,X$14)*$H48</f>
        <v>0</v>
      </c>
      <c r="Y48" s="9"/>
      <c r="Z48" s="20">
        <f ca="1">OFFSET('Trans Factors'!$B$13,$O48-1,Z$14)*$L48+OFFSET('Trans Factors'!$B$13,$K48-1,Z$14)*$H48</f>
        <v>0</v>
      </c>
      <c r="AA48" s="20"/>
      <c r="AB48" s="20">
        <f ca="1">OFFSET('Trans Factors'!$B$13,$O48-1,AB$14)*$L48+OFFSET('Trans Factors'!$B$13,$K48-1,AB$14)*$H48</f>
        <v>0</v>
      </c>
      <c r="AD48" s="20">
        <f t="shared" ca="1" si="11"/>
        <v>0</v>
      </c>
      <c r="AF48" s="25" t="str">
        <f t="shared" ca="1" si="9"/>
        <v/>
      </c>
      <c r="AI48" s="38"/>
      <c r="AL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Z48" s="50"/>
    </row>
    <row r="49" spans="2:52" x14ac:dyDescent="0.2">
      <c r="B49" s="18">
        <f t="shared" si="12"/>
        <v>26</v>
      </c>
      <c r="D49" s="1" t="s">
        <v>31</v>
      </c>
      <c r="F49" s="50">
        <f ca="1">Function!T49</f>
        <v>0</v>
      </c>
      <c r="H49" s="50"/>
      <c r="K49" s="73">
        <f>_xlfn.IFNA(MATCH(J49,'Trans Factors'!$B$13:$B$450,0),0)</f>
        <v>0</v>
      </c>
      <c r="L49" s="50">
        <f t="shared" ca="1" si="10"/>
        <v>0</v>
      </c>
      <c r="N49" s="18"/>
      <c r="O49" s="73">
        <f>_xlfn.IFNA(MATCH(N49,'Trans Factors'!$B$13:$B$450,0),0)</f>
        <v>0</v>
      </c>
      <c r="P49" s="20">
        <f ca="1">OFFSET('Trans Factors'!$B$13,$O49-1,P$14)*$L49+OFFSET('Trans Factors'!$B$13,$K49-1,P$14)*$H49</f>
        <v>0</v>
      </c>
      <c r="R49" s="20">
        <f ca="1">OFFSET('Trans Factors'!$B$13,$O49-1,R$14)*$L49+OFFSET('Trans Factors'!$B$13,$K49-1,R$14)*$H49</f>
        <v>0</v>
      </c>
      <c r="S49" s="20"/>
      <c r="T49" s="20">
        <f ca="1">OFFSET('Trans Factors'!$B$13,$O49-1,T$14)*$L49+OFFSET('Trans Factors'!$B$13,$K49-1,T$14)*$H49</f>
        <v>0</v>
      </c>
      <c r="U49" s="20"/>
      <c r="V49" s="20">
        <f ca="1">OFFSET('Trans Factors'!$B$13,$O49-1,V$14)*$L49+OFFSET('Trans Factors'!$B$13,$K49-1,V$14)*$H49</f>
        <v>0</v>
      </c>
      <c r="X49" s="20">
        <f ca="1">OFFSET('Trans Factors'!$B$13,$O49-1,X$14)*$L49+OFFSET('Trans Factors'!$B$13,$K49-1,X$14)*$H49</f>
        <v>0</v>
      </c>
      <c r="Y49" s="9"/>
      <c r="Z49" s="20">
        <f ca="1">OFFSET('Trans Factors'!$B$13,$O49-1,Z$14)*$L49+OFFSET('Trans Factors'!$B$13,$K49-1,Z$14)*$H49</f>
        <v>0</v>
      </c>
      <c r="AA49" s="20"/>
      <c r="AB49" s="20">
        <f ca="1">OFFSET('Trans Factors'!$B$13,$O49-1,AB$14)*$L49+OFFSET('Trans Factors'!$B$13,$K49-1,AB$14)*$H49</f>
        <v>0</v>
      </c>
      <c r="AD49" s="20">
        <f t="shared" ca="1" si="11"/>
        <v>0</v>
      </c>
      <c r="AF49" s="25" t="str">
        <f t="shared" ca="1" si="9"/>
        <v/>
      </c>
      <c r="AI49" s="38"/>
      <c r="AL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Z49" s="50"/>
    </row>
    <row r="50" spans="2:52" x14ac:dyDescent="0.2">
      <c r="B50" s="18">
        <f t="shared" si="12"/>
        <v>27</v>
      </c>
      <c r="D50" s="1" t="s">
        <v>293</v>
      </c>
      <c r="F50" s="50">
        <f ca="1">Function!T50</f>
        <v>0</v>
      </c>
      <c r="H50" s="50"/>
      <c r="K50" s="73">
        <f>_xlfn.IFNA(MATCH(J50,'Trans Factors'!$B$13:$B$450,0),0)</f>
        <v>0</v>
      </c>
      <c r="L50" s="50">
        <f t="shared" ca="1" si="10"/>
        <v>0</v>
      </c>
      <c r="N50" s="18"/>
      <c r="O50" s="73">
        <f>_xlfn.IFNA(MATCH(N50,'Trans Factors'!$B$13:$B$450,0),0)</f>
        <v>0</v>
      </c>
      <c r="P50" s="20">
        <f ca="1">OFFSET('Trans Factors'!$B$13,$O50-1,P$14)*$L50+OFFSET('Trans Factors'!$B$13,$K50-1,P$14)*$H50</f>
        <v>0</v>
      </c>
      <c r="R50" s="20">
        <f ca="1">OFFSET('Trans Factors'!$B$13,$O50-1,R$14)*$L50+OFFSET('Trans Factors'!$B$13,$K50-1,R$14)*$H50</f>
        <v>0</v>
      </c>
      <c r="S50" s="20"/>
      <c r="T50" s="20">
        <f ca="1">OFFSET('Trans Factors'!$B$13,$O50-1,T$14)*$L50+OFFSET('Trans Factors'!$B$13,$K50-1,T$14)*$H50</f>
        <v>0</v>
      </c>
      <c r="U50" s="20"/>
      <c r="V50" s="20">
        <f ca="1">OFFSET('Trans Factors'!$B$13,$O50-1,V$14)*$L50+OFFSET('Trans Factors'!$B$13,$K50-1,V$14)*$H50</f>
        <v>0</v>
      </c>
      <c r="X50" s="20">
        <f ca="1">OFFSET('Trans Factors'!$B$13,$O50-1,X$14)*$L50+OFFSET('Trans Factors'!$B$13,$K50-1,X$14)*$H50</f>
        <v>0</v>
      </c>
      <c r="Y50" s="9"/>
      <c r="Z50" s="20">
        <f ca="1">OFFSET('Trans Factors'!$B$13,$O50-1,Z$14)*$L50+OFFSET('Trans Factors'!$B$13,$K50-1,Z$14)*$H50</f>
        <v>0</v>
      </c>
      <c r="AA50" s="20"/>
      <c r="AB50" s="20">
        <f ca="1">OFFSET('Trans Factors'!$B$13,$O50-1,AB$14)*$L50+OFFSET('Trans Factors'!$B$13,$K50-1,AB$14)*$H50</f>
        <v>0</v>
      </c>
      <c r="AD50" s="20">
        <f t="shared" ca="1" si="11"/>
        <v>0</v>
      </c>
      <c r="AF50" s="25" t="str">
        <f t="shared" ca="1" si="9"/>
        <v/>
      </c>
      <c r="AI50" s="38"/>
      <c r="AL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Z50" s="50"/>
    </row>
    <row r="51" spans="2:52" x14ac:dyDescent="0.2">
      <c r="B51" s="18">
        <f>B50+1</f>
        <v>28</v>
      </c>
      <c r="D51" s="1" t="s">
        <v>34</v>
      </c>
      <c r="F51" s="50">
        <f ca="1">Function!T51</f>
        <v>0</v>
      </c>
      <c r="H51" s="50"/>
      <c r="K51" s="73">
        <f>_xlfn.IFNA(MATCH(J51,'Trans Factors'!$B$13:$B$450,0),0)</f>
        <v>0</v>
      </c>
      <c r="L51" s="50">
        <f t="shared" ca="1" si="10"/>
        <v>0</v>
      </c>
      <c r="N51" s="18"/>
      <c r="O51" s="73">
        <f>_xlfn.IFNA(MATCH(N51,'Trans Factors'!$B$13:$B$450,0),0)</f>
        <v>0</v>
      </c>
      <c r="P51" s="20">
        <f ca="1">OFFSET('Trans Factors'!$B$13,$O51-1,P$14)*$L51+OFFSET('Trans Factors'!$B$13,$K51-1,P$14)*$H51</f>
        <v>0</v>
      </c>
      <c r="R51" s="20">
        <f ca="1">OFFSET('Trans Factors'!$B$13,$O51-1,R$14)*$L51+OFFSET('Trans Factors'!$B$13,$K51-1,R$14)*$H51</f>
        <v>0</v>
      </c>
      <c r="S51" s="20"/>
      <c r="T51" s="20">
        <f ca="1">OFFSET('Trans Factors'!$B$13,$O51-1,T$14)*$L51+OFFSET('Trans Factors'!$B$13,$K51-1,T$14)*$H51</f>
        <v>0</v>
      </c>
      <c r="U51" s="20"/>
      <c r="V51" s="20">
        <f ca="1">OFFSET('Trans Factors'!$B$13,$O51-1,V$14)*$L51+OFFSET('Trans Factors'!$B$13,$K51-1,V$14)*$H51</f>
        <v>0</v>
      </c>
      <c r="X51" s="20">
        <f ca="1">OFFSET('Trans Factors'!$B$13,$O51-1,X$14)*$L51+OFFSET('Trans Factors'!$B$13,$K51-1,X$14)*$H51</f>
        <v>0</v>
      </c>
      <c r="Y51" s="9"/>
      <c r="Z51" s="20">
        <f ca="1">OFFSET('Trans Factors'!$B$13,$O51-1,Z$14)*$L51+OFFSET('Trans Factors'!$B$13,$K51-1,Z$14)*$H51</f>
        <v>0</v>
      </c>
      <c r="AA51" s="20"/>
      <c r="AB51" s="20">
        <f ca="1">OFFSET('Trans Factors'!$B$13,$O51-1,AB$14)*$L51+OFFSET('Trans Factors'!$B$13,$K51-1,AB$14)*$H51</f>
        <v>0</v>
      </c>
      <c r="AD51" s="20">
        <f t="shared" ca="1" si="11"/>
        <v>0</v>
      </c>
      <c r="AF51" s="25" t="str">
        <f t="shared" ca="1" si="9"/>
        <v/>
      </c>
      <c r="AI51" s="38"/>
      <c r="AL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Z51" s="50"/>
    </row>
    <row r="52" spans="2:52" x14ac:dyDescent="0.2">
      <c r="B52" s="18">
        <f>B51+1</f>
        <v>29</v>
      </c>
      <c r="D52" s="1" t="s">
        <v>77</v>
      </c>
      <c r="F52" s="50">
        <f ca="1">Function!T52</f>
        <v>0</v>
      </c>
      <c r="H52" s="50"/>
      <c r="K52" s="73">
        <f>_xlfn.IFNA(MATCH(J52,'Trans Factors'!$B$13:$B$450,0),0)</f>
        <v>0</v>
      </c>
      <c r="L52" s="50">
        <f t="shared" ca="1" si="10"/>
        <v>0</v>
      </c>
      <c r="N52" s="18"/>
      <c r="O52" s="73">
        <f>_xlfn.IFNA(MATCH(N52,'Trans Factors'!$B$13:$B$450,0),0)</f>
        <v>0</v>
      </c>
      <c r="P52" s="20">
        <f ca="1">OFFSET('Trans Factors'!$B$13,$O52-1,P$14)*$L52+OFFSET('Trans Factors'!$B$13,$K52-1,P$14)*$H52</f>
        <v>0</v>
      </c>
      <c r="R52" s="20">
        <f ca="1">OFFSET('Trans Factors'!$B$13,$O52-1,R$14)*$L52+OFFSET('Trans Factors'!$B$13,$K52-1,R$14)*$H52</f>
        <v>0</v>
      </c>
      <c r="S52" s="20"/>
      <c r="T52" s="20">
        <f ca="1">OFFSET('Trans Factors'!$B$13,$O52-1,T$14)*$L52+OFFSET('Trans Factors'!$B$13,$K52-1,T$14)*$H52</f>
        <v>0</v>
      </c>
      <c r="U52" s="20"/>
      <c r="V52" s="20">
        <f ca="1">OFFSET('Trans Factors'!$B$13,$O52-1,V$14)*$L52+OFFSET('Trans Factors'!$B$13,$K52-1,V$14)*$H52</f>
        <v>0</v>
      </c>
      <c r="X52" s="20">
        <f ca="1">OFFSET('Trans Factors'!$B$13,$O52-1,X$14)*$L52+OFFSET('Trans Factors'!$B$13,$K52-1,X$14)*$H52</f>
        <v>0</v>
      </c>
      <c r="Y52" s="9"/>
      <c r="Z52" s="20">
        <f ca="1">OFFSET('Trans Factors'!$B$13,$O52-1,Z$14)*$L52+OFFSET('Trans Factors'!$B$13,$K52-1,Z$14)*$H52</f>
        <v>0</v>
      </c>
      <c r="AA52" s="20"/>
      <c r="AB52" s="20">
        <f ca="1">OFFSET('Trans Factors'!$B$13,$O52-1,AB$14)*$L52+OFFSET('Trans Factors'!$B$13,$K52-1,AB$14)*$H52</f>
        <v>0</v>
      </c>
      <c r="AD52" s="20">
        <f t="shared" ca="1" si="11"/>
        <v>0</v>
      </c>
      <c r="AF52" s="25" t="str">
        <f t="shared" ca="1" si="9"/>
        <v/>
      </c>
      <c r="AI52" s="38"/>
      <c r="AL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Z52" s="50"/>
    </row>
    <row r="53" spans="2:52" x14ac:dyDescent="0.2">
      <c r="B53" s="18">
        <f t="shared" si="12"/>
        <v>30</v>
      </c>
      <c r="D53" s="1" t="s">
        <v>298</v>
      </c>
      <c r="F53" s="41">
        <f ca="1">SUM(F40:F52)</f>
        <v>-1416968.5211436641</v>
      </c>
      <c r="H53" s="41">
        <f>SUM(H40:H52)</f>
        <v>0</v>
      </c>
      <c r="L53" s="41">
        <f ca="1">SUM(L40:L52)</f>
        <v>-1416968.5211436641</v>
      </c>
      <c r="O53" s="73"/>
      <c r="P53" s="28">
        <f ca="1">SUM(P40:P52)</f>
        <v>-58438.262671541692</v>
      </c>
      <c r="Q53" s="23"/>
      <c r="R53" s="28">
        <f ca="1">SUM(R40:R52)</f>
        <v>-10209.017843766958</v>
      </c>
      <c r="S53" s="22"/>
      <c r="T53" s="28">
        <f ca="1">SUM(T40:T52)</f>
        <v>-170355.47727168532</v>
      </c>
      <c r="U53" s="22"/>
      <c r="V53" s="28">
        <f ca="1">SUM(V40:V52)</f>
        <v>-1006976.7960267795</v>
      </c>
      <c r="W53" s="18"/>
      <c r="X53" s="28">
        <f ca="1">SUM(X40:X52)</f>
        <v>-53459.915194748712</v>
      </c>
      <c r="Y53" s="13"/>
      <c r="Z53" s="28">
        <f ca="1">SUM(Z40:Z52)</f>
        <v>-117529.05213514178</v>
      </c>
      <c r="AA53" s="22"/>
      <c r="AB53" s="28">
        <f ca="1">SUM(AB40:AB52)</f>
        <v>0</v>
      </c>
      <c r="AD53" s="28">
        <f ca="1">SUM(AD40:AD52)</f>
        <v>-1416968.5211436641</v>
      </c>
      <c r="AF53" s="25" t="str">
        <f ca="1">IF(ROUND(F53,4)=ROUND(AD53,4), "", "check")</f>
        <v/>
      </c>
      <c r="AI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</row>
    <row r="54" spans="2:52" x14ac:dyDescent="0.2">
      <c r="O54" s="73"/>
      <c r="W54" s="18"/>
      <c r="AF54" s="25" t="str">
        <f t="shared" ref="AF54:AF59" si="13">IF(ROUND(F54,4)=ROUND(AD54,4), "", "check")</f>
        <v/>
      </c>
    </row>
    <row r="55" spans="2:52" x14ac:dyDescent="0.2">
      <c r="B55" s="18">
        <f>B53+1</f>
        <v>31</v>
      </c>
      <c r="D55" s="1" t="s">
        <v>196</v>
      </c>
      <c r="F55" s="50">
        <f ca="1">Function!T55</f>
        <v>-50852.680549399003</v>
      </c>
      <c r="H55" s="50"/>
      <c r="K55" s="73">
        <f>_xlfn.IFNA(MATCH(J55,'Trans Factors'!$B$13:$B$450,0),0)</f>
        <v>0</v>
      </c>
      <c r="L55" s="50">
        <f t="shared" ref="L55" ca="1" si="14">F55-H55</f>
        <v>-50852.680549399003</v>
      </c>
      <c r="N55" s="18" t="s">
        <v>234</v>
      </c>
      <c r="O55" s="73">
        <f>_xlfn.IFNA(MATCH(N55,'Trans Factors'!$B$13:$B$450,0),0)</f>
        <v>23</v>
      </c>
      <c r="P55" s="20">
        <f ca="1">OFFSET('Trans Factors'!$B$13,$O55-1,P$14)*$L55+OFFSET('Trans Factors'!$B$13,$K55-1,P$14)*$H55</f>
        <v>-1795.383226539107</v>
      </c>
      <c r="R55" s="20">
        <f ca="1">OFFSET('Trans Factors'!$B$13,$O55-1,R$14)*$L55+OFFSET('Trans Factors'!$B$13,$K55-1,R$14)*$H55</f>
        <v>-258.30691166521297</v>
      </c>
      <c r="S55" s="20"/>
      <c r="T55" s="20">
        <f ca="1">OFFSET('Trans Factors'!$B$13,$O55-1,T$14)*$L55+OFFSET('Trans Factors'!$B$13,$K55-1,T$14)*$H55</f>
        <v>-6728.387913655064</v>
      </c>
      <c r="U55" s="20"/>
      <c r="V55" s="20">
        <f ca="1">OFFSET('Trans Factors'!$B$13,$O55-1,V$14)*$L55+OFFSET('Trans Factors'!$B$13,$K55-1,V$14)*$H55</f>
        <v>-29665.150371393869</v>
      </c>
      <c r="X55" s="20">
        <f ca="1">OFFSET('Trans Factors'!$B$13,$O55-1,X$14)*$L55+OFFSET('Trans Factors'!$B$13,$K55-1,X$14)*$H55</f>
        <v>-4436.5833897997627</v>
      </c>
      <c r="Y55" s="9"/>
      <c r="Z55" s="20">
        <f ca="1">OFFSET('Trans Factors'!$B$13,$O55-1,Z$14)*$L55+OFFSET('Trans Factors'!$B$13,$K55-1,Z$14)*$H55</f>
        <v>-7968.8687363459931</v>
      </c>
      <c r="AA55" s="20"/>
      <c r="AB55" s="20">
        <f ca="1">OFFSET('Trans Factors'!$B$13,$O55-1,AB$14)*$L55+OFFSET('Trans Factors'!$B$13,$K55-1,AB$14)*$H55</f>
        <v>0</v>
      </c>
      <c r="AC55" s="9"/>
      <c r="AD55" s="20">
        <f ca="1">P55+R55+T55+V55+X55+Z55+AB55</f>
        <v>-50852.68054939901</v>
      </c>
      <c r="AF55" s="25" t="str">
        <f t="shared" ca="1" si="13"/>
        <v/>
      </c>
    </row>
    <row r="56" spans="2:52" x14ac:dyDescent="0.2">
      <c r="W56" s="18"/>
      <c r="AF56" s="25" t="str">
        <f t="shared" si="13"/>
        <v/>
      </c>
    </row>
    <row r="57" spans="2:52" x14ac:dyDescent="0.2">
      <c r="B57" s="18">
        <f>B55+1</f>
        <v>32</v>
      </c>
      <c r="D57" s="1" t="s">
        <v>393</v>
      </c>
      <c r="F57" s="41">
        <f ca="1">F53+F55</f>
        <v>-1467821.2016930631</v>
      </c>
      <c r="H57" s="41">
        <f>H53+H55</f>
        <v>0</v>
      </c>
      <c r="L57" s="41">
        <f ca="1">L53+L55</f>
        <v>-1467821.2016930631</v>
      </c>
      <c r="P57" s="10">
        <f ca="1">P53+P55</f>
        <v>-60233.645898080802</v>
      </c>
      <c r="Q57" s="14"/>
      <c r="R57" s="10">
        <f ca="1">R53+R55</f>
        <v>-10467.324755432172</v>
      </c>
      <c r="S57" s="8"/>
      <c r="T57" s="10">
        <f ca="1">T53+T55</f>
        <v>-177083.86518534037</v>
      </c>
      <c r="U57" s="8"/>
      <c r="V57" s="10">
        <f ca="1">V53+V55</f>
        <v>-1036641.9463981733</v>
      </c>
      <c r="W57" s="18"/>
      <c r="X57" s="10">
        <f ca="1">X53+X55</f>
        <v>-57896.498584548477</v>
      </c>
      <c r="Y57" s="8"/>
      <c r="Z57" s="10">
        <f ca="1">Z53+Z55</f>
        <v>-125497.92087148778</v>
      </c>
      <c r="AA57" s="8"/>
      <c r="AB57" s="10">
        <f ca="1">AB53+AB55</f>
        <v>0</v>
      </c>
      <c r="AD57" s="10">
        <f ca="1">AD53+AD55</f>
        <v>-1467821.2016930631</v>
      </c>
      <c r="AF57" s="25" t="str">
        <f t="shared" ca="1" si="13"/>
        <v/>
      </c>
    </row>
    <row r="58" spans="2:52" x14ac:dyDescent="0.2">
      <c r="D58" s="6"/>
      <c r="F58" s="77"/>
      <c r="H58" s="77"/>
      <c r="L58" s="77"/>
      <c r="W58" s="18"/>
      <c r="AF58" s="25" t="str">
        <f t="shared" si="13"/>
        <v/>
      </c>
    </row>
    <row r="59" spans="2:52" x14ac:dyDescent="0.2">
      <c r="E59" s="6"/>
      <c r="W59" s="18"/>
      <c r="AF59" s="25" t="str">
        <f t="shared" si="13"/>
        <v/>
      </c>
    </row>
    <row r="60" spans="2:52" x14ac:dyDescent="0.2">
      <c r="D60" s="6" t="s">
        <v>17</v>
      </c>
      <c r="E60" s="7"/>
      <c r="F60" s="78"/>
      <c r="AF60" s="27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Z60" s="2"/>
    </row>
    <row r="61" spans="2:52" x14ac:dyDescent="0.2">
      <c r="AF61" s="25" t="str">
        <f t="shared" ref="AF61:AF118" si="15">IF(ROUND(F61,4)=ROUND(AD61,4), "", "check")</f>
        <v/>
      </c>
    </row>
    <row r="62" spans="2:52" x14ac:dyDescent="0.2">
      <c r="B62" s="18">
        <f>B57+1</f>
        <v>33</v>
      </c>
      <c r="D62" s="1" t="s">
        <v>76</v>
      </c>
      <c r="F62" s="50">
        <f ca="1">Function!T62</f>
        <v>79166.942309318154</v>
      </c>
      <c r="H62" s="50"/>
      <c r="J62" s="2"/>
      <c r="K62" s="73">
        <f>_xlfn.IFNA(MATCH(J62,'Trans Factors'!$B$13:$B$450,0),0)</f>
        <v>0</v>
      </c>
      <c r="L62" s="50">
        <f ca="1">F62-H62</f>
        <v>79166.942309318154</v>
      </c>
      <c r="N62" s="18"/>
      <c r="O62" s="73">
        <f>_xlfn.IFNA(MATCH(N62,'Trans Factors'!$B$13:$B$450,0),0)</f>
        <v>0</v>
      </c>
      <c r="P62" s="20">
        <f ca="1">P18+P40</f>
        <v>3031.2129016562189</v>
      </c>
      <c r="R62" s="20">
        <f ca="1">R18+R40</f>
        <v>0</v>
      </c>
      <c r="S62" s="20"/>
      <c r="T62" s="20">
        <f ca="1">T18+T40</f>
        <v>31159.855072747287</v>
      </c>
      <c r="U62" s="20"/>
      <c r="V62" s="20">
        <f ca="1">V18+V40</f>
        <v>39457.139453762698</v>
      </c>
      <c r="X62" s="20">
        <f ca="1">X18+X40</f>
        <v>42.977502499999986</v>
      </c>
      <c r="Y62" s="9"/>
      <c r="Z62" s="20">
        <f ca="1">Z18+Z40</f>
        <v>5475.7573786519433</v>
      </c>
      <c r="AA62" s="20"/>
      <c r="AB62" s="20">
        <f ca="1">AB18+AB40</f>
        <v>0</v>
      </c>
      <c r="AD62" s="20">
        <f ca="1">P62+R62+T62+V62+X62+Z62+AB62</f>
        <v>79166.942309318154</v>
      </c>
      <c r="AF62" s="25" t="str">
        <f t="shared" ca="1" si="15"/>
        <v/>
      </c>
      <c r="AI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Z62" s="50"/>
    </row>
    <row r="63" spans="2:52" x14ac:dyDescent="0.2">
      <c r="B63" s="18">
        <f>B62+1</f>
        <v>34</v>
      </c>
      <c r="D63" s="1" t="s">
        <v>75</v>
      </c>
      <c r="F63" s="50">
        <f ca="1">Function!T63</f>
        <v>49261.707392534336</v>
      </c>
      <c r="H63" s="50"/>
      <c r="J63" s="2"/>
      <c r="K63" s="73">
        <f>_xlfn.IFNA(MATCH(J63,'Trans Factors'!$B$13:$B$450,0),0)</f>
        <v>0</v>
      </c>
      <c r="L63" s="50">
        <f t="shared" ref="L63:L74" ca="1" si="16">F63-H63</f>
        <v>49261.707392534336</v>
      </c>
      <c r="N63" s="18"/>
      <c r="O63" s="73">
        <f>_xlfn.IFNA(MATCH(N63,'Trans Factors'!$B$13:$B$450,0),0)</f>
        <v>0</v>
      </c>
      <c r="P63" s="20">
        <f t="shared" ref="P63:R74" ca="1" si="17">P19+P41</f>
        <v>0</v>
      </c>
      <c r="R63" s="20">
        <f t="shared" ca="1" si="17"/>
        <v>0</v>
      </c>
      <c r="S63" s="20"/>
      <c r="T63" s="20">
        <f t="shared" ref="T63" ca="1" si="18">T19+T41</f>
        <v>367.82088106941302</v>
      </c>
      <c r="U63" s="20"/>
      <c r="V63" s="20">
        <f t="shared" ref="V63" ca="1" si="19">V19+V41</f>
        <v>21917.194864829926</v>
      </c>
      <c r="X63" s="20">
        <f t="shared" ref="X63" ca="1" si="20">X19+X41</f>
        <v>18132.668700799728</v>
      </c>
      <c r="Y63" s="9"/>
      <c r="Z63" s="20">
        <f t="shared" ref="Z63" ca="1" si="21">Z19+Z41</f>
        <v>8844.0229458352806</v>
      </c>
      <c r="AA63" s="20"/>
      <c r="AB63" s="20">
        <f t="shared" ref="AB63" ca="1" si="22">AB19+AB41</f>
        <v>0</v>
      </c>
      <c r="AD63" s="20">
        <f t="shared" ref="AD63:AD73" ca="1" si="23">P63+R63+T63+V63+X63+Z63+AB63</f>
        <v>49261.707392534343</v>
      </c>
      <c r="AF63" s="25" t="str">
        <f t="shared" ca="1" si="15"/>
        <v/>
      </c>
      <c r="AI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Z63" s="50"/>
    </row>
    <row r="64" spans="2:52" x14ac:dyDescent="0.2">
      <c r="B64" s="18">
        <f t="shared" ref="B64:B75" si="24">B63+1</f>
        <v>35</v>
      </c>
      <c r="D64" s="1" t="s">
        <v>19</v>
      </c>
      <c r="F64" s="50">
        <f ca="1">Function!T64</f>
        <v>133779.00444473058</v>
      </c>
      <c r="H64" s="50"/>
      <c r="J64" s="2"/>
      <c r="K64" s="73">
        <f>_xlfn.IFNA(MATCH(J64,'Trans Factors'!$B$13:$B$450,0),0)</f>
        <v>0</v>
      </c>
      <c r="L64" s="50">
        <f t="shared" ca="1" si="16"/>
        <v>133779.00444473058</v>
      </c>
      <c r="N64" s="18"/>
      <c r="O64" s="73">
        <f>_xlfn.IFNA(MATCH(N64,'Trans Factors'!$B$13:$B$450,0),0)</f>
        <v>0</v>
      </c>
      <c r="P64" s="20">
        <f t="shared" ca="1" si="17"/>
        <v>15431.582837587513</v>
      </c>
      <c r="R64" s="20">
        <f t="shared" ca="1" si="17"/>
        <v>854.686809587776</v>
      </c>
      <c r="S64" s="20"/>
      <c r="T64" s="20">
        <f t="shared" ref="T64" ca="1" si="25">T20+T42</f>
        <v>53753.351450945855</v>
      </c>
      <c r="U64" s="20"/>
      <c r="V64" s="20">
        <f t="shared" ref="V64" ca="1" si="26">V20+V42</f>
        <v>61470.449866384595</v>
      </c>
      <c r="X64" s="20">
        <f t="shared" ref="X64" ca="1" si="27">X20+X42</f>
        <v>0</v>
      </c>
      <c r="Y64" s="9"/>
      <c r="Z64" s="20">
        <f t="shared" ref="Z64" ca="1" si="28">Z20+Z42</f>
        <v>2268.9334802248327</v>
      </c>
      <c r="AA64" s="20"/>
      <c r="AB64" s="20">
        <f t="shared" ref="AB64" ca="1" si="29">AB20+AB42</f>
        <v>0</v>
      </c>
      <c r="AD64" s="20">
        <f t="shared" ca="1" si="23"/>
        <v>133779.00444473058</v>
      </c>
      <c r="AF64" s="25" t="str">
        <f t="shared" ca="1" si="15"/>
        <v/>
      </c>
      <c r="AI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Z64" s="50"/>
    </row>
    <row r="65" spans="2:52" x14ac:dyDescent="0.2">
      <c r="B65" s="18">
        <f t="shared" si="24"/>
        <v>36</v>
      </c>
      <c r="D65" s="1" t="s">
        <v>21</v>
      </c>
      <c r="F65" s="50">
        <f ca="1">Function!T65</f>
        <v>159299.06782597845</v>
      </c>
      <c r="H65" s="50"/>
      <c r="J65" s="2"/>
      <c r="K65" s="73">
        <f>_xlfn.IFNA(MATCH(J65,'Trans Factors'!$B$13:$B$450,0),0)</f>
        <v>0</v>
      </c>
      <c r="L65" s="50">
        <f t="shared" ca="1" si="16"/>
        <v>159299.06782597845</v>
      </c>
      <c r="N65" s="18"/>
      <c r="O65" s="73">
        <f>_xlfn.IFNA(MATCH(N65,'Trans Factors'!$B$13:$B$450,0),0)</f>
        <v>0</v>
      </c>
      <c r="P65" s="20">
        <f t="shared" ca="1" si="17"/>
        <v>44007.553465266094</v>
      </c>
      <c r="R65" s="20">
        <f t="shared" ca="1" si="17"/>
        <v>5541.5753152054367</v>
      </c>
      <c r="S65" s="20"/>
      <c r="T65" s="20">
        <f t="shared" ref="T65" ca="1" si="30">T21+T43</f>
        <v>41448.272300161174</v>
      </c>
      <c r="U65" s="20"/>
      <c r="V65" s="20">
        <f t="shared" ref="V65" ca="1" si="31">V21+V43</f>
        <v>0</v>
      </c>
      <c r="X65" s="20">
        <f t="shared" ref="X65" ca="1" si="32">X21+X43</f>
        <v>2946.7160171856267</v>
      </c>
      <c r="Y65" s="9"/>
      <c r="Z65" s="20">
        <f t="shared" ref="Z65" ca="1" si="33">Z21+Z43</f>
        <v>65354.950728160155</v>
      </c>
      <c r="AA65" s="20"/>
      <c r="AB65" s="20">
        <f t="shared" ref="AB65" ca="1" si="34">AB21+AB43</f>
        <v>0</v>
      </c>
      <c r="AD65" s="20">
        <f t="shared" ca="1" si="23"/>
        <v>159299.06782597848</v>
      </c>
      <c r="AF65" s="25" t="str">
        <f t="shared" ca="1" si="15"/>
        <v/>
      </c>
      <c r="AI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Z65" s="50"/>
    </row>
    <row r="66" spans="2:52" x14ac:dyDescent="0.2">
      <c r="B66" s="18">
        <f t="shared" si="24"/>
        <v>37</v>
      </c>
      <c r="D66" s="1" t="s">
        <v>23</v>
      </c>
      <c r="F66" s="50">
        <f ca="1">Function!T66</f>
        <v>1296675.7789290498</v>
      </c>
      <c r="H66" s="50"/>
      <c r="K66" s="73">
        <f>_xlfn.IFNA(MATCH(J66,'Trans Factors'!$B$13:$B$450,0),0)</f>
        <v>0</v>
      </c>
      <c r="L66" s="50">
        <f t="shared" ca="1" si="16"/>
        <v>1296675.7789290498</v>
      </c>
      <c r="N66" s="18"/>
      <c r="O66" s="73">
        <f>_xlfn.IFNA(MATCH(N66,'Trans Factors'!$B$13:$B$450,0),0)</f>
        <v>0</v>
      </c>
      <c r="P66" s="20">
        <f t="shared" ca="1" si="17"/>
        <v>0</v>
      </c>
      <c r="R66" s="20">
        <f t="shared" ca="1" si="17"/>
        <v>204.4415788733622</v>
      </c>
      <c r="S66" s="20"/>
      <c r="T66" s="20">
        <f t="shared" ref="T66" ca="1" si="35">T22+T44</f>
        <v>6444.5915604459997</v>
      </c>
      <c r="U66" s="20"/>
      <c r="V66" s="20">
        <f t="shared" ref="V66" ca="1" si="36">V22+V44</f>
        <v>692042.85141773208</v>
      </c>
      <c r="X66" s="20">
        <f t="shared" ref="X66" ca="1" si="37">X22+X44</f>
        <v>268953.69994066539</v>
      </c>
      <c r="Y66" s="9"/>
      <c r="Z66" s="20">
        <f t="shared" ref="Z66" ca="1" si="38">Z22+Z44</f>
        <v>329030.19443133293</v>
      </c>
      <c r="AA66" s="20"/>
      <c r="AB66" s="20">
        <f t="shared" ref="AB66" ca="1" si="39">AB22+AB44</f>
        <v>0</v>
      </c>
      <c r="AD66" s="20">
        <f t="shared" ca="1" si="23"/>
        <v>1296675.7789290498</v>
      </c>
      <c r="AF66" s="25" t="str">
        <f t="shared" ca="1" si="15"/>
        <v/>
      </c>
      <c r="AI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Z66" s="50"/>
    </row>
    <row r="67" spans="2:52" x14ac:dyDescent="0.2">
      <c r="B67" s="18">
        <f t="shared" si="24"/>
        <v>38</v>
      </c>
      <c r="D67" s="1" t="s">
        <v>25</v>
      </c>
      <c r="F67" s="50">
        <f ca="1">Function!T67</f>
        <v>848360.22958961513</v>
      </c>
      <c r="H67" s="50"/>
      <c r="K67" s="73">
        <f>_xlfn.IFNA(MATCH(J67,'Trans Factors'!$B$13:$B$450,0),0)</f>
        <v>0</v>
      </c>
      <c r="L67" s="50">
        <f t="shared" ca="1" si="16"/>
        <v>848360.22958961513</v>
      </c>
      <c r="N67" s="18"/>
      <c r="O67" s="73">
        <f>_xlfn.IFNA(MATCH(N67,'Trans Factors'!$B$13:$B$450,0),0)</f>
        <v>0</v>
      </c>
      <c r="P67" s="20">
        <f t="shared" ca="1" si="17"/>
        <v>0</v>
      </c>
      <c r="R67" s="20">
        <f t="shared" ca="1" si="17"/>
        <v>0</v>
      </c>
      <c r="S67" s="20"/>
      <c r="T67" s="20">
        <f t="shared" ref="T67" ca="1" si="40">T23+T45</f>
        <v>186964.23918473232</v>
      </c>
      <c r="U67" s="20"/>
      <c r="V67" s="20">
        <f t="shared" ref="V67" ca="1" si="41">V23+V45</f>
        <v>656262.4018481127</v>
      </c>
      <c r="X67" s="20">
        <f t="shared" ref="X67" ca="1" si="42">X23+X45</f>
        <v>0</v>
      </c>
      <c r="Y67" s="9"/>
      <c r="Z67" s="20">
        <f t="shared" ref="Z67" ca="1" si="43">Z23+Z45</f>
        <v>5133.5885567698988</v>
      </c>
      <c r="AA67" s="20"/>
      <c r="AB67" s="20">
        <f t="shared" ref="AB67" ca="1" si="44">AB23+AB45</f>
        <v>0</v>
      </c>
      <c r="AD67" s="20">
        <f t="shared" ca="1" si="23"/>
        <v>848360.2295896149</v>
      </c>
      <c r="AF67" s="25" t="str">
        <f t="shared" ca="1" si="15"/>
        <v/>
      </c>
      <c r="AI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Z67" s="50"/>
    </row>
    <row r="68" spans="2:52" x14ac:dyDescent="0.2">
      <c r="B68" s="18">
        <f t="shared" si="24"/>
        <v>39</v>
      </c>
      <c r="D68" s="1" t="s">
        <v>27</v>
      </c>
      <c r="F68" s="50">
        <f ca="1">Function!T68</f>
        <v>0</v>
      </c>
      <c r="H68" s="50"/>
      <c r="K68" s="73">
        <f>_xlfn.IFNA(MATCH(J68,'Trans Factors'!$B$13:$B$450,0),0)</f>
        <v>0</v>
      </c>
      <c r="L68" s="50">
        <f t="shared" ca="1" si="16"/>
        <v>0</v>
      </c>
      <c r="N68" s="18"/>
      <c r="O68" s="73">
        <f>_xlfn.IFNA(MATCH(N68,'Trans Factors'!$B$13:$B$450,0),0)</f>
        <v>0</v>
      </c>
      <c r="P68" s="20">
        <f t="shared" ca="1" si="17"/>
        <v>0</v>
      </c>
      <c r="R68" s="20">
        <f t="shared" ca="1" si="17"/>
        <v>0</v>
      </c>
      <c r="S68" s="20"/>
      <c r="T68" s="20">
        <f t="shared" ref="T68" ca="1" si="45">T24+T46</f>
        <v>0</v>
      </c>
      <c r="U68" s="20"/>
      <c r="V68" s="20">
        <f t="shared" ref="V68" ca="1" si="46">V24+V46</f>
        <v>0</v>
      </c>
      <c r="X68" s="20">
        <f t="shared" ref="X68" ca="1" si="47">X24+X46</f>
        <v>0</v>
      </c>
      <c r="Y68" s="9"/>
      <c r="Z68" s="20">
        <f t="shared" ref="Z68" ca="1" si="48">Z24+Z46</f>
        <v>0</v>
      </c>
      <c r="AA68" s="20"/>
      <c r="AB68" s="20">
        <f t="shared" ref="AB68" ca="1" si="49">AB24+AB46</f>
        <v>0</v>
      </c>
      <c r="AD68" s="20">
        <f t="shared" ca="1" si="23"/>
        <v>0</v>
      </c>
      <c r="AF68" s="25" t="str">
        <f t="shared" ca="1" si="15"/>
        <v/>
      </c>
      <c r="AI68" s="38"/>
      <c r="AL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Z68" s="50"/>
    </row>
    <row r="69" spans="2:52" x14ac:dyDescent="0.2">
      <c r="B69" s="18">
        <f t="shared" si="24"/>
        <v>40</v>
      </c>
      <c r="D69" s="1" t="s">
        <v>29</v>
      </c>
      <c r="F69" s="50">
        <f ca="1">Function!T69</f>
        <v>0</v>
      </c>
      <c r="H69" s="50"/>
      <c r="K69" s="73">
        <f>_xlfn.IFNA(MATCH(J69,'Trans Factors'!$B$13:$B$450,0),0)</f>
        <v>0</v>
      </c>
      <c r="L69" s="50">
        <f t="shared" ca="1" si="16"/>
        <v>0</v>
      </c>
      <c r="N69" s="18"/>
      <c r="O69" s="73">
        <f>_xlfn.IFNA(MATCH(N69,'Trans Factors'!$B$13:$B$450,0),0)</f>
        <v>0</v>
      </c>
      <c r="P69" s="20">
        <f t="shared" ca="1" si="17"/>
        <v>0</v>
      </c>
      <c r="R69" s="20">
        <f t="shared" ca="1" si="17"/>
        <v>0</v>
      </c>
      <c r="S69" s="20"/>
      <c r="T69" s="20">
        <f t="shared" ref="T69" ca="1" si="50">T25+T47</f>
        <v>0</v>
      </c>
      <c r="U69" s="20"/>
      <c r="V69" s="20">
        <f t="shared" ref="V69" ca="1" si="51">V25+V47</f>
        <v>0</v>
      </c>
      <c r="X69" s="20">
        <f t="shared" ref="X69" ca="1" si="52">X25+X47</f>
        <v>0</v>
      </c>
      <c r="Y69" s="9"/>
      <c r="Z69" s="20">
        <f t="shared" ref="Z69" ca="1" si="53">Z25+Z47</f>
        <v>0</v>
      </c>
      <c r="AA69" s="20"/>
      <c r="AB69" s="20">
        <f t="shared" ref="AB69" ca="1" si="54">AB25+AB47</f>
        <v>0</v>
      </c>
      <c r="AD69" s="20">
        <f t="shared" ca="1" si="23"/>
        <v>0</v>
      </c>
      <c r="AF69" s="25" t="str">
        <f t="shared" ca="1" si="15"/>
        <v/>
      </c>
      <c r="AI69" s="38"/>
      <c r="AL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Z69" s="50"/>
    </row>
    <row r="70" spans="2:52" x14ac:dyDescent="0.2">
      <c r="B70" s="18">
        <f t="shared" si="24"/>
        <v>41</v>
      </c>
      <c r="D70" s="1" t="s">
        <v>30</v>
      </c>
      <c r="F70" s="50">
        <f ca="1">Function!T70</f>
        <v>0</v>
      </c>
      <c r="H70" s="50"/>
      <c r="K70" s="73">
        <f>_xlfn.IFNA(MATCH(J70,'Trans Factors'!$B$13:$B$450,0),0)</f>
        <v>0</v>
      </c>
      <c r="L70" s="50">
        <f t="shared" ca="1" si="16"/>
        <v>0</v>
      </c>
      <c r="N70" s="18"/>
      <c r="O70" s="73">
        <f>_xlfn.IFNA(MATCH(N70,'Trans Factors'!$B$13:$B$450,0),0)</f>
        <v>0</v>
      </c>
      <c r="P70" s="20">
        <f t="shared" ca="1" si="17"/>
        <v>0</v>
      </c>
      <c r="R70" s="20">
        <f t="shared" ca="1" si="17"/>
        <v>0</v>
      </c>
      <c r="S70" s="20"/>
      <c r="T70" s="20">
        <f t="shared" ref="T70" ca="1" si="55">T26+T48</f>
        <v>0</v>
      </c>
      <c r="U70" s="20"/>
      <c r="V70" s="20">
        <f t="shared" ref="V70" ca="1" si="56">V26+V48</f>
        <v>0</v>
      </c>
      <c r="X70" s="20">
        <f t="shared" ref="X70" ca="1" si="57">X26+X48</f>
        <v>0</v>
      </c>
      <c r="Y70" s="9"/>
      <c r="Z70" s="20">
        <f t="shared" ref="Z70" ca="1" si="58">Z26+Z48</f>
        <v>0</v>
      </c>
      <c r="AA70" s="20"/>
      <c r="AB70" s="20">
        <f t="shared" ref="AB70" ca="1" si="59">AB26+AB48</f>
        <v>0</v>
      </c>
      <c r="AD70" s="20">
        <f t="shared" ca="1" si="23"/>
        <v>0</v>
      </c>
      <c r="AF70" s="25" t="str">
        <f t="shared" ca="1" si="15"/>
        <v/>
      </c>
      <c r="AI70" s="38"/>
      <c r="AL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Z70" s="50"/>
    </row>
    <row r="71" spans="2:52" x14ac:dyDescent="0.2">
      <c r="B71" s="18">
        <f t="shared" si="24"/>
        <v>42</v>
      </c>
      <c r="D71" s="1" t="s">
        <v>31</v>
      </c>
      <c r="F71" s="50">
        <f ca="1">Function!T71</f>
        <v>0</v>
      </c>
      <c r="H71" s="50"/>
      <c r="K71" s="73">
        <f>_xlfn.IFNA(MATCH(J71,'Trans Factors'!$B$13:$B$450,0),0)</f>
        <v>0</v>
      </c>
      <c r="L71" s="50">
        <f t="shared" ca="1" si="16"/>
        <v>0</v>
      </c>
      <c r="N71" s="18"/>
      <c r="O71" s="73">
        <f>_xlfn.IFNA(MATCH(N71,'Trans Factors'!$B$13:$B$450,0),0)</f>
        <v>0</v>
      </c>
      <c r="P71" s="20">
        <f t="shared" ca="1" si="17"/>
        <v>0</v>
      </c>
      <c r="R71" s="20">
        <f t="shared" ca="1" si="17"/>
        <v>0</v>
      </c>
      <c r="S71" s="20"/>
      <c r="T71" s="20">
        <f t="shared" ref="T71" ca="1" si="60">T27+T49</f>
        <v>0</v>
      </c>
      <c r="U71" s="20"/>
      <c r="V71" s="20">
        <f t="shared" ref="V71" ca="1" si="61">V27+V49</f>
        <v>0</v>
      </c>
      <c r="X71" s="20">
        <f t="shared" ref="X71" ca="1" si="62">X27+X49</f>
        <v>0</v>
      </c>
      <c r="Y71" s="9"/>
      <c r="Z71" s="20">
        <f t="shared" ref="Z71" ca="1" si="63">Z27+Z49</f>
        <v>0</v>
      </c>
      <c r="AA71" s="20"/>
      <c r="AB71" s="20">
        <f t="shared" ref="AB71" ca="1" si="64">AB27+AB49</f>
        <v>0</v>
      </c>
      <c r="AD71" s="20">
        <f t="shared" ca="1" si="23"/>
        <v>0</v>
      </c>
      <c r="AF71" s="25" t="str">
        <f t="shared" ca="1" si="15"/>
        <v/>
      </c>
      <c r="AI71" s="38"/>
      <c r="AL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Z71" s="50"/>
    </row>
    <row r="72" spans="2:52" x14ac:dyDescent="0.2">
      <c r="B72" s="18">
        <f t="shared" si="24"/>
        <v>43</v>
      </c>
      <c r="D72" s="1" t="s">
        <v>293</v>
      </c>
      <c r="F72" s="50">
        <f ca="1">Function!T72</f>
        <v>0</v>
      </c>
      <c r="H72" s="50"/>
      <c r="K72" s="73">
        <f>_xlfn.IFNA(MATCH(J72,'Trans Factors'!$B$13:$B$450,0),0)</f>
        <v>0</v>
      </c>
      <c r="L72" s="50">
        <f t="shared" ca="1" si="16"/>
        <v>0</v>
      </c>
      <c r="N72" s="18"/>
      <c r="O72" s="73">
        <f>_xlfn.IFNA(MATCH(N72,'Trans Factors'!$B$13:$B$450,0),0)</f>
        <v>0</v>
      </c>
      <c r="P72" s="20">
        <f t="shared" ca="1" si="17"/>
        <v>0</v>
      </c>
      <c r="R72" s="20">
        <f t="shared" ca="1" si="17"/>
        <v>0</v>
      </c>
      <c r="S72" s="20"/>
      <c r="T72" s="20">
        <f t="shared" ref="T72" ca="1" si="65">T28+T50</f>
        <v>0</v>
      </c>
      <c r="U72" s="20"/>
      <c r="V72" s="20">
        <f t="shared" ref="V72" ca="1" si="66">V28+V50</f>
        <v>0</v>
      </c>
      <c r="X72" s="20">
        <f t="shared" ref="X72" ca="1" si="67">X28+X50</f>
        <v>0</v>
      </c>
      <c r="Y72" s="9"/>
      <c r="Z72" s="20">
        <f t="shared" ref="Z72" ca="1" si="68">Z28+Z50</f>
        <v>0</v>
      </c>
      <c r="AA72" s="20"/>
      <c r="AB72" s="20">
        <f t="shared" ref="AB72" ca="1" si="69">AB28+AB50</f>
        <v>0</v>
      </c>
      <c r="AD72" s="20">
        <f t="shared" ca="1" si="23"/>
        <v>0</v>
      </c>
      <c r="AF72" s="25" t="str">
        <f t="shared" ca="1" si="15"/>
        <v/>
      </c>
      <c r="AI72" s="38"/>
      <c r="AL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Z72" s="50"/>
    </row>
    <row r="73" spans="2:52" x14ac:dyDescent="0.2">
      <c r="B73" s="18">
        <f>B72+1</f>
        <v>44</v>
      </c>
      <c r="D73" s="1" t="s">
        <v>34</v>
      </c>
      <c r="F73" s="50">
        <f ca="1">Function!T73</f>
        <v>0</v>
      </c>
      <c r="H73" s="50"/>
      <c r="K73" s="73">
        <f>_xlfn.IFNA(MATCH(J73,'Trans Factors'!$B$13:$B$450,0),0)</f>
        <v>0</v>
      </c>
      <c r="L73" s="50">
        <f t="shared" ca="1" si="16"/>
        <v>0</v>
      </c>
      <c r="N73" s="18"/>
      <c r="O73" s="73">
        <f>_xlfn.IFNA(MATCH(N73,'Trans Factors'!$B$13:$B$450,0),0)</f>
        <v>0</v>
      </c>
      <c r="P73" s="20">
        <f t="shared" ca="1" si="17"/>
        <v>0</v>
      </c>
      <c r="R73" s="20">
        <f t="shared" ca="1" si="17"/>
        <v>0</v>
      </c>
      <c r="S73" s="20"/>
      <c r="T73" s="20">
        <f t="shared" ref="T73" ca="1" si="70">T29+T51</f>
        <v>0</v>
      </c>
      <c r="U73" s="20"/>
      <c r="V73" s="20">
        <f t="shared" ref="V73" ca="1" si="71">V29+V51</f>
        <v>0</v>
      </c>
      <c r="X73" s="20">
        <f t="shared" ref="X73" ca="1" si="72">X29+X51</f>
        <v>0</v>
      </c>
      <c r="Y73" s="9"/>
      <c r="Z73" s="20">
        <f t="shared" ref="Z73" ca="1" si="73">Z29+Z51</f>
        <v>0</v>
      </c>
      <c r="AA73" s="20"/>
      <c r="AB73" s="20">
        <f t="shared" ref="AB73" ca="1" si="74">AB29+AB51</f>
        <v>0</v>
      </c>
      <c r="AD73" s="20">
        <f t="shared" ca="1" si="23"/>
        <v>0</v>
      </c>
      <c r="AF73" s="25" t="str">
        <f t="shared" ca="1" si="15"/>
        <v/>
      </c>
      <c r="AI73" s="38"/>
      <c r="AL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Z73" s="50"/>
    </row>
    <row r="74" spans="2:52" x14ac:dyDescent="0.2">
      <c r="B74" s="18">
        <f>B73+1</f>
        <v>45</v>
      </c>
      <c r="D74" s="1" t="s">
        <v>77</v>
      </c>
      <c r="F74" s="50">
        <f ca="1">Function!T74</f>
        <v>4318.2255996879157</v>
      </c>
      <c r="H74" s="50"/>
      <c r="K74" s="73">
        <f>_xlfn.IFNA(MATCH(J74,'Trans Factors'!$B$13:$B$450,0),0)</f>
        <v>0</v>
      </c>
      <c r="L74" s="50">
        <f t="shared" ca="1" si="16"/>
        <v>4318.2255996879157</v>
      </c>
      <c r="N74" s="18"/>
      <c r="O74" s="73">
        <f>_xlfn.IFNA(MATCH(N74,'Trans Factors'!$B$13:$B$450,0),0)</f>
        <v>0</v>
      </c>
      <c r="P74" s="20">
        <f t="shared" ca="1" si="17"/>
        <v>0</v>
      </c>
      <c r="R74" s="20">
        <f t="shared" ca="1" si="17"/>
        <v>0</v>
      </c>
      <c r="S74" s="20"/>
      <c r="T74" s="20">
        <f t="shared" ref="T74" ca="1" si="75">T30+T52</f>
        <v>39.163422261415214</v>
      </c>
      <c r="U74" s="20"/>
      <c r="V74" s="20">
        <f t="shared" ref="V74" ca="1" si="76">V30+V52</f>
        <v>3560.0134120638827</v>
      </c>
      <c r="X74" s="20">
        <f t="shared" ref="X74" ca="1" si="77">X30+X52</f>
        <v>136.1762187887613</v>
      </c>
      <c r="Y74" s="9"/>
      <c r="Z74" s="20">
        <f t="shared" ref="Z74" ca="1" si="78">Z30+Z52</f>
        <v>582.87254657385631</v>
      </c>
      <c r="AA74" s="20"/>
      <c r="AB74" s="20">
        <f t="shared" ref="AB74" ca="1" si="79">AB30+AB52</f>
        <v>0</v>
      </c>
      <c r="AD74" s="20">
        <f t="shared" ref="AD74" ca="1" si="80">P74+R74+T74+V74+X74+Z74+AB74</f>
        <v>4318.2255996879157</v>
      </c>
      <c r="AF74" s="25" t="str">
        <f t="shared" ca="1" si="15"/>
        <v/>
      </c>
      <c r="AI74" s="38"/>
      <c r="AL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Z74" s="50"/>
    </row>
    <row r="75" spans="2:52" x14ac:dyDescent="0.2">
      <c r="B75" s="18">
        <f t="shared" si="24"/>
        <v>46</v>
      </c>
      <c r="D75" s="1" t="s">
        <v>394</v>
      </c>
      <c r="F75" s="41">
        <f ca="1">SUM(F62:F74)</f>
        <v>2570860.9560909146</v>
      </c>
      <c r="H75" s="41">
        <f>SUM(H62:H74)</f>
        <v>0</v>
      </c>
      <c r="L75" s="41">
        <f ca="1">SUM(L62:L74)</f>
        <v>2570860.9560909146</v>
      </c>
      <c r="O75" s="73"/>
      <c r="P75" s="28">
        <f ca="1">SUM(P62:P74)</f>
        <v>62470.349204509825</v>
      </c>
      <c r="Q75" s="23"/>
      <c r="R75" s="28">
        <f ca="1">SUM(R62:R74)</f>
        <v>6600.7037036665752</v>
      </c>
      <c r="S75" s="22"/>
      <c r="T75" s="28">
        <f ca="1">SUM(T62:T74)</f>
        <v>320177.29387236346</v>
      </c>
      <c r="U75" s="22"/>
      <c r="V75" s="28">
        <f ca="1">SUM(V62:V74)</f>
        <v>1474710.050862886</v>
      </c>
      <c r="W75" s="18"/>
      <c r="X75" s="28">
        <f ca="1">SUM(X62:X74)</f>
        <v>290212.23837993952</v>
      </c>
      <c r="Y75" s="13"/>
      <c r="Z75" s="28">
        <f ca="1">SUM(Z62:Z74)</f>
        <v>416690.32006754889</v>
      </c>
      <c r="AA75" s="22"/>
      <c r="AB75" s="28">
        <f ca="1">SUM(AB62:AB74)</f>
        <v>0</v>
      </c>
      <c r="AD75" s="28">
        <f ca="1">SUM(AD62:AD74)</f>
        <v>2570860.9560909146</v>
      </c>
      <c r="AF75" s="25" t="str">
        <f ca="1">IF(ROUND(F75,4)=ROUND(AD75,4), "", "check")</f>
        <v/>
      </c>
      <c r="AI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</row>
    <row r="76" spans="2:52" x14ac:dyDescent="0.2">
      <c r="O76" s="73"/>
      <c r="W76" s="18"/>
      <c r="AF76" s="25" t="str">
        <f t="shared" si="15"/>
        <v/>
      </c>
    </row>
    <row r="77" spans="2:52" x14ac:dyDescent="0.2">
      <c r="B77" s="18">
        <f>B75+1</f>
        <v>47</v>
      </c>
      <c r="D77" s="1" t="s">
        <v>196</v>
      </c>
      <c r="F77" s="50">
        <f ca="1">Function!T77</f>
        <v>50857.828612163132</v>
      </c>
      <c r="H77" s="50"/>
      <c r="K77" s="73">
        <f>_xlfn.IFNA(MATCH(J77,'Trans Factors'!$B$13:$B$450,0),0)</f>
        <v>0</v>
      </c>
      <c r="L77" s="50">
        <f t="shared" ref="L77" ca="1" si="81">F77-H77</f>
        <v>50857.828612163132</v>
      </c>
      <c r="N77" s="18"/>
      <c r="O77" s="73">
        <f>_xlfn.IFNA(MATCH(N77,'Trans Factors'!$B$13:$B$450,0),0)</f>
        <v>0</v>
      </c>
      <c r="P77" s="20">
        <f t="shared" ref="P77:R77" ca="1" si="82">P33+P55</f>
        <v>1795.5649818651987</v>
      </c>
      <c r="R77" s="20">
        <f t="shared" ca="1" si="82"/>
        <v>258.33306132299492</v>
      </c>
      <c r="S77" s="20"/>
      <c r="T77" s="20">
        <f t="shared" ref="T77" ca="1" si="83">T33+T55</f>
        <v>6729.0690609005323</v>
      </c>
      <c r="U77" s="20"/>
      <c r="V77" s="20">
        <f t="shared" ref="V77" ca="1" si="84">V33+V55</f>
        <v>29668.153518019953</v>
      </c>
      <c r="X77" s="20">
        <f t="shared" ref="X77" ca="1" si="85">X33+X55</f>
        <v>4437.0325265906313</v>
      </c>
      <c r="Y77" s="9"/>
      <c r="Z77" s="20">
        <f t="shared" ref="Z77" ca="1" si="86">Z33+Z55</f>
        <v>7969.6754634638282</v>
      </c>
      <c r="AA77" s="20"/>
      <c r="AB77" s="20">
        <f t="shared" ref="AB77" ca="1" si="87">AB33+AB55</f>
        <v>0</v>
      </c>
      <c r="AC77" s="9"/>
      <c r="AD77" s="20">
        <f ca="1">P77+R77+T77+V77+X77+Z77+AB77</f>
        <v>50857.828612163132</v>
      </c>
      <c r="AF77" s="25" t="str">
        <f t="shared" ca="1" si="15"/>
        <v/>
      </c>
    </row>
    <row r="78" spans="2:52" x14ac:dyDescent="0.2">
      <c r="W78" s="18"/>
      <c r="AF78" s="25" t="str">
        <f t="shared" si="15"/>
        <v/>
      </c>
    </row>
    <row r="79" spans="2:52" x14ac:dyDescent="0.2">
      <c r="B79" s="18">
        <f>B77+1</f>
        <v>48</v>
      </c>
      <c r="D79" s="1" t="s">
        <v>395</v>
      </c>
      <c r="F79" s="41">
        <f ca="1">F75+F77</f>
        <v>2621718.7847030777</v>
      </c>
      <c r="H79" s="41">
        <f>H75+H77</f>
        <v>0</v>
      </c>
      <c r="L79" s="41">
        <f ca="1">L75+L77</f>
        <v>2621718.7847030777</v>
      </c>
      <c r="P79" s="10">
        <f ca="1">P75+P77</f>
        <v>64265.914186375026</v>
      </c>
      <c r="Q79" s="14"/>
      <c r="R79" s="10">
        <f ca="1">R75+R77</f>
        <v>6859.0367649895697</v>
      </c>
      <c r="S79" s="8"/>
      <c r="T79" s="10">
        <f ca="1">T75+T77</f>
        <v>326906.362933264</v>
      </c>
      <c r="U79" s="8"/>
      <c r="V79" s="10">
        <f ca="1">V75+V77</f>
        <v>1504378.204380906</v>
      </c>
      <c r="W79" s="18"/>
      <c r="X79" s="10">
        <f ca="1">X75+X77</f>
        <v>294649.27090653015</v>
      </c>
      <c r="Y79" s="8"/>
      <c r="Z79" s="10">
        <f ca="1">Z75+Z77</f>
        <v>424659.99553101271</v>
      </c>
      <c r="AA79" s="8"/>
      <c r="AB79" s="10">
        <f ca="1">AB75+AB77</f>
        <v>0</v>
      </c>
      <c r="AD79" s="10">
        <f ca="1">AD75+AD77</f>
        <v>2621718.7847030777</v>
      </c>
      <c r="AF79" s="25" t="str">
        <f t="shared" ca="1" si="15"/>
        <v/>
      </c>
    </row>
    <row r="80" spans="2:52" x14ac:dyDescent="0.2">
      <c r="D80" s="6"/>
      <c r="F80" s="77"/>
      <c r="H80" s="77"/>
      <c r="L80" s="77"/>
      <c r="W80" s="18"/>
      <c r="AF80" s="25" t="str">
        <f t="shared" si="15"/>
        <v/>
      </c>
    </row>
    <row r="81" spans="2:32" x14ac:dyDescent="0.2">
      <c r="E81" s="6"/>
      <c r="F81" s="77"/>
      <c r="H81" s="77"/>
      <c r="L81" s="77"/>
      <c r="W81" s="18"/>
      <c r="AF81" s="25" t="str">
        <f t="shared" ref="AF81:AF83" si="88">IF(ROUND(F81,4)=ROUND(AD81,4), "", "check")</f>
        <v/>
      </c>
    </row>
    <row r="82" spans="2:32" x14ac:dyDescent="0.2">
      <c r="D82" s="6" t="s">
        <v>36</v>
      </c>
      <c r="F82" s="77"/>
      <c r="H82" s="77"/>
      <c r="L82" s="77"/>
      <c r="W82" s="18"/>
      <c r="AF82" s="25" t="str">
        <f t="shared" si="88"/>
        <v/>
      </c>
    </row>
    <row r="83" spans="2:32" x14ac:dyDescent="0.2">
      <c r="F83" s="77"/>
      <c r="H83" s="77"/>
      <c r="L83" s="77"/>
      <c r="W83" s="18"/>
      <c r="AF83" s="25" t="str">
        <f t="shared" si="88"/>
        <v/>
      </c>
    </row>
    <row r="84" spans="2:32" x14ac:dyDescent="0.2">
      <c r="B84" s="18">
        <f>B79+1</f>
        <v>49</v>
      </c>
      <c r="D84" s="1" t="s">
        <v>41</v>
      </c>
      <c r="F84" s="50">
        <f ca="1">+Function!T84</f>
        <v>18568.37524808753</v>
      </c>
      <c r="H84" s="50"/>
      <c r="K84" s="73">
        <f>_xlfn.IFNA(MATCH(J84,'Trans Factors'!$B$13:$B$450,0),0)</f>
        <v>0</v>
      </c>
      <c r="L84" s="50">
        <f t="shared" ref="L84:L88" ca="1" si="89">F84-H84</f>
        <v>18568.37524808753</v>
      </c>
      <c r="N84" s="18" t="s">
        <v>235</v>
      </c>
      <c r="O84" s="73">
        <f>_xlfn.IFNA(MATCH(N84,'Trans Factors'!$B$13:$B$450,0),0)</f>
        <v>53</v>
      </c>
      <c r="P84" s="20">
        <f ca="1">OFFSET('Trans Factors'!$B$13,$O84-1,P$14)*$L84+OFFSET('Trans Factors'!$B$13,$K84-1,P$14)*$H84</f>
        <v>455.91554801332433</v>
      </c>
      <c r="R84" s="20">
        <f ca="1">OFFSET('Trans Factors'!$B$13,$O84-1,R$14)*$L84+OFFSET('Trans Factors'!$B$13,$K84-1,R$14)*$H84</f>
        <v>48.659410593380194</v>
      </c>
      <c r="S84" s="20"/>
      <c r="T84" s="20">
        <f ca="1">OFFSET('Trans Factors'!$B$13,$O84-1,T$14)*$L84+OFFSET('Trans Factors'!$B$13,$K84-1,T$14)*$H84</f>
        <v>2318.8628105477696</v>
      </c>
      <c r="U84" s="20"/>
      <c r="V84" s="20">
        <f ca="1">OFFSET('Trans Factors'!$B$13,$O84-1,V$14)*$L84+OFFSET('Trans Factors'!$B$13,$K84-1,V$14)*$H84</f>
        <v>10647.111406827111</v>
      </c>
      <c r="X84" s="20">
        <f ca="1">OFFSET('Trans Factors'!$B$13,$O84-1,X$14)*$L84+OFFSET('Trans Factors'!$B$13,$K84-1,X$14)*$H84</f>
        <v>2089.3361692834806</v>
      </c>
      <c r="Y84" s="9"/>
      <c r="Z84" s="20">
        <f ca="1">OFFSET('Trans Factors'!$B$13,$O84-1,Z$14)*$L84+OFFSET('Trans Factors'!$B$13,$K84-1,Z$14)*$H84</f>
        <v>3008.4899028224668</v>
      </c>
      <c r="AA84" s="20"/>
      <c r="AB84" s="20">
        <f ca="1">OFFSET('Trans Factors'!$B$13,$O84-1,AB$14)*$L84+OFFSET('Trans Factors'!$B$13,$K84-1,AB$14)*$H84</f>
        <v>0</v>
      </c>
      <c r="AD84" s="20">
        <f t="shared" ref="AD84:AD88" ca="1" si="90">P84+R84+T84+V84+X84+Z84+AB84</f>
        <v>18568.375248087534</v>
      </c>
      <c r="AF84" s="25" t="str">
        <f t="shared" ca="1" si="15"/>
        <v/>
      </c>
    </row>
    <row r="85" spans="2:32" x14ac:dyDescent="0.2">
      <c r="B85" s="18">
        <f>B84+1</f>
        <v>50</v>
      </c>
      <c r="D85" s="1" t="s">
        <v>379</v>
      </c>
      <c r="F85" s="50">
        <f ca="1">+Function!T85</f>
        <v>-881.02130329384931</v>
      </c>
      <c r="H85" s="50"/>
      <c r="K85" s="73">
        <f>_xlfn.IFNA(MATCH(J85,'Trans Factors'!$B$13:$B$450,0),0)</f>
        <v>0</v>
      </c>
      <c r="L85" s="50">
        <f t="shared" ca="1" si="89"/>
        <v>-881.02130329384931</v>
      </c>
      <c r="N85" s="18" t="s">
        <v>235</v>
      </c>
      <c r="O85" s="73">
        <f>_xlfn.IFNA(MATCH(N85,'Trans Factors'!$B$13:$B$450,0),0)</f>
        <v>53</v>
      </c>
      <c r="P85" s="20">
        <f ca="1">OFFSET('Trans Factors'!$B$13,$O85-1,P$14)*$L85+OFFSET('Trans Factors'!$B$13,$K85-1,P$14)*$H85</f>
        <v>-21.632011683089996</v>
      </c>
      <c r="R85" s="20">
        <f ca="1">OFFSET('Trans Factors'!$B$13,$O85-1,R$14)*$L85+OFFSET('Trans Factors'!$B$13,$K85-1,R$14)*$H85</f>
        <v>-2.3087629782204986</v>
      </c>
      <c r="S85" s="20"/>
      <c r="T85" s="20">
        <f ca="1">OFFSET('Trans Factors'!$B$13,$O85-1,T$14)*$L85+OFFSET('Trans Factors'!$B$13,$K85-1,T$14)*$H85</f>
        <v>-110.02403324000316</v>
      </c>
      <c r="U85" s="20"/>
      <c r="V85" s="20">
        <f ca="1">OFFSET('Trans Factors'!$B$13,$O85-1,V$14)*$L85+OFFSET('Trans Factors'!$B$13,$K85-1,V$14)*$H85</f>
        <v>-505.17785442341096</v>
      </c>
      <c r="X85" s="20">
        <f ca="1">OFFSET('Trans Factors'!$B$13,$O85-1,X$14)*$L85+OFFSET('Trans Factors'!$B$13,$K85-1,X$14)*$H85</f>
        <v>-99.133588711306373</v>
      </c>
      <c r="Y85" s="9"/>
      <c r="Z85" s="20">
        <f ca="1">OFFSET('Trans Factors'!$B$13,$O85-1,Z$14)*$L85+OFFSET('Trans Factors'!$B$13,$K85-1,Z$14)*$H85</f>
        <v>-142.74505225781837</v>
      </c>
      <c r="AA85" s="20"/>
      <c r="AB85" s="20">
        <f ca="1">OFFSET('Trans Factors'!$B$13,$O85-1,AB$14)*$L85+OFFSET('Trans Factors'!$B$13,$K85-1,AB$14)*$H85</f>
        <v>0</v>
      </c>
      <c r="AD85" s="20">
        <f t="shared" ca="1" si="90"/>
        <v>-881.02130329384931</v>
      </c>
      <c r="AF85" s="25" t="str">
        <f t="shared" ca="1" si="15"/>
        <v/>
      </c>
    </row>
    <row r="86" spans="2:32" x14ac:dyDescent="0.2">
      <c r="B86" s="18">
        <f t="shared" ref="B86:B89" si="91">B85+1</f>
        <v>51</v>
      </c>
      <c r="D86" s="1" t="s">
        <v>42</v>
      </c>
      <c r="F86" s="50">
        <f ca="1">+Function!T86</f>
        <v>-10445.409930111951</v>
      </c>
      <c r="H86" s="50"/>
      <c r="K86" s="73">
        <f>_xlfn.IFNA(MATCH(J86,'Trans Factors'!$B$13:$B$450,0),0)</f>
        <v>0</v>
      </c>
      <c r="L86" s="50">
        <f t="shared" ca="1" si="89"/>
        <v>-10445.409930111951</v>
      </c>
      <c r="N86" s="18" t="s">
        <v>235</v>
      </c>
      <c r="O86" s="73">
        <f>_xlfn.IFNA(MATCH(N86,'Trans Factors'!$B$13:$B$450,0),0)</f>
        <v>53</v>
      </c>
      <c r="P86" s="20">
        <f ca="1">OFFSET('Trans Factors'!$B$13,$O86-1,P$14)*$L86+OFFSET('Trans Factors'!$B$13,$K86-1,P$14)*$H86</f>
        <v>-256.46965493124128</v>
      </c>
      <c r="R86" s="20">
        <f ca="1">OFFSET('Trans Factors'!$B$13,$O86-1,R$14)*$L86+OFFSET('Trans Factors'!$B$13,$K86-1,R$14)*$H86</f>
        <v>-27.372749840233745</v>
      </c>
      <c r="S86" s="20"/>
      <c r="T86" s="20">
        <f ca="1">OFFSET('Trans Factors'!$B$13,$O86-1,T$14)*$L86+OFFSET('Trans Factors'!$B$13,$K86-1,T$14)*$H86</f>
        <v>-1304.4476053637325</v>
      </c>
      <c r="U86" s="20"/>
      <c r="V86" s="20">
        <f ca="1">OFFSET('Trans Factors'!$B$13,$O86-1,V$14)*$L86+OFFSET('Trans Factors'!$B$13,$K86-1,V$14)*$H86</f>
        <v>-5989.4008888760836</v>
      </c>
      <c r="X86" s="20">
        <f ca="1">OFFSET('Trans Factors'!$B$13,$O86-1,X$14)*$L86+OFFSET('Trans Factors'!$B$13,$K86-1,X$14)*$H86</f>
        <v>-1175.3302310186518</v>
      </c>
      <c r="Y86" s="9"/>
      <c r="Z86" s="20">
        <f ca="1">OFFSET('Trans Factors'!$B$13,$O86-1,Z$14)*$L86+OFFSET('Trans Factors'!$B$13,$K86-1,Z$14)*$H86</f>
        <v>-1692.3888000820091</v>
      </c>
      <c r="AA86" s="20"/>
      <c r="AB86" s="20">
        <f ca="1">OFFSET('Trans Factors'!$B$13,$O86-1,AB$14)*$L86+OFFSET('Trans Factors'!$B$13,$K86-1,AB$14)*$H86</f>
        <v>0</v>
      </c>
      <c r="AD86" s="20">
        <f t="shared" ca="1" si="90"/>
        <v>-10445.409930111953</v>
      </c>
      <c r="AF86" s="25" t="str">
        <f t="shared" ca="1" si="15"/>
        <v/>
      </c>
    </row>
    <row r="87" spans="2:32" x14ac:dyDescent="0.2">
      <c r="B87" s="18">
        <f t="shared" si="91"/>
        <v>52</v>
      </c>
      <c r="D87" s="1" t="s">
        <v>380</v>
      </c>
      <c r="F87" s="50">
        <f ca="1">+Function!T87</f>
        <v>0</v>
      </c>
      <c r="H87" s="50"/>
      <c r="K87" s="73">
        <f>_xlfn.IFNA(MATCH(J87,'Trans Factors'!$B$13:$B$450,0),0)</f>
        <v>0</v>
      </c>
      <c r="L87" s="50">
        <f t="shared" ca="1" si="89"/>
        <v>0</v>
      </c>
      <c r="N87" s="18"/>
      <c r="O87" s="73">
        <f>_xlfn.IFNA(MATCH(N87,'Trans Factors'!$B$13:$B$450,0),0)</f>
        <v>0</v>
      </c>
      <c r="P87" s="20">
        <f ca="1">OFFSET('Trans Factors'!$B$13,$O87-1,P$14)*$L87+OFFSET('Trans Factors'!$B$13,$K87-1,P$14)*$H87</f>
        <v>0</v>
      </c>
      <c r="R87" s="20">
        <f ca="1">OFFSET('Trans Factors'!$B$13,$O87-1,R$14)*$L87+OFFSET('Trans Factors'!$B$13,$K87-1,R$14)*$H87</f>
        <v>0</v>
      </c>
      <c r="S87" s="20"/>
      <c r="T87" s="20">
        <f ca="1">OFFSET('Trans Factors'!$B$13,$O87-1,T$14)*$L87+OFFSET('Trans Factors'!$B$13,$K87-1,T$14)*$H87</f>
        <v>0</v>
      </c>
      <c r="U87" s="20"/>
      <c r="V87" s="20">
        <f ca="1">OFFSET('Trans Factors'!$B$13,$O87-1,V$14)*$L87+OFFSET('Trans Factors'!$B$13,$K87-1,V$14)*$H87</f>
        <v>0</v>
      </c>
      <c r="X87" s="20">
        <f ca="1">OFFSET('Trans Factors'!$B$13,$O87-1,X$14)*$L87+OFFSET('Trans Factors'!$B$13,$K87-1,X$14)*$H87</f>
        <v>0</v>
      </c>
      <c r="Y87" s="9"/>
      <c r="Z87" s="20">
        <f ca="1">OFFSET('Trans Factors'!$B$13,$O87-1,Z$14)*$L87+OFFSET('Trans Factors'!$B$13,$K87-1,Z$14)*$H87</f>
        <v>0</v>
      </c>
      <c r="AA87" s="20"/>
      <c r="AB87" s="20">
        <f ca="1">OFFSET('Trans Factors'!$B$13,$O87-1,AB$14)*$L87+OFFSET('Trans Factors'!$B$13,$K87-1,AB$14)*$H87</f>
        <v>0</v>
      </c>
      <c r="AD87" s="20">
        <f t="shared" ca="1" si="90"/>
        <v>0</v>
      </c>
      <c r="AF87" s="25" t="str">
        <f t="shared" ca="1" si="15"/>
        <v/>
      </c>
    </row>
    <row r="88" spans="2:32" x14ac:dyDescent="0.2">
      <c r="B88" s="18">
        <f t="shared" si="91"/>
        <v>53</v>
      </c>
      <c r="D88" s="1" t="s">
        <v>381</v>
      </c>
      <c r="F88" s="50">
        <f ca="1">+Function!T88</f>
        <v>-22631.15789879825</v>
      </c>
      <c r="H88" s="50"/>
      <c r="K88" s="73">
        <f>_xlfn.IFNA(MATCH(J88,'Trans Factors'!$B$13:$B$450,0),0)</f>
        <v>0</v>
      </c>
      <c r="L88" s="50">
        <f t="shared" ca="1" si="89"/>
        <v>-22631.15789879825</v>
      </c>
      <c r="N88" s="18" t="s">
        <v>235</v>
      </c>
      <c r="O88" s="73">
        <f>_xlfn.IFNA(MATCH(N88,'Trans Factors'!$B$13:$B$450,0),0)</f>
        <v>53</v>
      </c>
      <c r="P88" s="20">
        <f ca="1">OFFSET('Trans Factors'!$B$13,$O88-1,P$14)*$L88+OFFSET('Trans Factors'!$B$13,$K88-1,P$14)*$H88</f>
        <v>-555.67041368734624</v>
      </c>
      <c r="R88" s="20">
        <f ca="1">OFFSET('Trans Factors'!$B$13,$O88-1,R$14)*$L88+OFFSET('Trans Factors'!$B$13,$K88-1,R$14)*$H88</f>
        <v>-59.306147667102138</v>
      </c>
      <c r="S88" s="20"/>
      <c r="T88" s="20">
        <f ca="1">OFFSET('Trans Factors'!$B$13,$O88-1,T$14)*$L88+OFFSET('Trans Factors'!$B$13,$K88-1,T$14)*$H88</f>
        <v>-2826.2327591943053</v>
      </c>
      <c r="U88" s="20"/>
      <c r="V88" s="20">
        <f ca="1">OFFSET('Trans Factors'!$B$13,$O88-1,V$14)*$L88+OFFSET('Trans Factors'!$B$13,$K88-1,V$14)*$H88</f>
        <v>-12976.712081409378</v>
      </c>
      <c r="X88" s="20">
        <f ca="1">OFFSET('Trans Factors'!$B$13,$O88-1,X$14)*$L88+OFFSET('Trans Factors'!$B$13,$K88-1,X$14)*$H88</f>
        <v>-2546.4854150658548</v>
      </c>
      <c r="Y88" s="9"/>
      <c r="Z88" s="20">
        <f ca="1">OFFSET('Trans Factors'!$B$13,$O88-1,Z$14)*$L88+OFFSET('Trans Factors'!$B$13,$K88-1,Z$14)*$H88</f>
        <v>-3666.7510817742655</v>
      </c>
      <c r="AA88" s="20"/>
      <c r="AB88" s="20">
        <f ca="1">OFFSET('Trans Factors'!$B$13,$O88-1,AB$14)*$L88+OFFSET('Trans Factors'!$B$13,$K88-1,AB$14)*$H88</f>
        <v>0</v>
      </c>
      <c r="AD88" s="20">
        <f t="shared" ca="1" si="90"/>
        <v>-22631.15789879825</v>
      </c>
      <c r="AF88" s="25" t="str">
        <f t="shared" ca="1" si="15"/>
        <v/>
      </c>
    </row>
    <row r="89" spans="2:32" x14ac:dyDescent="0.2">
      <c r="B89" s="18">
        <f t="shared" si="91"/>
        <v>54</v>
      </c>
      <c r="D89" s="1" t="s">
        <v>396</v>
      </c>
      <c r="F89" s="41">
        <f ca="1">SUM(F82:F88)</f>
        <v>-15389.21388411652</v>
      </c>
      <c r="H89" s="41">
        <f>SUM(H82:H88)</f>
        <v>0</v>
      </c>
      <c r="K89" s="73"/>
      <c r="L89" s="41">
        <f ca="1">SUM(L82:L88)</f>
        <v>-15389.21388411652</v>
      </c>
      <c r="P89" s="28">
        <f ca="1">SUM(P82:P88)</f>
        <v>-377.85653228835321</v>
      </c>
      <c r="Q89" s="22"/>
      <c r="R89" s="28">
        <f ca="1">SUM(R82:R88)</f>
        <v>-40.328249892176188</v>
      </c>
      <c r="S89" s="22"/>
      <c r="T89" s="28">
        <f ca="1">SUM(T82:T88)</f>
        <v>-1921.8415872502712</v>
      </c>
      <c r="U89" s="22"/>
      <c r="V89" s="28">
        <f ca="1">SUM(V82:V88)</f>
        <v>-8824.1794178817618</v>
      </c>
      <c r="W89" s="54"/>
      <c r="X89" s="28">
        <f ca="1">SUM(X82:X88)</f>
        <v>-1731.6130655123325</v>
      </c>
      <c r="Y89" s="13"/>
      <c r="Z89" s="28">
        <f ca="1">SUM(Z82:Z88)</f>
        <v>-2493.3950312916259</v>
      </c>
      <c r="AA89" s="22"/>
      <c r="AB89" s="28">
        <f ca="1">SUM(AB82:AB88)</f>
        <v>0</v>
      </c>
      <c r="AC89" s="8"/>
      <c r="AD89" s="28">
        <f ca="1">SUM(AD82:AD88)</f>
        <v>-15389.213884116518</v>
      </c>
      <c r="AF89" s="25" t="str">
        <f t="shared" ca="1" si="15"/>
        <v/>
      </c>
    </row>
    <row r="90" spans="2:32" x14ac:dyDescent="0.2">
      <c r="W90" s="18"/>
      <c r="AF90" s="25" t="str">
        <f t="shared" si="15"/>
        <v/>
      </c>
    </row>
    <row r="91" spans="2:32" x14ac:dyDescent="0.2">
      <c r="AF91" s="25" t="str">
        <f t="shared" si="15"/>
        <v/>
      </c>
    </row>
    <row r="92" spans="2:32" x14ac:dyDescent="0.2">
      <c r="B92" s="18">
        <f>B89+1</f>
        <v>55</v>
      </c>
      <c r="D92" s="1" t="s">
        <v>397</v>
      </c>
      <c r="F92" s="41">
        <f ca="1">F79+F89</f>
        <v>2606329.5708189611</v>
      </c>
      <c r="H92" s="41">
        <f>H79+H89</f>
        <v>0</v>
      </c>
      <c r="L92" s="41">
        <f ca="1">L79+L89</f>
        <v>2606329.5708189611</v>
      </c>
      <c r="P92" s="10">
        <f ca="1">P79+P89</f>
        <v>63888.057654086675</v>
      </c>
      <c r="Q92" s="8"/>
      <c r="R92" s="10">
        <f ca="1">R79+R89</f>
        <v>6818.7085150973935</v>
      </c>
      <c r="S92" s="8"/>
      <c r="T92" s="10">
        <f ca="1">T79+T89</f>
        <v>324984.5213460137</v>
      </c>
      <c r="U92" s="8"/>
      <c r="V92" s="10">
        <f ca="1">V79+V89</f>
        <v>1495554.0249630243</v>
      </c>
      <c r="W92" s="8"/>
      <c r="X92" s="10">
        <f ca="1">X79+X89</f>
        <v>292917.65784101782</v>
      </c>
      <c r="Y92" s="8"/>
      <c r="Z92" s="10">
        <f ca="1">Z79+Z89</f>
        <v>422166.60049972107</v>
      </c>
      <c r="AA92" s="8"/>
      <c r="AB92" s="10">
        <f ca="1">AB79+AB89</f>
        <v>0</v>
      </c>
      <c r="AC92" s="8"/>
      <c r="AD92" s="10">
        <f ca="1">AD79+AD89</f>
        <v>2606329.5708189611</v>
      </c>
      <c r="AF92" s="25" t="str">
        <f t="shared" ca="1" si="15"/>
        <v/>
      </c>
    </row>
    <row r="93" spans="2:32" x14ac:dyDescent="0.2">
      <c r="AF93" s="25" t="str">
        <f t="shared" si="15"/>
        <v/>
      </c>
    </row>
    <row r="94" spans="2:32" x14ac:dyDescent="0.2">
      <c r="AF94" s="25" t="str">
        <f t="shared" si="15"/>
        <v/>
      </c>
    </row>
    <row r="95" spans="2:32" x14ac:dyDescent="0.2">
      <c r="B95" s="18">
        <f>B92+1</f>
        <v>56</v>
      </c>
      <c r="D95" s="1" t="s">
        <v>38</v>
      </c>
      <c r="F95" s="87">
        <f>Function!F95</f>
        <v>6.0821321807016528E-2</v>
      </c>
      <c r="G95" s="89"/>
      <c r="H95" s="87">
        <f>Function!H95</f>
        <v>0</v>
      </c>
      <c r="I95" s="89"/>
      <c r="J95" s="89"/>
      <c r="K95" s="76"/>
      <c r="L95" s="87">
        <f>Function!L95</f>
        <v>6.0821321807016528E-2</v>
      </c>
      <c r="P95" s="24">
        <f>$F$95</f>
        <v>6.0821321807016528E-2</v>
      </c>
      <c r="R95" s="24">
        <f>$F$95</f>
        <v>6.0821321807016528E-2</v>
      </c>
      <c r="T95" s="24">
        <f>$F$95</f>
        <v>6.0821321807016528E-2</v>
      </c>
      <c r="V95" s="24">
        <f>$F$95</f>
        <v>6.0821321807016528E-2</v>
      </c>
      <c r="W95" s="24"/>
      <c r="X95" s="24">
        <f>$F$95</f>
        <v>6.0821321807016528E-2</v>
      </c>
      <c r="Z95" s="24">
        <f>$F$95</f>
        <v>6.0821321807016528E-2</v>
      </c>
      <c r="AB95" s="24">
        <f>$F$95</f>
        <v>6.0821321807016528E-2</v>
      </c>
      <c r="AD95" s="24"/>
      <c r="AF95" s="25"/>
    </row>
    <row r="96" spans="2:32" x14ac:dyDescent="0.2">
      <c r="AF96" s="25" t="str">
        <f t="shared" si="15"/>
        <v/>
      </c>
    </row>
    <row r="97" spans="2:32" x14ac:dyDescent="0.2">
      <c r="B97" s="18">
        <f>B95+1</f>
        <v>57</v>
      </c>
      <c r="D97" s="1" t="s">
        <v>398</v>
      </c>
      <c r="F97" s="41">
        <f ca="1">F92*F95</f>
        <v>158520.4095619233</v>
      </c>
      <c r="H97" s="41">
        <f>H92*H95</f>
        <v>0</v>
      </c>
      <c r="L97" s="41">
        <f ca="1">L92*L95</f>
        <v>158520.4095619233</v>
      </c>
      <c r="P97" s="10">
        <f ca="1">P92*P95</f>
        <v>3885.756114204431</v>
      </c>
      <c r="R97" s="10">
        <f ca="1">R92*R95</f>
        <v>414.72286490498237</v>
      </c>
      <c r="T97" s="10">
        <f ca="1">T92*T95</f>
        <v>19765.988155085131</v>
      </c>
      <c r="V97" s="10">
        <f ca="1">V92*V95</f>
        <v>90961.572632054929</v>
      </c>
      <c r="X97" s="10">
        <f ca="1">X92*X95</f>
        <v>17815.639130506104</v>
      </c>
      <c r="Z97" s="10">
        <f ca="1">Z92*Z95</f>
        <v>25676.730665167721</v>
      </c>
      <c r="AA97" s="8"/>
      <c r="AB97" s="10">
        <f ca="1">AB92*AB95</f>
        <v>0</v>
      </c>
      <c r="AD97" s="10">
        <f ca="1">P97+R97+T97+V97+X97+Z97+AB97</f>
        <v>158520.4095619233</v>
      </c>
      <c r="AF97" s="25" t="str">
        <f t="shared" ca="1" si="15"/>
        <v/>
      </c>
    </row>
    <row r="98" spans="2:32" x14ac:dyDescent="0.2">
      <c r="F98" s="50"/>
      <c r="H98" s="50"/>
      <c r="L98" s="50"/>
      <c r="AD98" s="1">
        <f t="shared" ref="AD98:AD99" si="92">P98+R98+T98+V98+X98+Z98+AB98</f>
        <v>0</v>
      </c>
      <c r="AF98" s="25" t="str">
        <f t="shared" si="15"/>
        <v/>
      </c>
    </row>
    <row r="99" spans="2:32" x14ac:dyDescent="0.2">
      <c r="F99" s="50"/>
      <c r="H99" s="50"/>
      <c r="L99" s="50"/>
      <c r="AD99" s="1">
        <f t="shared" si="92"/>
        <v>0</v>
      </c>
      <c r="AF99" s="25" t="str">
        <f t="shared" si="15"/>
        <v/>
      </c>
    </row>
    <row r="100" spans="2:32" x14ac:dyDescent="0.2">
      <c r="D100" s="6" t="s">
        <v>70</v>
      </c>
      <c r="AF100" s="25" t="str">
        <f t="shared" si="15"/>
        <v/>
      </c>
    </row>
    <row r="101" spans="2:32" x14ac:dyDescent="0.2">
      <c r="AF101" s="25" t="str">
        <f t="shared" si="15"/>
        <v/>
      </c>
    </row>
    <row r="102" spans="2:32" x14ac:dyDescent="0.2">
      <c r="B102" s="18">
        <f>B97+1</f>
        <v>58</v>
      </c>
      <c r="D102" s="1" t="s">
        <v>195</v>
      </c>
      <c r="F102" s="50">
        <f ca="1">Function!T102</f>
        <v>82421.141572556502</v>
      </c>
      <c r="H102" s="50"/>
      <c r="K102" s="73">
        <f>_xlfn.IFNA(MATCH(J102,'Trans Factors'!$B$13:$B$450,0),0)</f>
        <v>0</v>
      </c>
      <c r="L102" s="50">
        <f t="shared" ref="L102:L103" ca="1" si="93">F102-H102</f>
        <v>82421.141572556502</v>
      </c>
      <c r="N102" s="18" t="s">
        <v>245</v>
      </c>
      <c r="O102" s="73">
        <f>_xlfn.IFNA(MATCH(N102,'Trans Factors'!$B$13:$B$450,0),0)</f>
        <v>20</v>
      </c>
      <c r="P102" s="20">
        <f ca="1">OFFSET('Trans Factors'!$B$13,$O102-1,P$14)*$L102+OFFSET('Trans Factors'!$B$13,$K102-1,P$14)*$H102</f>
        <v>2855.622039833414</v>
      </c>
      <c r="R102" s="20">
        <f ca="1">OFFSET('Trans Factors'!$B$13,$O102-1,R$14)*$L102+OFFSET('Trans Factors'!$B$13,$K102-1,R$14)*$H102</f>
        <v>416.91594646719744</v>
      </c>
      <c r="S102" s="20"/>
      <c r="T102" s="20">
        <f ca="1">OFFSET('Trans Factors'!$B$13,$O102-1,T$14)*$L102+OFFSET('Trans Factors'!$B$13,$K102-1,T$14)*$H102</f>
        <v>12907.437187673129</v>
      </c>
      <c r="U102" s="20"/>
      <c r="V102" s="20">
        <f ca="1">OFFSET('Trans Factors'!$B$13,$O102-1,V$14)*$L102+OFFSET('Trans Factors'!$B$13,$K102-1,V$14)*$H102</f>
        <v>52489.520001681689</v>
      </c>
      <c r="X102" s="20">
        <f ca="1">OFFSET('Trans Factors'!$B$13,$O102-1,X$14)*$L102+OFFSET('Trans Factors'!$B$13,$K102-1,X$14)*$H102</f>
        <v>4933.7362080497405</v>
      </c>
      <c r="Y102" s="9"/>
      <c r="Z102" s="20">
        <f ca="1">OFFSET('Trans Factors'!$B$13,$O102-1,Z$14)*$L102+OFFSET('Trans Factors'!$B$13,$K102-1,Z$14)*$H102</f>
        <v>8817.9101888513178</v>
      </c>
      <c r="AA102" s="20"/>
      <c r="AB102" s="20">
        <f ca="1">OFFSET('Trans Factors'!$B$13,$O102-1,AB$14)*$L102+OFFSET('Trans Factors'!$B$13,$K102-1,AB$14)*$H102</f>
        <v>0</v>
      </c>
      <c r="AD102" s="20">
        <f t="shared" ref="AD102" ca="1" si="94">P102+R102+T102+V102+X102+Z102+AB102</f>
        <v>82421.141572556488</v>
      </c>
      <c r="AF102" s="25" t="str">
        <f t="shared" ca="1" si="15"/>
        <v/>
      </c>
    </row>
    <row r="103" spans="2:32" x14ac:dyDescent="0.2">
      <c r="B103" s="18">
        <f>B102+1</f>
        <v>59</v>
      </c>
      <c r="D103" s="1" t="s">
        <v>196</v>
      </c>
      <c r="F103" s="88">
        <f ca="1">Function!T103</f>
        <v>7071.8904647083718</v>
      </c>
      <c r="H103" s="88"/>
      <c r="K103" s="73">
        <f>_xlfn.IFNA(MATCH(J103,'Trans Factors'!$B$13:$B$450,0),0)</f>
        <v>0</v>
      </c>
      <c r="L103" s="88">
        <f t="shared" ca="1" si="93"/>
        <v>7071.8904647083718</v>
      </c>
      <c r="N103" s="18" t="s">
        <v>234</v>
      </c>
      <c r="O103" s="73">
        <f>_xlfn.IFNA(MATCH(N103,'Trans Factors'!$B$13:$B$450,0),0)</f>
        <v>23</v>
      </c>
      <c r="P103" s="20">
        <f ca="1">OFFSET('Trans Factors'!$B$13,$O103-1,P$14)*$L103+OFFSET('Trans Factors'!$B$13,$K103-1,P$14)*$H103</f>
        <v>249.67717302385779</v>
      </c>
      <c r="R103" s="20">
        <f ca="1">OFFSET('Trans Factors'!$B$13,$O103-1,R$14)*$L103+OFFSET('Trans Factors'!$B$13,$K103-1,R$14)*$H103</f>
        <v>35.921767856445399</v>
      </c>
      <c r="S103" s="20"/>
      <c r="T103" s="20">
        <f ca="1">OFFSET('Trans Factors'!$B$13,$O103-1,T$14)*$L103+OFFSET('Trans Factors'!$B$13,$K103-1,T$14)*$H103</f>
        <v>935.6915272777818</v>
      </c>
      <c r="U103" s="20"/>
      <c r="V103" s="20">
        <f ca="1">OFFSET('Trans Factors'!$B$13,$O103-1,V$14)*$L103+OFFSET('Trans Factors'!$B$13,$K103-1,V$14)*$H103</f>
        <v>4125.4205634609298</v>
      </c>
      <c r="X103" s="20">
        <f ca="1">OFFSET('Trans Factors'!$B$13,$O103-1,X$14)*$L103+OFFSET('Trans Factors'!$B$13,$K103-1,X$14)*$H103</f>
        <v>616.97891696643887</v>
      </c>
      <c r="Y103" s="9"/>
      <c r="Z103" s="20">
        <f ca="1">OFFSET('Trans Factors'!$B$13,$O103-1,Z$14)*$L103+OFFSET('Trans Factors'!$B$13,$K103-1,Z$14)*$H103</f>
        <v>1108.2005161229185</v>
      </c>
      <c r="AA103" s="20"/>
      <c r="AB103" s="20">
        <f ca="1">OFFSET('Trans Factors'!$B$13,$O103-1,AB$14)*$L103+OFFSET('Trans Factors'!$B$13,$K103-1,AB$14)*$H103</f>
        <v>0</v>
      </c>
      <c r="AD103" s="22">
        <f t="shared" ref="AD103" ca="1" si="95">P103+R103+T103+V103+X103+Z103+AB103</f>
        <v>7071.8904647083727</v>
      </c>
      <c r="AF103" s="25" t="str">
        <f t="shared" ca="1" si="15"/>
        <v/>
      </c>
    </row>
    <row r="104" spans="2:32" x14ac:dyDescent="0.2">
      <c r="B104" s="18">
        <f>B103+1</f>
        <v>60</v>
      </c>
      <c r="D104" s="1" t="s">
        <v>197</v>
      </c>
      <c r="F104" s="41">
        <f ca="1">F102+F103</f>
        <v>89493.032037264871</v>
      </c>
      <c r="H104" s="41">
        <f>H102+H103</f>
        <v>0</v>
      </c>
      <c r="L104" s="41">
        <f ca="1">L102+L103</f>
        <v>89493.032037264871</v>
      </c>
      <c r="P104" s="10">
        <f ca="1">P102+P103</f>
        <v>3105.2992128572719</v>
      </c>
      <c r="R104" s="10">
        <f ca="1">R102+R103</f>
        <v>452.83771432364284</v>
      </c>
      <c r="T104" s="10">
        <f ca="1">T102+T103</f>
        <v>13843.128714950912</v>
      </c>
      <c r="V104" s="10">
        <f ca="1">V102+V103</f>
        <v>56614.94056514262</v>
      </c>
      <c r="X104" s="10">
        <f ca="1">X102+X103</f>
        <v>5550.7151250161796</v>
      </c>
      <c r="Z104" s="10">
        <f ca="1">Z102+Z103</f>
        <v>9926.1107049742368</v>
      </c>
      <c r="AB104" s="10">
        <f ca="1">AB102+AB103</f>
        <v>0</v>
      </c>
      <c r="AD104" s="10">
        <f ca="1">AD102+AD103</f>
        <v>89493.032037264857</v>
      </c>
      <c r="AF104" s="25" t="str">
        <f t="shared" ca="1" si="15"/>
        <v/>
      </c>
    </row>
    <row r="105" spans="2:32" x14ac:dyDescent="0.2">
      <c r="AF105" s="25" t="str">
        <f t="shared" si="15"/>
        <v/>
      </c>
    </row>
    <row r="106" spans="2:32" x14ac:dyDescent="0.2">
      <c r="D106" s="6" t="s">
        <v>69</v>
      </c>
      <c r="F106" s="50"/>
      <c r="H106" s="50"/>
      <c r="L106" s="50"/>
      <c r="AF106" s="25" t="str">
        <f t="shared" ref="AF106:AF111" si="96">IF(ROUND(F106,4)=ROUND(AD106,4), "", "check")</f>
        <v/>
      </c>
    </row>
    <row r="107" spans="2:32" x14ac:dyDescent="0.2">
      <c r="F107" s="50"/>
      <c r="H107" s="50"/>
      <c r="L107" s="50"/>
      <c r="AF107" s="25" t="str">
        <f t="shared" si="96"/>
        <v/>
      </c>
    </row>
    <row r="108" spans="2:32" x14ac:dyDescent="0.2">
      <c r="B108" s="18">
        <f>B104+1</f>
        <v>61</v>
      </c>
      <c r="D108" s="1" t="s">
        <v>39</v>
      </c>
      <c r="F108" s="50">
        <f ca="1">Function!T108</f>
        <v>20456.591316541941</v>
      </c>
      <c r="H108" s="50"/>
      <c r="K108" s="73">
        <f>_xlfn.IFNA(MATCH(J108,'Trans Factors'!$B$13:$B$450,0),0)</f>
        <v>0</v>
      </c>
      <c r="L108" s="50">
        <f t="shared" ref="L108:L109" ca="1" si="97">F108-H108</f>
        <v>20456.591316541941</v>
      </c>
      <c r="N108" s="18" t="s">
        <v>236</v>
      </c>
      <c r="O108" s="73">
        <f>_xlfn.IFNA(MATCH(N108,'Trans Factors'!$B$13:$B$450,0),0)</f>
        <v>62</v>
      </c>
      <c r="P108" s="20">
        <f ca="1">OFFSET('Trans Factors'!$B$13,$O108-1,P$14)*$L108+OFFSET('Trans Factors'!$B$13,$K108-1,P$14)*$H108</f>
        <v>501.44536595448903</v>
      </c>
      <c r="R108" s="20">
        <f ca="1">OFFSET('Trans Factors'!$B$13,$O108-1,R$14)*$L108+OFFSET('Trans Factors'!$B$13,$K108-1,R$14)*$H108</f>
        <v>53.518762539359955</v>
      </c>
      <c r="S108" s="20"/>
      <c r="T108" s="20">
        <f ca="1">OFFSET('Trans Factors'!$B$13,$O108-1,T$14)*$L108+OFFSET('Trans Factors'!$B$13,$K108-1,T$14)*$H108</f>
        <v>2550.7424739414073</v>
      </c>
      <c r="U108" s="20"/>
      <c r="V108" s="20">
        <f ca="1">OFFSET('Trans Factors'!$B$13,$O108-1,V$14)*$L108+OFFSET('Trans Factors'!$B$13,$K108-1,V$14)*$H108</f>
        <v>11738.322667637432</v>
      </c>
      <c r="X108" s="20">
        <f ca="1">OFFSET('Trans Factors'!$B$13,$O108-1,X$14)*$L108+OFFSET('Trans Factors'!$B$13,$K108-1,X$14)*$H108</f>
        <v>2299.0556846460254</v>
      </c>
      <c r="Y108" s="9"/>
      <c r="Z108" s="20">
        <f ca="1">OFFSET('Trans Factors'!$B$13,$O108-1,Z$14)*$L108+OFFSET('Trans Factors'!$B$13,$K108-1,Z$14)*$H108</f>
        <v>3313.5063618232257</v>
      </c>
      <c r="AA108" s="20"/>
      <c r="AB108" s="20">
        <f ca="1">OFFSET('Trans Factors'!$B$13,$O108-1,AB$14)*$L108+OFFSET('Trans Factors'!$B$13,$K108-1,AB$14)*$H108</f>
        <v>0</v>
      </c>
      <c r="AD108" s="20">
        <f t="shared" ref="AD108:AD109" ca="1" si="98">P108+R108+T108+V108+X108+Z108+AB108</f>
        <v>20456.591316541941</v>
      </c>
      <c r="AF108" s="25" t="str">
        <f t="shared" ca="1" si="96"/>
        <v/>
      </c>
    </row>
    <row r="109" spans="2:32" x14ac:dyDescent="0.2">
      <c r="B109" s="18">
        <f>B108+1</f>
        <v>62</v>
      </c>
      <c r="D109" s="1" t="s">
        <v>40</v>
      </c>
      <c r="F109" s="50">
        <f ca="1">Function!T109</f>
        <v>25970.862333656336</v>
      </c>
      <c r="H109" s="50"/>
      <c r="K109" s="73">
        <f>_xlfn.IFNA(MATCH(J109,'Trans Factors'!$B$13:$B$450,0),0)</f>
        <v>0</v>
      </c>
      <c r="L109" s="50">
        <f t="shared" ca="1" si="97"/>
        <v>25970.862333656336</v>
      </c>
      <c r="N109" s="18" t="s">
        <v>237</v>
      </c>
      <c r="O109" s="73">
        <f>_xlfn.IFNA(MATCH(N109,'Trans Factors'!$B$13:$B$450,0),0)</f>
        <v>59</v>
      </c>
      <c r="P109" s="20">
        <f ca="1">OFFSET('Trans Factors'!$B$13,$O109-1,P$14)*$L109+OFFSET('Trans Factors'!$B$13,$K109-1,P$14)*$H109</f>
        <v>2489.2500370025618</v>
      </c>
      <c r="R109" s="20">
        <f ca="1">OFFSET('Trans Factors'!$B$13,$O109-1,R$14)*$L109+OFFSET('Trans Factors'!$B$13,$K109-1,R$14)*$H109</f>
        <v>20.461271526811231</v>
      </c>
      <c r="S109" s="20"/>
      <c r="T109" s="20">
        <f ca="1">OFFSET('Trans Factors'!$B$13,$O109-1,T$14)*$L109+OFFSET('Trans Factors'!$B$13,$K109-1,T$14)*$H109</f>
        <v>1082.306689369793</v>
      </c>
      <c r="U109" s="20"/>
      <c r="V109" s="20">
        <f ca="1">OFFSET('Trans Factors'!$B$13,$O109-1,V$14)*$L109+OFFSET('Trans Factors'!$B$13,$K109-1,V$14)*$H109</f>
        <v>17907.616544831231</v>
      </c>
      <c r="X109" s="20">
        <f ca="1">OFFSET('Trans Factors'!$B$13,$O109-1,X$14)*$L109+OFFSET('Trans Factors'!$B$13,$K109-1,X$14)*$H109</f>
        <v>1041.3982096617547</v>
      </c>
      <c r="Y109" s="9"/>
      <c r="Z109" s="20">
        <f ca="1">OFFSET('Trans Factors'!$B$13,$O109-1,Z$14)*$L109+OFFSET('Trans Factors'!$B$13,$K109-1,Z$14)*$H109</f>
        <v>3429.8295812641823</v>
      </c>
      <c r="AA109" s="20"/>
      <c r="AB109" s="20">
        <f ca="1">OFFSET('Trans Factors'!$B$13,$O109-1,AB$14)*$L109+OFFSET('Trans Factors'!$B$13,$K109-1,AB$14)*$H109</f>
        <v>0</v>
      </c>
      <c r="AD109" s="20">
        <f t="shared" ca="1" si="98"/>
        <v>25970.862333656332</v>
      </c>
      <c r="AF109" s="25" t="str">
        <f t="shared" ca="1" si="96"/>
        <v/>
      </c>
    </row>
    <row r="110" spans="2:32" x14ac:dyDescent="0.2">
      <c r="B110" s="18">
        <f>B109+1</f>
        <v>63</v>
      </c>
      <c r="D110" s="1" t="s">
        <v>294</v>
      </c>
      <c r="F110" s="41">
        <f ca="1">F108+F109</f>
        <v>46427.45365019828</v>
      </c>
      <c r="H110" s="41">
        <f>H108+H109</f>
        <v>0</v>
      </c>
      <c r="L110" s="41">
        <f ca="1">L108+L109</f>
        <v>46427.45365019828</v>
      </c>
      <c r="P110" s="10">
        <f ca="1">P108+P109</f>
        <v>2990.6954029570506</v>
      </c>
      <c r="R110" s="10">
        <f ca="1">R108+R109</f>
        <v>73.980034066171186</v>
      </c>
      <c r="T110" s="10">
        <f ca="1">T108+T109</f>
        <v>3633.0491633112006</v>
      </c>
      <c r="V110" s="10">
        <f ca="1">V108+V109</f>
        <v>29645.939212468664</v>
      </c>
      <c r="X110" s="10">
        <f ca="1">X108+X109</f>
        <v>3340.45389430778</v>
      </c>
      <c r="Z110" s="10">
        <f ca="1">Z108+Z109</f>
        <v>6743.3359430874079</v>
      </c>
      <c r="AB110" s="10">
        <f ca="1">AB108+AB109</f>
        <v>0</v>
      </c>
      <c r="AD110" s="10">
        <f ca="1">AD108+AD109</f>
        <v>46427.453650198273</v>
      </c>
      <c r="AF110" s="25" t="str">
        <f t="shared" ca="1" si="96"/>
        <v/>
      </c>
    </row>
    <row r="111" spans="2:32" x14ac:dyDescent="0.2">
      <c r="AF111" s="25" t="str">
        <f t="shared" si="96"/>
        <v/>
      </c>
    </row>
    <row r="112" spans="2:32" x14ac:dyDescent="0.2">
      <c r="AF112" s="25" t="str">
        <f t="shared" si="15"/>
        <v/>
      </c>
    </row>
    <row r="113" spans="2:52" x14ac:dyDescent="0.2">
      <c r="D113" s="6" t="s">
        <v>74</v>
      </c>
      <c r="AF113" s="25" t="str">
        <f t="shared" si="15"/>
        <v/>
      </c>
      <c r="AI113" s="2" t="s">
        <v>181</v>
      </c>
      <c r="AJ113" s="2" t="s">
        <v>189</v>
      </c>
      <c r="AL113" s="2" t="s">
        <v>52</v>
      </c>
      <c r="AM113" s="2"/>
      <c r="AN113" s="2" t="s">
        <v>54</v>
      </c>
      <c r="AO113" s="2"/>
      <c r="AP113" s="2" t="s">
        <v>55</v>
      </c>
      <c r="AQ113" s="2"/>
      <c r="AR113" s="2" t="s">
        <v>56</v>
      </c>
      <c r="AS113" s="2"/>
      <c r="AT113" s="2" t="s">
        <v>57</v>
      </c>
      <c r="AU113" s="2"/>
      <c r="AV113" s="2" t="s">
        <v>60</v>
      </c>
      <c r="AW113" s="2"/>
      <c r="AX113" s="2" t="s">
        <v>9</v>
      </c>
      <c r="AZ113" s="2"/>
    </row>
    <row r="114" spans="2:52" x14ac:dyDescent="0.2">
      <c r="AF114" s="25" t="str">
        <f t="shared" si="15"/>
        <v/>
      </c>
      <c r="AI114" s="33" t="s">
        <v>187</v>
      </c>
      <c r="AJ114" s="33" t="s">
        <v>188</v>
      </c>
      <c r="AL114" s="33" t="s">
        <v>53</v>
      </c>
      <c r="AM114" s="2"/>
      <c r="AN114" s="33" t="s">
        <v>53</v>
      </c>
      <c r="AO114" s="2"/>
      <c r="AP114" s="33" t="s">
        <v>53</v>
      </c>
      <c r="AQ114" s="2"/>
      <c r="AR114" s="33" t="s">
        <v>55</v>
      </c>
      <c r="AS114" s="2"/>
      <c r="AT114" s="33" t="s">
        <v>58</v>
      </c>
      <c r="AU114" s="2"/>
      <c r="AV114" s="33" t="s">
        <v>81</v>
      </c>
      <c r="AW114" s="2"/>
      <c r="AX114" s="33" t="s">
        <v>49</v>
      </c>
      <c r="AZ114" s="33" t="s">
        <v>11</v>
      </c>
    </row>
    <row r="115" spans="2:52" x14ac:dyDescent="0.2">
      <c r="D115" s="1" t="s">
        <v>7</v>
      </c>
      <c r="AF115" s="25" t="str">
        <f t="shared" si="15"/>
        <v/>
      </c>
    </row>
    <row r="116" spans="2:52" x14ac:dyDescent="0.2">
      <c r="B116" s="18">
        <f>B110+1</f>
        <v>64</v>
      </c>
      <c r="D116" s="36" t="s">
        <v>309</v>
      </c>
      <c r="F116" s="50">
        <f ca="1">Function!T116</f>
        <v>0</v>
      </c>
      <c r="H116" s="79"/>
      <c r="K116" s="73">
        <f>_xlfn.IFNA(MATCH(J116,'Trans Factors'!$B$13:$B$450,0),0)</f>
        <v>0</v>
      </c>
      <c r="L116" s="50">
        <f t="shared" ref="L116:L160" ca="1" si="99">F116-H116</f>
        <v>0</v>
      </c>
      <c r="O116" s="73">
        <f>_xlfn.IFNA(MATCH(N116,'Trans Factors'!$B$13:$B$450,0),0)</f>
        <v>0</v>
      </c>
      <c r="P116" s="20">
        <f ca="1">OFFSET('Trans Factors'!$B$13,$O116-1,P$14)*$L116+OFFSET('Trans Factors'!$B$13,$K116-1,P$14)*$H116</f>
        <v>0</v>
      </c>
      <c r="R116" s="20">
        <f ca="1">OFFSET('Trans Factors'!$B$13,$O116-1,R$14)*$L116+OFFSET('Trans Factors'!$B$13,$K116-1,R$14)*$H116</f>
        <v>0</v>
      </c>
      <c r="S116" s="20"/>
      <c r="T116" s="20">
        <f ca="1">OFFSET('Trans Factors'!$B$13,$O116-1,T$14)*$L116+OFFSET('Trans Factors'!$B$13,$K116-1,T$14)*$H116</f>
        <v>0</v>
      </c>
      <c r="U116" s="20"/>
      <c r="V116" s="20">
        <f ca="1">OFFSET('Trans Factors'!$B$13,$O116-1,V$14)*$L116+OFFSET('Trans Factors'!$B$13,$K116-1,V$14)*$H116</f>
        <v>0</v>
      </c>
      <c r="X116" s="20">
        <f ca="1">OFFSET('Trans Factors'!$B$13,$O116-1,X$14)*$L116+OFFSET('Trans Factors'!$B$13,$K116-1,X$14)*$H116</f>
        <v>0</v>
      </c>
      <c r="Y116" s="9"/>
      <c r="Z116" s="20">
        <f ca="1">OFFSET('Trans Factors'!$B$13,$O116-1,Z$14)*$L116+OFFSET('Trans Factors'!$B$13,$K116-1,Z$14)*$H116</f>
        <v>0</v>
      </c>
      <c r="AA116" s="20"/>
      <c r="AB116" s="20">
        <f ca="1">OFFSET('Trans Factors'!$B$13,$O116-1,AB$14)*$L116+OFFSET('Trans Factors'!$B$13,$K116-1,AB$14)*$H116</f>
        <v>0</v>
      </c>
      <c r="AD116" s="20">
        <f t="shared" ref="AD116:AD160" ca="1" si="100">P116+R116+T116+V116+X116+Z116+AB116</f>
        <v>0</v>
      </c>
      <c r="AF116" s="25" t="str">
        <f t="shared" ca="1" si="15"/>
        <v/>
      </c>
      <c r="AI116" s="101">
        <f ca="1">Function!AJ116</f>
        <v>0</v>
      </c>
      <c r="AJ116" s="100">
        <f ca="1">IFERROR(AI116/F116,0)</f>
        <v>0</v>
      </c>
      <c r="AL116" s="50">
        <f ca="1">$AJ116*P116</f>
        <v>0</v>
      </c>
      <c r="AM116" s="50"/>
      <c r="AN116" s="50">
        <f t="shared" ref="AN116:AX116" ca="1" si="101">$AJ116*R116</f>
        <v>0</v>
      </c>
      <c r="AO116" s="50"/>
      <c r="AP116" s="50">
        <f t="shared" ca="1" si="101"/>
        <v>0</v>
      </c>
      <c r="AQ116" s="50"/>
      <c r="AR116" s="50">
        <f t="shared" ca="1" si="101"/>
        <v>0</v>
      </c>
      <c r="AS116" s="50"/>
      <c r="AT116" s="50">
        <f t="shared" ca="1" si="101"/>
        <v>0</v>
      </c>
      <c r="AU116" s="50"/>
      <c r="AV116" s="50">
        <f t="shared" ca="1" si="101"/>
        <v>0</v>
      </c>
      <c r="AW116" s="50"/>
      <c r="AX116" s="50">
        <f t="shared" ca="1" si="101"/>
        <v>0</v>
      </c>
      <c r="AZ116" s="50">
        <f ca="1">SUM(AL116:AX116)</f>
        <v>0</v>
      </c>
    </row>
    <row r="117" spans="2:52" x14ac:dyDescent="0.2">
      <c r="B117" s="18">
        <f t="shared" ref="B117:B122" si="102">B116+1</f>
        <v>65</v>
      </c>
      <c r="D117" s="36" t="s">
        <v>105</v>
      </c>
      <c r="F117" s="50">
        <f ca="1">Function!T117</f>
        <v>18533.95038585359</v>
      </c>
      <c r="H117" s="79"/>
      <c r="K117" s="73">
        <f>_xlfn.IFNA(MATCH(J117,'Trans Factors'!$B$13:$B$450,0),0)</f>
        <v>0</v>
      </c>
      <c r="L117" s="50">
        <f t="shared" ca="1" si="99"/>
        <v>18533.95038585359</v>
      </c>
      <c r="N117" s="18" t="s">
        <v>250</v>
      </c>
      <c r="O117" s="73">
        <f>_xlfn.IFNA(MATCH(N117,'Trans Factors'!$B$13:$B$450,0),0)</f>
        <v>11</v>
      </c>
      <c r="P117" s="20">
        <f ca="1">OFFSET('Trans Factors'!$B$13,$O117-1,P$14)*$L117+OFFSET('Trans Factors'!$B$13,$K117-1,P$14)*$H117</f>
        <v>0</v>
      </c>
      <c r="R117" s="20">
        <f ca="1">OFFSET('Trans Factors'!$B$13,$O117-1,R$14)*$L117+OFFSET('Trans Factors'!$B$13,$K117-1,R$14)*$H117</f>
        <v>0</v>
      </c>
      <c r="S117" s="20"/>
      <c r="T117" s="20">
        <f ca="1">OFFSET('Trans Factors'!$B$13,$O117-1,T$14)*$L117+OFFSET('Trans Factors'!$B$13,$K117-1,T$14)*$H117</f>
        <v>0</v>
      </c>
      <c r="U117" s="20"/>
      <c r="V117" s="20">
        <f ca="1">OFFSET('Trans Factors'!$B$13,$O117-1,V$14)*$L117+OFFSET('Trans Factors'!$B$13,$K117-1,V$14)*$H117</f>
        <v>0</v>
      </c>
      <c r="X117" s="20">
        <f ca="1">OFFSET('Trans Factors'!$B$13,$O117-1,X$14)*$L117+OFFSET('Trans Factors'!$B$13,$K117-1,X$14)*$H117</f>
        <v>0</v>
      </c>
      <c r="Y117" s="9"/>
      <c r="Z117" s="20">
        <f ca="1">OFFSET('Trans Factors'!$B$13,$O117-1,Z$14)*$L117+OFFSET('Trans Factors'!$B$13,$K117-1,Z$14)*$H117</f>
        <v>0</v>
      </c>
      <c r="AA117" s="20"/>
      <c r="AB117" s="20">
        <f ca="1">OFFSET('Trans Factors'!$B$13,$O117-1,AB$14)*$L117+OFFSET('Trans Factors'!$B$13,$K117-1,AB$14)*$H117</f>
        <v>18533.95038585359</v>
      </c>
      <c r="AD117" s="20">
        <f t="shared" ca="1" si="100"/>
        <v>18533.95038585359</v>
      </c>
      <c r="AF117" s="25" t="str">
        <f t="shared" ca="1" si="15"/>
        <v/>
      </c>
      <c r="AI117" s="101">
        <f ca="1">Function!AJ117</f>
        <v>0</v>
      </c>
      <c r="AJ117" s="100">
        <f t="shared" ref="AJ117:AJ157" ca="1" si="103">IFERROR(AI117/F117,0)</f>
        <v>0</v>
      </c>
      <c r="AL117" s="50">
        <f t="shared" ref="AL117:AL160" ca="1" si="104">$AJ117*P117</f>
        <v>0</v>
      </c>
      <c r="AM117" s="50"/>
      <c r="AN117" s="50">
        <f t="shared" ref="AN117:AN160" ca="1" si="105">$AJ117*R117</f>
        <v>0</v>
      </c>
      <c r="AO117" s="50"/>
      <c r="AP117" s="50">
        <f t="shared" ref="AP117:AP160" ca="1" si="106">$AJ117*T117</f>
        <v>0</v>
      </c>
      <c r="AQ117" s="50"/>
      <c r="AR117" s="50">
        <f t="shared" ref="AR117:AR160" ca="1" si="107">$AJ117*V117</f>
        <v>0</v>
      </c>
      <c r="AS117" s="50"/>
      <c r="AT117" s="50">
        <f t="shared" ref="AT117:AT160" ca="1" si="108">$AJ117*X117</f>
        <v>0</v>
      </c>
      <c r="AU117" s="50"/>
      <c r="AV117" s="50">
        <f t="shared" ref="AV117:AV160" ca="1" si="109">$AJ117*Z117</f>
        <v>0</v>
      </c>
      <c r="AW117" s="50"/>
      <c r="AX117" s="50">
        <f t="shared" ref="AX117:AX160" ca="1" si="110">$AJ117*AB117</f>
        <v>0</v>
      </c>
      <c r="AZ117" s="50">
        <f t="shared" ref="AZ117:AZ160" ca="1" si="111">SUM(AL117:AX117)</f>
        <v>0</v>
      </c>
    </row>
    <row r="118" spans="2:52" x14ac:dyDescent="0.2">
      <c r="B118" s="18">
        <f t="shared" si="102"/>
        <v>66</v>
      </c>
      <c r="D118" s="36" t="s">
        <v>106</v>
      </c>
      <c r="F118" s="50">
        <f ca="1">Function!T118</f>
        <v>10628.242000188779</v>
      </c>
      <c r="H118" s="79"/>
      <c r="K118" s="73">
        <f>_xlfn.IFNA(MATCH(J118,'Trans Factors'!$B$13:$B$450,0),0)</f>
        <v>0</v>
      </c>
      <c r="L118" s="50">
        <f t="shared" ca="1" si="99"/>
        <v>10628.242000188779</v>
      </c>
      <c r="N118" s="18" t="s">
        <v>250</v>
      </c>
      <c r="O118" s="73">
        <f>_xlfn.IFNA(MATCH(N118,'Trans Factors'!$B$13:$B$450,0),0)</f>
        <v>11</v>
      </c>
      <c r="P118" s="20">
        <f ca="1">OFFSET('Trans Factors'!$B$13,$O118-1,P$14)*$L118+OFFSET('Trans Factors'!$B$13,$K118-1,P$14)*$H118</f>
        <v>0</v>
      </c>
      <c r="R118" s="20">
        <f ca="1">OFFSET('Trans Factors'!$B$13,$O118-1,R$14)*$L118+OFFSET('Trans Factors'!$B$13,$K118-1,R$14)*$H118</f>
        <v>0</v>
      </c>
      <c r="S118" s="20"/>
      <c r="T118" s="20">
        <f ca="1">OFFSET('Trans Factors'!$B$13,$O118-1,T$14)*$L118+OFFSET('Trans Factors'!$B$13,$K118-1,T$14)*$H118</f>
        <v>0</v>
      </c>
      <c r="U118" s="20"/>
      <c r="V118" s="20">
        <f ca="1">OFFSET('Trans Factors'!$B$13,$O118-1,V$14)*$L118+OFFSET('Trans Factors'!$B$13,$K118-1,V$14)*$H118</f>
        <v>0</v>
      </c>
      <c r="X118" s="20">
        <f ca="1">OFFSET('Trans Factors'!$B$13,$O118-1,X$14)*$L118+OFFSET('Trans Factors'!$B$13,$K118-1,X$14)*$H118</f>
        <v>0</v>
      </c>
      <c r="Y118" s="9"/>
      <c r="Z118" s="20">
        <f ca="1">OFFSET('Trans Factors'!$B$13,$O118-1,Z$14)*$L118+OFFSET('Trans Factors'!$B$13,$K118-1,Z$14)*$H118</f>
        <v>0</v>
      </c>
      <c r="AA118" s="20"/>
      <c r="AB118" s="20">
        <f ca="1">OFFSET('Trans Factors'!$B$13,$O118-1,AB$14)*$L118+OFFSET('Trans Factors'!$B$13,$K118-1,AB$14)*$H118</f>
        <v>10628.242000188779</v>
      </c>
      <c r="AD118" s="20">
        <f t="shared" ca="1" si="100"/>
        <v>10628.242000188779</v>
      </c>
      <c r="AF118" s="25" t="str">
        <f t="shared" ca="1" si="15"/>
        <v/>
      </c>
      <c r="AI118" s="101">
        <f ca="1">Function!AJ118</f>
        <v>0</v>
      </c>
      <c r="AJ118" s="100">
        <f t="shared" ca="1" si="103"/>
        <v>0</v>
      </c>
      <c r="AL118" s="50">
        <f t="shared" ca="1" si="104"/>
        <v>0</v>
      </c>
      <c r="AM118" s="50"/>
      <c r="AN118" s="50">
        <f t="shared" ca="1" si="105"/>
        <v>0</v>
      </c>
      <c r="AO118" s="50"/>
      <c r="AP118" s="50">
        <f t="shared" ca="1" si="106"/>
        <v>0</v>
      </c>
      <c r="AQ118" s="50"/>
      <c r="AR118" s="50">
        <f t="shared" ca="1" si="107"/>
        <v>0</v>
      </c>
      <c r="AS118" s="50"/>
      <c r="AT118" s="50">
        <f t="shared" ca="1" si="108"/>
        <v>0</v>
      </c>
      <c r="AU118" s="50"/>
      <c r="AV118" s="50">
        <f t="shared" ca="1" si="109"/>
        <v>0</v>
      </c>
      <c r="AW118" s="50"/>
      <c r="AX118" s="50">
        <f t="shared" ca="1" si="110"/>
        <v>0</v>
      </c>
      <c r="AZ118" s="50">
        <f t="shared" ca="1" si="111"/>
        <v>0</v>
      </c>
    </row>
    <row r="119" spans="2:52" x14ac:dyDescent="0.2">
      <c r="B119" s="18">
        <f t="shared" si="102"/>
        <v>67</v>
      </c>
      <c r="D119" s="36" t="s">
        <v>224</v>
      </c>
      <c r="F119" s="50">
        <f ca="1">Function!T119</f>
        <v>751.50387464030882</v>
      </c>
      <c r="H119" s="79"/>
      <c r="K119" s="73">
        <f>_xlfn.IFNA(MATCH(J119,'Trans Factors'!$B$13:$B$450,0),0)</f>
        <v>0</v>
      </c>
      <c r="L119" s="50">
        <f t="shared" ca="1" si="99"/>
        <v>751.50387464030882</v>
      </c>
      <c r="N119" s="18" t="s">
        <v>250</v>
      </c>
      <c r="O119" s="73">
        <f>_xlfn.IFNA(MATCH(N119,'Trans Factors'!$B$13:$B$450,0),0)</f>
        <v>11</v>
      </c>
      <c r="P119" s="20">
        <f ca="1">OFFSET('Trans Factors'!$B$13,$O119-1,P$14)*$L119+OFFSET('Trans Factors'!$B$13,$K119-1,P$14)*$H119</f>
        <v>0</v>
      </c>
      <c r="R119" s="20">
        <f ca="1">OFFSET('Trans Factors'!$B$13,$O119-1,R$14)*$L119+OFFSET('Trans Factors'!$B$13,$K119-1,R$14)*$H119</f>
        <v>0</v>
      </c>
      <c r="S119" s="20"/>
      <c r="T119" s="20">
        <f ca="1">OFFSET('Trans Factors'!$B$13,$O119-1,T$14)*$L119+OFFSET('Trans Factors'!$B$13,$K119-1,T$14)*$H119</f>
        <v>0</v>
      </c>
      <c r="U119" s="20"/>
      <c r="V119" s="20">
        <f ca="1">OFFSET('Trans Factors'!$B$13,$O119-1,V$14)*$L119+OFFSET('Trans Factors'!$B$13,$K119-1,V$14)*$H119</f>
        <v>0</v>
      </c>
      <c r="X119" s="20">
        <f ca="1">OFFSET('Trans Factors'!$B$13,$O119-1,X$14)*$L119+OFFSET('Trans Factors'!$B$13,$K119-1,X$14)*$H119</f>
        <v>0</v>
      </c>
      <c r="Y119" s="9"/>
      <c r="Z119" s="20">
        <f ca="1">OFFSET('Trans Factors'!$B$13,$O119-1,Z$14)*$L119+OFFSET('Trans Factors'!$B$13,$K119-1,Z$14)*$H119</f>
        <v>0</v>
      </c>
      <c r="AA119" s="20"/>
      <c r="AB119" s="20">
        <f ca="1">OFFSET('Trans Factors'!$B$13,$O119-1,AB$14)*$L119+OFFSET('Trans Factors'!$B$13,$K119-1,AB$14)*$H119</f>
        <v>751.50387464030882</v>
      </c>
      <c r="AD119" s="20">
        <f t="shared" ca="1" si="100"/>
        <v>751.50387464030882</v>
      </c>
      <c r="AF119" s="25"/>
      <c r="AI119" s="101">
        <f ca="1">Function!AJ119</f>
        <v>0</v>
      </c>
      <c r="AJ119" s="100">
        <f t="shared" ca="1" si="103"/>
        <v>0</v>
      </c>
      <c r="AL119" s="50">
        <f t="shared" ca="1" si="104"/>
        <v>0</v>
      </c>
      <c r="AM119" s="50"/>
      <c r="AN119" s="50">
        <f t="shared" ca="1" si="105"/>
        <v>0</v>
      </c>
      <c r="AO119" s="50"/>
      <c r="AP119" s="50">
        <f t="shared" ca="1" si="106"/>
        <v>0</v>
      </c>
      <c r="AQ119" s="50"/>
      <c r="AR119" s="50">
        <f t="shared" ca="1" si="107"/>
        <v>0</v>
      </c>
      <c r="AS119" s="50"/>
      <c r="AT119" s="50">
        <f t="shared" ca="1" si="108"/>
        <v>0</v>
      </c>
      <c r="AU119" s="50"/>
      <c r="AV119" s="50">
        <f t="shared" ca="1" si="109"/>
        <v>0</v>
      </c>
      <c r="AW119" s="50"/>
      <c r="AX119" s="50">
        <f t="shared" ca="1" si="110"/>
        <v>0</v>
      </c>
      <c r="AZ119" s="50">
        <f t="shared" ca="1" si="111"/>
        <v>0</v>
      </c>
    </row>
    <row r="120" spans="2:52" x14ac:dyDescent="0.2">
      <c r="B120" s="18">
        <f t="shared" si="102"/>
        <v>68</v>
      </c>
      <c r="D120" s="36" t="s">
        <v>337</v>
      </c>
      <c r="F120" s="50">
        <f ca="1">Function!T120</f>
        <v>0</v>
      </c>
      <c r="H120" s="79"/>
      <c r="K120" s="73">
        <f>_xlfn.IFNA(MATCH(J120,'Trans Factors'!$B$13:$B$450,0),0)</f>
        <v>0</v>
      </c>
      <c r="L120" s="50">
        <f t="shared" ca="1" si="99"/>
        <v>0</v>
      </c>
      <c r="O120" s="73">
        <f>_xlfn.IFNA(MATCH(N120,'Trans Factors'!$B$13:$B$450,0),0)</f>
        <v>0</v>
      </c>
      <c r="P120" s="20">
        <f ca="1">OFFSET('Trans Factors'!$B$13,$O120-1,P$14)*$L120+OFFSET('Trans Factors'!$B$13,$K120-1,P$14)*$H120</f>
        <v>0</v>
      </c>
      <c r="R120" s="20">
        <f ca="1">OFFSET('Trans Factors'!$B$13,$O120-1,R$14)*$L120+OFFSET('Trans Factors'!$B$13,$K120-1,R$14)*$H120</f>
        <v>0</v>
      </c>
      <c r="S120" s="20"/>
      <c r="T120" s="20">
        <f ca="1">OFFSET('Trans Factors'!$B$13,$O120-1,T$14)*$L120+OFFSET('Trans Factors'!$B$13,$K120-1,T$14)*$H120</f>
        <v>0</v>
      </c>
      <c r="U120" s="20"/>
      <c r="V120" s="20">
        <f ca="1">OFFSET('Trans Factors'!$B$13,$O120-1,V$14)*$L120+OFFSET('Trans Factors'!$B$13,$K120-1,V$14)*$H120</f>
        <v>0</v>
      </c>
      <c r="X120" s="20">
        <f ca="1">OFFSET('Trans Factors'!$B$13,$O120-1,X$14)*$L120+OFFSET('Trans Factors'!$B$13,$K120-1,X$14)*$H120</f>
        <v>0</v>
      </c>
      <c r="Y120" s="9"/>
      <c r="Z120" s="20">
        <f ca="1">OFFSET('Trans Factors'!$B$13,$O120-1,Z$14)*$L120+OFFSET('Trans Factors'!$B$13,$K120-1,Z$14)*$H120</f>
        <v>0</v>
      </c>
      <c r="AA120" s="20"/>
      <c r="AB120" s="20">
        <f ca="1">OFFSET('Trans Factors'!$B$13,$O120-1,AB$14)*$L120+OFFSET('Trans Factors'!$B$13,$K120-1,AB$14)*$H120</f>
        <v>0</v>
      </c>
      <c r="AD120" s="20">
        <f t="shared" ca="1" si="100"/>
        <v>0</v>
      </c>
      <c r="AF120" s="25" t="str">
        <f t="shared" ref="AF120:AF180" ca="1" si="112">IF(ROUND(F120,4)=ROUND(AD120,4), "", "check")</f>
        <v/>
      </c>
      <c r="AI120" s="101">
        <f ca="1">Function!AJ120</f>
        <v>0</v>
      </c>
      <c r="AJ120" s="100">
        <f t="shared" ca="1" si="103"/>
        <v>0</v>
      </c>
      <c r="AL120" s="50">
        <f t="shared" ca="1" si="104"/>
        <v>0</v>
      </c>
      <c r="AM120" s="50"/>
      <c r="AN120" s="50">
        <f t="shared" ca="1" si="105"/>
        <v>0</v>
      </c>
      <c r="AO120" s="50"/>
      <c r="AP120" s="50">
        <f t="shared" ca="1" si="106"/>
        <v>0</v>
      </c>
      <c r="AQ120" s="50"/>
      <c r="AR120" s="50">
        <f t="shared" ca="1" si="107"/>
        <v>0</v>
      </c>
      <c r="AS120" s="50"/>
      <c r="AT120" s="50">
        <f t="shared" ca="1" si="108"/>
        <v>0</v>
      </c>
      <c r="AU120" s="50"/>
      <c r="AV120" s="50">
        <f t="shared" ca="1" si="109"/>
        <v>0</v>
      </c>
      <c r="AW120" s="50"/>
      <c r="AX120" s="50">
        <f t="shared" ca="1" si="110"/>
        <v>0</v>
      </c>
      <c r="AZ120" s="50">
        <f t="shared" ca="1" si="111"/>
        <v>0</v>
      </c>
    </row>
    <row r="121" spans="2:52" x14ac:dyDescent="0.2">
      <c r="B121" s="18">
        <f t="shared" si="102"/>
        <v>69</v>
      </c>
      <c r="D121" s="36" t="s">
        <v>203</v>
      </c>
      <c r="F121" s="50">
        <f ca="1">Function!T121</f>
        <v>15221.404780000001</v>
      </c>
      <c r="H121" s="79"/>
      <c r="K121" s="73">
        <f>_xlfn.IFNA(MATCH(J121,'Trans Factors'!$B$13:$B$450,0),0)</f>
        <v>0</v>
      </c>
      <c r="L121" s="50">
        <f t="shared" ref="L121" ca="1" si="113">F121-H121</f>
        <v>15221.404780000001</v>
      </c>
      <c r="N121" s="18" t="s">
        <v>342</v>
      </c>
      <c r="O121" s="73">
        <f>_xlfn.IFNA(MATCH(N121,'Trans Factors'!$B$13:$B$450,0),0)</f>
        <v>5</v>
      </c>
      <c r="P121" s="20">
        <f ca="1">OFFSET('Trans Factors'!$B$13,$O121-1,P$14)*$L121+OFFSET('Trans Factors'!$B$13,$K121-1,P$14)*$H121</f>
        <v>0</v>
      </c>
      <c r="R121" s="20">
        <f ca="1">OFFSET('Trans Factors'!$B$13,$O121-1,R$14)*$L121+OFFSET('Trans Factors'!$B$13,$K121-1,R$14)*$H121</f>
        <v>0</v>
      </c>
      <c r="S121" s="20"/>
      <c r="T121" s="20">
        <f ca="1">OFFSET('Trans Factors'!$B$13,$O121-1,T$14)*$L121+OFFSET('Trans Factors'!$B$13,$K121-1,T$14)*$H121</f>
        <v>0</v>
      </c>
      <c r="U121" s="20"/>
      <c r="V121" s="20">
        <f ca="1">OFFSET('Trans Factors'!$B$13,$O121-1,V$14)*$L121+OFFSET('Trans Factors'!$B$13,$K121-1,V$14)*$H121</f>
        <v>15221.404780000001</v>
      </c>
      <c r="X121" s="20">
        <f ca="1">OFFSET('Trans Factors'!$B$13,$O121-1,X$14)*$L121+OFFSET('Trans Factors'!$B$13,$K121-1,X$14)*$H121</f>
        <v>0</v>
      </c>
      <c r="Y121" s="9"/>
      <c r="Z121" s="20">
        <f ca="1">OFFSET('Trans Factors'!$B$13,$O121-1,Z$14)*$L121+OFFSET('Trans Factors'!$B$13,$K121-1,Z$14)*$H121</f>
        <v>0</v>
      </c>
      <c r="AA121" s="20"/>
      <c r="AB121" s="20">
        <f ca="1">OFFSET('Trans Factors'!$B$13,$O121-1,AB$14)*$L121+OFFSET('Trans Factors'!$B$13,$K121-1,AB$14)*$H121</f>
        <v>0</v>
      </c>
      <c r="AD121" s="20">
        <f t="shared" ref="AD121" ca="1" si="114">P121+R121+T121+V121+X121+Z121+AB121</f>
        <v>15221.404780000001</v>
      </c>
      <c r="AF121" s="25"/>
      <c r="AI121" s="101">
        <f ca="1">Function!AJ121</f>
        <v>0</v>
      </c>
      <c r="AJ121" s="100">
        <f t="shared" ca="1" si="103"/>
        <v>0</v>
      </c>
      <c r="AL121" s="50">
        <f t="shared" ca="1" si="104"/>
        <v>0</v>
      </c>
      <c r="AM121" s="50"/>
      <c r="AN121" s="50">
        <f t="shared" ca="1" si="105"/>
        <v>0</v>
      </c>
      <c r="AO121" s="50"/>
      <c r="AP121" s="50">
        <f t="shared" ca="1" si="106"/>
        <v>0</v>
      </c>
      <c r="AQ121" s="50"/>
      <c r="AR121" s="50">
        <f t="shared" ca="1" si="107"/>
        <v>0</v>
      </c>
      <c r="AS121" s="50"/>
      <c r="AT121" s="50">
        <f t="shared" ca="1" si="108"/>
        <v>0</v>
      </c>
      <c r="AU121" s="50"/>
      <c r="AV121" s="50">
        <f t="shared" ca="1" si="109"/>
        <v>0</v>
      </c>
      <c r="AW121" s="50"/>
      <c r="AX121" s="50">
        <f t="shared" ca="1" si="110"/>
        <v>0</v>
      </c>
      <c r="AZ121" s="50">
        <f t="shared" ca="1" si="111"/>
        <v>0</v>
      </c>
    </row>
    <row r="122" spans="2:52" x14ac:dyDescent="0.2">
      <c r="B122" s="18">
        <f t="shared" si="102"/>
        <v>70</v>
      </c>
      <c r="D122" s="36" t="s">
        <v>117</v>
      </c>
      <c r="F122" s="50">
        <f ca="1">Function!T122</f>
        <v>1294.5219427863499</v>
      </c>
      <c r="H122" s="79"/>
      <c r="K122" s="73">
        <f>_xlfn.IFNA(MATCH(J122,'Trans Factors'!$B$13:$B$450,0),0)</f>
        <v>0</v>
      </c>
      <c r="L122" s="50">
        <f t="shared" ca="1" si="99"/>
        <v>1294.5219427863499</v>
      </c>
      <c r="N122" s="18" t="s">
        <v>229</v>
      </c>
      <c r="O122" s="73">
        <f>_xlfn.IFNA(MATCH(N122,'Trans Factors'!$B$13:$B$450,0),0)</f>
        <v>8</v>
      </c>
      <c r="P122" s="20">
        <f ca="1">OFFSET('Trans Factors'!$B$13,$O122-1,P$14)*$L122+OFFSET('Trans Factors'!$B$13,$K122-1,P$14)*$H122</f>
        <v>0</v>
      </c>
      <c r="R122" s="20">
        <f ca="1">OFFSET('Trans Factors'!$B$13,$O122-1,R$14)*$L122+OFFSET('Trans Factors'!$B$13,$K122-1,R$14)*$H122</f>
        <v>0</v>
      </c>
      <c r="S122" s="20"/>
      <c r="T122" s="20">
        <f ca="1">OFFSET('Trans Factors'!$B$13,$O122-1,T$14)*$L122+OFFSET('Trans Factors'!$B$13,$K122-1,T$14)*$H122</f>
        <v>0</v>
      </c>
      <c r="U122" s="20"/>
      <c r="V122" s="20">
        <f ca="1">OFFSET('Trans Factors'!$B$13,$O122-1,V$14)*$L122+OFFSET('Trans Factors'!$B$13,$K122-1,V$14)*$H122</f>
        <v>0</v>
      </c>
      <c r="X122" s="20">
        <f ca="1">OFFSET('Trans Factors'!$B$13,$O122-1,X$14)*$L122+OFFSET('Trans Factors'!$B$13,$K122-1,X$14)*$H122</f>
        <v>0</v>
      </c>
      <c r="Y122" s="9"/>
      <c r="Z122" s="20">
        <f ca="1">OFFSET('Trans Factors'!$B$13,$O122-1,Z$14)*$L122+OFFSET('Trans Factors'!$B$13,$K122-1,Z$14)*$H122</f>
        <v>1294.5219427863499</v>
      </c>
      <c r="AA122" s="20"/>
      <c r="AB122" s="20">
        <f ca="1">OFFSET('Trans Factors'!$B$13,$O122-1,AB$14)*$L122+OFFSET('Trans Factors'!$B$13,$K122-1,AB$14)*$H122</f>
        <v>0</v>
      </c>
      <c r="AD122" s="20">
        <f t="shared" ca="1" si="100"/>
        <v>1294.5219427863499</v>
      </c>
      <c r="AF122" s="25" t="str">
        <f t="shared" ca="1" si="112"/>
        <v/>
      </c>
      <c r="AI122" s="101">
        <f ca="1">Function!AJ122</f>
        <v>0</v>
      </c>
      <c r="AJ122" s="100">
        <f t="shared" ca="1" si="103"/>
        <v>0</v>
      </c>
      <c r="AL122" s="50">
        <f t="shared" ca="1" si="104"/>
        <v>0</v>
      </c>
      <c r="AM122" s="50"/>
      <c r="AN122" s="50">
        <f t="shared" ca="1" si="105"/>
        <v>0</v>
      </c>
      <c r="AO122" s="50"/>
      <c r="AP122" s="50">
        <f t="shared" ca="1" si="106"/>
        <v>0</v>
      </c>
      <c r="AQ122" s="50"/>
      <c r="AR122" s="50">
        <f t="shared" ca="1" si="107"/>
        <v>0</v>
      </c>
      <c r="AS122" s="50"/>
      <c r="AT122" s="50">
        <f t="shared" ca="1" si="108"/>
        <v>0</v>
      </c>
      <c r="AU122" s="50"/>
      <c r="AV122" s="50">
        <f t="shared" ca="1" si="109"/>
        <v>0</v>
      </c>
      <c r="AW122" s="50"/>
      <c r="AX122" s="50">
        <f t="shared" ca="1" si="110"/>
        <v>0</v>
      </c>
      <c r="AZ122" s="50">
        <f t="shared" ca="1" si="111"/>
        <v>0</v>
      </c>
    </row>
    <row r="123" spans="2:52" x14ac:dyDescent="0.2">
      <c r="D123" s="1" t="s">
        <v>8</v>
      </c>
      <c r="K123" s="73"/>
      <c r="O123" s="73"/>
      <c r="AD123" s="20"/>
      <c r="AF123" s="25" t="str">
        <f t="shared" si="112"/>
        <v/>
      </c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Z123" s="50"/>
    </row>
    <row r="124" spans="2:52" x14ac:dyDescent="0.2">
      <c r="B124" s="18">
        <f>B122+1</f>
        <v>71</v>
      </c>
      <c r="D124" s="36" t="s">
        <v>71</v>
      </c>
      <c r="F124" s="50">
        <f ca="1">Function!T124</f>
        <v>0</v>
      </c>
      <c r="H124" s="79"/>
      <c r="K124" s="73">
        <f>_xlfn.IFNA(MATCH(J124,'Trans Factors'!$B$13:$B$450,0),0)</f>
        <v>0</v>
      </c>
      <c r="L124" s="50">
        <f t="shared" ca="1" si="99"/>
        <v>0</v>
      </c>
      <c r="O124" s="73">
        <f>_xlfn.IFNA(MATCH(N124,'Trans Factors'!$B$13:$B$450,0),0)</f>
        <v>0</v>
      </c>
      <c r="P124" s="20">
        <f ca="1">OFFSET('Trans Factors'!$B$13,$O124-1,P$14)*$L124+OFFSET('Trans Factors'!$B$13,$K124-1,P$14)*$H124</f>
        <v>0</v>
      </c>
      <c r="R124" s="20">
        <f ca="1">OFFSET('Trans Factors'!$B$13,$O124-1,R$14)*$L124+OFFSET('Trans Factors'!$B$13,$K124-1,R$14)*$H124</f>
        <v>0</v>
      </c>
      <c r="S124" s="20"/>
      <c r="T124" s="20">
        <f ca="1">OFFSET('Trans Factors'!$B$13,$O124-1,T$14)*$L124+OFFSET('Trans Factors'!$B$13,$K124-1,T$14)*$H124</f>
        <v>0</v>
      </c>
      <c r="U124" s="20"/>
      <c r="V124" s="20">
        <f ca="1">OFFSET('Trans Factors'!$B$13,$O124-1,V$14)*$L124+OFFSET('Trans Factors'!$B$13,$K124-1,V$14)*$H124</f>
        <v>0</v>
      </c>
      <c r="X124" s="20">
        <f ca="1">OFFSET('Trans Factors'!$B$13,$O124-1,X$14)*$L124+OFFSET('Trans Factors'!$B$13,$K124-1,X$14)*$H124</f>
        <v>0</v>
      </c>
      <c r="Y124" s="9"/>
      <c r="Z124" s="20">
        <f ca="1">OFFSET('Trans Factors'!$B$13,$O124-1,Z$14)*$L124+OFFSET('Trans Factors'!$B$13,$K124-1,Z$14)*$H124</f>
        <v>0</v>
      </c>
      <c r="AA124" s="20"/>
      <c r="AB124" s="20">
        <f ca="1">OFFSET('Trans Factors'!$B$13,$O124-1,AB$14)*$L124+OFFSET('Trans Factors'!$B$13,$K124-1,AB$14)*$H124</f>
        <v>0</v>
      </c>
      <c r="AD124" s="20">
        <f t="shared" ca="1" si="100"/>
        <v>0</v>
      </c>
      <c r="AF124" s="25" t="str">
        <f t="shared" ca="1" si="112"/>
        <v/>
      </c>
      <c r="AI124" s="101">
        <f ca="1">Function!AJ124</f>
        <v>0</v>
      </c>
      <c r="AJ124" s="100">
        <f t="shared" ca="1" si="103"/>
        <v>0</v>
      </c>
      <c r="AL124" s="50">
        <f t="shared" ca="1" si="104"/>
        <v>0</v>
      </c>
      <c r="AM124" s="50"/>
      <c r="AN124" s="50">
        <f t="shared" ca="1" si="105"/>
        <v>0</v>
      </c>
      <c r="AO124" s="50"/>
      <c r="AP124" s="50">
        <f t="shared" ca="1" si="106"/>
        <v>0</v>
      </c>
      <c r="AQ124" s="50"/>
      <c r="AR124" s="50">
        <f t="shared" ca="1" si="107"/>
        <v>0</v>
      </c>
      <c r="AS124" s="50"/>
      <c r="AT124" s="50">
        <f t="shared" ca="1" si="108"/>
        <v>0</v>
      </c>
      <c r="AU124" s="50"/>
      <c r="AV124" s="50">
        <f t="shared" ca="1" si="109"/>
        <v>0</v>
      </c>
      <c r="AW124" s="50"/>
      <c r="AX124" s="50">
        <f t="shared" ca="1" si="110"/>
        <v>0</v>
      </c>
      <c r="AZ124" s="50">
        <f t="shared" ca="1" si="111"/>
        <v>0</v>
      </c>
    </row>
    <row r="125" spans="2:52" x14ac:dyDescent="0.2">
      <c r="B125" s="18">
        <f t="shared" ref="B125:B131" si="115">B124+1</f>
        <v>72</v>
      </c>
      <c r="D125" s="36" t="s">
        <v>171</v>
      </c>
      <c r="F125" s="50">
        <f ca="1">Function!T125</f>
        <v>2979.4091778992783</v>
      </c>
      <c r="H125" s="79"/>
      <c r="K125" s="73">
        <f>_xlfn.IFNA(MATCH(J125,'Trans Factors'!$B$13:$B$450,0),0)</f>
        <v>0</v>
      </c>
      <c r="L125" s="50">
        <f t="shared" ca="1" si="99"/>
        <v>2979.4091778992783</v>
      </c>
      <c r="N125" s="18" t="s">
        <v>362</v>
      </c>
      <c r="O125" s="73">
        <f>_xlfn.IFNA(MATCH(N125,'Trans Factors'!$B$13:$B$450,0),0)</f>
        <v>2</v>
      </c>
      <c r="P125" s="20">
        <f ca="1">OFFSET('Trans Factors'!$B$13,$O125-1,P$14)*$L125+OFFSET('Trans Factors'!$B$13,$K125-1,P$14)*$H125</f>
        <v>0</v>
      </c>
      <c r="R125" s="20">
        <f ca="1">OFFSET('Trans Factors'!$B$13,$O125-1,R$14)*$L125+OFFSET('Trans Factors'!$B$13,$K125-1,R$14)*$H125</f>
        <v>0</v>
      </c>
      <c r="S125" s="20"/>
      <c r="T125" s="20">
        <f ca="1">OFFSET('Trans Factors'!$B$13,$O125-1,T$14)*$L125+OFFSET('Trans Factors'!$B$13,$K125-1,T$14)*$H125</f>
        <v>0</v>
      </c>
      <c r="U125" s="20"/>
      <c r="V125" s="20">
        <f ca="1">OFFSET('Trans Factors'!$B$13,$O125-1,V$14)*$L125+OFFSET('Trans Factors'!$B$13,$K125-1,V$14)*$H125</f>
        <v>2511.6370198426134</v>
      </c>
      <c r="X125" s="20">
        <f ca="1">OFFSET('Trans Factors'!$B$13,$O125-1,X$14)*$L125+OFFSET('Trans Factors'!$B$13,$K125-1,X$14)*$H125</f>
        <v>0</v>
      </c>
      <c r="Y125" s="9"/>
      <c r="Z125" s="20">
        <f ca="1">OFFSET('Trans Factors'!$B$13,$O125-1,Z$14)*$L125+OFFSET('Trans Factors'!$B$13,$K125-1,Z$14)*$H125</f>
        <v>467.77215805666492</v>
      </c>
      <c r="AA125" s="20"/>
      <c r="AB125" s="20">
        <f ca="1">OFFSET('Trans Factors'!$B$13,$O125-1,AB$14)*$L125+OFFSET('Trans Factors'!$B$13,$K125-1,AB$14)*$H125</f>
        <v>0</v>
      </c>
      <c r="AD125" s="20">
        <f t="shared" ca="1" si="100"/>
        <v>2979.4091778992783</v>
      </c>
      <c r="AF125" s="25" t="str">
        <f t="shared" ca="1" si="112"/>
        <v/>
      </c>
      <c r="AI125" s="101">
        <f ca="1">Function!AJ125</f>
        <v>1272.3132042898285</v>
      </c>
      <c r="AJ125" s="100">
        <f t="shared" ca="1" si="103"/>
        <v>0.42703540478012186</v>
      </c>
      <c r="AL125" s="50">
        <f t="shared" ca="1" si="104"/>
        <v>0</v>
      </c>
      <c r="AM125" s="50"/>
      <c r="AN125" s="50">
        <f t="shared" ca="1" si="105"/>
        <v>0</v>
      </c>
      <c r="AO125" s="50"/>
      <c r="AP125" s="50">
        <f t="shared" ca="1" si="106"/>
        <v>0</v>
      </c>
      <c r="AQ125" s="50"/>
      <c r="AR125" s="50">
        <f t="shared" ca="1" si="107"/>
        <v>1072.5579314292295</v>
      </c>
      <c r="AS125" s="50"/>
      <c r="AT125" s="50">
        <f t="shared" ca="1" si="108"/>
        <v>0</v>
      </c>
      <c r="AU125" s="50"/>
      <c r="AV125" s="50">
        <f t="shared" ca="1" si="109"/>
        <v>199.75527286059904</v>
      </c>
      <c r="AW125" s="50"/>
      <c r="AX125" s="50">
        <f t="shared" ca="1" si="110"/>
        <v>0</v>
      </c>
      <c r="AZ125" s="50">
        <f t="shared" ca="1" si="111"/>
        <v>1272.3132042898285</v>
      </c>
    </row>
    <row r="126" spans="2:52" x14ac:dyDescent="0.2">
      <c r="B126" s="18">
        <f t="shared" si="115"/>
        <v>73</v>
      </c>
      <c r="D126" s="36" t="s">
        <v>179</v>
      </c>
      <c r="F126" s="50">
        <f ca="1">Function!T126</f>
        <v>0</v>
      </c>
      <c r="H126" s="79"/>
      <c r="K126" s="73">
        <f>_xlfn.IFNA(MATCH(J126,'Trans Factors'!$B$13:$B$450,0),0)</f>
        <v>0</v>
      </c>
      <c r="L126" s="50">
        <f t="shared" ca="1" si="99"/>
        <v>0</v>
      </c>
      <c r="O126" s="73">
        <f>_xlfn.IFNA(MATCH(N126,'Trans Factors'!$B$13:$B$450,0),0)</f>
        <v>0</v>
      </c>
      <c r="P126" s="20">
        <f ca="1">OFFSET('Trans Factors'!$B$13,$O126-1,P$14)*$L126+OFFSET('Trans Factors'!$B$13,$K126-1,P$14)*$H126</f>
        <v>0</v>
      </c>
      <c r="R126" s="20">
        <f ca="1">OFFSET('Trans Factors'!$B$13,$O126-1,R$14)*$L126+OFFSET('Trans Factors'!$B$13,$K126-1,R$14)*$H126</f>
        <v>0</v>
      </c>
      <c r="S126" s="20"/>
      <c r="T126" s="20">
        <f ca="1">OFFSET('Trans Factors'!$B$13,$O126-1,T$14)*$L126+OFFSET('Trans Factors'!$B$13,$K126-1,T$14)*$H126</f>
        <v>0</v>
      </c>
      <c r="U126" s="20"/>
      <c r="V126" s="20">
        <f ca="1">OFFSET('Trans Factors'!$B$13,$O126-1,V$14)*$L126+OFFSET('Trans Factors'!$B$13,$K126-1,V$14)*$H126</f>
        <v>0</v>
      </c>
      <c r="X126" s="20">
        <f ca="1">OFFSET('Trans Factors'!$B$13,$O126-1,X$14)*$L126+OFFSET('Trans Factors'!$B$13,$K126-1,X$14)*$H126</f>
        <v>0</v>
      </c>
      <c r="Y126" s="9"/>
      <c r="Z126" s="20">
        <f ca="1">OFFSET('Trans Factors'!$B$13,$O126-1,Z$14)*$L126+OFFSET('Trans Factors'!$B$13,$K126-1,Z$14)*$H126</f>
        <v>0</v>
      </c>
      <c r="AA126" s="20"/>
      <c r="AB126" s="20">
        <f ca="1">OFFSET('Trans Factors'!$B$13,$O126-1,AB$14)*$L126+OFFSET('Trans Factors'!$B$13,$K126-1,AB$14)*$H126</f>
        <v>0</v>
      </c>
      <c r="AD126" s="20">
        <f t="shared" ca="1" si="100"/>
        <v>0</v>
      </c>
      <c r="AF126" s="25" t="str">
        <f t="shared" ca="1" si="112"/>
        <v/>
      </c>
      <c r="AI126" s="101">
        <f ca="1">Function!AJ126</f>
        <v>0</v>
      </c>
      <c r="AJ126" s="100">
        <f t="shared" ca="1" si="103"/>
        <v>0</v>
      </c>
      <c r="AL126" s="50">
        <f t="shared" ca="1" si="104"/>
        <v>0</v>
      </c>
      <c r="AM126" s="50"/>
      <c r="AN126" s="50">
        <f t="shared" ca="1" si="105"/>
        <v>0</v>
      </c>
      <c r="AO126" s="50"/>
      <c r="AP126" s="50">
        <f t="shared" ca="1" si="106"/>
        <v>0</v>
      </c>
      <c r="AQ126" s="50"/>
      <c r="AR126" s="50">
        <f t="shared" ca="1" si="107"/>
        <v>0</v>
      </c>
      <c r="AS126" s="50"/>
      <c r="AT126" s="50">
        <f t="shared" ca="1" si="108"/>
        <v>0</v>
      </c>
      <c r="AU126" s="50"/>
      <c r="AV126" s="50">
        <f t="shared" ca="1" si="109"/>
        <v>0</v>
      </c>
      <c r="AW126" s="50"/>
      <c r="AX126" s="50">
        <f t="shared" ca="1" si="110"/>
        <v>0</v>
      </c>
      <c r="AZ126" s="50">
        <f t="shared" ca="1" si="111"/>
        <v>0</v>
      </c>
    </row>
    <row r="127" spans="2:52" x14ac:dyDescent="0.2">
      <c r="B127" s="18">
        <f t="shared" si="115"/>
        <v>74</v>
      </c>
      <c r="D127" s="36" t="s">
        <v>199</v>
      </c>
      <c r="F127" s="50">
        <f ca="1">Function!T127</f>
        <v>2298.0747132235433</v>
      </c>
      <c r="H127" s="79"/>
      <c r="K127" s="73">
        <f>_xlfn.IFNA(MATCH(J127,'Trans Factors'!$B$13:$B$450,0),0)</f>
        <v>0</v>
      </c>
      <c r="L127" s="50">
        <f t="shared" ca="1" si="99"/>
        <v>2298.0747132235433</v>
      </c>
      <c r="N127" s="18" t="s">
        <v>362</v>
      </c>
      <c r="O127" s="73">
        <f>_xlfn.IFNA(MATCH(N127,'Trans Factors'!$B$13:$B$450,0),0)</f>
        <v>2</v>
      </c>
      <c r="P127" s="20">
        <f ca="1">OFFSET('Trans Factors'!$B$13,$O127-1,P$14)*$L127+OFFSET('Trans Factors'!$B$13,$K127-1,P$14)*$H127</f>
        <v>0</v>
      </c>
      <c r="R127" s="20">
        <f ca="1">OFFSET('Trans Factors'!$B$13,$O127-1,R$14)*$L127+OFFSET('Trans Factors'!$B$13,$K127-1,R$14)*$H127</f>
        <v>0</v>
      </c>
      <c r="S127" s="20"/>
      <c r="T127" s="20">
        <f ca="1">OFFSET('Trans Factors'!$B$13,$O127-1,T$14)*$L127+OFFSET('Trans Factors'!$B$13,$K127-1,T$14)*$H127</f>
        <v>0</v>
      </c>
      <c r="U127" s="20"/>
      <c r="V127" s="20">
        <f ca="1">OFFSET('Trans Factors'!$B$13,$O127-1,V$14)*$L127+OFFSET('Trans Factors'!$B$13,$K127-1,V$14)*$H127</f>
        <v>1937.2731905746898</v>
      </c>
      <c r="X127" s="20">
        <f ca="1">OFFSET('Trans Factors'!$B$13,$O127-1,X$14)*$L127+OFFSET('Trans Factors'!$B$13,$K127-1,X$14)*$H127</f>
        <v>0</v>
      </c>
      <c r="Y127" s="9"/>
      <c r="Z127" s="20">
        <f ca="1">OFFSET('Trans Factors'!$B$13,$O127-1,Z$14)*$L127+OFFSET('Trans Factors'!$B$13,$K127-1,Z$14)*$H127</f>
        <v>360.80152264885345</v>
      </c>
      <c r="AA127" s="20"/>
      <c r="AB127" s="20">
        <f ca="1">OFFSET('Trans Factors'!$B$13,$O127-1,AB$14)*$L127+OFFSET('Trans Factors'!$B$13,$K127-1,AB$14)*$H127</f>
        <v>0</v>
      </c>
      <c r="AD127" s="20">
        <f t="shared" ca="1" si="100"/>
        <v>2298.0747132235433</v>
      </c>
      <c r="AF127" s="25" t="str">
        <f t="shared" ca="1" si="112"/>
        <v/>
      </c>
      <c r="AI127" s="101">
        <f ca="1">Function!AJ127</f>
        <v>341.78251220876245</v>
      </c>
      <c r="AJ127" s="100">
        <f t="shared" ca="1" si="103"/>
        <v>0.14872558765913188</v>
      </c>
      <c r="AL127" s="50">
        <f t="shared" ca="1" si="104"/>
        <v>0</v>
      </c>
      <c r="AM127" s="50"/>
      <c r="AN127" s="50">
        <f t="shared" ca="1" si="105"/>
        <v>0</v>
      </c>
      <c r="AO127" s="50"/>
      <c r="AP127" s="50">
        <f t="shared" ca="1" si="106"/>
        <v>0</v>
      </c>
      <c r="AQ127" s="50"/>
      <c r="AR127" s="50">
        <f t="shared" ca="1" si="107"/>
        <v>288.12209372450212</v>
      </c>
      <c r="AS127" s="50"/>
      <c r="AT127" s="50">
        <f t="shared" ca="1" si="108"/>
        <v>0</v>
      </c>
      <c r="AU127" s="50"/>
      <c r="AV127" s="50">
        <f t="shared" ca="1" si="109"/>
        <v>53.660418484260312</v>
      </c>
      <c r="AW127" s="50"/>
      <c r="AX127" s="50">
        <f t="shared" ca="1" si="110"/>
        <v>0</v>
      </c>
      <c r="AZ127" s="50">
        <f t="shared" ca="1" si="111"/>
        <v>341.78251220876245</v>
      </c>
    </row>
    <row r="128" spans="2:52" x14ac:dyDescent="0.2">
      <c r="B128" s="18">
        <f t="shared" si="115"/>
        <v>75</v>
      </c>
      <c r="D128" s="36" t="s">
        <v>21</v>
      </c>
      <c r="F128" s="50">
        <f ca="1">Function!T128</f>
        <v>0</v>
      </c>
      <c r="H128" s="79"/>
      <c r="K128" s="73">
        <f>_xlfn.IFNA(MATCH(J128,'Trans Factors'!$B$13:$B$450,0),0)</f>
        <v>0</v>
      </c>
      <c r="L128" s="50">
        <f t="shared" ca="1" si="99"/>
        <v>0</v>
      </c>
      <c r="O128" s="73">
        <f>_xlfn.IFNA(MATCH(N128,'Trans Factors'!$B$13:$B$450,0),0)</f>
        <v>0</v>
      </c>
      <c r="P128" s="20">
        <f ca="1">OFFSET('Trans Factors'!$B$13,$O128-1,P$14)*$L128+OFFSET('Trans Factors'!$B$13,$K128-1,P$14)*$H128</f>
        <v>0</v>
      </c>
      <c r="R128" s="20">
        <f ca="1">OFFSET('Trans Factors'!$B$13,$O128-1,R$14)*$L128+OFFSET('Trans Factors'!$B$13,$K128-1,R$14)*$H128</f>
        <v>0</v>
      </c>
      <c r="S128" s="20"/>
      <c r="T128" s="20">
        <f ca="1">OFFSET('Trans Factors'!$B$13,$O128-1,T$14)*$L128+OFFSET('Trans Factors'!$B$13,$K128-1,T$14)*$H128</f>
        <v>0</v>
      </c>
      <c r="U128" s="20"/>
      <c r="V128" s="20">
        <f ca="1">OFFSET('Trans Factors'!$B$13,$O128-1,V$14)*$L128+OFFSET('Trans Factors'!$B$13,$K128-1,V$14)*$H128</f>
        <v>0</v>
      </c>
      <c r="X128" s="20">
        <f ca="1">OFFSET('Trans Factors'!$B$13,$O128-1,X$14)*$L128+OFFSET('Trans Factors'!$B$13,$K128-1,X$14)*$H128</f>
        <v>0</v>
      </c>
      <c r="Y128" s="9"/>
      <c r="Z128" s="20">
        <f ca="1">OFFSET('Trans Factors'!$B$13,$O128-1,Z$14)*$L128+OFFSET('Trans Factors'!$B$13,$K128-1,Z$14)*$H128</f>
        <v>0</v>
      </c>
      <c r="AA128" s="20"/>
      <c r="AB128" s="20">
        <f ca="1">OFFSET('Trans Factors'!$B$13,$O128-1,AB$14)*$L128+OFFSET('Trans Factors'!$B$13,$K128-1,AB$14)*$H128</f>
        <v>0</v>
      </c>
      <c r="AD128" s="20">
        <f t="shared" ca="1" si="100"/>
        <v>0</v>
      </c>
      <c r="AF128" s="25" t="str">
        <f t="shared" ca="1" si="112"/>
        <v/>
      </c>
      <c r="AI128" s="101">
        <f ca="1">Function!AJ128</f>
        <v>0</v>
      </c>
      <c r="AJ128" s="100">
        <f t="shared" ca="1" si="103"/>
        <v>0</v>
      </c>
      <c r="AL128" s="50">
        <f t="shared" ca="1" si="104"/>
        <v>0</v>
      </c>
      <c r="AM128" s="50"/>
      <c r="AN128" s="50">
        <f t="shared" ca="1" si="105"/>
        <v>0</v>
      </c>
      <c r="AO128" s="50"/>
      <c r="AP128" s="50">
        <f t="shared" ca="1" si="106"/>
        <v>0</v>
      </c>
      <c r="AQ128" s="50"/>
      <c r="AR128" s="50">
        <f t="shared" ca="1" si="107"/>
        <v>0</v>
      </c>
      <c r="AS128" s="50"/>
      <c r="AT128" s="50">
        <f t="shared" ca="1" si="108"/>
        <v>0</v>
      </c>
      <c r="AU128" s="50"/>
      <c r="AV128" s="50">
        <f t="shared" ca="1" si="109"/>
        <v>0</v>
      </c>
      <c r="AW128" s="50"/>
      <c r="AX128" s="50">
        <f t="shared" ca="1" si="110"/>
        <v>0</v>
      </c>
      <c r="AZ128" s="50">
        <f t="shared" ca="1" si="111"/>
        <v>0</v>
      </c>
    </row>
    <row r="129" spans="2:52" x14ac:dyDescent="0.2">
      <c r="B129" s="18">
        <f t="shared" si="115"/>
        <v>76</v>
      </c>
      <c r="D129" s="36" t="s">
        <v>200</v>
      </c>
      <c r="F129" s="50">
        <f ca="1">Function!T129</f>
        <v>0</v>
      </c>
      <c r="H129" s="79"/>
      <c r="K129" s="73">
        <f>_xlfn.IFNA(MATCH(J129,'Trans Factors'!$B$13:$B$450,0),0)</f>
        <v>0</v>
      </c>
      <c r="L129" s="50">
        <f t="shared" ca="1" si="99"/>
        <v>0</v>
      </c>
      <c r="O129" s="73">
        <f>_xlfn.IFNA(MATCH(N129,'Trans Factors'!$B$13:$B$450,0),0)</f>
        <v>0</v>
      </c>
      <c r="P129" s="20">
        <f ca="1">OFFSET('Trans Factors'!$B$13,$O129-1,P$14)*$L129+OFFSET('Trans Factors'!$B$13,$K129-1,P$14)*$H129</f>
        <v>0</v>
      </c>
      <c r="R129" s="20">
        <f ca="1">OFFSET('Trans Factors'!$B$13,$O129-1,R$14)*$L129+OFFSET('Trans Factors'!$B$13,$K129-1,R$14)*$H129</f>
        <v>0</v>
      </c>
      <c r="S129" s="20"/>
      <c r="T129" s="20">
        <f ca="1">OFFSET('Trans Factors'!$B$13,$O129-1,T$14)*$L129+OFFSET('Trans Factors'!$B$13,$K129-1,T$14)*$H129</f>
        <v>0</v>
      </c>
      <c r="U129" s="20"/>
      <c r="V129" s="20">
        <f ca="1">OFFSET('Trans Factors'!$B$13,$O129-1,V$14)*$L129+OFFSET('Trans Factors'!$B$13,$K129-1,V$14)*$H129</f>
        <v>0</v>
      </c>
      <c r="X129" s="20">
        <f ca="1">OFFSET('Trans Factors'!$B$13,$O129-1,X$14)*$L129+OFFSET('Trans Factors'!$B$13,$K129-1,X$14)*$H129</f>
        <v>0</v>
      </c>
      <c r="Y129" s="9"/>
      <c r="Z129" s="20">
        <f ca="1">OFFSET('Trans Factors'!$B$13,$O129-1,Z$14)*$L129+OFFSET('Trans Factors'!$B$13,$K129-1,Z$14)*$H129</f>
        <v>0</v>
      </c>
      <c r="AA129" s="20"/>
      <c r="AB129" s="20">
        <f ca="1">OFFSET('Trans Factors'!$B$13,$O129-1,AB$14)*$L129+OFFSET('Trans Factors'!$B$13,$K129-1,AB$14)*$H129</f>
        <v>0</v>
      </c>
      <c r="AD129" s="20">
        <f t="shared" ca="1" si="100"/>
        <v>0</v>
      </c>
      <c r="AF129" s="25" t="str">
        <f t="shared" ca="1" si="112"/>
        <v/>
      </c>
      <c r="AI129" s="101">
        <f ca="1">Function!AJ129</f>
        <v>0</v>
      </c>
      <c r="AJ129" s="100">
        <f t="shared" ca="1" si="103"/>
        <v>0</v>
      </c>
      <c r="AL129" s="50">
        <f t="shared" ca="1" si="104"/>
        <v>0</v>
      </c>
      <c r="AM129" s="50"/>
      <c r="AN129" s="50">
        <f t="shared" ca="1" si="105"/>
        <v>0</v>
      </c>
      <c r="AO129" s="50"/>
      <c r="AP129" s="50">
        <f t="shared" ca="1" si="106"/>
        <v>0</v>
      </c>
      <c r="AQ129" s="50"/>
      <c r="AR129" s="50">
        <f t="shared" ca="1" si="107"/>
        <v>0</v>
      </c>
      <c r="AS129" s="50"/>
      <c r="AT129" s="50">
        <f t="shared" ca="1" si="108"/>
        <v>0</v>
      </c>
      <c r="AU129" s="50"/>
      <c r="AV129" s="50">
        <f t="shared" ca="1" si="109"/>
        <v>0</v>
      </c>
      <c r="AW129" s="50"/>
      <c r="AX129" s="50">
        <f t="shared" ca="1" si="110"/>
        <v>0</v>
      </c>
      <c r="AZ129" s="50">
        <f t="shared" ca="1" si="111"/>
        <v>0</v>
      </c>
    </row>
    <row r="130" spans="2:52" x14ac:dyDescent="0.2">
      <c r="B130" s="18">
        <f t="shared" si="115"/>
        <v>77</v>
      </c>
      <c r="D130" s="36" t="s">
        <v>180</v>
      </c>
      <c r="F130" s="50">
        <f ca="1">Function!T130</f>
        <v>0</v>
      </c>
      <c r="H130" s="79"/>
      <c r="K130" s="73">
        <f>_xlfn.IFNA(MATCH(J130,'Trans Factors'!$B$13:$B$450,0),0)</f>
        <v>0</v>
      </c>
      <c r="L130" s="50">
        <f t="shared" ca="1" si="99"/>
        <v>0</v>
      </c>
      <c r="O130" s="73">
        <f>_xlfn.IFNA(MATCH(N130,'Trans Factors'!$B$13:$B$450,0),0)</f>
        <v>0</v>
      </c>
      <c r="P130" s="20">
        <f ca="1">OFFSET('Trans Factors'!$B$13,$O130-1,P$14)*$L130+OFFSET('Trans Factors'!$B$13,$K130-1,P$14)*$H130</f>
        <v>0</v>
      </c>
      <c r="R130" s="20">
        <f ca="1">OFFSET('Trans Factors'!$B$13,$O130-1,R$14)*$L130+OFFSET('Trans Factors'!$B$13,$K130-1,R$14)*$H130</f>
        <v>0</v>
      </c>
      <c r="S130" s="20"/>
      <c r="T130" s="20">
        <f ca="1">OFFSET('Trans Factors'!$B$13,$O130-1,T$14)*$L130+OFFSET('Trans Factors'!$B$13,$K130-1,T$14)*$H130</f>
        <v>0</v>
      </c>
      <c r="U130" s="20"/>
      <c r="V130" s="20">
        <f ca="1">OFFSET('Trans Factors'!$B$13,$O130-1,V$14)*$L130+OFFSET('Trans Factors'!$B$13,$K130-1,V$14)*$H130</f>
        <v>0</v>
      </c>
      <c r="X130" s="20">
        <f ca="1">OFFSET('Trans Factors'!$B$13,$O130-1,X$14)*$L130+OFFSET('Trans Factors'!$B$13,$K130-1,X$14)*$H130</f>
        <v>0</v>
      </c>
      <c r="Y130" s="9"/>
      <c r="Z130" s="20">
        <f ca="1">OFFSET('Trans Factors'!$B$13,$O130-1,Z$14)*$L130+OFFSET('Trans Factors'!$B$13,$K130-1,Z$14)*$H130</f>
        <v>0</v>
      </c>
      <c r="AA130" s="20"/>
      <c r="AB130" s="20">
        <f ca="1">OFFSET('Trans Factors'!$B$13,$O130-1,AB$14)*$L130+OFFSET('Trans Factors'!$B$13,$K130-1,AB$14)*$H130</f>
        <v>0</v>
      </c>
      <c r="AD130" s="20">
        <f t="shared" ca="1" si="100"/>
        <v>0</v>
      </c>
      <c r="AF130" s="25" t="str">
        <f t="shared" ca="1" si="112"/>
        <v/>
      </c>
      <c r="AI130" s="101">
        <f ca="1">Function!AJ130</f>
        <v>0</v>
      </c>
      <c r="AJ130" s="100">
        <f t="shared" ca="1" si="103"/>
        <v>0</v>
      </c>
      <c r="AL130" s="50">
        <f t="shared" ca="1" si="104"/>
        <v>0</v>
      </c>
      <c r="AM130" s="50"/>
      <c r="AN130" s="50">
        <f t="shared" ca="1" si="105"/>
        <v>0</v>
      </c>
      <c r="AO130" s="50"/>
      <c r="AP130" s="50">
        <f t="shared" ca="1" si="106"/>
        <v>0</v>
      </c>
      <c r="AQ130" s="50"/>
      <c r="AR130" s="50">
        <f t="shared" ca="1" si="107"/>
        <v>0</v>
      </c>
      <c r="AS130" s="50"/>
      <c r="AT130" s="50">
        <f t="shared" ca="1" si="108"/>
        <v>0</v>
      </c>
      <c r="AU130" s="50"/>
      <c r="AV130" s="50">
        <f t="shared" ca="1" si="109"/>
        <v>0</v>
      </c>
      <c r="AW130" s="50"/>
      <c r="AX130" s="50">
        <f t="shared" ca="1" si="110"/>
        <v>0</v>
      </c>
      <c r="AZ130" s="50">
        <f t="shared" ca="1" si="111"/>
        <v>0</v>
      </c>
    </row>
    <row r="131" spans="2:52" x14ac:dyDescent="0.2">
      <c r="B131" s="18">
        <f t="shared" si="115"/>
        <v>78</v>
      </c>
      <c r="D131" s="36" t="s">
        <v>201</v>
      </c>
      <c r="F131" s="50">
        <f ca="1">Function!T131</f>
        <v>0</v>
      </c>
      <c r="H131" s="79"/>
      <c r="K131" s="73">
        <f>_xlfn.IFNA(MATCH(J131,'Trans Factors'!$B$13:$B$450,0),0)</f>
        <v>0</v>
      </c>
      <c r="L131" s="50">
        <f t="shared" ca="1" si="99"/>
        <v>0</v>
      </c>
      <c r="O131" s="73">
        <f>_xlfn.IFNA(MATCH(N131,'Trans Factors'!$B$13:$B$450,0),0)</f>
        <v>0</v>
      </c>
      <c r="P131" s="20">
        <f ca="1">OFFSET('Trans Factors'!$B$13,$O131-1,P$14)*$L131+OFFSET('Trans Factors'!$B$13,$K131-1,P$14)*$H131</f>
        <v>0</v>
      </c>
      <c r="R131" s="20">
        <f ca="1">OFFSET('Trans Factors'!$B$13,$O131-1,R$14)*$L131+OFFSET('Trans Factors'!$B$13,$K131-1,R$14)*$H131</f>
        <v>0</v>
      </c>
      <c r="S131" s="20"/>
      <c r="T131" s="20">
        <f ca="1">OFFSET('Trans Factors'!$B$13,$O131-1,T$14)*$L131+OFFSET('Trans Factors'!$B$13,$K131-1,T$14)*$H131</f>
        <v>0</v>
      </c>
      <c r="U131" s="20"/>
      <c r="V131" s="20">
        <f ca="1">OFFSET('Trans Factors'!$B$13,$O131-1,V$14)*$L131+OFFSET('Trans Factors'!$B$13,$K131-1,V$14)*$H131</f>
        <v>0</v>
      </c>
      <c r="X131" s="20">
        <f ca="1">OFFSET('Trans Factors'!$B$13,$O131-1,X$14)*$L131+OFFSET('Trans Factors'!$B$13,$K131-1,X$14)*$H131</f>
        <v>0</v>
      </c>
      <c r="Y131" s="9"/>
      <c r="Z131" s="20">
        <f ca="1">OFFSET('Trans Factors'!$B$13,$O131-1,Z$14)*$L131+OFFSET('Trans Factors'!$B$13,$K131-1,Z$14)*$H131</f>
        <v>0</v>
      </c>
      <c r="AA131" s="20"/>
      <c r="AB131" s="20">
        <f ca="1">OFFSET('Trans Factors'!$B$13,$O131-1,AB$14)*$L131+OFFSET('Trans Factors'!$B$13,$K131-1,AB$14)*$H131</f>
        <v>0</v>
      </c>
      <c r="AD131" s="20">
        <f t="shared" ca="1" si="100"/>
        <v>0</v>
      </c>
      <c r="AF131" s="25" t="str">
        <f t="shared" ca="1" si="112"/>
        <v/>
      </c>
      <c r="AI131" s="101">
        <f ca="1">Function!AJ131</f>
        <v>0</v>
      </c>
      <c r="AJ131" s="100">
        <f t="shared" ca="1" si="103"/>
        <v>0</v>
      </c>
      <c r="AL131" s="50">
        <f t="shared" ca="1" si="104"/>
        <v>0</v>
      </c>
      <c r="AM131" s="50"/>
      <c r="AN131" s="50">
        <f t="shared" ca="1" si="105"/>
        <v>0</v>
      </c>
      <c r="AO131" s="50"/>
      <c r="AP131" s="50">
        <f t="shared" ca="1" si="106"/>
        <v>0</v>
      </c>
      <c r="AQ131" s="50"/>
      <c r="AR131" s="50">
        <f t="shared" ca="1" si="107"/>
        <v>0</v>
      </c>
      <c r="AS131" s="50"/>
      <c r="AT131" s="50">
        <f t="shared" ca="1" si="108"/>
        <v>0</v>
      </c>
      <c r="AU131" s="50"/>
      <c r="AV131" s="50">
        <f t="shared" ca="1" si="109"/>
        <v>0</v>
      </c>
      <c r="AW131" s="50"/>
      <c r="AX131" s="50">
        <f t="shared" ca="1" si="110"/>
        <v>0</v>
      </c>
      <c r="AZ131" s="50">
        <f t="shared" ca="1" si="111"/>
        <v>0</v>
      </c>
    </row>
    <row r="132" spans="2:52" x14ac:dyDescent="0.2">
      <c r="D132" s="1" t="s">
        <v>9</v>
      </c>
      <c r="K132" s="73"/>
      <c r="O132" s="73"/>
      <c r="AF132" s="25" t="str">
        <f t="shared" si="112"/>
        <v/>
      </c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Z132" s="50"/>
    </row>
    <row r="133" spans="2:52" x14ac:dyDescent="0.2">
      <c r="B133" s="18">
        <f>B131+1</f>
        <v>79</v>
      </c>
      <c r="D133" s="1" t="s">
        <v>214</v>
      </c>
      <c r="F133" s="50">
        <f ca="1">Function!T133</f>
        <v>3740.6240013717302</v>
      </c>
      <c r="K133" s="73">
        <f>_xlfn.IFNA(MATCH(J133,'Trans Factors'!$B$13:$B$450,0),0)</f>
        <v>0</v>
      </c>
      <c r="L133" s="50">
        <f t="shared" ca="1" si="99"/>
        <v>3740.6240013717302</v>
      </c>
      <c r="N133" s="18" t="s">
        <v>351</v>
      </c>
      <c r="O133" s="73">
        <f>_xlfn.IFNA(MATCH(N133,'Trans Factors'!$B$13:$B$450,0),0)</f>
        <v>71</v>
      </c>
      <c r="P133" s="20">
        <f ca="1">OFFSET('Trans Factors'!$B$13,$O133-1,P$14)*$L133+OFFSET('Trans Factors'!$B$13,$K133-1,P$14)*$H133</f>
        <v>354.23863805992426</v>
      </c>
      <c r="R133" s="20">
        <f ca="1">OFFSET('Trans Factors'!$B$13,$O133-1,R$14)*$L133+OFFSET('Trans Factors'!$B$13,$K133-1,R$14)*$H133</f>
        <v>65.831967530122199</v>
      </c>
      <c r="S133" s="20"/>
      <c r="T133" s="20">
        <f ca="1">OFFSET('Trans Factors'!$B$13,$O133-1,T$14)*$L133+OFFSET('Trans Factors'!$B$13,$K133-1,T$14)*$H133</f>
        <v>842.46364528453819</v>
      </c>
      <c r="U133" s="20"/>
      <c r="V133" s="20">
        <f ca="1">OFFSET('Trans Factors'!$B$13,$O133-1,V$14)*$L133+OFFSET('Trans Factors'!$B$13,$K133-1,V$14)*$H133</f>
        <v>1983.3291254085452</v>
      </c>
      <c r="X133" s="20">
        <f ca="1">OFFSET('Trans Factors'!$B$13,$O133-1,X$14)*$L133+OFFSET('Trans Factors'!$B$13,$K133-1,X$14)*$H133</f>
        <v>28.857502119761179</v>
      </c>
      <c r="Y133" s="9"/>
      <c r="Z133" s="20">
        <f ca="1">OFFSET('Trans Factors'!$B$13,$O133-1,Z$14)*$L133+OFFSET('Trans Factors'!$B$13,$K133-1,Z$14)*$H133</f>
        <v>465.90312296883945</v>
      </c>
      <c r="AA133" s="20"/>
      <c r="AB133" s="20">
        <f ca="1">OFFSET('Trans Factors'!$B$13,$O133-1,AB$14)*$L133+OFFSET('Trans Factors'!$B$13,$K133-1,AB$14)*$H133</f>
        <v>0</v>
      </c>
      <c r="AD133" s="20">
        <f t="shared" ref="AD133" ca="1" si="116">P133+R133+T133+V133+X133+Z133+AB133</f>
        <v>3740.6240013717302</v>
      </c>
      <c r="AF133" s="25" t="str">
        <f t="shared" ca="1" si="112"/>
        <v/>
      </c>
      <c r="AI133" s="93">
        <f ca="1">Function!AJ133</f>
        <v>1805.5576216432</v>
      </c>
      <c r="AJ133" s="100">
        <f t="shared" ca="1" si="103"/>
        <v>0.48268888318662373</v>
      </c>
      <c r="AL133" s="50">
        <f t="shared" ca="1" si="104"/>
        <v>170.98705258669546</v>
      </c>
      <c r="AM133" s="50"/>
      <c r="AN133" s="50">
        <f t="shared" ca="1" si="105"/>
        <v>31.776358885092762</v>
      </c>
      <c r="AO133" s="50"/>
      <c r="AP133" s="50">
        <f t="shared" ca="1" si="106"/>
        <v>406.64783606772568</v>
      </c>
      <c r="AQ133" s="50"/>
      <c r="AR133" s="50">
        <f t="shared" ca="1" si="107"/>
        <v>957.33092053495386</v>
      </c>
      <c r="AS133" s="50"/>
      <c r="AT133" s="50">
        <f t="shared" ca="1" si="108"/>
        <v>13.929195469743151</v>
      </c>
      <c r="AU133" s="50"/>
      <c r="AV133" s="50">
        <f t="shared" ca="1" si="109"/>
        <v>224.88625809898934</v>
      </c>
      <c r="AW133" s="50"/>
      <c r="AX133" s="50">
        <f t="shared" ca="1" si="110"/>
        <v>0</v>
      </c>
      <c r="AZ133" s="50">
        <f t="shared" ca="1" si="111"/>
        <v>1805.5576216432005</v>
      </c>
    </row>
    <row r="134" spans="2:52" x14ac:dyDescent="0.2">
      <c r="B134" s="18">
        <f>B133+1</f>
        <v>80</v>
      </c>
      <c r="D134" s="36" t="s">
        <v>202</v>
      </c>
      <c r="F134" s="50">
        <f ca="1">Function!T134</f>
        <v>184.23818852302003</v>
      </c>
      <c r="H134" s="79"/>
      <c r="K134" s="73">
        <f>_xlfn.IFNA(MATCH(J134,'Trans Factors'!$B$13:$B$450,0),0)</f>
        <v>0</v>
      </c>
      <c r="L134" s="50">
        <f t="shared" ca="1" si="99"/>
        <v>184.23818852302003</v>
      </c>
      <c r="N134" s="18" t="s">
        <v>277</v>
      </c>
      <c r="O134" s="73">
        <f>_xlfn.IFNA(MATCH(N134,'Trans Factors'!$B$13:$B$450,0),0)</f>
        <v>41</v>
      </c>
      <c r="P134" s="20">
        <f ca="1">OFFSET('Trans Factors'!$B$13,$O134-1,P$14)*$L134+OFFSET('Trans Factors'!$B$13,$K134-1,P$14)*$H134</f>
        <v>0</v>
      </c>
      <c r="R134" s="20">
        <f ca="1">OFFSET('Trans Factors'!$B$13,$O134-1,R$14)*$L134+OFFSET('Trans Factors'!$B$13,$K134-1,R$14)*$H134</f>
        <v>1.998710026332972E-2</v>
      </c>
      <c r="S134" s="20"/>
      <c r="T134" s="20">
        <f ca="1">OFFSET('Trans Factors'!$B$13,$O134-1,T$14)*$L134+OFFSET('Trans Factors'!$B$13,$K134-1,T$14)*$H134</f>
        <v>0.75660422476074085</v>
      </c>
      <c r="U134" s="20"/>
      <c r="V134" s="20">
        <f ca="1">OFFSET('Trans Factors'!$B$13,$O134-1,V$14)*$L134+OFFSET('Trans Factors'!$B$13,$K134-1,V$14)*$H134</f>
        <v>116.66035968609367</v>
      </c>
      <c r="X134" s="20">
        <f ca="1">OFFSET('Trans Factors'!$B$13,$O134-1,X$14)*$L134+OFFSET('Trans Factors'!$B$13,$K134-1,X$14)*$H134</f>
        <v>29.538221622050138</v>
      </c>
      <c r="Y134" s="9"/>
      <c r="Z134" s="20">
        <f ca="1">OFFSET('Trans Factors'!$B$13,$O134-1,Z$14)*$L134+OFFSET('Trans Factors'!$B$13,$K134-1,Z$14)*$H134</f>
        <v>37.263015889852163</v>
      </c>
      <c r="AA134" s="20"/>
      <c r="AB134" s="20">
        <f ca="1">OFFSET('Trans Factors'!$B$13,$O134-1,AB$14)*$L134+OFFSET('Trans Factors'!$B$13,$K134-1,AB$14)*$H134</f>
        <v>0</v>
      </c>
      <c r="AD134" s="20">
        <f t="shared" ca="1" si="100"/>
        <v>184.23818852302006</v>
      </c>
      <c r="AF134" s="25" t="str">
        <f t="shared" ca="1" si="112"/>
        <v/>
      </c>
      <c r="AI134" s="93">
        <f ca="1">Function!AJ134</f>
        <v>131.92818852177001</v>
      </c>
      <c r="AJ134" s="100">
        <f t="shared" ca="1" si="103"/>
        <v>0.71607406466269052</v>
      </c>
      <c r="AL134" s="50">
        <f t="shared" ca="1" si="104"/>
        <v>0</v>
      </c>
      <c r="AM134" s="50"/>
      <c r="AN134" s="50">
        <f t="shared" ca="1" si="105"/>
        <v>1.4312244126383244E-2</v>
      </c>
      <c r="AO134" s="50"/>
      <c r="AP134" s="50">
        <f t="shared" ca="1" si="106"/>
        <v>0.5417846625653876</v>
      </c>
      <c r="AQ134" s="50"/>
      <c r="AR134" s="50">
        <f t="shared" ca="1" si="107"/>
        <v>83.537457945432578</v>
      </c>
      <c r="AS134" s="50"/>
      <c r="AT134" s="50">
        <f t="shared" ca="1" si="108"/>
        <v>21.151554419808814</v>
      </c>
      <c r="AU134" s="50"/>
      <c r="AV134" s="50">
        <f t="shared" ca="1" si="109"/>
        <v>26.683079249836862</v>
      </c>
      <c r="AW134" s="50"/>
      <c r="AX134" s="50">
        <f t="shared" ca="1" si="110"/>
        <v>0</v>
      </c>
      <c r="AZ134" s="50">
        <f t="shared" ca="1" si="111"/>
        <v>131.92818852177004</v>
      </c>
    </row>
    <row r="135" spans="2:52" x14ac:dyDescent="0.2">
      <c r="B135" s="18">
        <f t="shared" ref="B135:B136" si="117">B134+1</f>
        <v>81</v>
      </c>
      <c r="D135" s="36" t="s">
        <v>199</v>
      </c>
      <c r="F135" s="50">
        <f ca="1">Function!T135</f>
        <v>5613.0094337191604</v>
      </c>
      <c r="H135" s="79"/>
      <c r="K135" s="73">
        <f>_xlfn.IFNA(MATCH(J135,'Trans Factors'!$B$13:$B$450,0),0)</f>
        <v>0</v>
      </c>
      <c r="L135" s="50">
        <f t="shared" ca="1" si="99"/>
        <v>5613.0094337191604</v>
      </c>
      <c r="N135" s="18" t="s">
        <v>278</v>
      </c>
      <c r="O135" s="73">
        <f>_xlfn.IFNA(MATCH(N135,'Trans Factors'!$B$13:$B$450,0),0)</f>
        <v>14</v>
      </c>
      <c r="P135" s="20">
        <f ca="1">OFFSET('Trans Factors'!$B$13,$O135-1,P$14)*$L135+OFFSET('Trans Factors'!$B$13,$K135-1,P$14)*$H135</f>
        <v>0</v>
      </c>
      <c r="R135" s="20">
        <f ca="1">OFFSET('Trans Factors'!$B$13,$O135-1,R$14)*$L135+OFFSET('Trans Factors'!$B$13,$K135-1,R$14)*$H135</f>
        <v>0</v>
      </c>
      <c r="S135" s="20"/>
      <c r="T135" s="20">
        <f ca="1">OFFSET('Trans Factors'!$B$13,$O135-1,T$14)*$L135+OFFSET('Trans Factors'!$B$13,$K135-1,T$14)*$H135</f>
        <v>1272.5099354274355</v>
      </c>
      <c r="U135" s="20"/>
      <c r="V135" s="20">
        <f ca="1">OFFSET('Trans Factors'!$B$13,$O135-1,V$14)*$L135+OFFSET('Trans Factors'!$B$13,$K135-1,V$14)*$H135</f>
        <v>4282.7231585394065</v>
      </c>
      <c r="X135" s="20">
        <f ca="1">OFFSET('Trans Factors'!$B$13,$O135-1,X$14)*$L135+OFFSET('Trans Factors'!$B$13,$K135-1,X$14)*$H135</f>
        <v>0</v>
      </c>
      <c r="Y135" s="9"/>
      <c r="Z135" s="20">
        <f ca="1">OFFSET('Trans Factors'!$B$13,$O135-1,Z$14)*$L135+OFFSET('Trans Factors'!$B$13,$K135-1,Z$14)*$H135</f>
        <v>57.776339752317384</v>
      </c>
      <c r="AA135" s="20"/>
      <c r="AB135" s="20">
        <f ca="1">OFFSET('Trans Factors'!$B$13,$O135-1,AB$14)*$L135+OFFSET('Trans Factors'!$B$13,$K135-1,AB$14)*$H135</f>
        <v>0</v>
      </c>
      <c r="AD135" s="20">
        <f t="shared" ca="1" si="100"/>
        <v>5613.0094337191595</v>
      </c>
      <c r="AF135" s="25" t="str">
        <f t="shared" ca="1" si="112"/>
        <v/>
      </c>
      <c r="AI135" s="93">
        <f ca="1">Function!AJ135</f>
        <v>740.08452798860003</v>
      </c>
      <c r="AJ135" s="100">
        <f t="shared" ca="1" si="103"/>
        <v>0.13185164513401193</v>
      </c>
      <c r="AL135" s="50">
        <f t="shared" ca="1" si="104"/>
        <v>0</v>
      </c>
      <c r="AM135" s="50"/>
      <c r="AN135" s="50">
        <f t="shared" ca="1" si="105"/>
        <v>0</v>
      </c>
      <c r="AO135" s="50"/>
      <c r="AP135" s="50">
        <f t="shared" ca="1" si="106"/>
        <v>167.78252843548265</v>
      </c>
      <c r="AQ135" s="50"/>
      <c r="AR135" s="50">
        <f t="shared" ca="1" si="107"/>
        <v>564.68409410695256</v>
      </c>
      <c r="AS135" s="50"/>
      <c r="AT135" s="50">
        <f t="shared" ca="1" si="108"/>
        <v>0</v>
      </c>
      <c r="AU135" s="50"/>
      <c r="AV135" s="50">
        <f t="shared" ca="1" si="109"/>
        <v>7.6179054461646585</v>
      </c>
      <c r="AW135" s="50"/>
      <c r="AX135" s="50">
        <f t="shared" ca="1" si="110"/>
        <v>0</v>
      </c>
      <c r="AZ135" s="50">
        <f t="shared" ca="1" si="111"/>
        <v>740.0845279885998</v>
      </c>
    </row>
    <row r="136" spans="2:52" x14ac:dyDescent="0.2">
      <c r="B136" s="18">
        <f t="shared" si="117"/>
        <v>82</v>
      </c>
      <c r="D136" s="36" t="s">
        <v>21</v>
      </c>
      <c r="F136" s="50">
        <f ca="1">Function!T136</f>
        <v>2500.134475710754</v>
      </c>
      <c r="H136" s="79"/>
      <c r="K136" s="73">
        <f>_xlfn.IFNA(MATCH(J136,'Trans Factors'!$B$13:$B$450,0),0)</f>
        <v>0</v>
      </c>
      <c r="L136" s="50">
        <f t="shared" ca="1" si="99"/>
        <v>2500.134475710754</v>
      </c>
      <c r="N136" s="18" t="s">
        <v>276</v>
      </c>
      <c r="O136" s="73">
        <f>_xlfn.IFNA(MATCH(N136,'Trans Factors'!$B$13:$B$450,0),0)</f>
        <v>47</v>
      </c>
      <c r="P136" s="20">
        <f ca="1">OFFSET('Trans Factors'!$B$13,$O136-1,P$14)*$L136+OFFSET('Trans Factors'!$B$13,$K136-1,P$14)*$H136</f>
        <v>785.76551205461601</v>
      </c>
      <c r="R136" s="20">
        <f ca="1">OFFSET('Trans Factors'!$B$13,$O136-1,R$14)*$L136+OFFSET('Trans Factors'!$B$13,$K136-1,R$14)*$H136</f>
        <v>146.00725024226153</v>
      </c>
      <c r="S136" s="20"/>
      <c r="T136" s="20">
        <f ca="1">OFFSET('Trans Factors'!$B$13,$O136-1,T$14)*$L136+OFFSET('Trans Factors'!$B$13,$K136-1,T$14)*$H136</f>
        <v>595.47053897337366</v>
      </c>
      <c r="U136" s="20"/>
      <c r="V136" s="20">
        <f ca="1">OFFSET('Trans Factors'!$B$13,$O136-1,V$14)*$L136+OFFSET('Trans Factors'!$B$13,$K136-1,V$14)*$H136</f>
        <v>0</v>
      </c>
      <c r="X136" s="20">
        <f ca="1">OFFSET('Trans Factors'!$B$13,$O136-1,X$14)*$L136+OFFSET('Trans Factors'!$B$13,$K136-1,X$14)*$H136</f>
        <v>34.472949078971709</v>
      </c>
      <c r="Y136" s="9"/>
      <c r="Z136" s="20">
        <f ca="1">OFFSET('Trans Factors'!$B$13,$O136-1,Z$14)*$L136+OFFSET('Trans Factors'!$B$13,$K136-1,Z$14)*$H136</f>
        <v>938.41822536153131</v>
      </c>
      <c r="AA136" s="20"/>
      <c r="AB136" s="20">
        <f ca="1">OFFSET('Trans Factors'!$B$13,$O136-1,AB$14)*$L136+OFFSET('Trans Factors'!$B$13,$K136-1,AB$14)*$H136</f>
        <v>0</v>
      </c>
      <c r="AD136" s="20">
        <f t="shared" ca="1" si="100"/>
        <v>2500.1344757107545</v>
      </c>
      <c r="AF136" s="25" t="str">
        <f t="shared" ca="1" si="112"/>
        <v/>
      </c>
      <c r="AI136" s="93">
        <f ca="1">Function!AJ136</f>
        <v>1026.9737405468377</v>
      </c>
      <c r="AJ136" s="100">
        <f t="shared" ca="1" si="103"/>
        <v>0.41076740092345759</v>
      </c>
      <c r="AL136" s="50">
        <f t="shared" ca="1" si="104"/>
        <v>322.76685712196439</v>
      </c>
      <c r="AM136" s="50"/>
      <c r="AN136" s="50">
        <f t="shared" ca="1" si="105"/>
        <v>59.975018697994642</v>
      </c>
      <c r="AO136" s="50"/>
      <c r="AP136" s="50">
        <f t="shared" ca="1" si="106"/>
        <v>244.59988562058317</v>
      </c>
      <c r="AQ136" s="50"/>
      <c r="AR136" s="50">
        <f t="shared" ca="1" si="107"/>
        <v>0</v>
      </c>
      <c r="AS136" s="50"/>
      <c r="AT136" s="50">
        <f t="shared" ca="1" si="108"/>
        <v>14.16036369533591</v>
      </c>
      <c r="AU136" s="50"/>
      <c r="AV136" s="50">
        <f t="shared" ca="1" si="109"/>
        <v>385.47161541095971</v>
      </c>
      <c r="AW136" s="50"/>
      <c r="AX136" s="50">
        <f t="shared" ca="1" si="110"/>
        <v>0</v>
      </c>
      <c r="AZ136" s="50">
        <f t="shared" ca="1" si="111"/>
        <v>1026.9737405468379</v>
      </c>
    </row>
    <row r="137" spans="2:52" x14ac:dyDescent="0.2">
      <c r="D137" s="1" t="s">
        <v>10</v>
      </c>
      <c r="K137" s="73"/>
      <c r="AF137" s="25" t="str">
        <f t="shared" si="112"/>
        <v/>
      </c>
      <c r="AJ137" s="10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Z137" s="50"/>
    </row>
    <row r="138" spans="2:52" x14ac:dyDescent="0.2">
      <c r="B138" s="18">
        <f>B136+1</f>
        <v>83</v>
      </c>
      <c r="D138" s="1" t="s">
        <v>217</v>
      </c>
      <c r="K138" s="73"/>
      <c r="AF138" s="25" t="str">
        <f t="shared" si="112"/>
        <v/>
      </c>
      <c r="AI138" s="93">
        <f ca="1">Function!AJ138</f>
        <v>0</v>
      </c>
      <c r="AJ138" s="100">
        <f t="shared" ca="1" si="103"/>
        <v>0</v>
      </c>
      <c r="AL138" s="50">
        <f t="shared" ca="1" si="104"/>
        <v>0</v>
      </c>
      <c r="AM138" s="50"/>
      <c r="AN138" s="50">
        <f t="shared" ca="1" si="105"/>
        <v>0</v>
      </c>
      <c r="AO138" s="50"/>
      <c r="AP138" s="50">
        <f t="shared" ca="1" si="106"/>
        <v>0</v>
      </c>
      <c r="AQ138" s="50"/>
      <c r="AR138" s="50">
        <f t="shared" ca="1" si="107"/>
        <v>0</v>
      </c>
      <c r="AS138" s="50"/>
      <c r="AT138" s="50">
        <f t="shared" ca="1" si="108"/>
        <v>0</v>
      </c>
      <c r="AU138" s="50"/>
      <c r="AV138" s="50">
        <f t="shared" ca="1" si="109"/>
        <v>0</v>
      </c>
      <c r="AW138" s="50"/>
      <c r="AX138" s="50">
        <f t="shared" ca="1" si="110"/>
        <v>0</v>
      </c>
      <c r="AZ138" s="50">
        <f t="shared" ca="1" si="111"/>
        <v>0</v>
      </c>
    </row>
    <row r="139" spans="2:52" x14ac:dyDescent="0.2">
      <c r="B139" s="18">
        <f>B138+1</f>
        <v>84</v>
      </c>
      <c r="D139" s="36" t="s">
        <v>204</v>
      </c>
      <c r="F139" s="50">
        <f ca="1">Function!T139</f>
        <v>0</v>
      </c>
      <c r="H139" s="79"/>
      <c r="K139" s="73">
        <f>_xlfn.IFNA(MATCH(J139,'Trans Factors'!$B$13:$B$450,0),0)</f>
        <v>0</v>
      </c>
      <c r="L139" s="50">
        <f t="shared" ca="1" si="99"/>
        <v>0</v>
      </c>
      <c r="O139" s="73">
        <f>_xlfn.IFNA(MATCH(N139,'Trans Factors'!$B$13:$B$450,0),0)</f>
        <v>0</v>
      </c>
      <c r="P139" s="20">
        <f ca="1">OFFSET('Trans Factors'!$B$13,$O139-1,P$14)*$L139+OFFSET('Trans Factors'!$B$13,$K139-1,P$14)*$H139</f>
        <v>0</v>
      </c>
      <c r="R139" s="20">
        <f ca="1">OFFSET('Trans Factors'!$B$13,$O139-1,R$14)*$L139+OFFSET('Trans Factors'!$B$13,$K139-1,R$14)*$H139</f>
        <v>0</v>
      </c>
      <c r="S139" s="20"/>
      <c r="T139" s="20">
        <f ca="1">OFFSET('Trans Factors'!$B$13,$O139-1,T$14)*$L139+OFFSET('Trans Factors'!$B$13,$K139-1,T$14)*$H139</f>
        <v>0</v>
      </c>
      <c r="U139" s="20"/>
      <c r="V139" s="20">
        <f ca="1">OFFSET('Trans Factors'!$B$13,$O139-1,V$14)*$L139+OFFSET('Trans Factors'!$B$13,$K139-1,V$14)*$H139</f>
        <v>0</v>
      </c>
      <c r="X139" s="20">
        <f ca="1">OFFSET('Trans Factors'!$B$13,$O139-1,X$14)*$L139+OFFSET('Trans Factors'!$B$13,$K139-1,X$14)*$H139</f>
        <v>0</v>
      </c>
      <c r="Y139" s="9"/>
      <c r="Z139" s="20">
        <f ca="1">OFFSET('Trans Factors'!$B$13,$O139-1,Z$14)*$L139+OFFSET('Trans Factors'!$B$13,$K139-1,Z$14)*$H139</f>
        <v>0</v>
      </c>
      <c r="AA139" s="20"/>
      <c r="AB139" s="20">
        <f ca="1">OFFSET('Trans Factors'!$B$13,$O139-1,AB$14)*$L139+OFFSET('Trans Factors'!$B$13,$K139-1,AB$14)*$H139</f>
        <v>0</v>
      </c>
      <c r="AD139" s="20">
        <f t="shared" ca="1" si="100"/>
        <v>0</v>
      </c>
      <c r="AF139" s="25" t="str">
        <f t="shared" ca="1" si="112"/>
        <v/>
      </c>
      <c r="AI139" s="93">
        <f ca="1">Function!AJ139</f>
        <v>0</v>
      </c>
      <c r="AJ139" s="100">
        <f t="shared" ca="1" si="103"/>
        <v>0</v>
      </c>
      <c r="AL139" s="50">
        <f t="shared" ca="1" si="104"/>
        <v>0</v>
      </c>
      <c r="AM139" s="50"/>
      <c r="AN139" s="50">
        <f t="shared" ca="1" si="105"/>
        <v>0</v>
      </c>
      <c r="AO139" s="50"/>
      <c r="AP139" s="50">
        <f t="shared" ca="1" si="106"/>
        <v>0</v>
      </c>
      <c r="AQ139" s="50"/>
      <c r="AR139" s="50">
        <f t="shared" ca="1" si="107"/>
        <v>0</v>
      </c>
      <c r="AS139" s="50"/>
      <c r="AT139" s="50">
        <f t="shared" ca="1" si="108"/>
        <v>0</v>
      </c>
      <c r="AU139" s="50"/>
      <c r="AV139" s="50">
        <f t="shared" ca="1" si="109"/>
        <v>0</v>
      </c>
      <c r="AW139" s="50"/>
      <c r="AX139" s="50">
        <f t="shared" ca="1" si="110"/>
        <v>0</v>
      </c>
      <c r="AZ139" s="50">
        <f t="shared" ca="1" si="111"/>
        <v>0</v>
      </c>
    </row>
    <row r="140" spans="2:52" x14ac:dyDescent="0.2">
      <c r="B140" s="18">
        <f t="shared" ref="B140:B143" si="118">B139+1</f>
        <v>85</v>
      </c>
      <c r="D140" s="36" t="s">
        <v>178</v>
      </c>
      <c r="F140" s="50">
        <f ca="1">Function!T140</f>
        <v>0</v>
      </c>
      <c r="H140" s="79"/>
      <c r="K140" s="73">
        <f>_xlfn.IFNA(MATCH(J140,'Trans Factors'!$B$13:$B$450,0),0)</f>
        <v>0</v>
      </c>
      <c r="L140" s="50">
        <f t="shared" ca="1" si="99"/>
        <v>0</v>
      </c>
      <c r="O140" s="73">
        <f>_xlfn.IFNA(MATCH(N140,'Trans Factors'!$B$13:$B$450,0),0)</f>
        <v>0</v>
      </c>
      <c r="P140" s="20">
        <f ca="1">OFFSET('Trans Factors'!$B$13,$O140-1,P$14)*$L140+OFFSET('Trans Factors'!$B$13,$K140-1,P$14)*$H140</f>
        <v>0</v>
      </c>
      <c r="R140" s="20">
        <f ca="1">OFFSET('Trans Factors'!$B$13,$O140-1,R$14)*$L140+OFFSET('Trans Factors'!$B$13,$K140-1,R$14)*$H140</f>
        <v>0</v>
      </c>
      <c r="S140" s="20"/>
      <c r="T140" s="20">
        <f ca="1">OFFSET('Trans Factors'!$B$13,$O140-1,T$14)*$L140+OFFSET('Trans Factors'!$B$13,$K140-1,T$14)*$H140</f>
        <v>0</v>
      </c>
      <c r="U140" s="20"/>
      <c r="V140" s="20">
        <f ca="1">OFFSET('Trans Factors'!$B$13,$O140-1,V$14)*$L140+OFFSET('Trans Factors'!$B$13,$K140-1,V$14)*$H140</f>
        <v>0</v>
      </c>
      <c r="X140" s="20">
        <f ca="1">OFFSET('Trans Factors'!$B$13,$O140-1,X$14)*$L140+OFFSET('Trans Factors'!$B$13,$K140-1,X$14)*$H140</f>
        <v>0</v>
      </c>
      <c r="Y140" s="9"/>
      <c r="Z140" s="20">
        <f ca="1">OFFSET('Trans Factors'!$B$13,$O140-1,Z$14)*$L140+OFFSET('Trans Factors'!$B$13,$K140-1,Z$14)*$H140</f>
        <v>0</v>
      </c>
      <c r="AA140" s="20"/>
      <c r="AB140" s="20">
        <f ca="1">OFFSET('Trans Factors'!$B$13,$O140-1,AB$14)*$L140+OFFSET('Trans Factors'!$B$13,$K140-1,AB$14)*$H140</f>
        <v>0</v>
      </c>
      <c r="AD140" s="20">
        <f t="shared" ca="1" si="100"/>
        <v>0</v>
      </c>
      <c r="AF140" s="25" t="str">
        <f t="shared" ca="1" si="112"/>
        <v/>
      </c>
      <c r="AI140" s="93">
        <f ca="1">Function!AJ140</f>
        <v>0</v>
      </c>
      <c r="AJ140" s="100">
        <f t="shared" ca="1" si="103"/>
        <v>0</v>
      </c>
      <c r="AL140" s="50">
        <f t="shared" ca="1" si="104"/>
        <v>0</v>
      </c>
      <c r="AM140" s="50"/>
      <c r="AN140" s="50">
        <f t="shared" ca="1" si="105"/>
        <v>0</v>
      </c>
      <c r="AO140" s="50"/>
      <c r="AP140" s="50">
        <f t="shared" ca="1" si="106"/>
        <v>0</v>
      </c>
      <c r="AQ140" s="50"/>
      <c r="AR140" s="50">
        <f t="shared" ca="1" si="107"/>
        <v>0</v>
      </c>
      <c r="AS140" s="50"/>
      <c r="AT140" s="50">
        <f t="shared" ca="1" si="108"/>
        <v>0</v>
      </c>
      <c r="AU140" s="50"/>
      <c r="AV140" s="50">
        <f t="shared" ca="1" si="109"/>
        <v>0</v>
      </c>
      <c r="AW140" s="50"/>
      <c r="AX140" s="50">
        <f t="shared" ca="1" si="110"/>
        <v>0</v>
      </c>
      <c r="AZ140" s="50">
        <f t="shared" ca="1" si="111"/>
        <v>0</v>
      </c>
    </row>
    <row r="141" spans="2:52" x14ac:dyDescent="0.2">
      <c r="B141" s="18">
        <f t="shared" si="118"/>
        <v>86</v>
      </c>
      <c r="D141" s="36" t="s">
        <v>205</v>
      </c>
      <c r="F141" s="50">
        <f ca="1">Function!T141</f>
        <v>0</v>
      </c>
      <c r="H141" s="79"/>
      <c r="K141" s="73">
        <f>_xlfn.IFNA(MATCH(J141,'Trans Factors'!$B$13:$B$450,0),0)</f>
        <v>0</v>
      </c>
      <c r="L141" s="50">
        <f t="shared" ca="1" si="99"/>
        <v>0</v>
      </c>
      <c r="O141" s="73">
        <f>_xlfn.IFNA(MATCH(N141,'Trans Factors'!$B$13:$B$450,0),0)</f>
        <v>0</v>
      </c>
      <c r="P141" s="20">
        <f ca="1">OFFSET('Trans Factors'!$B$13,$O141-1,P$14)*$L141+OFFSET('Trans Factors'!$B$13,$K141-1,P$14)*$H141</f>
        <v>0</v>
      </c>
      <c r="R141" s="20">
        <f ca="1">OFFSET('Trans Factors'!$B$13,$O141-1,R$14)*$L141+OFFSET('Trans Factors'!$B$13,$K141-1,R$14)*$H141</f>
        <v>0</v>
      </c>
      <c r="S141" s="20"/>
      <c r="T141" s="20">
        <f ca="1">OFFSET('Trans Factors'!$B$13,$O141-1,T$14)*$L141+OFFSET('Trans Factors'!$B$13,$K141-1,T$14)*$H141</f>
        <v>0</v>
      </c>
      <c r="U141" s="20"/>
      <c r="V141" s="20">
        <f ca="1">OFFSET('Trans Factors'!$B$13,$O141-1,V$14)*$L141+OFFSET('Trans Factors'!$B$13,$K141-1,V$14)*$H141</f>
        <v>0</v>
      </c>
      <c r="X141" s="20">
        <f ca="1">OFFSET('Trans Factors'!$B$13,$O141-1,X$14)*$L141+OFFSET('Trans Factors'!$B$13,$K141-1,X$14)*$H141</f>
        <v>0</v>
      </c>
      <c r="Y141" s="9"/>
      <c r="Z141" s="20">
        <f ca="1">OFFSET('Trans Factors'!$B$13,$O141-1,Z$14)*$L141+OFFSET('Trans Factors'!$B$13,$K141-1,Z$14)*$H141</f>
        <v>0</v>
      </c>
      <c r="AA141" s="20"/>
      <c r="AB141" s="20">
        <f ca="1">OFFSET('Trans Factors'!$B$13,$O141-1,AB$14)*$L141+OFFSET('Trans Factors'!$B$13,$K141-1,AB$14)*$H141</f>
        <v>0</v>
      </c>
      <c r="AD141" s="20">
        <f t="shared" ca="1" si="100"/>
        <v>0</v>
      </c>
      <c r="AF141" s="25" t="str">
        <f t="shared" ca="1" si="112"/>
        <v/>
      </c>
      <c r="AI141" s="93">
        <f ca="1">Function!AJ141</f>
        <v>0</v>
      </c>
      <c r="AJ141" s="100">
        <f t="shared" ca="1" si="103"/>
        <v>0</v>
      </c>
      <c r="AL141" s="50">
        <f t="shared" ca="1" si="104"/>
        <v>0</v>
      </c>
      <c r="AM141" s="50"/>
      <c r="AN141" s="50">
        <f t="shared" ca="1" si="105"/>
        <v>0</v>
      </c>
      <c r="AO141" s="50"/>
      <c r="AP141" s="50">
        <f t="shared" ca="1" si="106"/>
        <v>0</v>
      </c>
      <c r="AQ141" s="50"/>
      <c r="AR141" s="50">
        <f t="shared" ca="1" si="107"/>
        <v>0</v>
      </c>
      <c r="AS141" s="50"/>
      <c r="AT141" s="50">
        <f t="shared" ca="1" si="108"/>
        <v>0</v>
      </c>
      <c r="AU141" s="50"/>
      <c r="AV141" s="50">
        <f t="shared" ca="1" si="109"/>
        <v>0</v>
      </c>
      <c r="AW141" s="50"/>
      <c r="AX141" s="50">
        <f t="shared" ca="1" si="110"/>
        <v>0</v>
      </c>
      <c r="AZ141" s="50">
        <f t="shared" ca="1" si="111"/>
        <v>0</v>
      </c>
    </row>
    <row r="142" spans="2:52" x14ac:dyDescent="0.2">
      <c r="B142" s="18">
        <f t="shared" si="118"/>
        <v>87</v>
      </c>
      <c r="D142" s="36" t="s">
        <v>21</v>
      </c>
      <c r="F142" s="50">
        <f ca="1">Function!T142</f>
        <v>0</v>
      </c>
      <c r="H142" s="79"/>
      <c r="K142" s="73">
        <f>_xlfn.IFNA(MATCH(J142,'Trans Factors'!$B$13:$B$450,0),0)</f>
        <v>0</v>
      </c>
      <c r="L142" s="50">
        <f t="shared" ca="1" si="99"/>
        <v>0</v>
      </c>
      <c r="O142" s="73">
        <f>_xlfn.IFNA(MATCH(N142,'Trans Factors'!$B$13:$B$450,0),0)</f>
        <v>0</v>
      </c>
      <c r="P142" s="20">
        <f ca="1">OFFSET('Trans Factors'!$B$13,$O142-1,P$14)*$L142+OFFSET('Trans Factors'!$B$13,$K142-1,P$14)*$H142</f>
        <v>0</v>
      </c>
      <c r="R142" s="20">
        <f ca="1">OFFSET('Trans Factors'!$B$13,$O142-1,R$14)*$L142+OFFSET('Trans Factors'!$B$13,$K142-1,R$14)*$H142</f>
        <v>0</v>
      </c>
      <c r="S142" s="20"/>
      <c r="T142" s="20">
        <f ca="1">OFFSET('Trans Factors'!$B$13,$O142-1,T$14)*$L142+OFFSET('Trans Factors'!$B$13,$K142-1,T$14)*$H142</f>
        <v>0</v>
      </c>
      <c r="U142" s="20"/>
      <c r="V142" s="20">
        <f ca="1">OFFSET('Trans Factors'!$B$13,$O142-1,V$14)*$L142+OFFSET('Trans Factors'!$B$13,$K142-1,V$14)*$H142</f>
        <v>0</v>
      </c>
      <c r="X142" s="20">
        <f ca="1">OFFSET('Trans Factors'!$B$13,$O142-1,X$14)*$L142+OFFSET('Trans Factors'!$B$13,$K142-1,X$14)*$H142</f>
        <v>0</v>
      </c>
      <c r="Y142" s="9"/>
      <c r="Z142" s="20">
        <f ca="1">OFFSET('Trans Factors'!$B$13,$O142-1,Z$14)*$L142+OFFSET('Trans Factors'!$B$13,$K142-1,Z$14)*$H142</f>
        <v>0</v>
      </c>
      <c r="AA142" s="20"/>
      <c r="AB142" s="20">
        <f ca="1">OFFSET('Trans Factors'!$B$13,$O142-1,AB$14)*$L142+OFFSET('Trans Factors'!$B$13,$K142-1,AB$14)*$H142</f>
        <v>0</v>
      </c>
      <c r="AD142" s="20">
        <f t="shared" ca="1" si="100"/>
        <v>0</v>
      </c>
      <c r="AF142" s="25" t="str">
        <f t="shared" ca="1" si="112"/>
        <v/>
      </c>
      <c r="AI142" s="93">
        <f ca="1">Function!AJ142</f>
        <v>0</v>
      </c>
      <c r="AJ142" s="100">
        <f t="shared" ca="1" si="103"/>
        <v>0</v>
      </c>
      <c r="AL142" s="50">
        <f t="shared" ca="1" si="104"/>
        <v>0</v>
      </c>
      <c r="AM142" s="50"/>
      <c r="AN142" s="50">
        <f t="shared" ca="1" si="105"/>
        <v>0</v>
      </c>
      <c r="AO142" s="50"/>
      <c r="AP142" s="50">
        <f t="shared" ca="1" si="106"/>
        <v>0</v>
      </c>
      <c r="AQ142" s="50"/>
      <c r="AR142" s="50">
        <f t="shared" ca="1" si="107"/>
        <v>0</v>
      </c>
      <c r="AS142" s="50"/>
      <c r="AT142" s="50">
        <f t="shared" ca="1" si="108"/>
        <v>0</v>
      </c>
      <c r="AU142" s="50"/>
      <c r="AV142" s="50">
        <f t="shared" ca="1" si="109"/>
        <v>0</v>
      </c>
      <c r="AW142" s="50"/>
      <c r="AX142" s="50">
        <f t="shared" ca="1" si="110"/>
        <v>0</v>
      </c>
      <c r="AZ142" s="50">
        <f t="shared" ca="1" si="111"/>
        <v>0</v>
      </c>
    </row>
    <row r="143" spans="2:52" x14ac:dyDescent="0.2">
      <c r="B143" s="18">
        <f t="shared" si="118"/>
        <v>88</v>
      </c>
      <c r="D143" s="36" t="s">
        <v>206</v>
      </c>
      <c r="F143" s="50">
        <f ca="1">Function!T143</f>
        <v>0</v>
      </c>
      <c r="H143" s="79"/>
      <c r="K143" s="73">
        <f>_xlfn.IFNA(MATCH(J143,'Trans Factors'!$B$13:$B$450,0),0)</f>
        <v>0</v>
      </c>
      <c r="L143" s="50">
        <f t="shared" ca="1" si="99"/>
        <v>0</v>
      </c>
      <c r="O143" s="73">
        <f>_xlfn.IFNA(MATCH(N143,'Trans Factors'!$B$13:$B$450,0),0)</f>
        <v>0</v>
      </c>
      <c r="P143" s="20">
        <f ca="1">OFFSET('Trans Factors'!$B$13,$O143-1,P$14)*$L143+OFFSET('Trans Factors'!$B$13,$K143-1,P$14)*$H143</f>
        <v>0</v>
      </c>
      <c r="R143" s="20">
        <f ca="1">OFFSET('Trans Factors'!$B$13,$O143-1,R$14)*$L143+OFFSET('Trans Factors'!$B$13,$K143-1,R$14)*$H143</f>
        <v>0</v>
      </c>
      <c r="S143" s="20"/>
      <c r="T143" s="20">
        <f ca="1">OFFSET('Trans Factors'!$B$13,$O143-1,T$14)*$L143+OFFSET('Trans Factors'!$B$13,$K143-1,T$14)*$H143</f>
        <v>0</v>
      </c>
      <c r="U143" s="20"/>
      <c r="V143" s="20">
        <f ca="1">OFFSET('Trans Factors'!$B$13,$O143-1,V$14)*$L143+OFFSET('Trans Factors'!$B$13,$K143-1,V$14)*$H143</f>
        <v>0</v>
      </c>
      <c r="X143" s="20">
        <f ca="1">OFFSET('Trans Factors'!$B$13,$O143-1,X$14)*$L143+OFFSET('Trans Factors'!$B$13,$K143-1,X$14)*$H143</f>
        <v>0</v>
      </c>
      <c r="Y143" s="9"/>
      <c r="Z143" s="20">
        <f ca="1">OFFSET('Trans Factors'!$B$13,$O143-1,Z$14)*$L143+OFFSET('Trans Factors'!$B$13,$K143-1,Z$14)*$H143</f>
        <v>0</v>
      </c>
      <c r="AA143" s="20"/>
      <c r="AB143" s="20">
        <f ca="1">OFFSET('Trans Factors'!$B$13,$O143-1,AB$14)*$L143+OFFSET('Trans Factors'!$B$13,$K143-1,AB$14)*$H143</f>
        <v>0</v>
      </c>
      <c r="AD143" s="20">
        <f t="shared" ca="1" si="100"/>
        <v>0</v>
      </c>
      <c r="AF143" s="25" t="str">
        <f t="shared" ca="1" si="112"/>
        <v/>
      </c>
      <c r="AI143" s="93">
        <f ca="1">Function!AJ143</f>
        <v>0</v>
      </c>
      <c r="AJ143" s="100">
        <f t="shared" ca="1" si="103"/>
        <v>0</v>
      </c>
      <c r="AL143" s="50">
        <f t="shared" ca="1" si="104"/>
        <v>0</v>
      </c>
      <c r="AM143" s="50"/>
      <c r="AN143" s="50">
        <f t="shared" ca="1" si="105"/>
        <v>0</v>
      </c>
      <c r="AO143" s="50"/>
      <c r="AP143" s="50">
        <f t="shared" ca="1" si="106"/>
        <v>0</v>
      </c>
      <c r="AQ143" s="50"/>
      <c r="AR143" s="50">
        <f t="shared" ca="1" si="107"/>
        <v>0</v>
      </c>
      <c r="AS143" s="50"/>
      <c r="AT143" s="50">
        <f t="shared" ca="1" si="108"/>
        <v>0</v>
      </c>
      <c r="AU143" s="50"/>
      <c r="AV143" s="50">
        <f t="shared" ca="1" si="109"/>
        <v>0</v>
      </c>
      <c r="AW143" s="50"/>
      <c r="AX143" s="50">
        <f t="shared" ca="1" si="110"/>
        <v>0</v>
      </c>
      <c r="AZ143" s="50">
        <f t="shared" ca="1" si="111"/>
        <v>0</v>
      </c>
    </row>
    <row r="144" spans="2:52" x14ac:dyDescent="0.2">
      <c r="D144" s="1" t="s">
        <v>207</v>
      </c>
      <c r="K144" s="73"/>
      <c r="O144" s="73"/>
      <c r="AF144" s="25" t="str">
        <f t="shared" si="112"/>
        <v/>
      </c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Z144" s="50"/>
    </row>
    <row r="145" spans="2:52" x14ac:dyDescent="0.2">
      <c r="B145" s="18">
        <f>B143+1</f>
        <v>89</v>
      </c>
      <c r="D145" s="36" t="s">
        <v>208</v>
      </c>
      <c r="F145" s="50">
        <f ca="1">Function!T145</f>
        <v>17848.649151574664</v>
      </c>
      <c r="H145" s="79"/>
      <c r="K145" s="73">
        <f>_xlfn.IFNA(MATCH(J145,'Trans Factors'!$B$13:$B$450,0),0)</f>
        <v>0</v>
      </c>
      <c r="L145" s="50">
        <f ca="1">F145-H145</f>
        <v>17848.649151574664</v>
      </c>
      <c r="N145" s="18" t="s">
        <v>235</v>
      </c>
      <c r="O145" s="73">
        <f>_xlfn.IFNA(MATCH(N145,'Trans Factors'!$B$13:$B$450,0),0)</f>
        <v>53</v>
      </c>
      <c r="P145" s="20">
        <f ca="1">OFFSET('Trans Factors'!$B$13,$O145-1,P$14)*$L145+OFFSET('Trans Factors'!$B$13,$K145-1,P$14)*$H145</f>
        <v>438.24387166431529</v>
      </c>
      <c r="R145" s="20">
        <f ca="1">OFFSET('Trans Factors'!$B$13,$O145-1,R$14)*$L145+OFFSET('Trans Factors'!$B$13,$K145-1,R$14)*$H145</f>
        <v>46.773330245634234</v>
      </c>
      <c r="S145" s="20"/>
      <c r="T145" s="20">
        <f ca="1">OFFSET('Trans Factors'!$B$13,$O145-1,T$14)*$L145+OFFSET('Trans Factors'!$B$13,$K145-1,T$14)*$H145</f>
        <v>2228.9817058907374</v>
      </c>
      <c r="U145" s="20"/>
      <c r="V145" s="20">
        <f ca="1">OFFSET('Trans Factors'!$B$13,$O145-1,V$14)*$L145+OFFSET('Trans Factors'!$B$13,$K145-1,V$14)*$H145</f>
        <v>10234.420267748448</v>
      </c>
      <c r="X145" s="20">
        <f ca="1">OFFSET('Trans Factors'!$B$13,$O145-1,X$14)*$L145+OFFSET('Trans Factors'!$B$13,$K145-1,X$14)*$H145</f>
        <v>2008.3517134368967</v>
      </c>
      <c r="Y145" s="9"/>
      <c r="Z145" s="20">
        <f ca="1">OFFSET('Trans Factors'!$B$13,$O145-1,Z$14)*$L145+OFFSET('Trans Factors'!$B$13,$K145-1,Z$14)*$H145</f>
        <v>2891.8782625886342</v>
      </c>
      <c r="AA145" s="20"/>
      <c r="AB145" s="20">
        <f ca="1">OFFSET('Trans Factors'!$B$13,$O145-1,AB$14)*$L145+OFFSET('Trans Factors'!$B$13,$K145-1,AB$14)*$H145</f>
        <v>0</v>
      </c>
      <c r="AD145" s="20">
        <f t="shared" ca="1" si="100"/>
        <v>17848.649151574667</v>
      </c>
      <c r="AF145" s="25" t="str">
        <f t="shared" ca="1" si="112"/>
        <v/>
      </c>
      <c r="AI145" s="93">
        <f>Function!AJ145</f>
        <v>7489.8621995264712</v>
      </c>
      <c r="AJ145" s="100">
        <f t="shared" ca="1" si="103"/>
        <v>0.41963188003309998</v>
      </c>
      <c r="AL145" s="50">
        <f t="shared" ca="1" si="104"/>
        <v>183.90109977948123</v>
      </c>
      <c r="AM145" s="50"/>
      <c r="AN145" s="50">
        <f t="shared" ca="1" si="105"/>
        <v>19.62758050638455</v>
      </c>
      <c r="AO145" s="50"/>
      <c r="AP145" s="50">
        <f t="shared" ca="1" si="106"/>
        <v>935.3517838023165</v>
      </c>
      <c r="AQ145" s="50"/>
      <c r="AR145" s="50">
        <f t="shared" ca="1" si="107"/>
        <v>4294.6890180041437</v>
      </c>
      <c r="AS145" s="50"/>
      <c r="AT145" s="50">
        <f t="shared" ca="1" si="108"/>
        <v>842.76840527722266</v>
      </c>
      <c r="AU145" s="50"/>
      <c r="AV145" s="50">
        <f t="shared" ca="1" si="109"/>
        <v>1213.5243121569233</v>
      </c>
      <c r="AW145" s="50"/>
      <c r="AX145" s="50">
        <f t="shared" ca="1" si="110"/>
        <v>0</v>
      </c>
      <c r="AZ145" s="50">
        <f t="shared" ca="1" si="111"/>
        <v>7489.8621995264712</v>
      </c>
    </row>
    <row r="146" spans="2:52" x14ac:dyDescent="0.2">
      <c r="D146" s="1" t="s">
        <v>209</v>
      </c>
      <c r="K146" s="73"/>
      <c r="O146" s="73"/>
      <c r="AF146" s="25" t="str">
        <f t="shared" si="112"/>
        <v/>
      </c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Z146" s="50"/>
    </row>
    <row r="147" spans="2:52" x14ac:dyDescent="0.2">
      <c r="B147" s="18">
        <f>B145+1</f>
        <v>90</v>
      </c>
      <c r="D147" s="36" t="s">
        <v>177</v>
      </c>
      <c r="F147" s="50">
        <f ca="1">Function!T147</f>
        <v>0</v>
      </c>
      <c r="H147" s="79"/>
      <c r="K147" s="73">
        <f>_xlfn.IFNA(MATCH(J147,'Trans Factors'!$B$13:$B$450,0),0)</f>
        <v>0</v>
      </c>
      <c r="L147" s="50">
        <f t="shared" ca="1" si="99"/>
        <v>0</v>
      </c>
      <c r="O147" s="73">
        <f>_xlfn.IFNA(MATCH(N147,'Trans Factors'!$B$13:$B$450,0),0)</f>
        <v>0</v>
      </c>
      <c r="P147" s="20">
        <f ca="1">OFFSET('Trans Factors'!$B$13,$O147-1,P$14)*$L147+OFFSET('Trans Factors'!$B$13,$K147-1,P$14)*$H147</f>
        <v>0</v>
      </c>
      <c r="R147" s="20">
        <f ca="1">OFFSET('Trans Factors'!$B$13,$O147-1,R$14)*$L147+OFFSET('Trans Factors'!$B$13,$K147-1,R$14)*$H147</f>
        <v>0</v>
      </c>
      <c r="S147" s="20"/>
      <c r="T147" s="20">
        <f ca="1">OFFSET('Trans Factors'!$B$13,$O147-1,T$14)*$L147+OFFSET('Trans Factors'!$B$13,$K147-1,T$14)*$H147</f>
        <v>0</v>
      </c>
      <c r="U147" s="20"/>
      <c r="V147" s="20">
        <f ca="1">OFFSET('Trans Factors'!$B$13,$O147-1,V$14)*$L147+OFFSET('Trans Factors'!$B$13,$K147-1,V$14)*$H147</f>
        <v>0</v>
      </c>
      <c r="X147" s="20">
        <f ca="1">OFFSET('Trans Factors'!$B$13,$O147-1,X$14)*$L147+OFFSET('Trans Factors'!$B$13,$K147-1,X$14)*$H147</f>
        <v>0</v>
      </c>
      <c r="Y147" s="9"/>
      <c r="Z147" s="20">
        <f ca="1">OFFSET('Trans Factors'!$B$13,$O147-1,Z$14)*$L147+OFFSET('Trans Factors'!$B$13,$K147-1,Z$14)*$H147</f>
        <v>0</v>
      </c>
      <c r="AA147" s="20"/>
      <c r="AB147" s="20">
        <f ca="1">OFFSET('Trans Factors'!$B$13,$O147-1,AB$14)*$L147+OFFSET('Trans Factors'!$B$13,$K147-1,AB$14)*$H147</f>
        <v>0</v>
      </c>
      <c r="AD147" s="20">
        <f t="shared" ca="1" si="100"/>
        <v>0</v>
      </c>
      <c r="AF147" s="25" t="str">
        <f t="shared" ca="1" si="112"/>
        <v/>
      </c>
      <c r="AI147" s="93">
        <f ca="1">Function!AJ147</f>
        <v>0</v>
      </c>
      <c r="AJ147" s="100">
        <f t="shared" ca="1" si="103"/>
        <v>0</v>
      </c>
      <c r="AL147" s="50">
        <f t="shared" ca="1" si="104"/>
        <v>0</v>
      </c>
      <c r="AM147" s="50"/>
      <c r="AN147" s="50">
        <f t="shared" ca="1" si="105"/>
        <v>0</v>
      </c>
      <c r="AO147" s="50"/>
      <c r="AP147" s="50">
        <f t="shared" ca="1" si="106"/>
        <v>0</v>
      </c>
      <c r="AQ147" s="50"/>
      <c r="AR147" s="50">
        <f t="shared" ca="1" si="107"/>
        <v>0</v>
      </c>
      <c r="AS147" s="50"/>
      <c r="AT147" s="50">
        <f t="shared" ca="1" si="108"/>
        <v>0</v>
      </c>
      <c r="AU147" s="50"/>
      <c r="AV147" s="50">
        <f t="shared" ca="1" si="109"/>
        <v>0</v>
      </c>
      <c r="AW147" s="50"/>
      <c r="AX147" s="50">
        <f t="shared" ca="1" si="110"/>
        <v>0</v>
      </c>
      <c r="AZ147" s="50">
        <f t="shared" ca="1" si="111"/>
        <v>0</v>
      </c>
    </row>
    <row r="148" spans="2:52" x14ac:dyDescent="0.2">
      <c r="B148" s="18">
        <f>B147+1</f>
        <v>91</v>
      </c>
      <c r="D148" s="36" t="s">
        <v>122</v>
      </c>
      <c r="F148" s="50">
        <f ca="1">Function!T148</f>
        <v>0</v>
      </c>
      <c r="H148" s="79"/>
      <c r="K148" s="73">
        <f>_xlfn.IFNA(MATCH(J148,'Trans Factors'!$B$13:$B$450,0),0)</f>
        <v>0</v>
      </c>
      <c r="L148" s="50">
        <f t="shared" ca="1" si="99"/>
        <v>0</v>
      </c>
      <c r="O148" s="73">
        <f>_xlfn.IFNA(MATCH(N148,'Trans Factors'!$B$13:$B$450,0),0)</f>
        <v>0</v>
      </c>
      <c r="P148" s="20">
        <f ca="1">OFFSET('Trans Factors'!$B$13,$O148-1,P$14)*$L148+OFFSET('Trans Factors'!$B$13,$K148-1,P$14)*$H148</f>
        <v>0</v>
      </c>
      <c r="R148" s="20">
        <f ca="1">OFFSET('Trans Factors'!$B$13,$O148-1,R$14)*$L148+OFFSET('Trans Factors'!$B$13,$K148-1,R$14)*$H148</f>
        <v>0</v>
      </c>
      <c r="S148" s="20"/>
      <c r="T148" s="20">
        <f ca="1">OFFSET('Trans Factors'!$B$13,$O148-1,T$14)*$L148+OFFSET('Trans Factors'!$B$13,$K148-1,T$14)*$H148</f>
        <v>0</v>
      </c>
      <c r="U148" s="20"/>
      <c r="V148" s="20">
        <f ca="1">OFFSET('Trans Factors'!$B$13,$O148-1,V$14)*$L148+OFFSET('Trans Factors'!$B$13,$K148-1,V$14)*$H148</f>
        <v>0</v>
      </c>
      <c r="X148" s="20">
        <f ca="1">OFFSET('Trans Factors'!$B$13,$O148-1,X$14)*$L148+OFFSET('Trans Factors'!$B$13,$K148-1,X$14)*$H148</f>
        <v>0</v>
      </c>
      <c r="Y148" s="9"/>
      <c r="Z148" s="20">
        <f ca="1">OFFSET('Trans Factors'!$B$13,$O148-1,Z$14)*$L148+OFFSET('Trans Factors'!$B$13,$K148-1,Z$14)*$H148</f>
        <v>0</v>
      </c>
      <c r="AA148" s="20"/>
      <c r="AB148" s="20">
        <f ca="1">OFFSET('Trans Factors'!$B$13,$O148-1,AB$14)*$L148+OFFSET('Trans Factors'!$B$13,$K148-1,AB$14)*$H148</f>
        <v>0</v>
      </c>
      <c r="AD148" s="20">
        <f t="shared" ca="1" si="100"/>
        <v>0</v>
      </c>
      <c r="AF148" s="25" t="str">
        <f t="shared" ca="1" si="112"/>
        <v/>
      </c>
      <c r="AI148" s="93">
        <f ca="1">Function!AJ148</f>
        <v>0</v>
      </c>
      <c r="AJ148" s="100">
        <f t="shared" ca="1" si="103"/>
        <v>0</v>
      </c>
      <c r="AL148" s="50">
        <f t="shared" ca="1" si="104"/>
        <v>0</v>
      </c>
      <c r="AM148" s="50"/>
      <c r="AN148" s="50">
        <f t="shared" ca="1" si="105"/>
        <v>0</v>
      </c>
      <c r="AO148" s="50"/>
      <c r="AP148" s="50">
        <f t="shared" ca="1" si="106"/>
        <v>0</v>
      </c>
      <c r="AQ148" s="50"/>
      <c r="AR148" s="50">
        <f t="shared" ca="1" si="107"/>
        <v>0</v>
      </c>
      <c r="AS148" s="50"/>
      <c r="AT148" s="50">
        <f t="shared" ca="1" si="108"/>
        <v>0</v>
      </c>
      <c r="AU148" s="50"/>
      <c r="AV148" s="50">
        <f t="shared" ca="1" si="109"/>
        <v>0</v>
      </c>
      <c r="AW148" s="50"/>
      <c r="AX148" s="50">
        <f t="shared" ca="1" si="110"/>
        <v>0</v>
      </c>
      <c r="AZ148" s="50">
        <f t="shared" ca="1" si="111"/>
        <v>0</v>
      </c>
    </row>
    <row r="149" spans="2:52" x14ac:dyDescent="0.2">
      <c r="B149" s="18">
        <f t="shared" ref="B149" si="119">B148+1</f>
        <v>92</v>
      </c>
      <c r="D149" s="36" t="s">
        <v>210</v>
      </c>
      <c r="F149" s="50">
        <f ca="1">Function!T149</f>
        <v>0</v>
      </c>
      <c r="H149" s="79"/>
      <c r="K149" s="73">
        <f>_xlfn.IFNA(MATCH(J149,'Trans Factors'!$B$13:$B$450,0),0)</f>
        <v>0</v>
      </c>
      <c r="L149" s="50">
        <f t="shared" ca="1" si="99"/>
        <v>0</v>
      </c>
      <c r="O149" s="73">
        <f>_xlfn.IFNA(MATCH(N149,'Trans Factors'!$B$13:$B$450,0),0)</f>
        <v>0</v>
      </c>
      <c r="P149" s="20">
        <f ca="1">OFFSET('Trans Factors'!$B$13,$O149-1,P$14)*$L149+OFFSET('Trans Factors'!$B$13,$K149-1,P$14)*$H149</f>
        <v>0</v>
      </c>
      <c r="R149" s="20">
        <f ca="1">OFFSET('Trans Factors'!$B$13,$O149-1,R$14)*$L149+OFFSET('Trans Factors'!$B$13,$K149-1,R$14)*$H149</f>
        <v>0</v>
      </c>
      <c r="S149" s="20"/>
      <c r="T149" s="20">
        <f ca="1">OFFSET('Trans Factors'!$B$13,$O149-1,T$14)*$L149+OFFSET('Trans Factors'!$B$13,$K149-1,T$14)*$H149</f>
        <v>0</v>
      </c>
      <c r="U149" s="20"/>
      <c r="V149" s="20">
        <f ca="1">OFFSET('Trans Factors'!$B$13,$O149-1,V$14)*$L149+OFFSET('Trans Factors'!$B$13,$K149-1,V$14)*$H149</f>
        <v>0</v>
      </c>
      <c r="X149" s="20">
        <f ca="1">OFFSET('Trans Factors'!$B$13,$O149-1,X$14)*$L149+OFFSET('Trans Factors'!$B$13,$K149-1,X$14)*$H149</f>
        <v>0</v>
      </c>
      <c r="Y149" s="9"/>
      <c r="Z149" s="20">
        <f ca="1">OFFSET('Trans Factors'!$B$13,$O149-1,Z$14)*$L149+OFFSET('Trans Factors'!$B$13,$K149-1,Z$14)*$H149</f>
        <v>0</v>
      </c>
      <c r="AA149" s="20"/>
      <c r="AB149" s="20">
        <f ca="1">OFFSET('Trans Factors'!$B$13,$O149-1,AB$14)*$L149+OFFSET('Trans Factors'!$B$13,$K149-1,AB$14)*$H149</f>
        <v>0</v>
      </c>
      <c r="AD149" s="20">
        <f t="shared" ca="1" si="100"/>
        <v>0</v>
      </c>
      <c r="AF149" s="25" t="str">
        <f t="shared" ca="1" si="112"/>
        <v/>
      </c>
      <c r="AI149" s="93">
        <f ca="1">Function!AJ149</f>
        <v>0</v>
      </c>
      <c r="AJ149" s="100">
        <f t="shared" ca="1" si="103"/>
        <v>0</v>
      </c>
      <c r="AL149" s="50">
        <f t="shared" ca="1" si="104"/>
        <v>0</v>
      </c>
      <c r="AM149" s="50"/>
      <c r="AN149" s="50">
        <f t="shared" ca="1" si="105"/>
        <v>0</v>
      </c>
      <c r="AO149" s="50"/>
      <c r="AP149" s="50">
        <f t="shared" ca="1" si="106"/>
        <v>0</v>
      </c>
      <c r="AQ149" s="50"/>
      <c r="AR149" s="50">
        <f t="shared" ca="1" si="107"/>
        <v>0</v>
      </c>
      <c r="AS149" s="50"/>
      <c r="AT149" s="50">
        <f t="shared" ca="1" si="108"/>
        <v>0</v>
      </c>
      <c r="AU149" s="50"/>
      <c r="AV149" s="50">
        <f t="shared" ca="1" si="109"/>
        <v>0</v>
      </c>
      <c r="AW149" s="50"/>
      <c r="AX149" s="50">
        <f t="shared" ca="1" si="110"/>
        <v>0</v>
      </c>
      <c r="AZ149" s="50">
        <f t="shared" ca="1" si="111"/>
        <v>0</v>
      </c>
    </row>
    <row r="150" spans="2:52" x14ac:dyDescent="0.2">
      <c r="D150" s="1" t="s">
        <v>72</v>
      </c>
      <c r="K150" s="73"/>
      <c r="O150" s="73"/>
      <c r="AF150" s="25" t="str">
        <f t="shared" si="112"/>
        <v/>
      </c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Z150" s="50"/>
    </row>
    <row r="151" spans="2:52" x14ac:dyDescent="0.2">
      <c r="B151" s="18">
        <f>B149+1</f>
        <v>93</v>
      </c>
      <c r="D151" s="36" t="s">
        <v>171</v>
      </c>
      <c r="F151" s="50">
        <f ca="1">Function!T151</f>
        <v>0</v>
      </c>
      <c r="H151" s="79"/>
      <c r="K151" s="73">
        <f>_xlfn.IFNA(MATCH(J151,'Trans Factors'!$B$13:$B$450,0),0)</f>
        <v>0</v>
      </c>
      <c r="L151" s="50">
        <f t="shared" ca="1" si="99"/>
        <v>0</v>
      </c>
      <c r="N151" s="18"/>
      <c r="O151" s="73">
        <f>_xlfn.IFNA(MATCH(N151,'Trans Factors'!$B$13:$B$450,0),0)</f>
        <v>0</v>
      </c>
      <c r="P151" s="20">
        <f ca="1">OFFSET('Trans Factors'!$B$13,$O151-1,P$14)*$L151+OFFSET('Trans Factors'!$B$13,$K151-1,P$14)*$H151</f>
        <v>0</v>
      </c>
      <c r="R151" s="20">
        <f ca="1">OFFSET('Trans Factors'!$B$13,$O151-1,R$14)*$L151+OFFSET('Trans Factors'!$B$13,$K151-1,R$14)*$H151</f>
        <v>0</v>
      </c>
      <c r="S151" s="20"/>
      <c r="T151" s="20">
        <f ca="1">OFFSET('Trans Factors'!$B$13,$O151-1,T$14)*$L151+OFFSET('Trans Factors'!$B$13,$K151-1,T$14)*$H151</f>
        <v>0</v>
      </c>
      <c r="U151" s="20"/>
      <c r="V151" s="20">
        <f ca="1">OFFSET('Trans Factors'!$B$13,$O151-1,V$14)*$L151+OFFSET('Trans Factors'!$B$13,$K151-1,V$14)*$H151</f>
        <v>0</v>
      </c>
      <c r="X151" s="20">
        <f ca="1">OFFSET('Trans Factors'!$B$13,$O151-1,X$14)*$L151+OFFSET('Trans Factors'!$B$13,$K151-1,X$14)*$H151</f>
        <v>0</v>
      </c>
      <c r="Y151" s="9"/>
      <c r="Z151" s="20">
        <f ca="1">OFFSET('Trans Factors'!$B$13,$O151-1,Z$14)*$L151+OFFSET('Trans Factors'!$B$13,$K151-1,Z$14)*$H151</f>
        <v>0</v>
      </c>
      <c r="AA151" s="20"/>
      <c r="AB151" s="20">
        <f ca="1">OFFSET('Trans Factors'!$B$13,$O151-1,AB$14)*$L151+OFFSET('Trans Factors'!$B$13,$K151-1,AB$14)*$H151</f>
        <v>0</v>
      </c>
      <c r="AD151" s="20">
        <f t="shared" ca="1" si="100"/>
        <v>0</v>
      </c>
      <c r="AF151" s="25" t="str">
        <f t="shared" ca="1" si="112"/>
        <v/>
      </c>
      <c r="AI151" s="93">
        <f>Function!AJ151</f>
        <v>0</v>
      </c>
      <c r="AJ151" s="100">
        <f t="shared" ca="1" si="103"/>
        <v>0</v>
      </c>
      <c r="AL151" s="50">
        <f t="shared" ca="1" si="104"/>
        <v>0</v>
      </c>
      <c r="AM151" s="50"/>
      <c r="AN151" s="50">
        <f t="shared" ca="1" si="105"/>
        <v>0</v>
      </c>
      <c r="AO151" s="50"/>
      <c r="AP151" s="50">
        <f t="shared" ca="1" si="106"/>
        <v>0</v>
      </c>
      <c r="AQ151" s="50"/>
      <c r="AR151" s="50">
        <f t="shared" ca="1" si="107"/>
        <v>0</v>
      </c>
      <c r="AS151" s="50"/>
      <c r="AT151" s="50">
        <f t="shared" ca="1" si="108"/>
        <v>0</v>
      </c>
      <c r="AU151" s="50"/>
      <c r="AV151" s="50">
        <f t="shared" ca="1" si="109"/>
        <v>0</v>
      </c>
      <c r="AW151" s="50"/>
      <c r="AX151" s="50">
        <f t="shared" ca="1" si="110"/>
        <v>0</v>
      </c>
      <c r="AZ151" s="50">
        <f t="shared" ca="1" si="111"/>
        <v>0</v>
      </c>
    </row>
    <row r="152" spans="2:52" x14ac:dyDescent="0.2">
      <c r="B152" s="18">
        <f>B151+1</f>
        <v>94</v>
      </c>
      <c r="D152" s="36" t="s">
        <v>211</v>
      </c>
      <c r="F152" s="50">
        <f ca="1">Function!T152</f>
        <v>0</v>
      </c>
      <c r="H152" s="79"/>
      <c r="K152" s="73">
        <f>_xlfn.IFNA(MATCH(J152,'Trans Factors'!$B$13:$B$450,0),0)</f>
        <v>0</v>
      </c>
      <c r="L152" s="50">
        <f t="shared" ca="1" si="99"/>
        <v>0</v>
      </c>
      <c r="O152" s="73">
        <f>_xlfn.IFNA(MATCH(N152,'Trans Factors'!$B$13:$B$450,0),0)</f>
        <v>0</v>
      </c>
      <c r="P152" s="20">
        <f ca="1">OFFSET('Trans Factors'!$B$13,$O152-1,P$14)*$L152+OFFSET('Trans Factors'!$B$13,$K152-1,P$14)*$H152</f>
        <v>0</v>
      </c>
      <c r="R152" s="20">
        <f ca="1">OFFSET('Trans Factors'!$B$13,$O152-1,R$14)*$L152+OFFSET('Trans Factors'!$B$13,$K152-1,R$14)*$H152</f>
        <v>0</v>
      </c>
      <c r="S152" s="20"/>
      <c r="T152" s="20">
        <f ca="1">OFFSET('Trans Factors'!$B$13,$O152-1,T$14)*$L152+OFFSET('Trans Factors'!$B$13,$K152-1,T$14)*$H152</f>
        <v>0</v>
      </c>
      <c r="U152" s="20"/>
      <c r="V152" s="20">
        <f ca="1">OFFSET('Trans Factors'!$B$13,$O152-1,V$14)*$L152+OFFSET('Trans Factors'!$B$13,$K152-1,V$14)*$H152</f>
        <v>0</v>
      </c>
      <c r="X152" s="20">
        <f ca="1">OFFSET('Trans Factors'!$B$13,$O152-1,X$14)*$L152+OFFSET('Trans Factors'!$B$13,$K152-1,X$14)*$H152</f>
        <v>0</v>
      </c>
      <c r="Y152" s="9"/>
      <c r="Z152" s="20">
        <f ca="1">OFFSET('Trans Factors'!$B$13,$O152-1,Z$14)*$L152+OFFSET('Trans Factors'!$B$13,$K152-1,Z$14)*$H152</f>
        <v>0</v>
      </c>
      <c r="AA152" s="20"/>
      <c r="AB152" s="20">
        <f ca="1">OFFSET('Trans Factors'!$B$13,$O152-1,AB$14)*$L152+OFFSET('Trans Factors'!$B$13,$K152-1,AB$14)*$H152</f>
        <v>0</v>
      </c>
      <c r="AD152" s="20">
        <f t="shared" ca="1" si="100"/>
        <v>0</v>
      </c>
      <c r="AF152" s="25" t="str">
        <f t="shared" ca="1" si="112"/>
        <v/>
      </c>
      <c r="AI152" s="93">
        <f ca="1">Function!AJ152</f>
        <v>0</v>
      </c>
      <c r="AJ152" s="100">
        <f t="shared" ca="1" si="103"/>
        <v>0</v>
      </c>
      <c r="AL152" s="50">
        <f t="shared" ca="1" si="104"/>
        <v>0</v>
      </c>
      <c r="AM152" s="50"/>
      <c r="AN152" s="50">
        <f t="shared" ca="1" si="105"/>
        <v>0</v>
      </c>
      <c r="AO152" s="50"/>
      <c r="AP152" s="50">
        <f t="shared" ca="1" si="106"/>
        <v>0</v>
      </c>
      <c r="AQ152" s="50"/>
      <c r="AR152" s="50">
        <f t="shared" ca="1" si="107"/>
        <v>0</v>
      </c>
      <c r="AS152" s="50"/>
      <c r="AT152" s="50">
        <f t="shared" ca="1" si="108"/>
        <v>0</v>
      </c>
      <c r="AU152" s="50"/>
      <c r="AV152" s="50">
        <f t="shared" ca="1" si="109"/>
        <v>0</v>
      </c>
      <c r="AW152" s="50"/>
      <c r="AX152" s="50">
        <f t="shared" ca="1" si="110"/>
        <v>0</v>
      </c>
      <c r="AZ152" s="50">
        <f t="shared" ca="1" si="111"/>
        <v>0</v>
      </c>
    </row>
    <row r="153" spans="2:52" x14ac:dyDescent="0.2">
      <c r="B153" s="18">
        <f>B152+1</f>
        <v>95</v>
      </c>
      <c r="D153" s="36" t="s">
        <v>172</v>
      </c>
      <c r="F153" s="50">
        <f ca="1">Function!T153</f>
        <v>0</v>
      </c>
      <c r="H153" s="79"/>
      <c r="K153" s="73">
        <f>_xlfn.IFNA(MATCH(J153,'Trans Factors'!$B$13:$B$450,0),0)</f>
        <v>0</v>
      </c>
      <c r="L153" s="50">
        <f t="shared" ca="1" si="99"/>
        <v>0</v>
      </c>
      <c r="O153" s="73">
        <f>_xlfn.IFNA(MATCH(N153,'Trans Factors'!$B$13:$B$450,0),0)</f>
        <v>0</v>
      </c>
      <c r="P153" s="20">
        <f ca="1">OFFSET('Trans Factors'!$B$13,$O153-1,P$14)*$L153+OFFSET('Trans Factors'!$B$13,$K153-1,P$14)*$H153</f>
        <v>0</v>
      </c>
      <c r="R153" s="20">
        <f ca="1">OFFSET('Trans Factors'!$B$13,$O153-1,R$14)*$L153+OFFSET('Trans Factors'!$B$13,$K153-1,R$14)*$H153</f>
        <v>0</v>
      </c>
      <c r="S153" s="20"/>
      <c r="T153" s="20">
        <f ca="1">OFFSET('Trans Factors'!$B$13,$O153-1,T$14)*$L153+OFFSET('Trans Factors'!$B$13,$K153-1,T$14)*$H153</f>
        <v>0</v>
      </c>
      <c r="U153" s="20"/>
      <c r="V153" s="20">
        <f ca="1">OFFSET('Trans Factors'!$B$13,$O153-1,V$14)*$L153+OFFSET('Trans Factors'!$B$13,$K153-1,V$14)*$H153</f>
        <v>0</v>
      </c>
      <c r="X153" s="20">
        <f ca="1">OFFSET('Trans Factors'!$B$13,$O153-1,X$14)*$L153+OFFSET('Trans Factors'!$B$13,$K153-1,X$14)*$H153</f>
        <v>0</v>
      </c>
      <c r="Y153" s="9"/>
      <c r="Z153" s="20">
        <f ca="1">OFFSET('Trans Factors'!$B$13,$O153-1,Z$14)*$L153+OFFSET('Trans Factors'!$B$13,$K153-1,Z$14)*$H153</f>
        <v>0</v>
      </c>
      <c r="AA153" s="20"/>
      <c r="AB153" s="20">
        <f ca="1">OFFSET('Trans Factors'!$B$13,$O153-1,AB$14)*$L153+OFFSET('Trans Factors'!$B$13,$K153-1,AB$14)*$H153</f>
        <v>0</v>
      </c>
      <c r="AD153" s="20">
        <f t="shared" ca="1" si="100"/>
        <v>0</v>
      </c>
      <c r="AF153" s="25" t="str">
        <f t="shared" ca="1" si="112"/>
        <v/>
      </c>
      <c r="AI153" s="93">
        <f ca="1">Function!AJ153</f>
        <v>0</v>
      </c>
      <c r="AJ153" s="100">
        <f t="shared" ca="1" si="103"/>
        <v>0</v>
      </c>
      <c r="AL153" s="50">
        <f t="shared" ca="1" si="104"/>
        <v>0</v>
      </c>
      <c r="AM153" s="50"/>
      <c r="AN153" s="50">
        <f t="shared" ca="1" si="105"/>
        <v>0</v>
      </c>
      <c r="AO153" s="50"/>
      <c r="AP153" s="50">
        <f t="shared" ca="1" si="106"/>
        <v>0</v>
      </c>
      <c r="AQ153" s="50"/>
      <c r="AR153" s="50">
        <f t="shared" ca="1" si="107"/>
        <v>0</v>
      </c>
      <c r="AS153" s="50"/>
      <c r="AT153" s="50">
        <f t="shared" ca="1" si="108"/>
        <v>0</v>
      </c>
      <c r="AU153" s="50"/>
      <c r="AV153" s="50">
        <f t="shared" ca="1" si="109"/>
        <v>0</v>
      </c>
      <c r="AW153" s="50"/>
      <c r="AX153" s="50">
        <f t="shared" ca="1" si="110"/>
        <v>0</v>
      </c>
      <c r="AZ153" s="50">
        <f t="shared" ca="1" si="111"/>
        <v>0</v>
      </c>
    </row>
    <row r="154" spans="2:52" x14ac:dyDescent="0.2">
      <c r="B154" s="18">
        <f t="shared" ref="B154:B157" si="120">B153+1</f>
        <v>96</v>
      </c>
      <c r="D154" s="36" t="s">
        <v>173</v>
      </c>
      <c r="F154" s="50">
        <f ca="1">Function!T154</f>
        <v>0</v>
      </c>
      <c r="H154" s="79"/>
      <c r="K154" s="73">
        <f>_xlfn.IFNA(MATCH(J154,'Trans Factors'!$B$13:$B$450,0),0)</f>
        <v>0</v>
      </c>
      <c r="L154" s="50">
        <f t="shared" ca="1" si="99"/>
        <v>0</v>
      </c>
      <c r="O154" s="73">
        <f>_xlfn.IFNA(MATCH(N154,'Trans Factors'!$B$13:$B$450,0),0)</f>
        <v>0</v>
      </c>
      <c r="P154" s="20">
        <f ca="1">OFFSET('Trans Factors'!$B$13,$O154-1,P$14)*$L154+OFFSET('Trans Factors'!$B$13,$K154-1,P$14)*$H154</f>
        <v>0</v>
      </c>
      <c r="R154" s="20">
        <f ca="1">OFFSET('Trans Factors'!$B$13,$O154-1,R$14)*$L154+OFFSET('Trans Factors'!$B$13,$K154-1,R$14)*$H154</f>
        <v>0</v>
      </c>
      <c r="S154" s="20"/>
      <c r="T154" s="20">
        <f ca="1">OFFSET('Trans Factors'!$B$13,$O154-1,T$14)*$L154+OFFSET('Trans Factors'!$B$13,$K154-1,T$14)*$H154</f>
        <v>0</v>
      </c>
      <c r="U154" s="20"/>
      <c r="V154" s="20">
        <f ca="1">OFFSET('Trans Factors'!$B$13,$O154-1,V$14)*$L154+OFFSET('Trans Factors'!$B$13,$K154-1,V$14)*$H154</f>
        <v>0</v>
      </c>
      <c r="X154" s="20">
        <f ca="1">OFFSET('Trans Factors'!$B$13,$O154-1,X$14)*$L154+OFFSET('Trans Factors'!$B$13,$K154-1,X$14)*$H154</f>
        <v>0</v>
      </c>
      <c r="Y154" s="9"/>
      <c r="Z154" s="20">
        <f ca="1">OFFSET('Trans Factors'!$B$13,$O154-1,Z$14)*$L154+OFFSET('Trans Factors'!$B$13,$K154-1,Z$14)*$H154</f>
        <v>0</v>
      </c>
      <c r="AA154" s="20"/>
      <c r="AB154" s="20">
        <f ca="1">OFFSET('Trans Factors'!$B$13,$O154-1,AB$14)*$L154+OFFSET('Trans Factors'!$B$13,$K154-1,AB$14)*$H154</f>
        <v>0</v>
      </c>
      <c r="AD154" s="20">
        <f t="shared" ca="1" si="100"/>
        <v>0</v>
      </c>
      <c r="AF154" s="25" t="str">
        <f t="shared" ca="1" si="112"/>
        <v/>
      </c>
      <c r="AI154" s="93">
        <f ca="1">Function!AJ154</f>
        <v>0</v>
      </c>
      <c r="AJ154" s="100">
        <f t="shared" ca="1" si="103"/>
        <v>0</v>
      </c>
      <c r="AL154" s="50">
        <f t="shared" ca="1" si="104"/>
        <v>0</v>
      </c>
      <c r="AM154" s="50"/>
      <c r="AN154" s="50">
        <f t="shared" ca="1" si="105"/>
        <v>0</v>
      </c>
      <c r="AO154" s="50"/>
      <c r="AP154" s="50">
        <f t="shared" ca="1" si="106"/>
        <v>0</v>
      </c>
      <c r="AQ154" s="50"/>
      <c r="AR154" s="50">
        <f t="shared" ca="1" si="107"/>
        <v>0</v>
      </c>
      <c r="AS154" s="50"/>
      <c r="AT154" s="50">
        <f t="shared" ca="1" si="108"/>
        <v>0</v>
      </c>
      <c r="AU154" s="50"/>
      <c r="AV154" s="50">
        <f t="shared" ca="1" si="109"/>
        <v>0</v>
      </c>
      <c r="AW154" s="50"/>
      <c r="AX154" s="50">
        <f t="shared" ca="1" si="110"/>
        <v>0</v>
      </c>
      <c r="AZ154" s="50">
        <f t="shared" ca="1" si="111"/>
        <v>0</v>
      </c>
    </row>
    <row r="155" spans="2:52" x14ac:dyDescent="0.2">
      <c r="B155" s="18">
        <f t="shared" si="120"/>
        <v>97</v>
      </c>
      <c r="D155" s="36" t="s">
        <v>174</v>
      </c>
      <c r="F155" s="50">
        <f ca="1">Function!T155</f>
        <v>0</v>
      </c>
      <c r="H155" s="79"/>
      <c r="K155" s="73">
        <f>_xlfn.IFNA(MATCH(J155,'Trans Factors'!$B$13:$B$450,0),0)</f>
        <v>0</v>
      </c>
      <c r="L155" s="50">
        <f t="shared" ca="1" si="99"/>
        <v>0</v>
      </c>
      <c r="O155" s="73">
        <f>_xlfn.IFNA(MATCH(N155,'Trans Factors'!$B$13:$B$450,0),0)</f>
        <v>0</v>
      </c>
      <c r="P155" s="20">
        <f ca="1">OFFSET('Trans Factors'!$B$13,$O155-1,P$14)*$L155+OFFSET('Trans Factors'!$B$13,$K155-1,P$14)*$H155</f>
        <v>0</v>
      </c>
      <c r="R155" s="20">
        <f ca="1">OFFSET('Trans Factors'!$B$13,$O155-1,R$14)*$L155+OFFSET('Trans Factors'!$B$13,$K155-1,R$14)*$H155</f>
        <v>0</v>
      </c>
      <c r="S155" s="20"/>
      <c r="T155" s="20">
        <f ca="1">OFFSET('Trans Factors'!$B$13,$O155-1,T$14)*$L155+OFFSET('Trans Factors'!$B$13,$K155-1,T$14)*$H155</f>
        <v>0</v>
      </c>
      <c r="U155" s="20"/>
      <c r="V155" s="20">
        <f ca="1">OFFSET('Trans Factors'!$B$13,$O155-1,V$14)*$L155+OFFSET('Trans Factors'!$B$13,$K155-1,V$14)*$H155</f>
        <v>0</v>
      </c>
      <c r="X155" s="20">
        <f ca="1">OFFSET('Trans Factors'!$B$13,$O155-1,X$14)*$L155+OFFSET('Trans Factors'!$B$13,$K155-1,X$14)*$H155</f>
        <v>0</v>
      </c>
      <c r="Y155" s="9"/>
      <c r="Z155" s="20">
        <f ca="1">OFFSET('Trans Factors'!$B$13,$O155-1,Z$14)*$L155+OFFSET('Trans Factors'!$B$13,$K155-1,Z$14)*$H155</f>
        <v>0</v>
      </c>
      <c r="AA155" s="20"/>
      <c r="AB155" s="20">
        <f ca="1">OFFSET('Trans Factors'!$B$13,$O155-1,AB$14)*$L155+OFFSET('Trans Factors'!$B$13,$K155-1,AB$14)*$H155</f>
        <v>0</v>
      </c>
      <c r="AD155" s="20">
        <f t="shared" ca="1" si="100"/>
        <v>0</v>
      </c>
      <c r="AF155" s="25" t="str">
        <f t="shared" ca="1" si="112"/>
        <v/>
      </c>
      <c r="AI155" s="93">
        <f ca="1">Function!AJ155</f>
        <v>0</v>
      </c>
      <c r="AJ155" s="100">
        <f t="shared" ca="1" si="103"/>
        <v>0</v>
      </c>
      <c r="AL155" s="50">
        <f t="shared" ca="1" si="104"/>
        <v>0</v>
      </c>
      <c r="AM155" s="50"/>
      <c r="AN155" s="50">
        <f t="shared" ca="1" si="105"/>
        <v>0</v>
      </c>
      <c r="AO155" s="50"/>
      <c r="AP155" s="50">
        <f t="shared" ca="1" si="106"/>
        <v>0</v>
      </c>
      <c r="AQ155" s="50"/>
      <c r="AR155" s="50">
        <f t="shared" ca="1" si="107"/>
        <v>0</v>
      </c>
      <c r="AS155" s="50"/>
      <c r="AT155" s="50">
        <f t="shared" ca="1" si="108"/>
        <v>0</v>
      </c>
      <c r="AU155" s="50"/>
      <c r="AV155" s="50">
        <f t="shared" ca="1" si="109"/>
        <v>0</v>
      </c>
      <c r="AW155" s="50"/>
      <c r="AX155" s="50">
        <f t="shared" ca="1" si="110"/>
        <v>0</v>
      </c>
      <c r="AZ155" s="50">
        <f t="shared" ca="1" si="111"/>
        <v>0</v>
      </c>
    </row>
    <row r="156" spans="2:52" x14ac:dyDescent="0.2">
      <c r="B156" s="18">
        <f t="shared" si="120"/>
        <v>98</v>
      </c>
      <c r="D156" s="36" t="s">
        <v>175</v>
      </c>
      <c r="F156" s="50">
        <f ca="1">Function!T156</f>
        <v>0</v>
      </c>
      <c r="H156" s="79"/>
      <c r="K156" s="73">
        <f>_xlfn.IFNA(MATCH(J156,'Trans Factors'!$B$13:$B$450,0),0)</f>
        <v>0</v>
      </c>
      <c r="L156" s="50">
        <f t="shared" ca="1" si="99"/>
        <v>0</v>
      </c>
      <c r="O156" s="73">
        <f>_xlfn.IFNA(MATCH(N156,'Trans Factors'!$B$13:$B$450,0),0)</f>
        <v>0</v>
      </c>
      <c r="P156" s="20">
        <f ca="1">OFFSET('Trans Factors'!$B$13,$O156-1,P$14)*$L156+OFFSET('Trans Factors'!$B$13,$K156-1,P$14)*$H156</f>
        <v>0</v>
      </c>
      <c r="R156" s="20">
        <f ca="1">OFFSET('Trans Factors'!$B$13,$O156-1,R$14)*$L156+OFFSET('Trans Factors'!$B$13,$K156-1,R$14)*$H156</f>
        <v>0</v>
      </c>
      <c r="S156" s="20"/>
      <c r="T156" s="20">
        <f ca="1">OFFSET('Trans Factors'!$B$13,$O156-1,T$14)*$L156+OFFSET('Trans Factors'!$B$13,$K156-1,T$14)*$H156</f>
        <v>0</v>
      </c>
      <c r="U156" s="20"/>
      <c r="V156" s="20">
        <f ca="1">OFFSET('Trans Factors'!$B$13,$O156-1,V$14)*$L156+OFFSET('Trans Factors'!$B$13,$K156-1,V$14)*$H156</f>
        <v>0</v>
      </c>
      <c r="X156" s="20">
        <f ca="1">OFFSET('Trans Factors'!$B$13,$O156-1,X$14)*$L156+OFFSET('Trans Factors'!$B$13,$K156-1,X$14)*$H156</f>
        <v>0</v>
      </c>
      <c r="Y156" s="9"/>
      <c r="Z156" s="20">
        <f ca="1">OFFSET('Trans Factors'!$B$13,$O156-1,Z$14)*$L156+OFFSET('Trans Factors'!$B$13,$K156-1,Z$14)*$H156</f>
        <v>0</v>
      </c>
      <c r="AA156" s="20"/>
      <c r="AB156" s="20">
        <f ca="1">OFFSET('Trans Factors'!$B$13,$O156-1,AB$14)*$L156+OFFSET('Trans Factors'!$B$13,$K156-1,AB$14)*$H156</f>
        <v>0</v>
      </c>
      <c r="AD156" s="20">
        <f t="shared" ca="1" si="100"/>
        <v>0</v>
      </c>
      <c r="AF156" s="25" t="str">
        <f t="shared" ca="1" si="112"/>
        <v/>
      </c>
      <c r="AI156" s="93">
        <f ca="1">Function!AJ156</f>
        <v>0</v>
      </c>
      <c r="AJ156" s="100">
        <f t="shared" ca="1" si="103"/>
        <v>0</v>
      </c>
      <c r="AL156" s="50">
        <f t="shared" ca="1" si="104"/>
        <v>0</v>
      </c>
      <c r="AM156" s="50"/>
      <c r="AN156" s="50">
        <f t="shared" ca="1" si="105"/>
        <v>0</v>
      </c>
      <c r="AO156" s="50"/>
      <c r="AP156" s="50">
        <f t="shared" ca="1" si="106"/>
        <v>0</v>
      </c>
      <c r="AQ156" s="50"/>
      <c r="AR156" s="50">
        <f t="shared" ca="1" si="107"/>
        <v>0</v>
      </c>
      <c r="AS156" s="50"/>
      <c r="AT156" s="50">
        <f t="shared" ca="1" si="108"/>
        <v>0</v>
      </c>
      <c r="AU156" s="50"/>
      <c r="AV156" s="50">
        <f t="shared" ca="1" si="109"/>
        <v>0</v>
      </c>
      <c r="AW156" s="50"/>
      <c r="AX156" s="50">
        <f t="shared" ca="1" si="110"/>
        <v>0</v>
      </c>
      <c r="AZ156" s="50">
        <f t="shared" ca="1" si="111"/>
        <v>0</v>
      </c>
    </row>
    <row r="157" spans="2:52" x14ac:dyDescent="0.2">
      <c r="B157" s="18">
        <f t="shared" si="120"/>
        <v>99</v>
      </c>
      <c r="D157" s="36" t="s">
        <v>176</v>
      </c>
      <c r="F157" s="50">
        <f ca="1">Function!T157</f>
        <v>0</v>
      </c>
      <c r="H157" s="79"/>
      <c r="K157" s="73">
        <f>_xlfn.IFNA(MATCH(J157,'Trans Factors'!$B$13:$B$450,0),0)</f>
        <v>0</v>
      </c>
      <c r="L157" s="50">
        <f t="shared" ca="1" si="99"/>
        <v>0</v>
      </c>
      <c r="O157" s="73">
        <f>_xlfn.IFNA(MATCH(N157,'Trans Factors'!$B$13:$B$450,0),0)</f>
        <v>0</v>
      </c>
      <c r="P157" s="20">
        <f ca="1">OFFSET('Trans Factors'!$B$13,$O157-1,P$14)*$L157+OFFSET('Trans Factors'!$B$13,$K157-1,P$14)*$H157</f>
        <v>0</v>
      </c>
      <c r="R157" s="20">
        <f ca="1">OFFSET('Trans Factors'!$B$13,$O157-1,R$14)*$L157+OFFSET('Trans Factors'!$B$13,$K157-1,R$14)*$H157</f>
        <v>0</v>
      </c>
      <c r="S157" s="20"/>
      <c r="T157" s="20">
        <f ca="1">OFFSET('Trans Factors'!$B$13,$O157-1,T$14)*$L157+OFFSET('Trans Factors'!$B$13,$K157-1,T$14)*$H157</f>
        <v>0</v>
      </c>
      <c r="U157" s="20"/>
      <c r="V157" s="20">
        <f ca="1">OFFSET('Trans Factors'!$B$13,$O157-1,V$14)*$L157+OFFSET('Trans Factors'!$B$13,$K157-1,V$14)*$H157</f>
        <v>0</v>
      </c>
      <c r="X157" s="20">
        <f ca="1">OFFSET('Trans Factors'!$B$13,$O157-1,X$14)*$L157+OFFSET('Trans Factors'!$B$13,$K157-1,X$14)*$H157</f>
        <v>0</v>
      </c>
      <c r="Y157" s="9"/>
      <c r="Z157" s="20">
        <f ca="1">OFFSET('Trans Factors'!$B$13,$O157-1,Z$14)*$L157+OFFSET('Trans Factors'!$B$13,$K157-1,Z$14)*$H157</f>
        <v>0</v>
      </c>
      <c r="AA157" s="20"/>
      <c r="AB157" s="20">
        <f ca="1">OFFSET('Trans Factors'!$B$13,$O157-1,AB$14)*$L157+OFFSET('Trans Factors'!$B$13,$K157-1,AB$14)*$H157</f>
        <v>0</v>
      </c>
      <c r="AD157" s="20">
        <f t="shared" ca="1" si="100"/>
        <v>0</v>
      </c>
      <c r="AF157" s="25" t="str">
        <f t="shared" ca="1" si="112"/>
        <v/>
      </c>
      <c r="AI157" s="93">
        <f ca="1">Function!AJ157</f>
        <v>0</v>
      </c>
      <c r="AJ157" s="100">
        <f t="shared" ca="1" si="103"/>
        <v>0</v>
      </c>
      <c r="AL157" s="50">
        <f t="shared" ca="1" si="104"/>
        <v>0</v>
      </c>
      <c r="AM157" s="50"/>
      <c r="AN157" s="50">
        <f t="shared" ca="1" si="105"/>
        <v>0</v>
      </c>
      <c r="AO157" s="50"/>
      <c r="AP157" s="50">
        <f t="shared" ca="1" si="106"/>
        <v>0</v>
      </c>
      <c r="AQ157" s="50"/>
      <c r="AR157" s="50">
        <f t="shared" ca="1" si="107"/>
        <v>0</v>
      </c>
      <c r="AS157" s="50"/>
      <c r="AT157" s="50">
        <f t="shared" ca="1" si="108"/>
        <v>0</v>
      </c>
      <c r="AU157" s="50"/>
      <c r="AV157" s="50">
        <f t="shared" ca="1" si="109"/>
        <v>0</v>
      </c>
      <c r="AW157" s="50"/>
      <c r="AX157" s="50">
        <f t="shared" ca="1" si="110"/>
        <v>0</v>
      </c>
      <c r="AZ157" s="50">
        <f t="shared" ca="1" si="111"/>
        <v>0</v>
      </c>
    </row>
    <row r="158" spans="2:52" x14ac:dyDescent="0.2">
      <c r="D158" s="1" t="s">
        <v>212</v>
      </c>
      <c r="K158" s="73"/>
      <c r="O158" s="73"/>
      <c r="AF158" s="25" t="str">
        <f t="shared" si="112"/>
        <v/>
      </c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Z158" s="50"/>
    </row>
    <row r="159" spans="2:52" x14ac:dyDescent="0.2">
      <c r="B159" s="18">
        <f>B157+1</f>
        <v>100</v>
      </c>
      <c r="D159" s="36" t="s">
        <v>87</v>
      </c>
      <c r="F159" s="50">
        <f ca="1">Function!T159</f>
        <v>12393.267122205594</v>
      </c>
      <c r="H159" s="79"/>
      <c r="K159" s="73">
        <f>_xlfn.IFNA(MATCH(J159,'Trans Factors'!$B$13:$B$450,0),0)</f>
        <v>0</v>
      </c>
      <c r="L159" s="50">
        <f t="shared" ca="1" si="99"/>
        <v>12393.267122205594</v>
      </c>
      <c r="N159" s="18" t="s">
        <v>228</v>
      </c>
      <c r="O159" s="73">
        <f>_xlfn.IFNA(MATCH(N159,'Trans Factors'!$B$13:$B$450,0),0)</f>
        <v>26</v>
      </c>
      <c r="P159" s="20">
        <f ca="1">OFFSET('Trans Factors'!$B$13,$O159-1,P$14)*$L159+OFFSET('Trans Factors'!$B$13,$K159-1,P$14)*$H159</f>
        <v>622.2750881246144</v>
      </c>
      <c r="R159" s="20">
        <f ca="1">OFFSET('Trans Factors'!$B$13,$O159-1,R$14)*$L159+OFFSET('Trans Factors'!$B$13,$K159-1,R$14)*$H159</f>
        <v>102.19508532059669</v>
      </c>
      <c r="S159" s="20"/>
      <c r="T159" s="20">
        <f ca="1">OFFSET('Trans Factors'!$B$13,$O159-1,T$14)*$L159+OFFSET('Trans Factors'!$B$13,$K159-1,T$14)*$H159</f>
        <v>1712.5079687339639</v>
      </c>
      <c r="U159" s="20"/>
      <c r="V159" s="20">
        <f ca="1">OFFSET('Trans Factors'!$B$13,$O159-1,V$14)*$L159+OFFSET('Trans Factors'!$B$13,$K159-1,V$14)*$H159</f>
        <v>7159.58134422898</v>
      </c>
      <c r="X159" s="20">
        <f ca="1">OFFSET('Trans Factors'!$B$13,$O159-1,X$14)*$L159+OFFSET('Trans Factors'!$B$13,$K159-1,X$14)*$H159</f>
        <v>821.92342627756375</v>
      </c>
      <c r="Y159" s="9"/>
      <c r="Z159" s="20">
        <f ca="1">OFFSET('Trans Factors'!$B$13,$O159-1,Z$14)*$L159+OFFSET('Trans Factors'!$B$13,$K159-1,Z$14)*$H159</f>
        <v>1974.784209519875</v>
      </c>
      <c r="AA159" s="20"/>
      <c r="AB159" s="20">
        <f ca="1">OFFSET('Trans Factors'!$B$13,$O159-1,AB$14)*$L159+OFFSET('Trans Factors'!$B$13,$K159-1,AB$14)*$H159</f>
        <v>0</v>
      </c>
      <c r="AD159" s="20">
        <f t="shared" ca="1" si="100"/>
        <v>12393.267122205594</v>
      </c>
      <c r="AF159" s="25" t="str">
        <f ca="1">IF(ROUND(F159,4)=ROUND(AD159,4), "", "check")</f>
        <v/>
      </c>
      <c r="AI159" s="93"/>
      <c r="AJ159" s="100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Z159" s="50"/>
    </row>
    <row r="160" spans="2:52" x14ac:dyDescent="0.2">
      <c r="B160" s="18">
        <f>B159+1</f>
        <v>101</v>
      </c>
      <c r="D160" s="36" t="s">
        <v>213</v>
      </c>
      <c r="F160" s="50">
        <f ca="1">Function!T160</f>
        <v>15289.379593203619</v>
      </c>
      <c r="H160" s="38"/>
      <c r="K160" s="73">
        <f>_xlfn.IFNA(MATCH(J160,'Trans Factors'!$B$13:$B$450,0),0)</f>
        <v>0</v>
      </c>
      <c r="L160" s="50">
        <f t="shared" ca="1" si="99"/>
        <v>15289.379593203619</v>
      </c>
      <c r="N160" s="18" t="s">
        <v>269</v>
      </c>
      <c r="O160" s="73">
        <f>_xlfn.IFNA(MATCH(N160,'Trans Factors'!$B$13:$B$450,0),0)</f>
        <v>56</v>
      </c>
      <c r="P160" s="22">
        <f ca="1">OFFSET('Trans Factors'!$B$13,$O160-1,P$14)*$L160+OFFSET('Trans Factors'!$B$13,$K160-1,P$14)*$H160</f>
        <v>707.45307143123716</v>
      </c>
      <c r="R160" s="22">
        <f ca="1">OFFSET('Trans Factors'!$B$13,$O160-1,R$14)*$L160+OFFSET('Trans Factors'!$B$13,$K160-1,R$14)*$H160</f>
        <v>116.00360259243388</v>
      </c>
      <c r="S160" s="22"/>
      <c r="T160" s="22">
        <f ca="1">OFFSET('Trans Factors'!$B$13,$O160-1,T$14)*$L160+OFFSET('Trans Factors'!$B$13,$K160-1,T$14)*$H160</f>
        <v>2138.7942869325329</v>
      </c>
      <c r="U160" s="22"/>
      <c r="V160" s="22">
        <f ca="1">OFFSET('Trans Factors'!$B$13,$O160-1,V$14)*$L160+OFFSET('Trans Factors'!$B$13,$K160-1,V$14)*$H160</f>
        <v>9074.34447367957</v>
      </c>
      <c r="X160" s="22">
        <f ca="1">OFFSET('Trans Factors'!$B$13,$O160-1,X$14)*$L160+OFFSET('Trans Factors'!$B$13,$K160-1,X$14)*$H160</f>
        <v>939.77066594133191</v>
      </c>
      <c r="Y160" s="9"/>
      <c r="Z160" s="22">
        <f ca="1">OFFSET('Trans Factors'!$B$13,$O160-1,Z$14)*$L160+OFFSET('Trans Factors'!$B$13,$K160-1,Z$14)*$H160</f>
        <v>2313.0134926265137</v>
      </c>
      <c r="AA160" s="20"/>
      <c r="AB160" s="22">
        <f ca="1">OFFSET('Trans Factors'!$B$13,$O160-1,AB$14)*$L160+OFFSET('Trans Factors'!$B$13,$K160-1,AB$14)*$H160</f>
        <v>0</v>
      </c>
      <c r="AD160" s="22">
        <f t="shared" ca="1" si="100"/>
        <v>15289.379593203619</v>
      </c>
      <c r="AF160" s="25" t="str">
        <f t="shared" ca="1" si="112"/>
        <v/>
      </c>
      <c r="AI160" s="93">
        <f>Function!AJ160</f>
        <v>8764.4492229631633</v>
      </c>
      <c r="AJ160" s="100">
        <f t="shared" ref="AJ160" ca="1" si="121">IFERROR(AI160/F160,0)</f>
        <v>0.57323772815864327</v>
      </c>
      <c r="AL160" s="50">
        <f t="shared" ca="1" si="104"/>
        <v>405.53879144609675</v>
      </c>
      <c r="AM160" s="50"/>
      <c r="AN160" s="50">
        <f t="shared" ca="1" si="105"/>
        <v>66.497641608304903</v>
      </c>
      <c r="AO160" s="50"/>
      <c r="AP160" s="50">
        <f t="shared" ca="1" si="106"/>
        <v>1226.0375780398906</v>
      </c>
      <c r="AQ160" s="50"/>
      <c r="AR160" s="50">
        <f t="shared" ca="1" si="107"/>
        <v>5201.7566106210161</v>
      </c>
      <c r="AS160" s="50"/>
      <c r="AT160" s="50">
        <f t="shared" ca="1" si="108"/>
        <v>538.71200153434438</v>
      </c>
      <c r="AU160" s="50"/>
      <c r="AV160" s="50">
        <f t="shared" ca="1" si="109"/>
        <v>1325.9065997135115</v>
      </c>
      <c r="AW160" s="50"/>
      <c r="AX160" s="50">
        <f t="shared" ca="1" si="110"/>
        <v>0</v>
      </c>
      <c r="AZ160" s="50">
        <f t="shared" ca="1" si="111"/>
        <v>8764.4492229631651</v>
      </c>
    </row>
    <row r="161" spans="2:52" x14ac:dyDescent="0.2">
      <c r="S161" s="20"/>
      <c r="U161" s="20"/>
      <c r="AF161" s="25" t="str">
        <f t="shared" si="112"/>
        <v/>
      </c>
    </row>
    <row r="162" spans="2:52" x14ac:dyDescent="0.2">
      <c r="B162" s="18">
        <f>B160+1</f>
        <v>102</v>
      </c>
      <c r="D162" s="1" t="s">
        <v>399</v>
      </c>
      <c r="F162" s="81">
        <f ca="1">SUM(F115:F160)</f>
        <v>109276.40884090039</v>
      </c>
      <c r="H162" s="81">
        <f>SUM(H115:H160)</f>
        <v>0</v>
      </c>
      <c r="L162" s="81">
        <f ca="1">SUM(L115:L160)</f>
        <v>109276.40884090039</v>
      </c>
      <c r="P162" s="11">
        <f ca="1">SUM(P115:P160)</f>
        <v>2907.9761813347072</v>
      </c>
      <c r="R162" s="11">
        <f ca="1">SUM(R115:R160)</f>
        <v>476.83122303131182</v>
      </c>
      <c r="S162" s="20"/>
      <c r="T162" s="11">
        <f ca="1">SUM(T115:T160)</f>
        <v>8791.4846854673415</v>
      </c>
      <c r="U162" s="20"/>
      <c r="V162" s="11">
        <f ca="1">SUM(V115:V160)</f>
        <v>52521.373719708354</v>
      </c>
      <c r="X162" s="11">
        <f ca="1">SUM(X115:X160)</f>
        <v>3862.9144784765754</v>
      </c>
      <c r="Z162" s="11">
        <f ca="1">SUM(Z115:Z160)</f>
        <v>10802.132292199432</v>
      </c>
      <c r="AB162" s="11">
        <f ca="1">SUM(AB115:AB160)</f>
        <v>29913.696260682678</v>
      </c>
      <c r="AD162" s="11">
        <f ca="1">SUM(AD115:AD160)</f>
        <v>109276.4088409004</v>
      </c>
      <c r="AF162" s="25" t="str">
        <f t="shared" ca="1" si="112"/>
        <v/>
      </c>
      <c r="AI162" s="94">
        <f ca="1">SUM(AI116:AI161)</f>
        <v>21572.951217688635</v>
      </c>
      <c r="AL162" s="94">
        <f ca="1">SUM(AL116:AL161)</f>
        <v>1083.193800934238</v>
      </c>
      <c r="AN162" s="94">
        <f ca="1">SUM(AN116:AN161)</f>
        <v>177.89091194190325</v>
      </c>
      <c r="AP162" s="94">
        <f ca="1">SUM(AP116:AP161)</f>
        <v>2980.9613966285642</v>
      </c>
      <c r="AR162" s="94">
        <f ca="1">SUM(AR116:AR161)</f>
        <v>12462.678126366231</v>
      </c>
      <c r="AT162" s="94">
        <f ca="1">SUM(AT116:AT161)</f>
        <v>1430.7215203964549</v>
      </c>
      <c r="AV162" s="94">
        <f ca="1">SUM(AV116:AV161)</f>
        <v>3437.5054614212449</v>
      </c>
      <c r="AX162" s="94">
        <f ca="1">SUM(AX116:AX161)</f>
        <v>0</v>
      </c>
      <c r="AZ162" s="94">
        <f ca="1">SUM(AZ116:AZ161)</f>
        <v>21572.951217688635</v>
      </c>
    </row>
    <row r="163" spans="2:52" x14ac:dyDescent="0.2">
      <c r="S163" s="20"/>
      <c r="U163" s="20"/>
      <c r="AF163" s="25" t="str">
        <f t="shared" si="112"/>
        <v/>
      </c>
      <c r="AI163" s="102"/>
      <c r="AL163" s="102"/>
      <c r="AN163" s="102"/>
      <c r="AP163" s="102"/>
      <c r="AR163" s="102"/>
      <c r="AT163" s="102"/>
      <c r="AV163" s="102"/>
      <c r="AX163" s="102"/>
      <c r="AZ163" s="102"/>
    </row>
    <row r="164" spans="2:52" ht="13.5" thickBot="1" x14ac:dyDescent="0.25">
      <c r="B164" s="18">
        <f>B162+1</f>
        <v>103</v>
      </c>
      <c r="D164" s="1" t="s">
        <v>400</v>
      </c>
      <c r="F164" s="83">
        <f ca="1">F162+F104+F109+F108+F97</f>
        <v>403717.30409028684</v>
      </c>
      <c r="H164" s="83">
        <f>H162+H104+H109+H108+H97</f>
        <v>0</v>
      </c>
      <c r="L164" s="83">
        <f ca="1">L162+L104+L109+L108+L97</f>
        <v>403717.30409028684</v>
      </c>
      <c r="P164" s="34">
        <f ca="1">P162+P104+P109+P108+P97</f>
        <v>12889.72691135346</v>
      </c>
      <c r="R164" s="34">
        <f ca="1">R162+R104+R109+R108+R97</f>
        <v>1418.3718363261082</v>
      </c>
      <c r="S164" s="20"/>
      <c r="T164" s="34">
        <f ca="1">T162+T104+T109+T108+T97</f>
        <v>46033.650718814592</v>
      </c>
      <c r="U164" s="20"/>
      <c r="V164" s="34">
        <f ca="1">V162+V104+V109+V108+V97</f>
        <v>229743.82612937456</v>
      </c>
      <c r="X164" s="34">
        <f ca="1">X162+X104+X109+X108+X97</f>
        <v>30569.722628306641</v>
      </c>
      <c r="Z164" s="34">
        <f ca="1">Z162+Z104+Z109+Z108+Z97</f>
        <v>53148.309605428803</v>
      </c>
      <c r="AB164" s="34">
        <f ca="1">AB162+AB104+AB109+AB108+AB97</f>
        <v>29913.696260682678</v>
      </c>
      <c r="AD164" s="34">
        <f ca="1">AD162+AD104+AD109+AD108+AD97</f>
        <v>403717.30409028684</v>
      </c>
      <c r="AF164" s="25" t="str">
        <f t="shared" ca="1" si="112"/>
        <v/>
      </c>
    </row>
    <row r="165" spans="2:52" ht="13.5" thickTop="1" x14ac:dyDescent="0.2">
      <c r="F165" s="50"/>
      <c r="H165" s="50"/>
      <c r="L165" s="50"/>
      <c r="P165" s="21"/>
      <c r="R165" s="21"/>
      <c r="S165" s="20"/>
      <c r="T165" s="21"/>
      <c r="U165" s="20"/>
      <c r="V165" s="21"/>
      <c r="X165" s="21"/>
      <c r="Z165" s="21"/>
      <c r="AB165" s="21"/>
      <c r="AD165" s="21"/>
      <c r="AF165" s="25" t="str">
        <f t="shared" si="112"/>
        <v/>
      </c>
    </row>
    <row r="166" spans="2:52" x14ac:dyDescent="0.2">
      <c r="F166" s="50"/>
      <c r="H166" s="50"/>
      <c r="L166" s="50"/>
      <c r="S166" s="20"/>
      <c r="U166" s="20"/>
      <c r="AF166" s="25" t="str">
        <f t="shared" si="112"/>
        <v/>
      </c>
    </row>
    <row r="167" spans="2:52" x14ac:dyDescent="0.2">
      <c r="F167" s="50"/>
      <c r="H167" s="50"/>
      <c r="L167" s="50"/>
      <c r="S167" s="20"/>
      <c r="U167" s="20"/>
      <c r="AF167" s="25" t="str">
        <f t="shared" si="112"/>
        <v/>
      </c>
    </row>
    <row r="168" spans="2:52" x14ac:dyDescent="0.2">
      <c r="D168" s="6" t="s">
        <v>109</v>
      </c>
      <c r="S168" s="20"/>
      <c r="U168" s="20"/>
      <c r="AF168" s="25" t="str">
        <f t="shared" si="112"/>
        <v/>
      </c>
    </row>
    <row r="169" spans="2:52" x14ac:dyDescent="0.2">
      <c r="D169" s="6"/>
      <c r="F169" s="50"/>
      <c r="H169" s="79"/>
      <c r="K169" s="73"/>
      <c r="L169" s="50"/>
      <c r="O169" s="73"/>
      <c r="P169" s="20"/>
      <c r="R169" s="20"/>
      <c r="S169" s="20"/>
      <c r="T169" s="20"/>
      <c r="U169" s="20"/>
      <c r="V169" s="20"/>
      <c r="X169" s="20"/>
      <c r="Y169" s="20"/>
      <c r="Z169" s="20"/>
      <c r="AA169" s="20"/>
      <c r="AB169" s="20"/>
      <c r="AD169" s="20"/>
      <c r="AF169" s="25" t="str">
        <f t="shared" si="112"/>
        <v/>
      </c>
    </row>
    <row r="170" spans="2:52" x14ac:dyDescent="0.2">
      <c r="B170" s="18">
        <f>B164+1</f>
        <v>104</v>
      </c>
      <c r="D170" s="1" t="s">
        <v>123</v>
      </c>
      <c r="F170" s="50">
        <f ca="1">Function!T170</f>
        <v>0</v>
      </c>
      <c r="H170" s="79"/>
      <c r="K170" s="73">
        <f>_xlfn.IFNA(MATCH(J170,'Trans Factors'!$B$70:$B$520,0),0)</f>
        <v>0</v>
      </c>
      <c r="L170" s="50">
        <f t="shared" ref="L170:L176" ca="1" si="122">F170-H170</f>
        <v>0</v>
      </c>
      <c r="O170" s="73">
        <f>_xlfn.IFNA(MATCH(N170,'Trans Factors'!$B$13:$B$450,0),0)</f>
        <v>0</v>
      </c>
      <c r="P170" s="20">
        <f ca="1">OFFSET('Trans Factors'!$B$13,$O170-1,P$14)*$L170+OFFSET('Trans Factors'!$B$13,$K170-1,P$14)*$H170</f>
        <v>0</v>
      </c>
      <c r="R170" s="20">
        <f ca="1">OFFSET('Trans Factors'!$B$13,$O170-1,R$14)*$L170+OFFSET('Trans Factors'!$B$13,$K170-1,R$14)*$H170</f>
        <v>0</v>
      </c>
      <c r="S170" s="20"/>
      <c r="T170" s="20">
        <f ca="1">OFFSET('Trans Factors'!$B$13,$O170-1,T$14)*$L170+OFFSET('Trans Factors'!$B$13,$K170-1,T$14)*$H170</f>
        <v>0</v>
      </c>
      <c r="U170" s="20"/>
      <c r="V170" s="20">
        <f ca="1">OFFSET('Trans Factors'!$B$13,$O170-1,V$14)*$L170+OFFSET('Trans Factors'!$B$13,$K170-1,V$14)*$H170</f>
        <v>0</v>
      </c>
      <c r="X170" s="20">
        <f ca="1">OFFSET('Trans Factors'!$B$13,$O170-1,X$14)*$L170+OFFSET('Trans Factors'!$B$13,$K170-1,X$14)*$H170</f>
        <v>0</v>
      </c>
      <c r="Y170" s="9"/>
      <c r="Z170" s="20">
        <f ca="1">OFFSET('Trans Factors'!$B$13,$O170-1,Z$14)*$L170+OFFSET('Trans Factors'!$B$13,$K170-1,Z$14)*$H170</f>
        <v>0</v>
      </c>
      <c r="AA170" s="20"/>
      <c r="AB170" s="20">
        <f ca="1">OFFSET('Trans Factors'!$B$13,$O170-1,AB$14)*$L170+OFFSET('Trans Factors'!$B$13,$K170-1,AB$14)*$H170</f>
        <v>0</v>
      </c>
      <c r="AD170" s="20">
        <f t="shared" ref="AD170:AD176" ca="1" si="123">P170+R170+T170+V170+X170+Z170+AB170</f>
        <v>0</v>
      </c>
      <c r="AF170" s="25" t="str">
        <f t="shared" ca="1" si="112"/>
        <v/>
      </c>
    </row>
    <row r="171" spans="2:52" x14ac:dyDescent="0.2">
      <c r="B171" s="18">
        <f t="shared" ref="B171:B176" si="124">B170+1</f>
        <v>105</v>
      </c>
      <c r="D171" s="1" t="s">
        <v>134</v>
      </c>
      <c r="F171" s="50">
        <f ca="1">Function!T171</f>
        <v>0</v>
      </c>
      <c r="H171" s="79"/>
      <c r="J171" s="2"/>
      <c r="K171" s="73">
        <f>_xlfn.IFNA(MATCH(J171,'Trans Factors'!$B$70:$B$520,0),0)</f>
        <v>0</v>
      </c>
      <c r="L171" s="50">
        <f t="shared" ca="1" si="122"/>
        <v>0</v>
      </c>
      <c r="O171" s="73">
        <f>_xlfn.IFNA(MATCH(N171,'Trans Factors'!$B$13:$B$450,0),0)</f>
        <v>0</v>
      </c>
      <c r="P171" s="20">
        <f ca="1">OFFSET('Trans Factors'!$B$13,$O171-1,P$14)*$L171+OFFSET('Trans Factors'!$B$13,$K171-1,P$14)*$H171</f>
        <v>0</v>
      </c>
      <c r="R171" s="20">
        <f ca="1">OFFSET('Trans Factors'!$B$13,$O171-1,R$14)*$L171+OFFSET('Trans Factors'!$B$13,$K171-1,R$14)*$H171</f>
        <v>0</v>
      </c>
      <c r="S171" s="20"/>
      <c r="T171" s="20">
        <f ca="1">OFFSET('Trans Factors'!$B$13,$O171-1,T$14)*$L171+OFFSET('Trans Factors'!$B$13,$K171-1,T$14)*$H171</f>
        <v>0</v>
      </c>
      <c r="U171" s="20"/>
      <c r="V171" s="20">
        <f ca="1">OFFSET('Trans Factors'!$B$13,$O171-1,V$14)*$L171+OFFSET('Trans Factors'!$B$13,$K171-1,V$14)*$H171</f>
        <v>0</v>
      </c>
      <c r="X171" s="20">
        <f ca="1">OFFSET('Trans Factors'!$B$13,$O171-1,X$14)*$L171+OFFSET('Trans Factors'!$B$13,$K171-1,X$14)*$H171</f>
        <v>0</v>
      </c>
      <c r="Y171" s="9"/>
      <c r="Z171" s="20">
        <f ca="1">OFFSET('Trans Factors'!$B$13,$O171-1,Z$14)*$L171+OFFSET('Trans Factors'!$B$13,$K171-1,Z$14)*$H171</f>
        <v>0</v>
      </c>
      <c r="AA171" s="20"/>
      <c r="AB171" s="20">
        <f ca="1">OFFSET('Trans Factors'!$B$13,$O171-1,AB$14)*$L171+OFFSET('Trans Factors'!$B$13,$K171-1,AB$14)*$H171</f>
        <v>0</v>
      </c>
      <c r="AD171" s="20">
        <f t="shared" ca="1" si="123"/>
        <v>0</v>
      </c>
      <c r="AF171" s="25" t="str">
        <f t="shared" ca="1" si="112"/>
        <v/>
      </c>
    </row>
    <row r="172" spans="2:52" x14ac:dyDescent="0.2">
      <c r="B172" s="18">
        <f t="shared" si="124"/>
        <v>106</v>
      </c>
      <c r="D172" s="1" t="s">
        <v>110</v>
      </c>
      <c r="F172" s="50">
        <f ca="1">Function!T172</f>
        <v>0</v>
      </c>
      <c r="H172" s="79"/>
      <c r="J172" s="2"/>
      <c r="K172" s="73">
        <f>_xlfn.IFNA(MATCH(J172,'Trans Factors'!$B$70:$B$520,0),0)</f>
        <v>0</v>
      </c>
      <c r="L172" s="50">
        <f t="shared" ca="1" si="122"/>
        <v>0</v>
      </c>
      <c r="O172" s="73">
        <f>_xlfn.IFNA(MATCH(N172,'Trans Factors'!$B$13:$B$450,0),0)</f>
        <v>0</v>
      </c>
      <c r="P172" s="20">
        <f ca="1">OFFSET('Trans Factors'!$B$13,$O172-1,P$14)*$L172+OFFSET('Trans Factors'!$B$13,$K172-1,P$14)*$H172</f>
        <v>0</v>
      </c>
      <c r="R172" s="20">
        <f ca="1">OFFSET('Trans Factors'!$B$13,$O172-1,R$14)*$L172+OFFSET('Trans Factors'!$B$13,$K172-1,R$14)*$H172</f>
        <v>0</v>
      </c>
      <c r="S172" s="20"/>
      <c r="T172" s="20">
        <f ca="1">OFFSET('Trans Factors'!$B$13,$O172-1,T$14)*$L172+OFFSET('Trans Factors'!$B$13,$K172-1,T$14)*$H172</f>
        <v>0</v>
      </c>
      <c r="U172" s="20"/>
      <c r="V172" s="20">
        <f ca="1">OFFSET('Trans Factors'!$B$13,$O172-1,V$14)*$L172+OFFSET('Trans Factors'!$B$13,$K172-1,V$14)*$H172</f>
        <v>0</v>
      </c>
      <c r="X172" s="20">
        <f ca="1">OFFSET('Trans Factors'!$B$13,$O172-1,X$14)*$L172+OFFSET('Trans Factors'!$B$13,$K172-1,X$14)*$H172</f>
        <v>0</v>
      </c>
      <c r="Y172" s="9"/>
      <c r="Z172" s="20">
        <f ca="1">OFFSET('Trans Factors'!$B$13,$O172-1,Z$14)*$L172+OFFSET('Trans Factors'!$B$13,$K172-1,Z$14)*$H172</f>
        <v>0</v>
      </c>
      <c r="AA172" s="20"/>
      <c r="AB172" s="20">
        <f ca="1">OFFSET('Trans Factors'!$B$13,$O172-1,AB$14)*$L172+OFFSET('Trans Factors'!$B$13,$K172-1,AB$14)*$H172</f>
        <v>0</v>
      </c>
      <c r="AD172" s="20">
        <f t="shared" ca="1" si="123"/>
        <v>0</v>
      </c>
      <c r="AF172" s="25" t="str">
        <f t="shared" ca="1" si="112"/>
        <v/>
      </c>
    </row>
    <row r="173" spans="2:52" x14ac:dyDescent="0.2">
      <c r="B173" s="18">
        <f t="shared" si="124"/>
        <v>107</v>
      </c>
      <c r="D173" s="1" t="s">
        <v>125</v>
      </c>
      <c r="F173" s="50">
        <f ca="1">Function!T173</f>
        <v>0</v>
      </c>
      <c r="H173" s="79"/>
      <c r="J173" s="2"/>
      <c r="K173" s="73">
        <f>_xlfn.IFNA(MATCH(J173,'Trans Factors'!$B$70:$B$520,0),0)</f>
        <v>0</v>
      </c>
      <c r="L173" s="50">
        <f t="shared" ca="1" si="122"/>
        <v>0</v>
      </c>
      <c r="O173" s="73">
        <f>_xlfn.IFNA(MATCH(N173,'Trans Factors'!$B$13:$B$450,0),0)</f>
        <v>0</v>
      </c>
      <c r="P173" s="20">
        <f ca="1">OFFSET('Trans Factors'!$B$13,$O173-1,P$14)*$L173+OFFSET('Trans Factors'!$B$13,$K173-1,P$14)*$H173</f>
        <v>0</v>
      </c>
      <c r="R173" s="20">
        <f ca="1">OFFSET('Trans Factors'!$B$13,$O173-1,R$14)*$L173+OFFSET('Trans Factors'!$B$13,$K173-1,R$14)*$H173</f>
        <v>0</v>
      </c>
      <c r="S173" s="20"/>
      <c r="T173" s="20">
        <f ca="1">OFFSET('Trans Factors'!$B$13,$O173-1,T$14)*$L173+OFFSET('Trans Factors'!$B$13,$K173-1,T$14)*$H173</f>
        <v>0</v>
      </c>
      <c r="U173" s="20"/>
      <c r="V173" s="20">
        <f ca="1">OFFSET('Trans Factors'!$B$13,$O173-1,V$14)*$L173+OFFSET('Trans Factors'!$B$13,$K173-1,V$14)*$H173</f>
        <v>0</v>
      </c>
      <c r="X173" s="20">
        <f ca="1">OFFSET('Trans Factors'!$B$13,$O173-1,X$14)*$L173+OFFSET('Trans Factors'!$B$13,$K173-1,X$14)*$H173</f>
        <v>0</v>
      </c>
      <c r="Y173" s="9"/>
      <c r="Z173" s="20">
        <f ca="1">OFFSET('Trans Factors'!$B$13,$O173-1,Z$14)*$L173+OFFSET('Trans Factors'!$B$13,$K173-1,Z$14)*$H173</f>
        <v>0</v>
      </c>
      <c r="AA173" s="20"/>
      <c r="AB173" s="20">
        <f ca="1">OFFSET('Trans Factors'!$B$13,$O173-1,AB$14)*$L173+OFFSET('Trans Factors'!$B$13,$K173-1,AB$14)*$H173</f>
        <v>0</v>
      </c>
      <c r="AD173" s="20">
        <f t="shared" ca="1" si="123"/>
        <v>0</v>
      </c>
      <c r="AF173" s="25" t="str">
        <f t="shared" ca="1" si="112"/>
        <v/>
      </c>
    </row>
    <row r="174" spans="2:52" x14ac:dyDescent="0.2">
      <c r="B174" s="18">
        <f t="shared" si="124"/>
        <v>108</v>
      </c>
      <c r="D174" s="1" t="s">
        <v>126</v>
      </c>
      <c r="F174" s="50">
        <f ca="1">Function!T174</f>
        <v>0</v>
      </c>
      <c r="H174" s="79"/>
      <c r="J174" s="2"/>
      <c r="K174" s="73">
        <f>_xlfn.IFNA(MATCH(J174,'Trans Factors'!$B$70:$B$520,0),0)</f>
        <v>0</v>
      </c>
      <c r="L174" s="50">
        <f t="shared" ca="1" si="122"/>
        <v>0</v>
      </c>
      <c r="O174" s="73">
        <f>_xlfn.IFNA(MATCH(N174,'Trans Factors'!$B$13:$B$450,0),0)</f>
        <v>0</v>
      </c>
      <c r="P174" s="20">
        <f ca="1">OFFSET('Trans Factors'!$B$13,$O174-1,P$14)*$L174+OFFSET('Trans Factors'!$B$13,$K174-1,P$14)*$H174</f>
        <v>0</v>
      </c>
      <c r="R174" s="20">
        <f ca="1">OFFSET('Trans Factors'!$B$13,$O174-1,R$14)*$L174+OFFSET('Trans Factors'!$B$13,$K174-1,R$14)*$H174</f>
        <v>0</v>
      </c>
      <c r="S174" s="20"/>
      <c r="T174" s="20">
        <f ca="1">OFFSET('Trans Factors'!$B$13,$O174-1,T$14)*$L174+OFFSET('Trans Factors'!$B$13,$K174-1,T$14)*$H174</f>
        <v>0</v>
      </c>
      <c r="U174" s="20"/>
      <c r="V174" s="20">
        <f ca="1">OFFSET('Trans Factors'!$B$13,$O174-1,V$14)*$L174+OFFSET('Trans Factors'!$B$13,$K174-1,V$14)*$H174</f>
        <v>0</v>
      </c>
      <c r="X174" s="20">
        <f ca="1">OFFSET('Trans Factors'!$B$13,$O174-1,X$14)*$L174+OFFSET('Trans Factors'!$B$13,$K174-1,X$14)*$H174</f>
        <v>0</v>
      </c>
      <c r="Y174" s="9"/>
      <c r="Z174" s="20">
        <f ca="1">OFFSET('Trans Factors'!$B$13,$O174-1,Z$14)*$L174+OFFSET('Trans Factors'!$B$13,$K174-1,Z$14)*$H174</f>
        <v>0</v>
      </c>
      <c r="AA174" s="20"/>
      <c r="AB174" s="20">
        <f ca="1">OFFSET('Trans Factors'!$B$13,$O174-1,AB$14)*$L174+OFFSET('Trans Factors'!$B$13,$K174-1,AB$14)*$H174</f>
        <v>0</v>
      </c>
      <c r="AD174" s="20">
        <f t="shared" ca="1" si="123"/>
        <v>0</v>
      </c>
      <c r="AF174" s="25" t="str">
        <f t="shared" ca="1" si="112"/>
        <v/>
      </c>
    </row>
    <row r="175" spans="2:52" x14ac:dyDescent="0.2">
      <c r="B175" s="18">
        <f t="shared" si="124"/>
        <v>109</v>
      </c>
      <c r="D175" s="1" t="s">
        <v>127</v>
      </c>
      <c r="F175" s="50">
        <f ca="1">Function!T175</f>
        <v>0</v>
      </c>
      <c r="H175" s="79"/>
      <c r="J175" s="2"/>
      <c r="K175" s="73">
        <f>_xlfn.IFNA(MATCH(J175,'Trans Factors'!$B$70:$B$520,0),0)</f>
        <v>0</v>
      </c>
      <c r="L175" s="50">
        <f t="shared" ca="1" si="122"/>
        <v>0</v>
      </c>
      <c r="O175" s="73">
        <f>_xlfn.IFNA(MATCH(N175,'Trans Factors'!$B$13:$B$450,0),0)</f>
        <v>0</v>
      </c>
      <c r="P175" s="20">
        <f ca="1">OFFSET('Trans Factors'!$B$13,$O175-1,P$14)*$L175+OFFSET('Trans Factors'!$B$13,$K175-1,P$14)*$H175</f>
        <v>0</v>
      </c>
      <c r="R175" s="20">
        <f ca="1">OFFSET('Trans Factors'!$B$13,$O175-1,R$14)*$L175+OFFSET('Trans Factors'!$B$13,$K175-1,R$14)*$H175</f>
        <v>0</v>
      </c>
      <c r="S175" s="20"/>
      <c r="T175" s="20">
        <f ca="1">OFFSET('Trans Factors'!$B$13,$O175-1,T$14)*$L175+OFFSET('Trans Factors'!$B$13,$K175-1,T$14)*$H175</f>
        <v>0</v>
      </c>
      <c r="U175" s="20"/>
      <c r="V175" s="20">
        <f ca="1">OFFSET('Trans Factors'!$B$13,$O175-1,V$14)*$L175+OFFSET('Trans Factors'!$B$13,$K175-1,V$14)*$H175</f>
        <v>0</v>
      </c>
      <c r="X175" s="20">
        <f ca="1">OFFSET('Trans Factors'!$B$13,$O175-1,X$14)*$L175+OFFSET('Trans Factors'!$B$13,$K175-1,X$14)*$H175</f>
        <v>0</v>
      </c>
      <c r="Y175" s="9"/>
      <c r="Z175" s="20">
        <f ca="1">OFFSET('Trans Factors'!$B$13,$O175-1,Z$14)*$L175+OFFSET('Trans Factors'!$B$13,$K175-1,Z$14)*$H175</f>
        <v>0</v>
      </c>
      <c r="AA175" s="20"/>
      <c r="AB175" s="20">
        <f ca="1">OFFSET('Trans Factors'!$B$13,$O175-1,AB$14)*$L175+OFFSET('Trans Factors'!$B$13,$K175-1,AB$14)*$H175</f>
        <v>0</v>
      </c>
      <c r="AD175" s="20">
        <f t="shared" ca="1" si="123"/>
        <v>0</v>
      </c>
      <c r="AF175" s="25" t="str">
        <f t="shared" ca="1" si="112"/>
        <v/>
      </c>
    </row>
    <row r="176" spans="2:52" x14ac:dyDescent="0.2">
      <c r="B176" s="18">
        <f t="shared" si="124"/>
        <v>110</v>
      </c>
      <c r="D176" s="1" t="s">
        <v>387</v>
      </c>
      <c r="F176" s="50">
        <f ca="1">Function!T176</f>
        <v>0</v>
      </c>
      <c r="H176" s="79"/>
      <c r="J176" s="2"/>
      <c r="K176" s="73">
        <f>_xlfn.IFNA(MATCH(J176,'Trans Factors'!$B$70:$B$520,0),0)</f>
        <v>0</v>
      </c>
      <c r="L176" s="50">
        <f t="shared" ca="1" si="122"/>
        <v>0</v>
      </c>
      <c r="O176" s="73">
        <f>_xlfn.IFNA(MATCH(N176,'Trans Factors'!$B$13:$B$450,0),0)</f>
        <v>0</v>
      </c>
      <c r="P176" s="20">
        <f ca="1">OFFSET('Trans Factors'!$B$13,$O176-1,P$14)*$L176+OFFSET('Trans Factors'!$B$13,$K176-1,P$14)*$H176</f>
        <v>0</v>
      </c>
      <c r="R176" s="20">
        <f ca="1">OFFSET('Trans Factors'!$B$13,$O176-1,R$14)*$L176+OFFSET('Trans Factors'!$B$13,$K176-1,R$14)*$H176</f>
        <v>0</v>
      </c>
      <c r="S176" s="20"/>
      <c r="T176" s="20">
        <f ca="1">OFFSET('Trans Factors'!$B$13,$O176-1,T$14)*$L176+OFFSET('Trans Factors'!$B$13,$K176-1,T$14)*$H176</f>
        <v>0</v>
      </c>
      <c r="U176" s="20"/>
      <c r="V176" s="20">
        <f ca="1">OFFSET('Trans Factors'!$B$13,$O176-1,V$14)*$L176+OFFSET('Trans Factors'!$B$13,$K176-1,V$14)*$H176</f>
        <v>0</v>
      </c>
      <c r="X176" s="20">
        <f ca="1">OFFSET('Trans Factors'!$B$13,$O176-1,X$14)*$L176+OFFSET('Trans Factors'!$B$13,$K176-1,X$14)*$H176</f>
        <v>0</v>
      </c>
      <c r="Y176" s="9"/>
      <c r="Z176" s="20">
        <f ca="1">OFFSET('Trans Factors'!$B$13,$O176-1,Z$14)*$L176+OFFSET('Trans Factors'!$B$13,$K176-1,Z$14)*$H176</f>
        <v>0</v>
      </c>
      <c r="AA176" s="20"/>
      <c r="AB176" s="20">
        <f ca="1">OFFSET('Trans Factors'!$B$13,$O176-1,AB$14)*$L176+OFFSET('Trans Factors'!$B$13,$K176-1,AB$14)*$H176</f>
        <v>0</v>
      </c>
      <c r="AD176" s="20">
        <f t="shared" ca="1" si="123"/>
        <v>0</v>
      </c>
      <c r="AF176" s="25" t="str">
        <f t="shared" ca="1" si="112"/>
        <v/>
      </c>
    </row>
    <row r="177" spans="2:32" x14ac:dyDescent="0.2">
      <c r="O177" s="73"/>
      <c r="S177" s="20"/>
      <c r="U177" s="20"/>
      <c r="AF177" s="25" t="str">
        <f t="shared" si="112"/>
        <v/>
      </c>
    </row>
    <row r="178" spans="2:32" x14ac:dyDescent="0.2">
      <c r="B178" s="18">
        <f>B176+1</f>
        <v>111</v>
      </c>
      <c r="D178" s="1" t="s">
        <v>401</v>
      </c>
      <c r="F178" s="41">
        <f ca="1">SUM(F170:F176)</f>
        <v>0</v>
      </c>
      <c r="H178" s="41">
        <f>SUM(H170:H176)</f>
        <v>0</v>
      </c>
      <c r="J178" s="2"/>
      <c r="L178" s="41">
        <f ca="1">SUM(L170:L176)</f>
        <v>0</v>
      </c>
      <c r="O178" s="73"/>
      <c r="P178" s="10">
        <f ca="1">SUM(P170:P176)</f>
        <v>0</v>
      </c>
      <c r="R178" s="10">
        <f ca="1">SUM(R170:R176)</f>
        <v>0</v>
      </c>
      <c r="S178" s="20"/>
      <c r="T178" s="10">
        <f ca="1">SUM(T170:T176)</f>
        <v>0</v>
      </c>
      <c r="U178" s="20"/>
      <c r="V178" s="10">
        <f ca="1">SUM(V170:V176)</f>
        <v>0</v>
      </c>
      <c r="X178" s="10">
        <f ca="1">SUM(X170:X176)</f>
        <v>0</v>
      </c>
      <c r="Z178" s="10">
        <f ca="1">SUM(Z170:Z176)</f>
        <v>0</v>
      </c>
      <c r="AB178" s="10">
        <f ca="1">SUM(AB170:AB176)</f>
        <v>0</v>
      </c>
      <c r="AD178" s="10">
        <f ca="1">SUM(AD170:AD176)</f>
        <v>0</v>
      </c>
      <c r="AF178" s="25" t="str">
        <f t="shared" ca="1" si="112"/>
        <v/>
      </c>
    </row>
    <row r="179" spans="2:32" x14ac:dyDescent="0.2">
      <c r="S179" s="20"/>
      <c r="U179" s="20"/>
      <c r="AF179" s="25" t="str">
        <f t="shared" si="112"/>
        <v/>
      </c>
    </row>
    <row r="180" spans="2:32" ht="13.5" thickBot="1" x14ac:dyDescent="0.25">
      <c r="B180" s="18">
        <f>B178+1</f>
        <v>112</v>
      </c>
      <c r="D180" s="1" t="s">
        <v>148</v>
      </c>
      <c r="F180" s="83">
        <f ca="1">F164-F178</f>
        <v>403717.30409028684</v>
      </c>
      <c r="H180" s="83">
        <f>H164-H178</f>
        <v>0</v>
      </c>
      <c r="L180" s="83">
        <f ca="1">L164-L178</f>
        <v>403717.30409028684</v>
      </c>
      <c r="P180" s="34">
        <f ca="1">P164-P178</f>
        <v>12889.72691135346</v>
      </c>
      <c r="R180" s="34">
        <f ca="1">R164-R178</f>
        <v>1418.3718363261082</v>
      </c>
      <c r="S180" s="20"/>
      <c r="T180" s="34">
        <f ca="1">T164-T178</f>
        <v>46033.650718814592</v>
      </c>
      <c r="U180" s="20"/>
      <c r="V180" s="34">
        <f ca="1">V164-V178</f>
        <v>229743.82612937456</v>
      </c>
      <c r="X180" s="34">
        <f ca="1">X164-X178</f>
        <v>30569.722628306641</v>
      </c>
      <c r="Z180" s="34">
        <f ca="1">Z164-Z178</f>
        <v>53148.309605428803</v>
      </c>
      <c r="AB180" s="34">
        <f ca="1">AB164-AB178</f>
        <v>29913.696260682678</v>
      </c>
      <c r="AD180" s="34">
        <f ca="1">AD164-AD178</f>
        <v>403717.30409028684</v>
      </c>
      <c r="AF180" s="25" t="str">
        <f t="shared" ca="1" si="112"/>
        <v/>
      </c>
    </row>
    <row r="181" spans="2:32" ht="13.5" thickTop="1" x14ac:dyDescent="0.2">
      <c r="D181" s="1" t="s">
        <v>404</v>
      </c>
    </row>
  </sheetData>
  <mergeCells count="4">
    <mergeCell ref="B5:AD5"/>
    <mergeCell ref="B6:AD6"/>
    <mergeCell ref="B7:AD7"/>
    <mergeCell ref="P10:AA10"/>
  </mergeCells>
  <phoneticPr fontId="12" type="noConversion"/>
  <pageMargins left="0.7" right="0.7" top="0.75" bottom="0.75" header="0.3" footer="0.3"/>
  <pageSetup scale="45" fitToHeight="4" orientation="landscape" r:id="rId1"/>
  <ignoredErrors>
    <ignoredError sqref="F92 F97 AC133:AD136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CB7B6-2CD2-4FF2-B8A3-A84A3ED44681}">
  <sheetPr>
    <pageSetUpPr fitToPage="1"/>
  </sheetPr>
  <dimension ref="A6:BD156"/>
  <sheetViews>
    <sheetView zoomScale="80" zoomScaleNormal="80" workbookViewId="0"/>
  </sheetViews>
  <sheetFormatPr defaultColWidth="9.140625" defaultRowHeight="12.75" x14ac:dyDescent="0.2"/>
  <cols>
    <col min="1" max="1" width="6.42578125" style="1" customWidth="1"/>
    <col min="2" max="2" width="30.7109375" style="1" customWidth="1"/>
    <col min="3" max="3" width="8.28515625" style="18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1.7109375" style="1" customWidth="1"/>
    <col min="12" max="12" width="15.7109375" style="1" customWidth="1"/>
    <col min="13" max="13" width="1.7109375" style="1" customWidth="1"/>
    <col min="14" max="14" width="15.7109375" style="1" customWidth="1"/>
    <col min="15" max="15" width="1.7109375" style="1" customWidth="1"/>
    <col min="16" max="16" width="15.7109375" style="1" customWidth="1"/>
    <col min="17" max="17" width="1.7109375" style="1" customWidth="1"/>
    <col min="18" max="18" width="15.7109375" style="1" customWidth="1"/>
    <col min="19" max="20" width="9.140625" style="1"/>
    <col min="21" max="21" width="9.140625" style="1" customWidth="1"/>
    <col min="22" max="22" width="28" style="1" bestFit="1" customWidth="1"/>
    <col min="23" max="23" width="1.7109375" style="1" customWidth="1"/>
    <col min="24" max="24" width="11" style="1" customWidth="1"/>
    <col min="25" max="25" width="1.7109375" style="1" customWidth="1"/>
    <col min="26" max="26" width="11" style="1" customWidth="1"/>
    <col min="27" max="27" width="1.7109375" style="1" customWidth="1"/>
    <col min="28" max="28" width="11" style="1" customWidth="1"/>
    <col min="29" max="29" width="1.7109375" style="1" customWidth="1"/>
    <col min="30" max="30" width="11" style="1" customWidth="1"/>
    <col min="31" max="31" width="1.7109375" style="1" customWidth="1"/>
    <col min="32" max="32" width="11" style="1" customWidth="1"/>
    <col min="33" max="33" width="1.7109375" style="1" customWidth="1"/>
    <col min="34" max="34" width="11" style="1" customWidth="1"/>
    <col min="35" max="35" width="1.7109375" style="1" customWidth="1"/>
    <col min="36" max="36" width="11.140625" style="1" customWidth="1"/>
    <col min="37" max="37" width="9.140625" style="1"/>
    <col min="38" max="39" width="9.140625" style="1" customWidth="1"/>
    <col min="40" max="40" width="9.140625" style="1"/>
    <col min="41" max="42" width="9.140625" style="1" customWidth="1"/>
    <col min="43" max="16384" width="9.140625" style="1"/>
  </cols>
  <sheetData>
    <row r="6" spans="1:56" x14ac:dyDescent="0.2">
      <c r="B6" s="157" t="s">
        <v>511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</row>
    <row r="7" spans="1:56" x14ac:dyDescent="0.2">
      <c r="B7" s="157" t="s">
        <v>390</v>
      </c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</row>
    <row r="9" spans="1:56" x14ac:dyDescent="0.2">
      <c r="A9" s="18" t="s">
        <v>2</v>
      </c>
      <c r="B9" s="18" t="s">
        <v>9</v>
      </c>
      <c r="F9" s="18" t="s">
        <v>52</v>
      </c>
      <c r="H9" s="18" t="s">
        <v>54</v>
      </c>
      <c r="J9" s="18" t="s">
        <v>55</v>
      </c>
      <c r="L9" s="18" t="s">
        <v>52</v>
      </c>
      <c r="N9" s="18"/>
      <c r="P9" s="18" t="s">
        <v>60</v>
      </c>
      <c r="R9" s="18" t="s">
        <v>9</v>
      </c>
      <c r="AK9" s="18"/>
      <c r="AM9" s="18"/>
      <c r="AR9" s="18"/>
      <c r="AT9" s="18"/>
      <c r="AV9" s="18"/>
      <c r="AX9" s="18"/>
      <c r="AZ9" s="18"/>
      <c r="BB9" s="18"/>
      <c r="BD9" s="18"/>
    </row>
    <row r="10" spans="1:56" x14ac:dyDescent="0.2">
      <c r="A10" s="4" t="s">
        <v>4</v>
      </c>
      <c r="B10" s="4" t="s">
        <v>310</v>
      </c>
      <c r="C10" s="4"/>
      <c r="D10" s="4" t="s">
        <v>11</v>
      </c>
      <c r="F10" s="4" t="s">
        <v>53</v>
      </c>
      <c r="H10" s="16" t="s">
        <v>53</v>
      </c>
      <c r="J10" s="4" t="s">
        <v>53</v>
      </c>
      <c r="L10" s="4" t="s">
        <v>55</v>
      </c>
      <c r="N10" s="4" t="s">
        <v>58</v>
      </c>
      <c r="P10" s="4" t="s">
        <v>81</v>
      </c>
      <c r="R10" s="4" t="s">
        <v>49</v>
      </c>
      <c r="AK10" s="18"/>
      <c r="AM10" s="18"/>
      <c r="AN10" s="18"/>
      <c r="AP10" s="18"/>
      <c r="AR10" s="18"/>
      <c r="AT10" s="113"/>
      <c r="AV10" s="18"/>
      <c r="AX10" s="18"/>
      <c r="AZ10" s="18"/>
      <c r="BB10" s="18"/>
      <c r="BD10" s="18"/>
    </row>
    <row r="11" spans="1:56" x14ac:dyDescent="0.2">
      <c r="A11" s="18"/>
      <c r="B11" s="18"/>
      <c r="D11" s="18" t="s">
        <v>12</v>
      </c>
      <c r="E11" s="18"/>
      <c r="F11" s="57" t="s">
        <v>13</v>
      </c>
      <c r="G11" s="18"/>
      <c r="H11" s="57" t="s">
        <v>14</v>
      </c>
      <c r="I11" s="18"/>
      <c r="J11" s="57" t="s">
        <v>366</v>
      </c>
      <c r="K11" s="18"/>
      <c r="L11" s="57" t="s">
        <v>15</v>
      </c>
      <c r="N11" s="57" t="s">
        <v>16</v>
      </c>
      <c r="O11" s="18"/>
      <c r="P11" s="57" t="s">
        <v>59</v>
      </c>
      <c r="R11" s="57" t="s">
        <v>61</v>
      </c>
      <c r="AK11" s="18"/>
      <c r="AN11" s="31"/>
      <c r="AP11" s="18"/>
      <c r="AQ11" s="18"/>
      <c r="AR11" s="57"/>
      <c r="AS11" s="18"/>
      <c r="AT11" s="57"/>
      <c r="AU11" s="18"/>
      <c r="AV11" s="57"/>
      <c r="AW11" s="18"/>
      <c r="AX11" s="57"/>
      <c r="AZ11" s="57"/>
      <c r="BA11" s="18"/>
      <c r="BB11" s="57"/>
      <c r="BD11" s="57"/>
    </row>
    <row r="12" spans="1:56" x14ac:dyDescent="0.2">
      <c r="AK12" s="18"/>
      <c r="AN12" s="31"/>
    </row>
    <row r="13" spans="1:56" x14ac:dyDescent="0.2">
      <c r="A13" s="18">
        <v>1</v>
      </c>
      <c r="B13" s="18"/>
      <c r="C13" s="2" t="s">
        <v>367</v>
      </c>
      <c r="D13" s="67">
        <f>SUM(F13:R13)</f>
        <v>1</v>
      </c>
      <c r="E13" s="14"/>
      <c r="F13" s="67">
        <v>0</v>
      </c>
      <c r="G13" s="67">
        <v>0</v>
      </c>
      <c r="H13" s="67">
        <v>0</v>
      </c>
      <c r="I13" s="67">
        <v>0</v>
      </c>
      <c r="J13" s="67">
        <v>0</v>
      </c>
      <c r="K13" s="67">
        <v>0</v>
      </c>
      <c r="L13" s="67">
        <v>0.84299834963035125</v>
      </c>
      <c r="M13" s="67">
        <v>0</v>
      </c>
      <c r="N13" s="67">
        <v>0</v>
      </c>
      <c r="O13" s="67">
        <v>0</v>
      </c>
      <c r="P13" s="67">
        <v>0.15700165036964869</v>
      </c>
      <c r="Q13" s="67">
        <v>0</v>
      </c>
      <c r="R13" s="67">
        <v>0</v>
      </c>
      <c r="AK13" s="18"/>
      <c r="AM13" s="18"/>
      <c r="AN13" s="58"/>
      <c r="AP13" s="67"/>
      <c r="AQ13" s="14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</row>
    <row r="14" spans="1:56" x14ac:dyDescent="0.2">
      <c r="A14" s="18">
        <v>2</v>
      </c>
      <c r="B14" s="18" t="s">
        <v>362</v>
      </c>
      <c r="C14" s="2"/>
      <c r="D14" s="43">
        <f>SUM(F14:R14)</f>
        <v>1</v>
      </c>
      <c r="F14" s="24">
        <f>IFERROR(F13/$D13,0)</f>
        <v>0</v>
      </c>
      <c r="H14" s="24">
        <f>IFERROR(H13/$D13,0)</f>
        <v>0</v>
      </c>
      <c r="J14" s="24">
        <f>IFERROR(J13/$D13,0)</f>
        <v>0</v>
      </c>
      <c r="L14" s="24">
        <f>IFERROR(L13/$D13,0)</f>
        <v>0.84299834963035125</v>
      </c>
      <c r="N14" s="24">
        <f>IFERROR(N13/$D13,0)</f>
        <v>0</v>
      </c>
      <c r="P14" s="24">
        <f>IFERROR(P13/$D13,0)</f>
        <v>0.15700165036964869</v>
      </c>
      <c r="R14" s="24">
        <f>IFERROR(R13/$D13,0)</f>
        <v>0</v>
      </c>
      <c r="AK14" s="18"/>
      <c r="AM14" s="18"/>
      <c r="AN14" s="58"/>
      <c r="AP14" s="43"/>
      <c r="AR14" s="63"/>
      <c r="AT14" s="63"/>
      <c r="AV14" s="63"/>
      <c r="AX14" s="63"/>
      <c r="AZ14" s="63"/>
      <c r="BB14" s="63"/>
      <c r="BD14" s="63"/>
    </row>
    <row r="15" spans="1:56" x14ac:dyDescent="0.2">
      <c r="A15" s="18"/>
      <c r="C15" s="2"/>
      <c r="D15" s="43"/>
      <c r="F15" s="24"/>
      <c r="H15" s="24"/>
      <c r="J15" s="24"/>
      <c r="L15" s="24"/>
      <c r="N15" s="24"/>
      <c r="P15" s="24"/>
      <c r="R15" s="24"/>
      <c r="AK15" s="18"/>
      <c r="AN15" s="31"/>
      <c r="AP15" s="43"/>
      <c r="AR15" s="63"/>
      <c r="AT15" s="63"/>
      <c r="AV15" s="63"/>
      <c r="AX15" s="63"/>
      <c r="AZ15" s="63"/>
      <c r="BB15" s="63"/>
      <c r="BD15" s="63"/>
    </row>
    <row r="16" spans="1:56" x14ac:dyDescent="0.2">
      <c r="A16" s="18">
        <v>3</v>
      </c>
      <c r="B16" s="18"/>
      <c r="C16" s="2" t="s">
        <v>368</v>
      </c>
      <c r="D16" s="38">
        <f>SUM(F16:R16)</f>
        <v>1</v>
      </c>
      <c r="E16" s="8"/>
      <c r="F16" s="38">
        <v>0</v>
      </c>
      <c r="G16" s="38"/>
      <c r="H16" s="38">
        <v>0</v>
      </c>
      <c r="I16" s="38"/>
      <c r="J16" s="38">
        <v>0</v>
      </c>
      <c r="K16" s="38"/>
      <c r="L16" s="38">
        <v>1</v>
      </c>
      <c r="M16" s="67"/>
      <c r="N16" s="67">
        <v>0</v>
      </c>
      <c r="O16" s="67"/>
      <c r="P16" s="67">
        <v>0</v>
      </c>
      <c r="Q16" s="67"/>
      <c r="R16" s="67">
        <v>0</v>
      </c>
      <c r="AK16" s="18"/>
      <c r="AM16" s="18"/>
      <c r="AN16" s="31"/>
      <c r="AP16" s="38"/>
      <c r="AQ16" s="8"/>
      <c r="AR16" s="38"/>
      <c r="AS16" s="38"/>
      <c r="AT16" s="38"/>
      <c r="AU16" s="38"/>
      <c r="AV16" s="38"/>
      <c r="AW16" s="38"/>
      <c r="AX16" s="38"/>
      <c r="AY16" s="67"/>
      <c r="AZ16" s="67"/>
      <c r="BA16" s="67"/>
      <c r="BB16" s="67"/>
      <c r="BC16" s="67"/>
      <c r="BD16" s="67"/>
    </row>
    <row r="17" spans="1:56" x14ac:dyDescent="0.2">
      <c r="A17" s="18">
        <v>4</v>
      </c>
      <c r="B17" s="18" t="s">
        <v>342</v>
      </c>
      <c r="C17" s="2"/>
      <c r="D17" s="43">
        <f>SUM(F17:R17)</f>
        <v>1</v>
      </c>
      <c r="F17" s="24">
        <f>IFERROR(F16/$D16,0)</f>
        <v>0</v>
      </c>
      <c r="H17" s="24">
        <f>IFERROR(H16/$D16,0)</f>
        <v>0</v>
      </c>
      <c r="J17" s="24">
        <f>IFERROR(J16/$D16,0)</f>
        <v>0</v>
      </c>
      <c r="L17" s="24">
        <f>IFERROR(L16/$D16,0)</f>
        <v>1</v>
      </c>
      <c r="N17" s="24">
        <f>IFERROR(N16/$D16,0)</f>
        <v>0</v>
      </c>
      <c r="P17" s="24">
        <f>IFERROR(P16/$D16,0)</f>
        <v>0</v>
      </c>
      <c r="R17" s="24">
        <f>IFERROR(R16/$D16,0)</f>
        <v>0</v>
      </c>
      <c r="AK17" s="18"/>
      <c r="AM17" s="18"/>
      <c r="AN17" s="31"/>
      <c r="AP17" s="43"/>
      <c r="AR17" s="63"/>
      <c r="AT17" s="63"/>
      <c r="AV17" s="63"/>
      <c r="AX17" s="63"/>
      <c r="AZ17" s="63"/>
      <c r="BB17" s="63"/>
      <c r="BD17" s="63"/>
    </row>
    <row r="18" spans="1:56" x14ac:dyDescent="0.2">
      <c r="A18" s="18"/>
      <c r="C18" s="2"/>
      <c r="AK18" s="18"/>
      <c r="AN18" s="31"/>
    </row>
    <row r="19" spans="1:56" x14ac:dyDescent="0.2">
      <c r="A19" s="18">
        <v>5</v>
      </c>
      <c r="B19" s="18"/>
      <c r="C19" s="2" t="s">
        <v>368</v>
      </c>
      <c r="D19" s="38">
        <f>SUM(F19:R19)</f>
        <v>1</v>
      </c>
      <c r="E19" s="8"/>
      <c r="F19" s="38">
        <v>0</v>
      </c>
      <c r="G19" s="38"/>
      <c r="H19" s="38">
        <v>0</v>
      </c>
      <c r="I19" s="38"/>
      <c r="J19" s="38">
        <v>0</v>
      </c>
      <c r="K19" s="38"/>
      <c r="L19" s="38">
        <v>0</v>
      </c>
      <c r="M19" s="38"/>
      <c r="N19" s="38">
        <v>0</v>
      </c>
      <c r="O19" s="38"/>
      <c r="P19" s="38">
        <v>1</v>
      </c>
      <c r="Q19" s="67"/>
      <c r="R19" s="67">
        <v>0</v>
      </c>
      <c r="AK19" s="18"/>
      <c r="AM19" s="18"/>
      <c r="AN19" s="31"/>
      <c r="AP19" s="38"/>
      <c r="AQ19" s="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67"/>
      <c r="BD19" s="67"/>
    </row>
    <row r="20" spans="1:56" x14ac:dyDescent="0.2">
      <c r="A20" s="18">
        <v>6</v>
      </c>
      <c r="B20" s="18" t="s">
        <v>229</v>
      </c>
      <c r="C20" s="2"/>
      <c r="D20" s="43">
        <f>SUM(F20:R20)</f>
        <v>1</v>
      </c>
      <c r="F20" s="24">
        <f>IFERROR(F19/$D19,0)</f>
        <v>0</v>
      </c>
      <c r="H20" s="24">
        <f>IFERROR(H19/$D19,0)</f>
        <v>0</v>
      </c>
      <c r="J20" s="24">
        <f>IFERROR(J19/$D19,0)</f>
        <v>0</v>
      </c>
      <c r="L20" s="24">
        <f>IFERROR(L19/$D19,0)</f>
        <v>0</v>
      </c>
      <c r="N20" s="24">
        <f>IFERROR(N19/$D19,0)</f>
        <v>0</v>
      </c>
      <c r="P20" s="24">
        <f>IFERROR(P19/$D19,0)</f>
        <v>1</v>
      </c>
      <c r="R20" s="24">
        <f>IFERROR(R19/$D19,0)</f>
        <v>0</v>
      </c>
      <c r="AK20" s="18"/>
      <c r="AM20" s="18"/>
      <c r="AN20" s="31"/>
      <c r="AP20" s="43"/>
      <c r="AR20" s="63"/>
      <c r="AT20" s="63"/>
      <c r="AV20" s="63"/>
      <c r="AX20" s="63"/>
      <c r="AZ20" s="63"/>
      <c r="BB20" s="63"/>
      <c r="BD20" s="63"/>
    </row>
    <row r="21" spans="1:56" x14ac:dyDescent="0.2">
      <c r="A21" s="18"/>
      <c r="B21" s="18"/>
      <c r="C21" s="2"/>
      <c r="AK21" s="18"/>
      <c r="AM21" s="18"/>
      <c r="AN21" s="31"/>
    </row>
    <row r="22" spans="1:56" x14ac:dyDescent="0.2">
      <c r="A22" s="18">
        <v>7</v>
      </c>
      <c r="B22" s="18"/>
      <c r="C22" s="2" t="s">
        <v>368</v>
      </c>
      <c r="D22" s="38">
        <f>SUM(F22:R22)</f>
        <v>1</v>
      </c>
      <c r="E22" s="8"/>
      <c r="F22" s="38">
        <v>0</v>
      </c>
      <c r="G22" s="38"/>
      <c r="H22" s="38">
        <v>0</v>
      </c>
      <c r="I22" s="38"/>
      <c r="J22" s="38">
        <v>0</v>
      </c>
      <c r="K22" s="38"/>
      <c r="L22" s="38">
        <v>0</v>
      </c>
      <c r="M22" s="38"/>
      <c r="N22" s="38">
        <v>0</v>
      </c>
      <c r="O22" s="38"/>
      <c r="P22" s="38">
        <v>0</v>
      </c>
      <c r="Q22" s="38"/>
      <c r="R22" s="38">
        <v>1</v>
      </c>
      <c r="AK22" s="18"/>
      <c r="AM22" s="18"/>
      <c r="AN22" s="31"/>
      <c r="AP22" s="38"/>
      <c r="AQ22" s="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</row>
    <row r="23" spans="1:56" x14ac:dyDescent="0.2">
      <c r="A23" s="18">
        <v>8</v>
      </c>
      <c r="B23" s="18" t="s">
        <v>250</v>
      </c>
      <c r="C23" s="2"/>
      <c r="D23" s="43">
        <f>SUM(F23:R23)</f>
        <v>1</v>
      </c>
      <c r="F23" s="24">
        <f>IFERROR(F22/$D22,0)</f>
        <v>0</v>
      </c>
      <c r="H23" s="24">
        <f>IFERROR(H22/$D22,0)</f>
        <v>0</v>
      </c>
      <c r="J23" s="24">
        <f>IFERROR(J22/$D22,0)</f>
        <v>0</v>
      </c>
      <c r="L23" s="24">
        <f>IFERROR(L22/$D22,0)</f>
        <v>0</v>
      </c>
      <c r="N23" s="24">
        <f>IFERROR(N22/$D22,0)</f>
        <v>0</v>
      </c>
      <c r="P23" s="24">
        <f>IFERROR(P22/$D22,0)</f>
        <v>0</v>
      </c>
      <c r="R23" s="24">
        <f>IFERROR(R22/$D22,0)</f>
        <v>1</v>
      </c>
      <c r="AK23" s="18"/>
      <c r="AM23" s="18"/>
      <c r="AN23" s="31"/>
      <c r="AP23" s="43"/>
      <c r="AR23" s="63"/>
      <c r="AT23" s="63"/>
      <c r="AV23" s="63"/>
      <c r="AX23" s="63"/>
      <c r="AZ23" s="63"/>
      <c r="BB23" s="63"/>
      <c r="BD23" s="63"/>
    </row>
    <row r="24" spans="1:56" x14ac:dyDescent="0.2">
      <c r="A24" s="18"/>
      <c r="B24" s="18"/>
      <c r="C24" s="2"/>
      <c r="AK24" s="18"/>
      <c r="AM24" s="18"/>
      <c r="AN24" s="31"/>
    </row>
    <row r="25" spans="1:56" x14ac:dyDescent="0.2">
      <c r="A25" s="18">
        <v>9</v>
      </c>
      <c r="B25" s="18"/>
      <c r="C25" s="2" t="s">
        <v>367</v>
      </c>
      <c r="D25" s="38">
        <f>SUM(F25:R25)</f>
        <v>1377669.9119118382</v>
      </c>
      <c r="E25" s="30"/>
      <c r="F25" s="38">
        <v>0</v>
      </c>
      <c r="G25" s="38">
        <v>0</v>
      </c>
      <c r="H25" s="38">
        <v>0</v>
      </c>
      <c r="I25" s="38">
        <v>0</v>
      </c>
      <c r="J25" s="38">
        <v>312327.75774717645</v>
      </c>
      <c r="K25" s="38">
        <v>0</v>
      </c>
      <c r="L25" s="38">
        <v>1051161.3967942926</v>
      </c>
      <c r="M25" s="38">
        <v>0</v>
      </c>
      <c r="N25" s="38">
        <v>0</v>
      </c>
      <c r="O25" s="38">
        <v>0</v>
      </c>
      <c r="P25" s="38">
        <v>14180.757370368967</v>
      </c>
      <c r="Q25" s="38">
        <v>0</v>
      </c>
      <c r="R25" s="38">
        <v>0</v>
      </c>
      <c r="AK25" s="18"/>
      <c r="AM25" s="18"/>
      <c r="AN25" s="58"/>
      <c r="AP25" s="38"/>
      <c r="AQ25" s="30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</row>
    <row r="26" spans="1:56" x14ac:dyDescent="0.2">
      <c r="A26" s="18">
        <v>10</v>
      </c>
      <c r="B26" s="18" t="s">
        <v>278</v>
      </c>
      <c r="C26" s="2"/>
      <c r="D26" s="43">
        <f>SUM(F26:R26)</f>
        <v>0.99999999999999989</v>
      </c>
      <c r="F26" s="24">
        <f>IFERROR(F25/$D25,0)</f>
        <v>0</v>
      </c>
      <c r="H26" s="24">
        <f>IFERROR(H25/$D25,0)</f>
        <v>0</v>
      </c>
      <c r="J26" s="24">
        <f>IFERROR(J25/$D25,0)</f>
        <v>0.22670725044270501</v>
      </c>
      <c r="L26" s="24">
        <f>IFERROR(L25/$D25,0)</f>
        <v>0.76299945851002948</v>
      </c>
      <c r="N26" s="24">
        <f>IFERROR(N25/$D25,0)</f>
        <v>0</v>
      </c>
      <c r="P26" s="24">
        <f>IFERROR(P25/$D25,0)</f>
        <v>1.0293291047265349E-2</v>
      </c>
      <c r="R26" s="24">
        <f>IFERROR(R25/$D25,0)</f>
        <v>0</v>
      </c>
      <c r="AK26" s="18"/>
      <c r="AM26" s="18"/>
      <c r="AN26" s="58"/>
      <c r="AP26" s="43"/>
      <c r="AR26" s="63"/>
      <c r="AT26" s="63"/>
      <c r="AV26" s="63"/>
      <c r="AX26" s="63"/>
      <c r="AZ26" s="63"/>
      <c r="BB26" s="63"/>
      <c r="BD26" s="63"/>
    </row>
    <row r="27" spans="1:56" x14ac:dyDescent="0.2">
      <c r="A27" s="18"/>
      <c r="C27" s="2"/>
      <c r="AK27" s="18"/>
      <c r="AN27" s="31"/>
    </row>
    <row r="28" spans="1:56" x14ac:dyDescent="0.2">
      <c r="A28" s="18">
        <v>11</v>
      </c>
      <c r="B28" s="18"/>
      <c r="C28" s="2" t="s">
        <v>367</v>
      </c>
      <c r="D28" s="38">
        <f>SUM(F28:R28)</f>
        <v>-529309.68232222286</v>
      </c>
      <c r="F28" s="38">
        <v>0</v>
      </c>
      <c r="G28" s="38">
        <v>0</v>
      </c>
      <c r="H28" s="38">
        <v>0</v>
      </c>
      <c r="I28" s="38">
        <v>0</v>
      </c>
      <c r="J28" s="38">
        <v>-125363.51856244406</v>
      </c>
      <c r="K28" s="38">
        <v>0</v>
      </c>
      <c r="L28" s="38">
        <v>-394898.99494617968</v>
      </c>
      <c r="M28" s="38">
        <v>0</v>
      </c>
      <c r="N28" s="38">
        <v>0</v>
      </c>
      <c r="O28" s="38">
        <v>0</v>
      </c>
      <c r="P28" s="38">
        <v>-9047.1688135990662</v>
      </c>
      <c r="Q28" s="38">
        <v>0</v>
      </c>
      <c r="R28" s="38">
        <v>0</v>
      </c>
      <c r="AK28" s="18"/>
      <c r="AM28" s="18"/>
      <c r="AN28" s="58"/>
      <c r="AP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</row>
    <row r="29" spans="1:56" x14ac:dyDescent="0.2">
      <c r="A29" s="18">
        <v>12</v>
      </c>
      <c r="B29" s="18" t="s">
        <v>308</v>
      </c>
      <c r="C29" s="2"/>
      <c r="D29" s="43">
        <f>SUM(F29:R29)</f>
        <v>0.99999999999999989</v>
      </c>
      <c r="F29" s="24">
        <f>IFERROR(F28/$D28,0)</f>
        <v>0</v>
      </c>
      <c r="H29" s="24">
        <f>IFERROR(H28/$D28,0)</f>
        <v>0</v>
      </c>
      <c r="J29" s="24">
        <f>IFERROR(J28/$D28,0)</f>
        <v>0.2368434259740741</v>
      </c>
      <c r="L29" s="24">
        <f>IFERROR(L28/$D28,0)</f>
        <v>0.74606418158393095</v>
      </c>
      <c r="N29" s="24">
        <f>IFERROR(N28/$D28,0)</f>
        <v>0</v>
      </c>
      <c r="P29" s="24">
        <f>IFERROR(P28/$D28,0)</f>
        <v>1.7092392441994866E-2</v>
      </c>
      <c r="R29" s="24">
        <f>IFERROR(R28/$D28,0)</f>
        <v>0</v>
      </c>
      <c r="AK29" s="18"/>
      <c r="AM29" s="18"/>
      <c r="AN29" s="58"/>
      <c r="AP29" s="43"/>
      <c r="AR29" s="63"/>
      <c r="AT29" s="63"/>
      <c r="AV29" s="63"/>
      <c r="AX29" s="63"/>
      <c r="AZ29" s="63"/>
      <c r="BB29" s="63"/>
      <c r="BD29" s="63"/>
    </row>
    <row r="30" spans="1:56" x14ac:dyDescent="0.2">
      <c r="A30" s="18"/>
      <c r="C30" s="2"/>
      <c r="AK30" s="18"/>
      <c r="AN30" s="31"/>
    </row>
    <row r="31" spans="1:56" x14ac:dyDescent="0.2">
      <c r="A31" s="18">
        <v>13</v>
      </c>
      <c r="B31" s="18"/>
      <c r="C31" s="2" t="s">
        <v>367</v>
      </c>
      <c r="D31" s="38">
        <f>SUM(F31:R31)</f>
        <v>82704.555380633625</v>
      </c>
      <c r="E31" s="30"/>
      <c r="F31" s="38">
        <v>2865.4413980866079</v>
      </c>
      <c r="G31" s="38">
        <v>0</v>
      </c>
      <c r="H31" s="38">
        <v>418.34955602151706</v>
      </c>
      <c r="I31" s="38">
        <v>0</v>
      </c>
      <c r="J31" s="38">
        <v>12951.820774894552</v>
      </c>
      <c r="K31" s="38">
        <v>0</v>
      </c>
      <c r="L31" s="38">
        <v>52670.010764900748</v>
      </c>
      <c r="M31" s="38">
        <v>0</v>
      </c>
      <c r="N31" s="38">
        <v>4950.701381548829</v>
      </c>
      <c r="O31" s="38">
        <v>0</v>
      </c>
      <c r="P31" s="38">
        <v>8848.2315051813566</v>
      </c>
      <c r="Q31" s="38">
        <v>0</v>
      </c>
      <c r="R31" s="38">
        <v>0</v>
      </c>
      <c r="AK31" s="18"/>
      <c r="AM31" s="18"/>
      <c r="AN31" s="58"/>
      <c r="AP31" s="38"/>
      <c r="AQ31" s="30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</row>
    <row r="32" spans="1:56" x14ac:dyDescent="0.2">
      <c r="A32" s="18">
        <v>14</v>
      </c>
      <c r="B32" s="18" t="s">
        <v>245</v>
      </c>
      <c r="C32" s="2"/>
      <c r="D32" s="43">
        <f>SUM(F32:R32)</f>
        <v>0.99999999999999978</v>
      </c>
      <c r="F32" s="24">
        <f>IFERROR(F31/$D31,0)</f>
        <v>3.4646717885114094E-2</v>
      </c>
      <c r="H32" s="24">
        <f>IFERROR(H31/$D31,0)</f>
        <v>5.0583617080840896E-3</v>
      </c>
      <c r="J32" s="24">
        <f>IFERROR(J31/$D31,0)</f>
        <v>0.15660347504784958</v>
      </c>
      <c r="L32" s="24">
        <f>IFERROR(L31/$D31,0)</f>
        <v>0.63684534089441625</v>
      </c>
      <c r="N32" s="24">
        <f>IFERROR(N31/$D31,0)</f>
        <v>5.9860080968503725E-2</v>
      </c>
      <c r="P32" s="24">
        <f>IFERROR(P31/$D31,0)</f>
        <v>0.10698602349603209</v>
      </c>
      <c r="R32" s="24">
        <f>IFERROR(R31/$D31,0)</f>
        <v>0</v>
      </c>
      <c r="AK32" s="18"/>
      <c r="AM32" s="18"/>
      <c r="AN32" s="58"/>
      <c r="AP32" s="43"/>
      <c r="AR32" s="63"/>
      <c r="AT32" s="63"/>
      <c r="AV32" s="63"/>
      <c r="AX32" s="63"/>
      <c r="AZ32" s="63"/>
      <c r="BB32" s="63"/>
      <c r="BD32" s="63"/>
    </row>
    <row r="33" spans="1:56" x14ac:dyDescent="0.2">
      <c r="A33" s="18"/>
      <c r="C33" s="2"/>
      <c r="D33" s="43"/>
      <c r="F33" s="24"/>
      <c r="H33" s="24"/>
      <c r="J33" s="24"/>
      <c r="L33" s="24"/>
      <c r="N33" s="24"/>
      <c r="P33" s="24"/>
      <c r="R33" s="24"/>
      <c r="AK33" s="18"/>
      <c r="AN33" s="31"/>
      <c r="AP33" s="43"/>
      <c r="AR33" s="63"/>
      <c r="AT33" s="63"/>
      <c r="AV33" s="63"/>
      <c r="AX33" s="63"/>
      <c r="AZ33" s="63"/>
      <c r="BB33" s="63"/>
      <c r="BD33" s="63"/>
    </row>
    <row r="34" spans="1:56" x14ac:dyDescent="0.2">
      <c r="A34" s="18">
        <v>15</v>
      </c>
      <c r="B34" s="18"/>
      <c r="C34" s="2" t="s">
        <v>368</v>
      </c>
      <c r="D34" s="67">
        <f ca="1">SUM(F34:R34)</f>
        <v>100</v>
      </c>
      <c r="E34" s="68"/>
      <c r="F34" s="67">
        <f ca="1">+X44*100</f>
        <v>3.5305576955673885</v>
      </c>
      <c r="G34" s="67"/>
      <c r="H34" s="67">
        <f ca="1">+Z44*100</f>
        <v>0.50795141745633254</v>
      </c>
      <c r="I34" s="67"/>
      <c r="J34" s="67">
        <f ca="1">+AB44*100</f>
        <v>13.231137161233839</v>
      </c>
      <c r="K34" s="67"/>
      <c r="L34" s="67">
        <f ca="1">+AD44*100</f>
        <v>58.335470325063255</v>
      </c>
      <c r="M34" s="67"/>
      <c r="N34" s="67">
        <f ca="1">+AF44*100</f>
        <v>8.7243845198878045</v>
      </c>
      <c r="O34" s="67"/>
      <c r="P34" s="67">
        <f ca="1">+AH44*100</f>
        <v>15.670498880791392</v>
      </c>
      <c r="Q34" s="67"/>
      <c r="R34" s="67">
        <f ca="1">+AJ44*100</f>
        <v>0</v>
      </c>
      <c r="V34" s="77" t="s">
        <v>234</v>
      </c>
      <c r="AK34" s="18"/>
      <c r="AM34" s="18"/>
      <c r="AN34" s="31"/>
      <c r="AP34" s="67"/>
      <c r="AQ34" s="68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</row>
    <row r="35" spans="1:56" x14ac:dyDescent="0.2">
      <c r="A35" s="18">
        <v>16</v>
      </c>
      <c r="B35" s="18" t="s">
        <v>234</v>
      </c>
      <c r="C35" s="2"/>
      <c r="D35" s="43">
        <f ca="1">SUM(F35:R35)</f>
        <v>1</v>
      </c>
      <c r="F35" s="24">
        <f ca="1">IFERROR(F34/$D34,0)</f>
        <v>3.5305576955673885E-2</v>
      </c>
      <c r="H35" s="24">
        <f ca="1">IFERROR(H34/$D34,0)</f>
        <v>5.0795141745633259E-3</v>
      </c>
      <c r="J35" s="24">
        <f ca="1">IFERROR(J34/$D34,0)</f>
        <v>0.13231137161233839</v>
      </c>
      <c r="L35" s="24">
        <f ca="1">IFERROR(L34/$D34,0)</f>
        <v>0.58335470325063254</v>
      </c>
      <c r="N35" s="24">
        <f ca="1">IFERROR(N34/$D34,0)</f>
        <v>8.7243845198878039E-2</v>
      </c>
      <c r="P35" s="24">
        <f ca="1">IFERROR(P34/$D34,0)</f>
        <v>0.15670498880791392</v>
      </c>
      <c r="R35" s="24">
        <f ca="1">IFERROR(R34/$D34,0)</f>
        <v>0</v>
      </c>
      <c r="X35" s="18" t="s">
        <v>52</v>
      </c>
      <c r="Z35" s="18" t="s">
        <v>54</v>
      </c>
      <c r="AB35" s="18" t="s">
        <v>55</v>
      </c>
      <c r="AD35" s="18" t="s">
        <v>52</v>
      </c>
      <c r="AF35" s="18"/>
      <c r="AH35" s="18" t="s">
        <v>60</v>
      </c>
      <c r="AJ35" s="18" t="s">
        <v>9</v>
      </c>
      <c r="AK35" s="18"/>
      <c r="AM35" s="18"/>
      <c r="AN35" s="31"/>
      <c r="AP35" s="43"/>
      <c r="AR35" s="63"/>
      <c r="AT35" s="63"/>
      <c r="AV35" s="63"/>
      <c r="AX35" s="63"/>
      <c r="AZ35" s="63"/>
      <c r="BB35" s="63"/>
      <c r="BD35" s="63"/>
    </row>
    <row r="36" spans="1:56" x14ac:dyDescent="0.2">
      <c r="A36" s="18"/>
      <c r="B36" s="18"/>
      <c r="C36" s="2"/>
      <c r="X36" s="4" t="s">
        <v>53</v>
      </c>
      <c r="Z36" s="16" t="s">
        <v>53</v>
      </c>
      <c r="AB36" s="4" t="s">
        <v>53</v>
      </c>
      <c r="AD36" s="4" t="s">
        <v>55</v>
      </c>
      <c r="AF36" s="4" t="s">
        <v>58</v>
      </c>
      <c r="AH36" s="4" t="s">
        <v>81</v>
      </c>
      <c r="AJ36" s="4" t="s">
        <v>49</v>
      </c>
      <c r="AK36" s="18"/>
      <c r="AM36" s="18"/>
      <c r="AN36" s="31"/>
    </row>
    <row r="37" spans="1:56" x14ac:dyDescent="0.2">
      <c r="A37" s="18">
        <v>17</v>
      </c>
      <c r="B37" s="18"/>
      <c r="C37" s="2" t="s">
        <v>368</v>
      </c>
      <c r="D37" s="38">
        <f>SUM(F37:R37)</f>
        <v>21572.951217688635</v>
      </c>
      <c r="E37" s="30"/>
      <c r="F37" s="38">
        <v>1083.193800934238</v>
      </c>
      <c r="G37" s="38"/>
      <c r="H37" s="38">
        <v>177.89091194190325</v>
      </c>
      <c r="I37" s="38"/>
      <c r="J37" s="38">
        <v>2980.9613966285642</v>
      </c>
      <c r="K37" s="38"/>
      <c r="L37" s="38">
        <v>12462.678126366231</v>
      </c>
      <c r="M37" s="38"/>
      <c r="N37" s="38">
        <v>1430.7215203964547</v>
      </c>
      <c r="O37" s="38"/>
      <c r="P37" s="38">
        <v>3437.5054614212445</v>
      </c>
      <c r="Q37" s="38"/>
      <c r="R37" s="38">
        <v>0</v>
      </c>
      <c r="AK37" s="18"/>
      <c r="AM37" s="18"/>
      <c r="AN37" s="31"/>
      <c r="AP37" s="38"/>
      <c r="AQ37" s="30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</row>
    <row r="38" spans="1:56" x14ac:dyDescent="0.2">
      <c r="A38" s="18">
        <v>18</v>
      </c>
      <c r="B38" s="18" t="s">
        <v>228</v>
      </c>
      <c r="C38" s="2"/>
      <c r="D38" s="43">
        <f>SUM(F38:R38)</f>
        <v>1</v>
      </c>
      <c r="F38" s="24">
        <f>IFERROR(F37/$D37,0)</f>
        <v>5.0210737974787548E-2</v>
      </c>
      <c r="H38" s="24">
        <f>IFERROR(H37/$D37,0)</f>
        <v>8.2460165114563687E-3</v>
      </c>
      <c r="J38" s="24">
        <f>IFERROR(J37/$D37,0)</f>
        <v>0.1381805097757946</v>
      </c>
      <c r="L38" s="24">
        <f>IFERROR(L37/$D37,0)</f>
        <v>0.57769926796791338</v>
      </c>
      <c r="N38" s="24">
        <f>IFERROR(N37/$D37,0)</f>
        <v>6.6320157402633986E-2</v>
      </c>
      <c r="P38" s="24">
        <f>IFERROR(P37/$D37,0)</f>
        <v>0.15934331036741411</v>
      </c>
      <c r="R38" s="24">
        <f>IFERROR(R37/$D37,0)</f>
        <v>0</v>
      </c>
      <c r="V38" s="1" t="s">
        <v>357</v>
      </c>
      <c r="X38" s="47">
        <f ca="1">'Transmission Class'!P75-'Transmission Class'!P74-'Transmission Class'!P70</f>
        <v>62470.349204509825</v>
      </c>
      <c r="Y38" s="20"/>
      <c r="Z38" s="47">
        <f ca="1">'Transmission Class'!R75-'Transmission Class'!R74-'Transmission Class'!R70</f>
        <v>6600.7037036665752</v>
      </c>
      <c r="AA38" s="20"/>
      <c r="AB38" s="47">
        <f ca="1">'Transmission Class'!T75-'Transmission Class'!T74-'Transmission Class'!T70</f>
        <v>320138.13045010203</v>
      </c>
      <c r="AC38" s="20"/>
      <c r="AD38" s="47">
        <f ca="1">'Transmission Class'!V75-'Transmission Class'!V74-'Transmission Class'!V70</f>
        <v>1471150.0374508221</v>
      </c>
      <c r="AE38" s="20"/>
      <c r="AF38" s="47">
        <f ca="1">'Transmission Class'!X75-'Transmission Class'!X74-'Transmission Class'!X70</f>
        <v>290076.06216115074</v>
      </c>
      <c r="AG38" s="20"/>
      <c r="AH38" s="47">
        <f ca="1">'Transmission Class'!Z75-'Transmission Class'!Z74-'Transmission Class'!Z70</f>
        <v>416107.44752097502</v>
      </c>
      <c r="AI38" s="20"/>
      <c r="AJ38" s="47">
        <f ca="1">'Transmission Class'!AB75-'Transmission Class'!AB74-'Transmission Class'!AB70</f>
        <v>0</v>
      </c>
      <c r="AK38" s="18"/>
      <c r="AM38" s="18"/>
      <c r="AN38" s="31"/>
      <c r="AP38" s="43"/>
      <c r="AR38" s="63"/>
      <c r="AT38" s="63"/>
      <c r="AV38" s="63"/>
      <c r="AX38" s="63"/>
      <c r="AZ38" s="63"/>
      <c r="BB38" s="63"/>
      <c r="BD38" s="63"/>
    </row>
    <row r="39" spans="1:56" x14ac:dyDescent="0.2">
      <c r="A39" s="18"/>
      <c r="C39" s="2"/>
      <c r="X39" s="24">
        <f ca="1">X38/SUM($X$38:$AJ$38)</f>
        <v>2.4340272407057585E-2</v>
      </c>
      <c r="Y39" s="24"/>
      <c r="Z39" s="24">
        <f ca="1">Z38/SUM($X$38:$AJ$38)</f>
        <v>2.5718269270362886E-3</v>
      </c>
      <c r="AA39" s="24"/>
      <c r="AB39" s="24">
        <f ca="1">AB38/SUM($X$38:$AJ$38)</f>
        <v>0.12473516479845588</v>
      </c>
      <c r="AC39" s="24"/>
      <c r="AD39" s="24">
        <f ca="1">AD38/SUM($X$38:$AJ$38)</f>
        <v>0.57320301741839685</v>
      </c>
      <c r="AE39" s="17"/>
      <c r="AF39" s="24">
        <f ca="1">AF38/SUM($X$38:$AJ$38)</f>
        <v>0.1130221050734781</v>
      </c>
      <c r="AG39" s="17"/>
      <c r="AH39" s="24">
        <f ca="1">AH38/SUM($X$38:$AJ$38)</f>
        <v>0.16212761337557535</v>
      </c>
      <c r="AI39" s="17"/>
      <c r="AJ39" s="24">
        <f ca="1">AJ38/SUM($X$38:$AJ$38)</f>
        <v>0</v>
      </c>
      <c r="AK39" s="18"/>
      <c r="AN39" s="31"/>
    </row>
    <row r="40" spans="1:56" ht="15" x14ac:dyDescent="0.25">
      <c r="A40" s="18">
        <v>19</v>
      </c>
      <c r="B40" s="18"/>
      <c r="C40" s="2" t="s">
        <v>367</v>
      </c>
      <c r="D40" s="38">
        <f>SUM(F40:R40)</f>
        <v>79166.942309318183</v>
      </c>
      <c r="E40" s="30"/>
      <c r="F40" s="38">
        <v>3031.2129016562203</v>
      </c>
      <c r="G40" s="38">
        <v>0</v>
      </c>
      <c r="H40" s="38">
        <v>0</v>
      </c>
      <c r="I40" s="38">
        <v>0</v>
      </c>
      <c r="J40" s="38">
        <v>31159.855072747298</v>
      </c>
      <c r="K40" s="38">
        <v>0</v>
      </c>
      <c r="L40" s="38">
        <v>39457.139453762713</v>
      </c>
      <c r="M40" s="38">
        <v>0</v>
      </c>
      <c r="N40" s="38">
        <v>42.9775025</v>
      </c>
      <c r="O40" s="38">
        <v>0</v>
      </c>
      <c r="P40" s="38">
        <v>5475.7573786519451</v>
      </c>
      <c r="Q40" s="38">
        <v>0</v>
      </c>
      <c r="R40" s="38">
        <v>0</v>
      </c>
      <c r="V40"/>
      <c r="W40"/>
      <c r="X40"/>
      <c r="Y40"/>
      <c r="Z40"/>
      <c r="AA40"/>
      <c r="AB40"/>
      <c r="AC40"/>
      <c r="AD40"/>
      <c r="AK40" s="18"/>
      <c r="AM40" s="18"/>
      <c r="AN40" s="58"/>
      <c r="AP40" s="38"/>
      <c r="AQ40" s="30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</row>
    <row r="41" spans="1:56" x14ac:dyDescent="0.2">
      <c r="A41" s="18">
        <v>20</v>
      </c>
      <c r="B41" s="18" t="s">
        <v>273</v>
      </c>
      <c r="C41" s="2"/>
      <c r="D41" s="43">
        <f>SUM(F41:R41)</f>
        <v>1</v>
      </c>
      <c r="F41" s="24">
        <f>IFERROR(F40/$D40,0)</f>
        <v>3.8288871759285283E-2</v>
      </c>
      <c r="H41" s="24">
        <f>IFERROR(H40/$D40,0)</f>
        <v>0</v>
      </c>
      <c r="J41" s="24">
        <f>IFERROR(J40/$D40,0)</f>
        <v>0.39359679891387811</v>
      </c>
      <c r="L41" s="24">
        <f>IFERROR(L40/$D40,0)</f>
        <v>0.49840423670270378</v>
      </c>
      <c r="N41" s="24">
        <f>IFERROR(N40/$D40,0)</f>
        <v>5.4287182561731226E-4</v>
      </c>
      <c r="P41" s="24">
        <f>IFERROR(P40/$D40,0)</f>
        <v>6.916722079851545E-2</v>
      </c>
      <c r="R41" s="24">
        <f>IFERROR(R40/$D40,0)</f>
        <v>0</v>
      </c>
      <c r="V41" s="1" t="s">
        <v>37</v>
      </c>
      <c r="X41" s="47">
        <f ca="1">+'Transmission Class'!P162-'Transmission Class'!P157-'Transmission Class'!P148-SUM('Transmission Class'!P116:P122)</f>
        <v>2907.9761813347072</v>
      </c>
      <c r="Y41" s="20"/>
      <c r="Z41" s="47">
        <f ca="1">+'Transmission Class'!R162-'Transmission Class'!R157-'Transmission Class'!R148-SUM('Transmission Class'!R116:R122)</f>
        <v>476.83122303131182</v>
      </c>
      <c r="AA41" s="20"/>
      <c r="AB41" s="47">
        <f ca="1">+'Transmission Class'!T162-'Transmission Class'!T157-'Transmission Class'!T148-SUM('Transmission Class'!T116:T122)</f>
        <v>8791.4846854673415</v>
      </c>
      <c r="AC41" s="20"/>
      <c r="AD41" s="47">
        <f ca="1">+'Transmission Class'!V162-'Transmission Class'!V157-'Transmission Class'!V148-SUM('Transmission Class'!V116:V122)</f>
        <v>37299.968939708357</v>
      </c>
      <c r="AE41" s="20"/>
      <c r="AF41" s="47">
        <f ca="1">+'Transmission Class'!X162-'Transmission Class'!X157-'Transmission Class'!X148-SUM('Transmission Class'!X116:X122)</f>
        <v>3862.9144784765754</v>
      </c>
      <c r="AG41" s="20"/>
      <c r="AH41" s="47">
        <f ca="1">+'Transmission Class'!Z162-'Transmission Class'!Z157-'Transmission Class'!Z148-SUM('Transmission Class'!Z116:Z122)</f>
        <v>9507.6103494130821</v>
      </c>
      <c r="AI41" s="20"/>
      <c r="AJ41" s="47">
        <f ca="1">+'Transmission Class'!AB162-'Transmission Class'!AB157-'Transmission Class'!AB148-SUM('Transmission Class'!AB116:AB122)</f>
        <v>0</v>
      </c>
      <c r="AK41" s="18"/>
      <c r="AM41" s="18"/>
      <c r="AN41" s="58"/>
      <c r="AP41" s="43"/>
      <c r="AR41" s="63"/>
      <c r="AT41" s="63"/>
      <c r="AV41" s="63"/>
      <c r="AX41" s="63"/>
      <c r="AZ41" s="63"/>
      <c r="BB41" s="63"/>
      <c r="BD41" s="63"/>
    </row>
    <row r="42" spans="1:56" x14ac:dyDescent="0.2">
      <c r="A42" s="18"/>
      <c r="C42" s="2"/>
      <c r="X42" s="24">
        <f ca="1">X41/SUM($X$41:$AJ$41)</f>
        <v>4.6270881504290186E-2</v>
      </c>
      <c r="Y42" s="24"/>
      <c r="Z42" s="24">
        <f ca="1">Z41/SUM($X$41:$AJ$41)</f>
        <v>7.5872014220903627E-3</v>
      </c>
      <c r="AA42" s="24"/>
      <c r="AB42" s="24">
        <f ca="1">AB41/SUM($X$41:$AJ$41)</f>
        <v>0.1398875784262209</v>
      </c>
      <c r="AC42" s="24"/>
      <c r="AD42" s="24">
        <f ca="1">AD41/SUM($X$41:$AJ$41)</f>
        <v>0.59350638908286812</v>
      </c>
      <c r="AE42" s="17"/>
      <c r="AF42" s="24">
        <f ca="1">AF41/SUM($X$41:$AJ$41)</f>
        <v>6.146558532427799E-2</v>
      </c>
      <c r="AG42" s="17"/>
      <c r="AH42" s="24">
        <f ca="1">AH41/SUM($X$41:$AJ$41)</f>
        <v>0.15128236424025249</v>
      </c>
      <c r="AI42" s="17"/>
      <c r="AJ42" s="24">
        <f ca="1">AJ41/SUM($X$41:$AJ$41)</f>
        <v>0</v>
      </c>
      <c r="AK42" s="18"/>
      <c r="AN42" s="31"/>
    </row>
    <row r="43" spans="1:56" x14ac:dyDescent="0.2">
      <c r="A43" s="18">
        <v>21</v>
      </c>
      <c r="B43" s="18"/>
      <c r="C43" s="2" t="s">
        <v>367</v>
      </c>
      <c r="D43" s="38">
        <f>SUM(F43:R43)</f>
        <v>66946.675245760765</v>
      </c>
      <c r="E43" s="30"/>
      <c r="F43" s="38">
        <v>0</v>
      </c>
      <c r="G43" s="38">
        <v>0</v>
      </c>
      <c r="H43" s="38">
        <v>0</v>
      </c>
      <c r="I43" s="38">
        <v>0</v>
      </c>
      <c r="J43" s="38">
        <v>449.29173225577097</v>
      </c>
      <c r="K43" s="38">
        <v>0</v>
      </c>
      <c r="L43" s="38">
        <v>36010.838755091441</v>
      </c>
      <c r="M43" s="38">
        <v>0</v>
      </c>
      <c r="N43" s="38">
        <v>19861.049589999999</v>
      </c>
      <c r="O43" s="38">
        <v>0</v>
      </c>
      <c r="P43" s="38">
        <v>10625.495168413565</v>
      </c>
      <c r="Q43" s="38">
        <v>0</v>
      </c>
      <c r="R43" s="38">
        <v>0</v>
      </c>
      <c r="AK43" s="18"/>
      <c r="AM43" s="18"/>
      <c r="AN43" s="58"/>
      <c r="AP43" s="38"/>
      <c r="AQ43" s="30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</row>
    <row r="44" spans="1:56" x14ac:dyDescent="0.2">
      <c r="A44" s="18">
        <v>22</v>
      </c>
      <c r="B44" s="18" t="s">
        <v>274</v>
      </c>
      <c r="C44" s="2"/>
      <c r="D44" s="43">
        <f>SUM(F44:R44)</f>
        <v>1.0000000000000002</v>
      </c>
      <c r="F44" s="24">
        <f>IFERROR(F43/$D43,0)</f>
        <v>0</v>
      </c>
      <c r="H44" s="24">
        <f>IFERROR(H43/$D43,0)</f>
        <v>0</v>
      </c>
      <c r="J44" s="24">
        <f>IFERROR(J43/$D43,0)</f>
        <v>6.7111881300516308E-3</v>
      </c>
      <c r="L44" s="24">
        <f>IFERROR(L43/$D43,0)</f>
        <v>0.53790331816921322</v>
      </c>
      <c r="N44" s="24">
        <f>IFERROR(N43/$D43,0)</f>
        <v>0.29666969296220058</v>
      </c>
      <c r="P44" s="24">
        <f>IFERROR(P43/$D43,0)</f>
        <v>0.15871580073853478</v>
      </c>
      <c r="R44" s="24">
        <f>IFERROR(R43/$D43,0)</f>
        <v>0</v>
      </c>
      <c r="V44" s="31" t="s">
        <v>358</v>
      </c>
      <c r="W44" s="118"/>
      <c r="X44" s="108">
        <f ca="1">0.5*X39+0.5*X42</f>
        <v>3.5305576955673885E-2</v>
      </c>
      <c r="Y44" s="107"/>
      <c r="Z44" s="108">
        <f ca="1">0.5*Z39+0.5*Z42</f>
        <v>5.0795141745633259E-3</v>
      </c>
      <c r="AA44" s="106"/>
      <c r="AB44" s="108">
        <f ca="1">0.5*AB39+0.5*AB42</f>
        <v>0.13231137161233839</v>
      </c>
      <c r="AC44" s="106"/>
      <c r="AD44" s="108">
        <f ca="1">0.5*AD39+0.5*AD42</f>
        <v>0.58335470325063254</v>
      </c>
      <c r="AE44" s="118"/>
      <c r="AF44" s="108">
        <f ca="1">0.5*AF39+0.5*AF42</f>
        <v>8.7243845198878039E-2</v>
      </c>
      <c r="AG44" s="118"/>
      <c r="AH44" s="108">
        <f ca="1">0.5*AH39+0.5*AH42</f>
        <v>0.15670498880791392</v>
      </c>
      <c r="AI44" s="118"/>
      <c r="AJ44" s="108">
        <f ca="1">0.5*AJ39+0.5*AJ42</f>
        <v>0</v>
      </c>
      <c r="AK44" s="18"/>
      <c r="AM44" s="18"/>
      <c r="AN44" s="58"/>
      <c r="AP44" s="43"/>
      <c r="AR44" s="63"/>
      <c r="AT44" s="63"/>
      <c r="AV44" s="63"/>
      <c r="AX44" s="63"/>
      <c r="AZ44" s="63"/>
      <c r="BB44" s="63"/>
      <c r="BD44" s="63"/>
    </row>
    <row r="45" spans="1:56" x14ac:dyDescent="0.2">
      <c r="A45" s="18"/>
      <c r="C45" s="2"/>
      <c r="AK45" s="18"/>
      <c r="AN45" s="31"/>
    </row>
    <row r="46" spans="1:56" x14ac:dyDescent="0.2">
      <c r="A46" s="18">
        <v>23</v>
      </c>
      <c r="B46" s="18"/>
      <c r="C46" s="2" t="s">
        <v>367</v>
      </c>
      <c r="D46" s="38">
        <f>SUM(F46:R46)</f>
        <v>-17684.967853226441</v>
      </c>
      <c r="F46" s="38">
        <v>0</v>
      </c>
      <c r="G46" s="38">
        <v>0</v>
      </c>
      <c r="H46" s="38">
        <v>0</v>
      </c>
      <c r="I46" s="38">
        <v>0</v>
      </c>
      <c r="J46" s="38">
        <v>-81.470851186358047</v>
      </c>
      <c r="K46" s="38">
        <v>0</v>
      </c>
      <c r="L46" s="38">
        <v>-14093.643890261519</v>
      </c>
      <c r="M46" s="38">
        <v>0</v>
      </c>
      <c r="N46" s="38">
        <v>-1728.3808892002771</v>
      </c>
      <c r="O46" s="38">
        <v>0</v>
      </c>
      <c r="P46" s="38">
        <v>-1781.4722225782862</v>
      </c>
      <c r="Q46" s="38">
        <v>0</v>
      </c>
      <c r="R46" s="38">
        <v>0</v>
      </c>
      <c r="AK46" s="18"/>
      <c r="AM46" s="18"/>
      <c r="AN46" s="58"/>
      <c r="AP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</row>
    <row r="47" spans="1:56" x14ac:dyDescent="0.2">
      <c r="A47" s="18">
        <v>24</v>
      </c>
      <c r="B47" s="18" t="s">
        <v>304</v>
      </c>
      <c r="C47" s="2"/>
      <c r="D47" s="43">
        <f>SUM(F47:R47)</f>
        <v>1</v>
      </c>
      <c r="F47" s="24">
        <f>IFERROR(F46/$D46,0)</f>
        <v>0</v>
      </c>
      <c r="H47" s="24">
        <f>IFERROR(H46/$D46,0)</f>
        <v>0</v>
      </c>
      <c r="J47" s="24">
        <f>IFERROR(J46/$D46,0)</f>
        <v>4.606785370632977E-3</v>
      </c>
      <c r="L47" s="24">
        <f>IFERROR(L46/$D46,0)</f>
        <v>0.79692787723616243</v>
      </c>
      <c r="N47" s="24">
        <f>IFERROR(N46/$D46,0)</f>
        <v>9.7731638730966186E-2</v>
      </c>
      <c r="P47" s="24">
        <f>IFERROR(P46/$D46,0)</f>
        <v>0.10073369866223844</v>
      </c>
      <c r="R47" s="24">
        <f>IFERROR(R46/$D46,0)</f>
        <v>0</v>
      </c>
      <c r="AK47" s="18"/>
      <c r="AM47" s="18"/>
      <c r="AN47" s="58"/>
      <c r="AP47" s="43"/>
      <c r="AR47" s="63"/>
      <c r="AT47" s="63"/>
      <c r="AV47" s="63"/>
      <c r="AX47" s="63"/>
      <c r="AZ47" s="63"/>
      <c r="BB47" s="63"/>
      <c r="BD47" s="63"/>
    </row>
    <row r="48" spans="1:56" x14ac:dyDescent="0.2">
      <c r="A48" s="18"/>
      <c r="C48" s="2"/>
      <c r="AK48" s="18"/>
      <c r="AN48" s="31"/>
    </row>
    <row r="49" spans="1:56" x14ac:dyDescent="0.2">
      <c r="A49" s="18">
        <v>25</v>
      </c>
      <c r="B49" s="18"/>
      <c r="C49" s="2" t="s">
        <v>367</v>
      </c>
      <c r="D49" s="38">
        <f>SUM(F49:R49)</f>
        <v>29360.673046399999</v>
      </c>
      <c r="E49" s="38"/>
      <c r="F49" s="38">
        <v>0</v>
      </c>
      <c r="G49" s="38">
        <v>0</v>
      </c>
      <c r="H49" s="38">
        <v>0</v>
      </c>
      <c r="I49" s="38">
        <v>0</v>
      </c>
      <c r="J49" s="38">
        <v>266.28169600000001</v>
      </c>
      <c r="K49" s="38">
        <v>0</v>
      </c>
      <c r="L49" s="38">
        <v>24205.402756159998</v>
      </c>
      <c r="M49" s="38">
        <v>0</v>
      </c>
      <c r="N49" s="38">
        <v>925.89545039999996</v>
      </c>
      <c r="O49" s="38">
        <v>0</v>
      </c>
      <c r="P49" s="38">
        <v>3963.0931438399998</v>
      </c>
      <c r="Q49" s="38">
        <v>0</v>
      </c>
      <c r="R49" s="38">
        <v>0</v>
      </c>
      <c r="AK49" s="18"/>
      <c r="AM49" s="18"/>
      <c r="AN49" s="5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</row>
    <row r="50" spans="1:56" x14ac:dyDescent="0.2">
      <c r="A50" s="18">
        <v>26</v>
      </c>
      <c r="B50" s="18" t="s">
        <v>279</v>
      </c>
      <c r="C50" s="2"/>
      <c r="D50" s="43">
        <f>SUM(F50:R50)</f>
        <v>0.99999999999999989</v>
      </c>
      <c r="E50" s="39"/>
      <c r="F50" s="24">
        <f>IFERROR(F49/$D49,0)</f>
        <v>0</v>
      </c>
      <c r="H50" s="24">
        <f>IFERROR(H49/$D49,0)</f>
        <v>0</v>
      </c>
      <c r="J50" s="24">
        <f>IFERROR(J49/$D49,0)</f>
        <v>9.069332149817649E-3</v>
      </c>
      <c r="L50" s="24">
        <f>IFERROR(L49/$D49,0)</f>
        <v>0.82441579993439196</v>
      </c>
      <c r="N50" s="24">
        <f>IFERROR(N49/$D49,0)</f>
        <v>3.1535225671998922E-2</v>
      </c>
      <c r="P50" s="24">
        <f>IFERROR(P49/$D49,0)</f>
        <v>0.13497964224379136</v>
      </c>
      <c r="R50" s="24">
        <f>IFERROR(R49/$D49,0)</f>
        <v>0</v>
      </c>
      <c r="AK50" s="18"/>
      <c r="AM50" s="18"/>
      <c r="AN50" s="58"/>
      <c r="AP50" s="43"/>
      <c r="AQ50" s="39"/>
      <c r="AR50" s="63"/>
      <c r="AT50" s="63"/>
      <c r="AV50" s="63"/>
      <c r="AX50" s="63"/>
      <c r="AZ50" s="63"/>
      <c r="BB50" s="63"/>
      <c r="BD50" s="63"/>
    </row>
    <row r="51" spans="1:56" x14ac:dyDescent="0.2">
      <c r="A51" s="18"/>
      <c r="B51" s="18"/>
      <c r="C51" s="2"/>
      <c r="AK51" s="18"/>
      <c r="AM51" s="18"/>
      <c r="AN51" s="31"/>
    </row>
    <row r="52" spans="1:56" x14ac:dyDescent="0.2">
      <c r="A52" s="18">
        <v>27</v>
      </c>
      <c r="B52" s="18"/>
      <c r="C52" s="2" t="s">
        <v>367</v>
      </c>
      <c r="D52" s="38">
        <f>SUM(F52:R52)</f>
        <v>2017146.0250572097</v>
      </c>
      <c r="E52" s="30"/>
      <c r="F52" s="38">
        <v>0</v>
      </c>
      <c r="G52" s="38">
        <v>0</v>
      </c>
      <c r="H52" s="38">
        <v>218.83030967577045</v>
      </c>
      <c r="I52" s="38">
        <v>0</v>
      </c>
      <c r="J52" s="38">
        <v>8283.7397433861988</v>
      </c>
      <c r="K52" s="38">
        <v>0</v>
      </c>
      <c r="L52" s="38">
        <v>1277264.9509259884</v>
      </c>
      <c r="M52" s="38">
        <v>0</v>
      </c>
      <c r="N52" s="38">
        <v>323401.49894999998</v>
      </c>
      <c r="O52" s="38">
        <v>0</v>
      </c>
      <c r="P52" s="38">
        <v>407977.00512815936</v>
      </c>
      <c r="Q52" s="38">
        <v>0</v>
      </c>
      <c r="R52" s="38">
        <v>0</v>
      </c>
      <c r="AK52" s="18"/>
      <c r="AM52" s="18"/>
      <c r="AN52" s="58"/>
      <c r="AP52" s="38"/>
      <c r="AQ52" s="30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</row>
    <row r="53" spans="1:56" x14ac:dyDescent="0.2">
      <c r="A53" s="18">
        <v>28</v>
      </c>
      <c r="B53" s="18" t="s">
        <v>277</v>
      </c>
      <c r="C53" s="2"/>
      <c r="D53" s="43">
        <f>SUM(F53:R53)</f>
        <v>1</v>
      </c>
      <c r="F53" s="24">
        <f>IFERROR(F52/$D52,0)</f>
        <v>0</v>
      </c>
      <c r="H53" s="24">
        <f>IFERROR(H52/$D52,0)</f>
        <v>1.0848511062532722E-4</v>
      </c>
      <c r="J53" s="24">
        <f>IFERROR(J52/$D52,0)</f>
        <v>4.1066633949573671E-3</v>
      </c>
      <c r="L53" s="24">
        <f>IFERROR(L52/$D52,0)</f>
        <v>0.63320400955590861</v>
      </c>
      <c r="N53" s="24">
        <f>IFERROR(N52/$D52,0)</f>
        <v>0.16032627035061964</v>
      </c>
      <c r="P53" s="24">
        <f>IFERROR(P52/$D52,0)</f>
        <v>0.20225457158788909</v>
      </c>
      <c r="R53" s="24">
        <f>IFERROR(R52/$D52,0)</f>
        <v>0</v>
      </c>
      <c r="AK53" s="18"/>
      <c r="AM53" s="18"/>
      <c r="AN53" s="58"/>
      <c r="AP53" s="43"/>
      <c r="AR53" s="63"/>
      <c r="AT53" s="63"/>
      <c r="AV53" s="63"/>
      <c r="AX53" s="63"/>
      <c r="AZ53" s="63"/>
      <c r="BB53" s="63"/>
      <c r="BD53" s="63"/>
    </row>
    <row r="54" spans="1:56" x14ac:dyDescent="0.2">
      <c r="A54" s="18"/>
      <c r="C54" s="2"/>
      <c r="AK54" s="18"/>
      <c r="AN54" s="31"/>
    </row>
    <row r="55" spans="1:56" x14ac:dyDescent="0.2">
      <c r="A55" s="18">
        <v>29</v>
      </c>
      <c r="B55" s="18"/>
      <c r="C55" s="2" t="s">
        <v>367</v>
      </c>
      <c r="D55" s="38">
        <f>SUM(F55:R55)</f>
        <v>-713772.24041839002</v>
      </c>
      <c r="F55" s="38">
        <v>0</v>
      </c>
      <c r="G55" s="38">
        <v>0</v>
      </c>
      <c r="H55" s="38">
        <v>-12.43536323870693</v>
      </c>
      <c r="I55" s="38">
        <v>0</v>
      </c>
      <c r="J55" s="38">
        <v>-1790.1050563898855</v>
      </c>
      <c r="K55" s="38">
        <v>0</v>
      </c>
      <c r="L55" s="38">
        <v>-583462.72342788579</v>
      </c>
      <c r="M55" s="38">
        <v>0</v>
      </c>
      <c r="N55" s="38">
        <v>-52199.311460000004</v>
      </c>
      <c r="O55" s="38">
        <v>0</v>
      </c>
      <c r="P55" s="38">
        <v>-76307.665110875649</v>
      </c>
      <c r="Q55" s="38">
        <v>0</v>
      </c>
      <c r="R55" s="38">
        <v>0</v>
      </c>
      <c r="AK55" s="18"/>
      <c r="AM55" s="18"/>
      <c r="AN55" s="58"/>
      <c r="AP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</row>
    <row r="56" spans="1:56" x14ac:dyDescent="0.2">
      <c r="A56" s="18">
        <v>30</v>
      </c>
      <c r="B56" s="18" t="s">
        <v>307</v>
      </c>
      <c r="C56" s="2"/>
      <c r="D56" s="43">
        <f>SUM(F56:R56)</f>
        <v>1</v>
      </c>
      <c r="F56" s="24">
        <f>IFERROR(F55/$D55,0)</f>
        <v>0</v>
      </c>
      <c r="H56" s="24">
        <f>IFERROR(H55/$D55,0)</f>
        <v>1.7422032596024926E-5</v>
      </c>
      <c r="J56" s="24">
        <f>IFERROR(J55/$D55,0)</f>
        <v>2.5079499524114082E-3</v>
      </c>
      <c r="L56" s="24">
        <f>IFERROR(L55/$D55,0)</f>
        <v>0.8174354372283783</v>
      </c>
      <c r="N56" s="24">
        <f>IFERROR(N55/$D55,0)</f>
        <v>7.313160768118758E-2</v>
      </c>
      <c r="P56" s="24">
        <f>IFERROR(P55/$D55,0)</f>
        <v>0.10690758310542671</v>
      </c>
      <c r="R56" s="24">
        <f>IFERROR(R55/$D55,0)</f>
        <v>0</v>
      </c>
      <c r="AK56" s="18"/>
      <c r="AM56" s="18"/>
      <c r="AN56" s="58"/>
      <c r="AP56" s="43"/>
      <c r="AR56" s="63"/>
      <c r="AT56" s="63"/>
      <c r="AV56" s="63"/>
      <c r="AX56" s="63"/>
      <c r="AZ56" s="63"/>
      <c r="BB56" s="63"/>
      <c r="BD56" s="63"/>
    </row>
    <row r="57" spans="1:56" x14ac:dyDescent="0.2">
      <c r="A57" s="18"/>
      <c r="C57" s="2"/>
      <c r="AK57" s="18"/>
      <c r="AN57" s="31"/>
    </row>
    <row r="58" spans="1:56" x14ac:dyDescent="0.2">
      <c r="A58" s="18">
        <v>31</v>
      </c>
      <c r="B58" s="18"/>
      <c r="C58" s="2" t="s">
        <v>367</v>
      </c>
      <c r="D58" s="38">
        <f>SUM(F58:R58)</f>
        <v>251233.18487320884</v>
      </c>
      <c r="E58" s="30"/>
      <c r="F58" s="38">
        <v>78959.90158724878</v>
      </c>
      <c r="G58" s="38">
        <v>0</v>
      </c>
      <c r="H58" s="38">
        <v>14671.957388417999</v>
      </c>
      <c r="I58" s="38">
        <v>0</v>
      </c>
      <c r="J58" s="38">
        <v>59837.565322128161</v>
      </c>
      <c r="K58" s="38">
        <v>0</v>
      </c>
      <c r="L58" s="38">
        <v>0</v>
      </c>
      <c r="M58" s="38">
        <v>0</v>
      </c>
      <c r="N58" s="38">
        <v>3464.1131800000003</v>
      </c>
      <c r="O58" s="38">
        <v>0</v>
      </c>
      <c r="P58" s="38">
        <v>94299.647395413922</v>
      </c>
      <c r="Q58" s="38">
        <v>0</v>
      </c>
      <c r="R58" s="38">
        <v>0</v>
      </c>
      <c r="AK58" s="18"/>
      <c r="AM58" s="18"/>
      <c r="AN58" s="58"/>
      <c r="AP58" s="38"/>
      <c r="AQ58" s="30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</row>
    <row r="59" spans="1:56" x14ac:dyDescent="0.2">
      <c r="A59" s="18">
        <v>32</v>
      </c>
      <c r="B59" s="18" t="s">
        <v>276</v>
      </c>
      <c r="C59" s="2"/>
      <c r="D59" s="43">
        <f>SUM(F59:R59)</f>
        <v>1</v>
      </c>
      <c r="F59" s="24">
        <f>IFERROR(F58/$D58,0)</f>
        <v>0.31428929911109427</v>
      </c>
      <c r="H59" s="24">
        <f>IFERROR(H58/$D58,0)</f>
        <v>5.8399758757277917E-2</v>
      </c>
      <c r="J59" s="24">
        <f>IFERROR(J58/$D58,0)</f>
        <v>0.23817540406665105</v>
      </c>
      <c r="L59" s="24">
        <f>IFERROR(L58/$D58,0)</f>
        <v>0</v>
      </c>
      <c r="N59" s="24">
        <f>IFERROR(N58/$D58,0)</f>
        <v>1.3788437947591407E-2</v>
      </c>
      <c r="P59" s="24">
        <f>IFERROR(P58/$D58,0)</f>
        <v>0.37534710011738542</v>
      </c>
      <c r="R59" s="24">
        <f>IFERROR(R58/$D58,0)</f>
        <v>0</v>
      </c>
      <c r="AK59" s="18"/>
      <c r="AM59" s="18"/>
      <c r="AN59" s="58"/>
      <c r="AP59" s="43"/>
      <c r="AR59" s="63"/>
      <c r="AT59" s="63"/>
      <c r="AV59" s="63"/>
      <c r="AX59" s="63"/>
      <c r="AZ59" s="63"/>
      <c r="BB59" s="63"/>
      <c r="BD59" s="63"/>
    </row>
    <row r="60" spans="1:56" x14ac:dyDescent="0.2">
      <c r="A60" s="18"/>
      <c r="C60" s="2"/>
      <c r="AK60" s="18"/>
      <c r="AN60" s="31"/>
    </row>
    <row r="61" spans="1:56" x14ac:dyDescent="0.2">
      <c r="A61" s="18">
        <v>33</v>
      </c>
      <c r="B61" s="18"/>
      <c r="C61" s="2" t="s">
        <v>367</v>
      </c>
      <c r="D61" s="38">
        <f>SUM(F61:R61)</f>
        <v>-91934.117047230437</v>
      </c>
      <c r="F61" s="38">
        <v>-34952.348121982708</v>
      </c>
      <c r="G61" s="38">
        <v>0</v>
      </c>
      <c r="H61" s="38">
        <v>-9130.3820732125678</v>
      </c>
      <c r="I61" s="38">
        <v>0</v>
      </c>
      <c r="J61" s="38">
        <v>-18389.293021966998</v>
      </c>
      <c r="K61" s="38">
        <v>0</v>
      </c>
      <c r="L61" s="38">
        <v>0</v>
      </c>
      <c r="M61" s="38">
        <v>0</v>
      </c>
      <c r="N61" s="38">
        <v>-517.39716281437416</v>
      </c>
      <c r="O61" s="38">
        <v>0</v>
      </c>
      <c r="P61" s="38">
        <v>-28944.696667253786</v>
      </c>
      <c r="Q61" s="38">
        <v>0</v>
      </c>
      <c r="R61" s="38">
        <v>0</v>
      </c>
      <c r="AK61" s="18"/>
      <c r="AM61" s="18"/>
      <c r="AN61" s="58"/>
      <c r="AP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</row>
    <row r="62" spans="1:56" x14ac:dyDescent="0.2">
      <c r="A62" s="18">
        <v>34</v>
      </c>
      <c r="B62" s="18" t="s">
        <v>306</v>
      </c>
      <c r="C62" s="2"/>
      <c r="D62" s="43">
        <f>SUM(F62:R62)</f>
        <v>1</v>
      </c>
      <c r="F62" s="24">
        <f>IFERROR(F61/$D61,0)</f>
        <v>0.38018908806211965</v>
      </c>
      <c r="H62" s="24">
        <f>IFERROR(H61/$D61,0)</f>
        <v>9.9314404341555862E-2</v>
      </c>
      <c r="J62" s="24">
        <f>IFERROR(J61/$D61,0)</f>
        <v>0.20002686285135737</v>
      </c>
      <c r="L62" s="24">
        <f>IFERROR(L61/$D61,0)</f>
        <v>0</v>
      </c>
      <c r="N62" s="24">
        <f>IFERROR(N61/$D61,0)</f>
        <v>5.6279124598386625E-3</v>
      </c>
      <c r="P62" s="24">
        <f>IFERROR(P61/$D61,0)</f>
        <v>0.31484173228512841</v>
      </c>
      <c r="R62" s="24">
        <f>IFERROR(R61/$D61,0)</f>
        <v>0</v>
      </c>
      <c r="AK62" s="18"/>
      <c r="AM62" s="18"/>
      <c r="AN62" s="58"/>
      <c r="AP62" s="43"/>
      <c r="AR62" s="63"/>
      <c r="AT62" s="63"/>
      <c r="AV62" s="63"/>
      <c r="AX62" s="63"/>
      <c r="AZ62" s="63"/>
      <c r="BB62" s="63"/>
      <c r="BD62" s="63"/>
    </row>
    <row r="63" spans="1:56" x14ac:dyDescent="0.2">
      <c r="A63" s="18"/>
      <c r="C63" s="2"/>
      <c r="AK63" s="18"/>
      <c r="AN63" s="31"/>
    </row>
    <row r="64" spans="1:56" x14ac:dyDescent="0.2">
      <c r="A64" s="18">
        <v>35</v>
      </c>
      <c r="B64" s="18"/>
      <c r="C64" s="2" t="s">
        <v>368</v>
      </c>
      <c r="D64" s="38">
        <f>SUM(F64:R64)</f>
        <v>2617400.5591033893</v>
      </c>
      <c r="E64" s="30"/>
      <c r="F64" s="38">
        <v>64265.914186375026</v>
      </c>
      <c r="G64" s="38"/>
      <c r="H64" s="38">
        <v>6859.0367649895697</v>
      </c>
      <c r="I64" s="38"/>
      <c r="J64" s="38">
        <v>326867.19951100257</v>
      </c>
      <c r="K64" s="38"/>
      <c r="L64" s="38">
        <v>1500818.190968842</v>
      </c>
      <c r="M64" s="38"/>
      <c r="N64" s="38">
        <v>294513.09468774137</v>
      </c>
      <c r="O64" s="38"/>
      <c r="P64" s="38">
        <v>424077.12298443884</v>
      </c>
      <c r="Q64" s="38"/>
      <c r="R64" s="38">
        <v>0</v>
      </c>
      <c r="AK64" s="18"/>
      <c r="AM64" s="18"/>
      <c r="AN64" s="31"/>
      <c r="AP64" s="38"/>
      <c r="AQ64" s="30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</row>
    <row r="65" spans="1:56" x14ac:dyDescent="0.2">
      <c r="A65" s="18">
        <v>36</v>
      </c>
      <c r="B65" s="18" t="s">
        <v>235</v>
      </c>
      <c r="C65" s="2"/>
      <c r="D65" s="43">
        <f>SUM(F65:R65)</f>
        <v>1</v>
      </c>
      <c r="F65" s="24">
        <f>IFERROR(F64/$D64,0)</f>
        <v>2.4553335546161039E-2</v>
      </c>
      <c r="H65" s="24">
        <f>IFERROR(H64/$D64,0)</f>
        <v>2.6205529532473187E-3</v>
      </c>
      <c r="J65" s="24">
        <f>IFERROR(J64/$D64,0)</f>
        <v>0.12488237552106791</v>
      </c>
      <c r="L65" s="24">
        <f>IFERROR(L64/$D64,0)</f>
        <v>0.57340027140628369</v>
      </c>
      <c r="N65" s="24">
        <f>IFERROR(N64/$D64,0)</f>
        <v>0.11252121638906851</v>
      </c>
      <c r="P65" s="24">
        <f>IFERROR(P64/$D64,0)</f>
        <v>0.1620222481841716</v>
      </c>
      <c r="R65" s="24">
        <f>IFERROR(R64/$D64,0)</f>
        <v>0</v>
      </c>
      <c r="AK65" s="18"/>
      <c r="AM65" s="18"/>
      <c r="AN65" s="31"/>
      <c r="AP65" s="43"/>
      <c r="AR65" s="63"/>
      <c r="AT65" s="63"/>
      <c r="AV65" s="63"/>
      <c r="AX65" s="63"/>
      <c r="AZ65" s="63"/>
      <c r="BB65" s="63"/>
      <c r="BD65" s="63"/>
    </row>
    <row r="66" spans="1:56" x14ac:dyDescent="0.2">
      <c r="A66" s="18"/>
      <c r="C66" s="2"/>
      <c r="AK66" s="18"/>
      <c r="AN66" s="31"/>
    </row>
    <row r="67" spans="1:56" x14ac:dyDescent="0.2">
      <c r="A67" s="18">
        <v>37</v>
      </c>
      <c r="B67" s="18"/>
      <c r="C67" s="2" t="s">
        <v>368</v>
      </c>
      <c r="D67" s="38">
        <f>SUM(F67:R67)</f>
        <v>47557.406264227749</v>
      </c>
      <c r="E67" s="30"/>
      <c r="F67" s="38">
        <v>2200.52310990347</v>
      </c>
      <c r="G67" s="38"/>
      <c r="H67" s="38">
        <v>360.82762043887794</v>
      </c>
      <c r="I67" s="38"/>
      <c r="J67" s="38">
        <v>6652.690398534809</v>
      </c>
      <c r="K67" s="38"/>
      <c r="L67" s="38">
        <v>28225.624466028778</v>
      </c>
      <c r="M67" s="38"/>
      <c r="N67" s="38">
        <v>2923.1438125352438</v>
      </c>
      <c r="O67" s="38"/>
      <c r="P67" s="38">
        <v>7194.5968567865684</v>
      </c>
      <c r="Q67" s="38"/>
      <c r="R67" s="38">
        <v>0</v>
      </c>
      <c r="AK67" s="18"/>
      <c r="AM67" s="18"/>
      <c r="AN67" s="31"/>
      <c r="AP67" s="38"/>
      <c r="AQ67" s="30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</row>
    <row r="68" spans="1:56" x14ac:dyDescent="0.2">
      <c r="A68" s="18">
        <v>38</v>
      </c>
      <c r="B68" s="18" t="s">
        <v>269</v>
      </c>
      <c r="C68" s="56"/>
      <c r="D68" s="43">
        <f>SUM(F68:R68)</f>
        <v>1</v>
      </c>
      <c r="F68" s="24">
        <f>IFERROR(F67/$D67,0)</f>
        <v>4.6270881504290186E-2</v>
      </c>
      <c r="H68" s="24">
        <f>IFERROR(H67/$D67,0)</f>
        <v>7.5872014220903635E-3</v>
      </c>
      <c r="J68" s="24">
        <f>IFERROR(J67/$D67,0)</f>
        <v>0.1398875784262209</v>
      </c>
      <c r="L68" s="24">
        <f>IFERROR(L67/$D67,0)</f>
        <v>0.59350638908286801</v>
      </c>
      <c r="N68" s="24">
        <f>IFERROR(N67/$D67,0)</f>
        <v>6.1465585324278003E-2</v>
      </c>
      <c r="P68" s="24">
        <f>IFERROR(P67/$D67,0)</f>
        <v>0.15128236424025251</v>
      </c>
      <c r="R68" s="24">
        <f>IFERROR(R67/$D67,0)</f>
        <v>0</v>
      </c>
      <c r="AK68" s="18"/>
      <c r="AM68" s="18"/>
      <c r="AN68" s="66"/>
      <c r="AP68" s="43"/>
      <c r="AR68" s="63"/>
      <c r="AT68" s="63"/>
      <c r="AV68" s="63"/>
      <c r="AX68" s="63"/>
      <c r="AZ68" s="63"/>
      <c r="BB68" s="63"/>
      <c r="BD68" s="63"/>
    </row>
    <row r="69" spans="1:56" x14ac:dyDescent="0.2">
      <c r="A69" s="18"/>
      <c r="B69" s="18"/>
      <c r="C69" s="56"/>
      <c r="D69" s="43"/>
      <c r="F69" s="24"/>
      <c r="H69" s="24"/>
      <c r="J69" s="24"/>
      <c r="L69" s="24"/>
      <c r="N69" s="24"/>
      <c r="P69" s="24"/>
      <c r="R69" s="24"/>
      <c r="AK69" s="18"/>
      <c r="AM69" s="18"/>
      <c r="AN69" s="66"/>
      <c r="AP69" s="43"/>
      <c r="AR69" s="63"/>
      <c r="AT69" s="63"/>
      <c r="AV69" s="63"/>
      <c r="AX69" s="63"/>
      <c r="AZ69" s="63"/>
      <c r="BB69" s="63"/>
      <c r="BD69" s="63"/>
    </row>
    <row r="70" spans="1:56" x14ac:dyDescent="0.2">
      <c r="A70" s="18">
        <v>39</v>
      </c>
      <c r="B70" s="18"/>
      <c r="C70" s="2" t="s">
        <v>367</v>
      </c>
      <c r="D70" s="38">
        <f>SUM(F70:R70)</f>
        <v>24483.257915889251</v>
      </c>
      <c r="E70" s="30"/>
      <c r="F70" s="38">
        <v>2346.6664252457413</v>
      </c>
      <c r="G70" s="38">
        <v>0</v>
      </c>
      <c r="H70" s="38">
        <v>19.289255075244643</v>
      </c>
      <c r="I70" s="38">
        <v>0</v>
      </c>
      <c r="J70" s="38">
        <v>1020.3124362795184</v>
      </c>
      <c r="K70" s="38">
        <v>0</v>
      </c>
      <c r="L70" s="38">
        <v>16881.87280396025</v>
      </c>
      <c r="M70" s="38">
        <v>0</v>
      </c>
      <c r="N70" s="38">
        <v>981.74718392973955</v>
      </c>
      <c r="O70" s="38">
        <v>0</v>
      </c>
      <c r="P70" s="38">
        <v>3233.3698113987543</v>
      </c>
      <c r="Q70" s="38">
        <v>0</v>
      </c>
      <c r="R70" s="38">
        <v>0</v>
      </c>
      <c r="AK70" s="18"/>
      <c r="AM70" s="18"/>
      <c r="AN70" s="58"/>
      <c r="AP70" s="38"/>
      <c r="AQ70" s="30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</row>
    <row r="71" spans="1:56" x14ac:dyDescent="0.2">
      <c r="A71" s="18">
        <v>40</v>
      </c>
      <c r="B71" s="18" t="s">
        <v>237</v>
      </c>
      <c r="C71" s="2"/>
      <c r="D71" s="43">
        <f>SUM(F71:R71)</f>
        <v>0.99999999999999978</v>
      </c>
      <c r="F71" s="24">
        <f>IFERROR(F70/$D70,0)</f>
        <v>9.584780070150678E-2</v>
      </c>
      <c r="H71" s="24">
        <f>IFERROR(H70/$D70,0)</f>
        <v>7.8785491463234636E-4</v>
      </c>
      <c r="J71" s="24">
        <f>IFERROR(J70/$D70,0)</f>
        <v>4.1673883426165743E-2</v>
      </c>
      <c r="L71" s="24">
        <f>IFERROR(L70/$D70,0)</f>
        <v>0.68952722149792733</v>
      </c>
      <c r="N71" s="24">
        <f>IFERROR(N70/$D70,0)</f>
        <v>4.0098715101661409E-2</v>
      </c>
      <c r="P71" s="24">
        <f>IFERROR(P70/$D70,0)</f>
        <v>0.13206452435810628</v>
      </c>
      <c r="R71" s="24">
        <f>IFERROR(R70/$D70,0)</f>
        <v>0</v>
      </c>
      <c r="AK71" s="18"/>
      <c r="AM71" s="18"/>
      <c r="AN71" s="58"/>
      <c r="AP71" s="43"/>
      <c r="AR71" s="63"/>
      <c r="AT71" s="63"/>
      <c r="AV71" s="63"/>
      <c r="AX71" s="63"/>
      <c r="AZ71" s="63"/>
      <c r="BB71" s="63"/>
      <c r="BD71" s="63"/>
    </row>
    <row r="72" spans="1:56" x14ac:dyDescent="0.2">
      <c r="A72" s="18"/>
      <c r="C72" s="2"/>
      <c r="AK72" s="18"/>
      <c r="AN72" s="31"/>
    </row>
    <row r="73" spans="1:56" x14ac:dyDescent="0.2">
      <c r="A73" s="18">
        <v>41</v>
      </c>
      <c r="B73" s="18"/>
      <c r="C73" s="2" t="s">
        <v>368</v>
      </c>
      <c r="D73" s="38">
        <f>SUM(F73:R73)</f>
        <v>2606329.5708189611</v>
      </c>
      <c r="E73" s="30"/>
      <c r="F73" s="38">
        <v>63888.057654086675</v>
      </c>
      <c r="G73" s="38"/>
      <c r="H73" s="38">
        <v>6818.7085150973935</v>
      </c>
      <c r="I73" s="38"/>
      <c r="J73" s="38">
        <v>324984.5213460137</v>
      </c>
      <c r="K73" s="38"/>
      <c r="L73" s="38">
        <v>1495554.0249630243</v>
      </c>
      <c r="M73" s="38"/>
      <c r="N73" s="38">
        <v>292917.65784101782</v>
      </c>
      <c r="O73" s="38"/>
      <c r="P73" s="38">
        <v>422166.60049972107</v>
      </c>
      <c r="Q73" s="38"/>
      <c r="R73" s="38">
        <v>0</v>
      </c>
      <c r="AK73" s="18"/>
      <c r="AM73" s="18"/>
      <c r="AN73" s="31"/>
      <c r="AP73" s="38"/>
      <c r="AQ73" s="30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</row>
    <row r="74" spans="1:56" x14ac:dyDescent="0.2">
      <c r="A74" s="18">
        <v>42</v>
      </c>
      <c r="B74" s="18" t="s">
        <v>236</v>
      </c>
      <c r="C74" s="2"/>
      <c r="D74" s="43">
        <f>SUM(F74:R74)</f>
        <v>0.99999999999999989</v>
      </c>
      <c r="F74" s="24">
        <f>IFERROR(F73/$D73,0)</f>
        <v>2.4512655026206743E-2</v>
      </c>
      <c r="H74" s="24">
        <f>IFERROR(H73/$D73,0)</f>
        <v>2.6162111620269182E-3</v>
      </c>
      <c r="J74" s="24">
        <f>IFERROR(J73/$D73,0)</f>
        <v>0.12469049385949185</v>
      </c>
      <c r="L74" s="24">
        <f>IFERROR(L73/$D73,0)</f>
        <v>0.57381615959377352</v>
      </c>
      <c r="N74" s="24">
        <f>IFERROR(N73/$D73,0)</f>
        <v>0.11238703697360009</v>
      </c>
      <c r="P74" s="24">
        <f>IFERROR(P73/$D73,0)</f>
        <v>0.1619774433849008</v>
      </c>
      <c r="R74" s="24">
        <f>IFERROR(R73/$D73,0)</f>
        <v>0</v>
      </c>
      <c r="AK74" s="18"/>
      <c r="AM74" s="18"/>
      <c r="AN74" s="31"/>
      <c r="AP74" s="43"/>
      <c r="AR74" s="63"/>
      <c r="AT74" s="63"/>
      <c r="AV74" s="63"/>
      <c r="AX74" s="63"/>
      <c r="AZ74" s="63"/>
      <c r="BB74" s="63"/>
      <c r="BD74" s="63"/>
    </row>
    <row r="75" spans="1:56" x14ac:dyDescent="0.2">
      <c r="A75" s="18"/>
      <c r="B75" s="18"/>
      <c r="C75" s="2"/>
      <c r="D75" s="43"/>
      <c r="F75" s="24"/>
      <c r="H75" s="24"/>
      <c r="J75" s="24"/>
      <c r="L75" s="24"/>
      <c r="N75" s="24"/>
      <c r="P75" s="24"/>
      <c r="R75" s="24"/>
      <c r="AK75" s="18"/>
      <c r="AM75" s="18"/>
      <c r="AN75" s="31"/>
      <c r="AP75" s="43"/>
      <c r="AR75" s="63"/>
      <c r="AT75" s="63"/>
      <c r="AV75" s="63"/>
      <c r="AX75" s="63"/>
      <c r="AZ75" s="63"/>
      <c r="BB75" s="63"/>
      <c r="BD75" s="63"/>
    </row>
    <row r="76" spans="1:56" x14ac:dyDescent="0.2">
      <c r="A76" s="18">
        <v>43</v>
      </c>
      <c r="B76" s="18"/>
      <c r="C76" s="2" t="s">
        <v>367</v>
      </c>
      <c r="D76" s="38">
        <f>SUM(F76:R76)</f>
        <v>211517.76996137531</v>
      </c>
      <c r="E76" s="30"/>
      <c r="F76" s="38">
        <v>38917.497387146534</v>
      </c>
      <c r="G76" s="38">
        <v>0</v>
      </c>
      <c r="H76" s="38">
        <v>1921.1219134951625</v>
      </c>
      <c r="I76" s="38">
        <v>0</v>
      </c>
      <c r="J76" s="38">
        <v>78518.22645649148</v>
      </c>
      <c r="K76" s="38">
        <v>0</v>
      </c>
      <c r="L76" s="38">
        <v>87003.762408956027</v>
      </c>
      <c r="M76" s="38">
        <v>0</v>
      </c>
      <c r="N76" s="38">
        <v>0</v>
      </c>
      <c r="O76" s="38">
        <v>0</v>
      </c>
      <c r="P76" s="38">
        <v>5157.1617952860906</v>
      </c>
      <c r="Q76" s="38">
        <v>0</v>
      </c>
      <c r="R76" s="38">
        <v>0</v>
      </c>
      <c r="AK76" s="18"/>
      <c r="AM76" s="18"/>
      <c r="AN76" s="58"/>
      <c r="AP76" s="38"/>
      <c r="AQ76" s="30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</row>
    <row r="77" spans="1:56" x14ac:dyDescent="0.2">
      <c r="A77" s="18">
        <v>44</v>
      </c>
      <c r="B77" s="18" t="s">
        <v>275</v>
      </c>
      <c r="C77" s="2"/>
      <c r="D77" s="43">
        <f>SUM(F77:R77)</f>
        <v>0.99999999999999989</v>
      </c>
      <c r="F77" s="24">
        <f>IFERROR(F76/$D76,0)</f>
        <v>0.18399162110234593</v>
      </c>
      <c r="H77" s="24">
        <f>IFERROR(H76/$D76,0)</f>
        <v>9.0825556351410725E-3</v>
      </c>
      <c r="J77" s="24">
        <f>IFERROR(J76/$D76,0)</f>
        <v>0.37121338065747139</v>
      </c>
      <c r="L77" s="24">
        <f>IFERROR(L76/$D76,0)</f>
        <v>0.4113307474111681</v>
      </c>
      <c r="N77" s="24">
        <f>IFERROR(N76/$D76,0)</f>
        <v>0</v>
      </c>
      <c r="P77" s="24">
        <f>IFERROR(P76/$D76,0)</f>
        <v>2.4381695193873433E-2</v>
      </c>
      <c r="R77" s="24">
        <f>IFERROR(R76/$D76,0)</f>
        <v>0</v>
      </c>
      <c r="AK77" s="18"/>
      <c r="AM77" s="18"/>
      <c r="AN77" s="58"/>
      <c r="AP77" s="43"/>
      <c r="AR77" s="63"/>
      <c r="AT77" s="63"/>
      <c r="AV77" s="63"/>
      <c r="AX77" s="63"/>
      <c r="AZ77" s="63"/>
      <c r="BB77" s="63"/>
      <c r="BD77" s="63"/>
    </row>
    <row r="78" spans="1:56" x14ac:dyDescent="0.2">
      <c r="A78" s="18"/>
      <c r="C78" s="2"/>
      <c r="AK78" s="18"/>
      <c r="AN78" s="31"/>
    </row>
    <row r="79" spans="1:56" x14ac:dyDescent="0.2">
      <c r="A79" s="18">
        <v>45</v>
      </c>
      <c r="B79" s="18"/>
      <c r="C79" s="2" t="s">
        <v>367</v>
      </c>
      <c r="D79" s="38">
        <f>SUM(F79:R79)</f>
        <v>-77738.765516644664</v>
      </c>
      <c r="F79" s="38">
        <v>-23485.914549559013</v>
      </c>
      <c r="G79" s="38">
        <v>0</v>
      </c>
      <c r="H79" s="38">
        <v>-1066.4351039073858</v>
      </c>
      <c r="I79" s="38">
        <v>0</v>
      </c>
      <c r="J79" s="38">
        <v>-24764.875005545604</v>
      </c>
      <c r="K79" s="38">
        <v>0</v>
      </c>
      <c r="L79" s="38">
        <v>-25533.312542571392</v>
      </c>
      <c r="M79" s="38">
        <v>0</v>
      </c>
      <c r="N79" s="38">
        <v>0</v>
      </c>
      <c r="O79" s="38">
        <v>0</v>
      </c>
      <c r="P79" s="38">
        <v>-2888.2283150612566</v>
      </c>
      <c r="Q79" s="38">
        <v>0</v>
      </c>
      <c r="R79" s="38">
        <v>0</v>
      </c>
      <c r="AK79" s="18"/>
      <c r="AM79" s="18"/>
      <c r="AN79" s="58"/>
      <c r="AP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</row>
    <row r="80" spans="1:56" x14ac:dyDescent="0.2">
      <c r="A80" s="18">
        <v>46</v>
      </c>
      <c r="B80" s="18" t="s">
        <v>305</v>
      </c>
      <c r="C80" s="2"/>
      <c r="D80" s="43">
        <f>SUM(F80:R80)</f>
        <v>0.99999999999999989</v>
      </c>
      <c r="F80" s="24">
        <f>IFERROR(F79/$D79,0)</f>
        <v>0.30211329435801804</v>
      </c>
      <c r="H80" s="24">
        <f>IFERROR(H79/$D79,0)</f>
        <v>1.3718189333467756E-2</v>
      </c>
      <c r="J80" s="24">
        <f>IFERROR(J79/$D79,0)</f>
        <v>0.31856532376042412</v>
      </c>
      <c r="L80" s="24">
        <f>IFERROR(L79/$D79,0)</f>
        <v>0.32845019306493167</v>
      </c>
      <c r="N80" s="24">
        <f>IFERROR(N79/$D79,0)</f>
        <v>0</v>
      </c>
      <c r="P80" s="24">
        <f>IFERROR(P79/$D79,0)</f>
        <v>3.7152999483158214E-2</v>
      </c>
      <c r="R80" s="24">
        <f>IFERROR(R79/$D79,0)</f>
        <v>0</v>
      </c>
      <c r="AK80" s="18"/>
      <c r="AM80" s="18"/>
      <c r="AN80" s="58"/>
      <c r="AP80" s="43"/>
      <c r="AR80" s="63"/>
      <c r="AT80" s="63"/>
      <c r="AV80" s="63"/>
      <c r="AX80" s="63"/>
      <c r="AZ80" s="63"/>
      <c r="BB80" s="63"/>
      <c r="BD80" s="63"/>
    </row>
    <row r="81" spans="1:56" x14ac:dyDescent="0.2">
      <c r="A81" s="18"/>
      <c r="C81" s="2"/>
      <c r="AK81" s="18"/>
      <c r="AN81" s="31"/>
    </row>
    <row r="82" spans="1:56" x14ac:dyDescent="0.2">
      <c r="A82" s="18">
        <v>47</v>
      </c>
      <c r="B82" s="18"/>
      <c r="C82" s="2" t="s">
        <v>368</v>
      </c>
      <c r="D82" s="38">
        <f>SUM(F82:R82)</f>
        <v>8297.3820979529337</v>
      </c>
      <c r="F82" s="38">
        <v>785.76551205461601</v>
      </c>
      <c r="G82" s="38"/>
      <c r="H82" s="38">
        <v>146.02723734252487</v>
      </c>
      <c r="I82" s="38"/>
      <c r="J82" s="38">
        <v>1868.7370786255701</v>
      </c>
      <c r="K82" s="38"/>
      <c r="L82" s="38">
        <v>4399.3835182255007</v>
      </c>
      <c r="M82" s="38"/>
      <c r="N82" s="38">
        <v>64.011170701021854</v>
      </c>
      <c r="O82" s="38"/>
      <c r="P82" s="38">
        <v>1033.4575810037009</v>
      </c>
      <c r="Q82" s="38"/>
      <c r="R82" s="38">
        <v>0</v>
      </c>
      <c r="AK82" s="18"/>
      <c r="AM82" s="18"/>
      <c r="AN82" s="58"/>
      <c r="AP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</row>
    <row r="83" spans="1:56" x14ac:dyDescent="0.2">
      <c r="A83" s="18">
        <v>48</v>
      </c>
      <c r="B83" s="18" t="s">
        <v>351</v>
      </c>
      <c r="D83" s="43">
        <f>SUM(F83:R83)</f>
        <v>1</v>
      </c>
      <c r="F83" s="24">
        <f>IFERROR(F82/$D82,0)</f>
        <v>9.4700413067451E-2</v>
      </c>
      <c r="H83" s="24">
        <f>IFERROR(H82/$D82,0)</f>
        <v>1.7599194013079328E-2</v>
      </c>
      <c r="J83" s="24">
        <f>IFERROR(J82/$D82,0)</f>
        <v>0.22522008225782569</v>
      </c>
      <c r="L83" s="24">
        <f>IFERROR(L82/$D82,0)</f>
        <v>0.53021344157585348</v>
      </c>
      <c r="N83" s="24">
        <f>IFERROR(N82/$D82,0)</f>
        <v>7.7146225092868991E-3</v>
      </c>
      <c r="P83" s="24">
        <f>IFERROR(P82/$D82,0)</f>
        <v>0.12455224657650364</v>
      </c>
      <c r="R83" s="24">
        <f>IFERROR(R82/$D82,0)</f>
        <v>0</v>
      </c>
      <c r="AK83" s="18"/>
      <c r="AM83" s="18"/>
      <c r="AN83" s="58"/>
      <c r="AP83" s="43"/>
      <c r="AR83" s="63"/>
      <c r="AT83" s="63"/>
      <c r="AV83" s="63"/>
      <c r="AX83" s="63"/>
      <c r="AZ83" s="63"/>
      <c r="BB83" s="63"/>
      <c r="BD83" s="63"/>
    </row>
    <row r="84" spans="1:56" x14ac:dyDescent="0.2">
      <c r="A84" s="56"/>
      <c r="AK84" s="18"/>
      <c r="AM84" s="18"/>
      <c r="AN84" s="58"/>
      <c r="AP84" s="43"/>
      <c r="AR84" s="63"/>
      <c r="AT84" s="63"/>
      <c r="AV84" s="63"/>
      <c r="AX84" s="63"/>
      <c r="AZ84" s="63"/>
      <c r="BB84" s="63"/>
      <c r="BD84" s="63"/>
    </row>
    <row r="85" spans="1:56" x14ac:dyDescent="0.2">
      <c r="A85" s="56"/>
      <c r="AK85" s="18"/>
      <c r="AM85" s="18"/>
      <c r="AN85" s="31"/>
      <c r="AP85" s="43"/>
      <c r="AR85" s="63"/>
      <c r="AT85" s="63"/>
      <c r="AV85" s="63"/>
      <c r="AX85" s="63"/>
      <c r="AZ85" s="63"/>
      <c r="BB85" s="63"/>
      <c r="BD85" s="63"/>
    </row>
    <row r="86" spans="1:56" x14ac:dyDescent="0.2">
      <c r="AK86" s="18"/>
      <c r="AN86" s="31"/>
    </row>
    <row r="87" spans="1:56" x14ac:dyDescent="0.2">
      <c r="A87" s="56"/>
      <c r="AK87" s="18"/>
      <c r="AM87" s="18"/>
      <c r="AN87" s="31"/>
      <c r="AP87" s="38"/>
      <c r="AQ87" s="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67"/>
      <c r="BD87" s="67"/>
    </row>
    <row r="88" spans="1:56" x14ac:dyDescent="0.2">
      <c r="A88" s="56"/>
      <c r="AK88" s="18"/>
      <c r="AM88" s="18"/>
      <c r="AN88" s="31"/>
      <c r="AP88" s="43"/>
      <c r="AR88" s="63"/>
      <c r="AT88" s="63"/>
      <c r="AV88" s="63"/>
      <c r="AX88" s="63"/>
      <c r="AZ88" s="63"/>
      <c r="BB88" s="63"/>
      <c r="BD88" s="63"/>
    </row>
    <row r="89" spans="1:56" x14ac:dyDescent="0.2">
      <c r="AK89" s="18"/>
      <c r="AM89" s="18"/>
      <c r="AN89" s="31"/>
    </row>
    <row r="90" spans="1:56" x14ac:dyDescent="0.2">
      <c r="A90" s="56"/>
      <c r="AK90" s="18"/>
      <c r="AM90" s="18"/>
      <c r="AN90" s="31"/>
      <c r="AP90" s="38"/>
      <c r="AQ90" s="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</row>
    <row r="91" spans="1:56" x14ac:dyDescent="0.2">
      <c r="A91" s="56"/>
      <c r="AK91" s="18"/>
      <c r="AM91" s="18"/>
      <c r="AN91" s="31"/>
      <c r="AP91" s="43"/>
      <c r="AR91" s="63"/>
      <c r="AT91" s="63"/>
      <c r="AV91" s="63"/>
      <c r="AX91" s="63"/>
      <c r="AZ91" s="63"/>
      <c r="BB91" s="63"/>
      <c r="BD91" s="63"/>
    </row>
    <row r="92" spans="1:56" x14ac:dyDescent="0.2">
      <c r="AK92" s="18"/>
      <c r="AM92" s="18"/>
      <c r="AN92" s="31"/>
    </row>
    <row r="93" spans="1:56" x14ac:dyDescent="0.2">
      <c r="A93" s="56"/>
      <c r="AK93" s="18"/>
      <c r="AM93" s="18"/>
      <c r="AN93" s="58"/>
      <c r="AP93" s="38"/>
      <c r="AQ93" s="30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</row>
    <row r="94" spans="1:56" x14ac:dyDescent="0.2">
      <c r="A94" s="56"/>
      <c r="AK94" s="18"/>
      <c r="AM94" s="18"/>
      <c r="AN94" s="58"/>
      <c r="AP94" s="43"/>
      <c r="AR94" s="63"/>
      <c r="AT94" s="63"/>
      <c r="AV94" s="63"/>
      <c r="AX94" s="63"/>
      <c r="AZ94" s="63"/>
      <c r="BB94" s="63"/>
      <c r="BD94" s="63"/>
    </row>
    <row r="95" spans="1:56" x14ac:dyDescent="0.2">
      <c r="AK95" s="18"/>
      <c r="AN95" s="31"/>
    </row>
    <row r="96" spans="1:56" x14ac:dyDescent="0.2">
      <c r="A96" s="56"/>
      <c r="AK96" s="18"/>
      <c r="AM96" s="18"/>
      <c r="AN96" s="58"/>
      <c r="AP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</row>
    <row r="97" spans="1:56" x14ac:dyDescent="0.2">
      <c r="A97" s="56"/>
      <c r="AK97" s="18"/>
      <c r="AM97" s="18"/>
      <c r="AN97" s="58"/>
      <c r="AP97" s="43"/>
      <c r="AR97" s="63"/>
      <c r="AT97" s="63"/>
      <c r="AV97" s="63"/>
      <c r="AX97" s="63"/>
      <c r="AZ97" s="63"/>
      <c r="BB97" s="63"/>
      <c r="BD97" s="63"/>
    </row>
    <row r="98" spans="1:56" x14ac:dyDescent="0.2">
      <c r="AK98" s="18"/>
      <c r="AN98" s="31"/>
    </row>
    <row r="99" spans="1:56" x14ac:dyDescent="0.2">
      <c r="A99" s="56"/>
      <c r="AK99" s="18"/>
      <c r="AM99" s="18"/>
      <c r="AN99" s="58"/>
      <c r="AP99" s="38"/>
      <c r="AQ99" s="30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</row>
    <row r="100" spans="1:56" x14ac:dyDescent="0.2">
      <c r="A100" s="56"/>
      <c r="AK100" s="18"/>
      <c r="AM100" s="18"/>
      <c r="AN100" s="58"/>
      <c r="AP100" s="43"/>
      <c r="AR100" s="63"/>
      <c r="AT100" s="63"/>
      <c r="AV100" s="63"/>
      <c r="AX100" s="63"/>
      <c r="AZ100" s="63"/>
      <c r="BB100" s="63"/>
      <c r="BD100" s="63"/>
    </row>
    <row r="101" spans="1:56" x14ac:dyDescent="0.2">
      <c r="AK101" s="18"/>
      <c r="AN101" s="31"/>
      <c r="AP101" s="43"/>
      <c r="AR101" s="63"/>
      <c r="AT101" s="63"/>
      <c r="AV101" s="63"/>
      <c r="AX101" s="63"/>
      <c r="AZ101" s="63"/>
      <c r="BB101" s="63"/>
      <c r="BD101" s="63"/>
    </row>
    <row r="102" spans="1:56" x14ac:dyDescent="0.2">
      <c r="A102" s="56"/>
      <c r="AK102" s="18"/>
      <c r="AM102" s="18"/>
      <c r="AN102" s="31"/>
      <c r="AP102" s="67"/>
      <c r="AQ102" s="68"/>
      <c r="AR102" s="67"/>
      <c r="AS102" s="67"/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</row>
    <row r="103" spans="1:56" x14ac:dyDescent="0.2">
      <c r="A103" s="56"/>
      <c r="AK103" s="18"/>
      <c r="AM103" s="18"/>
      <c r="AN103" s="31"/>
      <c r="AP103" s="43"/>
      <c r="AR103" s="63"/>
      <c r="AT103" s="63"/>
      <c r="AV103" s="63"/>
      <c r="AX103" s="63"/>
      <c r="AZ103" s="63"/>
      <c r="BB103" s="63"/>
      <c r="BD103" s="63"/>
    </row>
    <row r="104" spans="1:56" x14ac:dyDescent="0.2">
      <c r="AK104" s="18"/>
      <c r="AM104" s="18"/>
      <c r="AN104" s="31"/>
    </row>
    <row r="105" spans="1:56" x14ac:dyDescent="0.2">
      <c r="A105" s="56"/>
      <c r="AK105" s="18"/>
      <c r="AM105" s="18"/>
      <c r="AN105" s="31"/>
      <c r="AP105" s="38"/>
      <c r="AQ105" s="30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</row>
    <row r="106" spans="1:56" x14ac:dyDescent="0.2">
      <c r="A106" s="56"/>
      <c r="AK106" s="18"/>
      <c r="AM106" s="18"/>
      <c r="AN106" s="31"/>
      <c r="AP106" s="43"/>
      <c r="AR106" s="63"/>
      <c r="AT106" s="63"/>
      <c r="AV106" s="63"/>
      <c r="AX106" s="63"/>
      <c r="AZ106" s="63"/>
      <c r="BB106" s="63"/>
      <c r="BD106" s="63"/>
    </row>
    <row r="107" spans="1:56" x14ac:dyDescent="0.2">
      <c r="AK107" s="18"/>
      <c r="AN107" s="31"/>
    </row>
    <row r="108" spans="1:56" x14ac:dyDescent="0.2">
      <c r="A108" s="56"/>
      <c r="AK108" s="18"/>
      <c r="AM108" s="18"/>
      <c r="AN108" s="58"/>
      <c r="AP108" s="38"/>
      <c r="AQ108" s="30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</row>
    <row r="109" spans="1:56" x14ac:dyDescent="0.2">
      <c r="A109" s="56"/>
      <c r="AK109" s="18"/>
      <c r="AM109" s="18"/>
      <c r="AN109" s="58"/>
      <c r="AP109" s="43"/>
      <c r="AR109" s="63"/>
      <c r="AT109" s="63"/>
      <c r="AV109" s="63"/>
      <c r="AX109" s="63"/>
      <c r="AZ109" s="63"/>
      <c r="BB109" s="63"/>
      <c r="BD109" s="63"/>
    </row>
    <row r="110" spans="1:56" x14ac:dyDescent="0.2">
      <c r="AK110" s="18"/>
      <c r="AN110" s="31"/>
    </row>
    <row r="111" spans="1:56" x14ac:dyDescent="0.2">
      <c r="A111" s="56"/>
      <c r="AK111" s="18"/>
      <c r="AM111" s="18"/>
      <c r="AN111" s="58"/>
      <c r="AP111" s="38"/>
      <c r="AQ111" s="30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</row>
    <row r="112" spans="1:56" x14ac:dyDescent="0.2">
      <c r="A112" s="56"/>
      <c r="AK112" s="18"/>
      <c r="AM112" s="18"/>
      <c r="AN112" s="58"/>
      <c r="AP112" s="43"/>
      <c r="AR112" s="63"/>
      <c r="AT112" s="63"/>
      <c r="AV112" s="63"/>
      <c r="AX112" s="63"/>
      <c r="AZ112" s="63"/>
      <c r="BB112" s="63"/>
      <c r="BD112" s="63"/>
    </row>
    <row r="113" spans="1:56" x14ac:dyDescent="0.2">
      <c r="AK113" s="18"/>
      <c r="AN113" s="31"/>
    </row>
    <row r="114" spans="1:56" x14ac:dyDescent="0.2">
      <c r="A114" s="56"/>
      <c r="AK114" s="18"/>
      <c r="AM114" s="18"/>
      <c r="AN114" s="58"/>
      <c r="AP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</row>
    <row r="115" spans="1:56" x14ac:dyDescent="0.2">
      <c r="A115" s="56"/>
      <c r="AK115" s="18"/>
      <c r="AM115" s="18"/>
      <c r="AN115" s="58"/>
      <c r="AP115" s="43"/>
      <c r="AR115" s="63"/>
      <c r="AT115" s="63"/>
      <c r="AV115" s="63"/>
      <c r="AX115" s="63"/>
      <c r="AZ115" s="63"/>
      <c r="BB115" s="63"/>
      <c r="BD115" s="63"/>
    </row>
    <row r="116" spans="1:56" x14ac:dyDescent="0.2">
      <c r="AK116" s="18"/>
      <c r="AN116" s="31"/>
    </row>
    <row r="117" spans="1:56" x14ac:dyDescent="0.2">
      <c r="A117" s="56"/>
      <c r="AK117" s="18"/>
      <c r="AM117" s="18"/>
      <c r="AN117" s="5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</row>
    <row r="118" spans="1:56" x14ac:dyDescent="0.2">
      <c r="A118" s="56"/>
      <c r="AK118" s="18"/>
      <c r="AM118" s="18"/>
      <c r="AN118" s="58"/>
      <c r="AP118" s="43"/>
      <c r="AQ118" s="39"/>
      <c r="AR118" s="63"/>
      <c r="AT118" s="63"/>
      <c r="AV118" s="63"/>
      <c r="AX118" s="63"/>
      <c r="AZ118" s="63"/>
      <c r="BB118" s="63"/>
      <c r="BD118" s="63"/>
    </row>
    <row r="119" spans="1:56" x14ac:dyDescent="0.2">
      <c r="B119" s="18"/>
      <c r="AK119" s="18"/>
      <c r="AM119" s="18"/>
      <c r="AN119" s="31"/>
    </row>
    <row r="120" spans="1:56" x14ac:dyDescent="0.2">
      <c r="A120" s="56"/>
      <c r="AK120" s="18"/>
      <c r="AM120" s="18"/>
      <c r="AN120" s="58"/>
      <c r="AP120" s="38"/>
      <c r="AQ120" s="30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</row>
    <row r="121" spans="1:56" x14ac:dyDescent="0.2">
      <c r="A121" s="56"/>
      <c r="AK121" s="18"/>
      <c r="AM121" s="18"/>
      <c r="AN121" s="58"/>
      <c r="AP121" s="43"/>
      <c r="AR121" s="63"/>
      <c r="AT121" s="63"/>
      <c r="AV121" s="63"/>
      <c r="AX121" s="63"/>
      <c r="AZ121" s="63"/>
      <c r="BB121" s="63"/>
      <c r="BD121" s="63"/>
    </row>
    <row r="122" spans="1:56" x14ac:dyDescent="0.2">
      <c r="D122" s="43"/>
      <c r="F122" s="24"/>
      <c r="H122" s="24"/>
      <c r="J122" s="24"/>
      <c r="L122" s="24"/>
      <c r="N122" s="24"/>
      <c r="P122" s="24"/>
      <c r="R122" s="24"/>
      <c r="AK122" s="18"/>
      <c r="AN122" s="31"/>
    </row>
    <row r="123" spans="1:56" x14ac:dyDescent="0.2">
      <c r="A123" s="56"/>
      <c r="AK123" s="18"/>
      <c r="AM123" s="18"/>
      <c r="AN123" s="58"/>
      <c r="AP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</row>
    <row r="124" spans="1:56" x14ac:dyDescent="0.2">
      <c r="A124" s="56"/>
      <c r="AK124" s="18"/>
      <c r="AM124" s="18"/>
      <c r="AN124" s="58"/>
      <c r="AP124" s="43"/>
      <c r="AR124" s="63"/>
      <c r="AT124" s="63"/>
      <c r="AV124" s="63"/>
      <c r="AX124" s="63"/>
      <c r="AZ124" s="63"/>
      <c r="BB124" s="63"/>
      <c r="BD124" s="63"/>
    </row>
    <row r="125" spans="1:56" x14ac:dyDescent="0.2">
      <c r="D125" s="43"/>
      <c r="F125" s="24"/>
      <c r="H125" s="24"/>
      <c r="J125" s="24"/>
      <c r="L125" s="24"/>
      <c r="N125" s="24"/>
      <c r="P125" s="24"/>
      <c r="R125" s="24"/>
      <c r="AK125" s="18"/>
      <c r="AN125" s="31"/>
    </row>
    <row r="126" spans="1:56" x14ac:dyDescent="0.2">
      <c r="A126" s="3"/>
      <c r="AK126" s="18"/>
      <c r="AM126" s="18"/>
      <c r="AN126" s="58"/>
      <c r="AP126" s="38"/>
      <c r="AQ126" s="30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</row>
    <row r="127" spans="1:56" x14ac:dyDescent="0.2">
      <c r="A127" s="3"/>
      <c r="AK127" s="18"/>
      <c r="AM127" s="18"/>
      <c r="AN127" s="58"/>
      <c r="AP127" s="43"/>
      <c r="AR127" s="63"/>
      <c r="AT127" s="63"/>
      <c r="AV127" s="63"/>
      <c r="AX127" s="63"/>
      <c r="AZ127" s="63"/>
      <c r="BB127" s="63"/>
      <c r="BD127" s="63"/>
    </row>
    <row r="128" spans="1:56" x14ac:dyDescent="0.2">
      <c r="B128" s="18"/>
      <c r="AK128" s="18"/>
      <c r="AN128" s="31"/>
    </row>
    <row r="129" spans="1:56" x14ac:dyDescent="0.2">
      <c r="A129" s="3"/>
      <c r="AK129" s="18"/>
      <c r="AM129" s="18"/>
      <c r="AN129" s="58"/>
      <c r="AP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</row>
    <row r="130" spans="1:56" x14ac:dyDescent="0.2">
      <c r="A130" s="3"/>
      <c r="AK130" s="18"/>
      <c r="AM130" s="18"/>
      <c r="AN130" s="58"/>
      <c r="AP130" s="43"/>
      <c r="AR130" s="63"/>
      <c r="AT130" s="63"/>
      <c r="AV130" s="63"/>
      <c r="AX130" s="63"/>
      <c r="AZ130" s="63"/>
      <c r="BB130" s="63"/>
      <c r="BD130" s="63"/>
    </row>
    <row r="131" spans="1:56" x14ac:dyDescent="0.2">
      <c r="B131" s="18"/>
      <c r="AK131" s="18"/>
      <c r="AN131" s="31"/>
    </row>
    <row r="132" spans="1:56" x14ac:dyDescent="0.2">
      <c r="A132" s="3"/>
      <c r="AK132" s="18"/>
      <c r="AM132" s="18"/>
      <c r="AN132" s="31"/>
      <c r="AP132" s="38"/>
      <c r="AQ132" s="30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</row>
    <row r="133" spans="1:56" x14ac:dyDescent="0.2">
      <c r="A133" s="3"/>
      <c r="AK133" s="18"/>
      <c r="AM133" s="18"/>
      <c r="AN133" s="31"/>
      <c r="AP133" s="43"/>
      <c r="AR133" s="63"/>
      <c r="AT133" s="63"/>
      <c r="AV133" s="63"/>
      <c r="AX133" s="63"/>
      <c r="AZ133" s="63"/>
      <c r="BB133" s="63"/>
      <c r="BD133" s="63"/>
    </row>
    <row r="134" spans="1:56" x14ac:dyDescent="0.2">
      <c r="AK134" s="18"/>
      <c r="AN134" s="31"/>
    </row>
    <row r="135" spans="1:56" x14ac:dyDescent="0.2">
      <c r="A135" s="2"/>
      <c r="AK135" s="18"/>
      <c r="AM135" s="18"/>
      <c r="AN135" s="31"/>
      <c r="AP135" s="38"/>
      <c r="AQ135" s="30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</row>
    <row r="136" spans="1:56" x14ac:dyDescent="0.2">
      <c r="A136" s="2"/>
      <c r="AK136" s="18"/>
      <c r="AM136" s="18"/>
      <c r="AN136" s="66"/>
      <c r="AP136" s="43"/>
      <c r="AR136" s="63"/>
      <c r="AT136" s="63"/>
      <c r="AV136" s="63"/>
      <c r="AX136" s="63"/>
      <c r="AZ136" s="63"/>
      <c r="BB136" s="63"/>
      <c r="BD136" s="63"/>
    </row>
    <row r="137" spans="1:56" x14ac:dyDescent="0.2">
      <c r="AK137" s="18"/>
      <c r="AM137" s="18"/>
      <c r="AN137" s="66"/>
      <c r="AP137" s="43"/>
      <c r="AR137" s="63"/>
      <c r="AT137" s="63"/>
      <c r="AV137" s="63"/>
      <c r="AX137" s="63"/>
      <c r="AZ137" s="63"/>
      <c r="BB137" s="63"/>
      <c r="BD137" s="63"/>
    </row>
    <row r="138" spans="1:56" x14ac:dyDescent="0.2">
      <c r="A138" s="2"/>
      <c r="AK138" s="18"/>
      <c r="AM138" s="18"/>
      <c r="AN138" s="58"/>
      <c r="AP138" s="38"/>
      <c r="AQ138" s="30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</row>
    <row r="139" spans="1:56" x14ac:dyDescent="0.2">
      <c r="A139" s="2"/>
      <c r="AK139" s="18"/>
      <c r="AM139" s="18"/>
      <c r="AN139" s="58"/>
      <c r="AP139" s="43"/>
      <c r="AR139" s="63"/>
      <c r="AT139" s="63"/>
      <c r="AV139" s="63"/>
      <c r="AX139" s="63"/>
      <c r="AZ139" s="63"/>
      <c r="BB139" s="63"/>
      <c r="BD139" s="63"/>
    </row>
    <row r="140" spans="1:56" x14ac:dyDescent="0.2">
      <c r="AK140" s="18"/>
      <c r="AN140" s="31"/>
    </row>
    <row r="141" spans="1:56" x14ac:dyDescent="0.2">
      <c r="A141" s="2"/>
      <c r="AK141" s="18"/>
      <c r="AM141" s="18"/>
      <c r="AN141" s="31"/>
      <c r="AP141" s="38"/>
      <c r="AQ141" s="30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</row>
    <row r="142" spans="1:56" x14ac:dyDescent="0.2">
      <c r="A142" s="2"/>
      <c r="AK142" s="18"/>
      <c r="AM142" s="18"/>
      <c r="AN142" s="31"/>
      <c r="AP142" s="43"/>
      <c r="AR142" s="63"/>
      <c r="AT142" s="63"/>
      <c r="AV142" s="63"/>
      <c r="AX142" s="63"/>
      <c r="AZ142" s="63"/>
      <c r="BB142" s="63"/>
      <c r="BD142" s="63"/>
    </row>
    <row r="143" spans="1:56" x14ac:dyDescent="0.2">
      <c r="B143" s="18"/>
      <c r="AK143" s="18"/>
      <c r="AM143" s="18"/>
      <c r="AN143" s="31"/>
      <c r="AP143" s="43"/>
      <c r="AR143" s="63"/>
      <c r="AT143" s="63"/>
      <c r="AV143" s="63"/>
      <c r="AX143" s="63"/>
      <c r="AZ143" s="63"/>
      <c r="BB143" s="63"/>
      <c r="BD143" s="63"/>
    </row>
    <row r="144" spans="1:56" x14ac:dyDescent="0.2">
      <c r="A144" s="2"/>
      <c r="S144" s="55"/>
      <c r="AK144" s="18"/>
      <c r="AM144" s="18"/>
      <c r="AN144" s="58"/>
      <c r="AP144" s="38"/>
      <c r="AQ144" s="30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</row>
    <row r="145" spans="1:56" x14ac:dyDescent="0.2">
      <c r="A145" s="2"/>
      <c r="AK145" s="18"/>
      <c r="AM145" s="18"/>
      <c r="AN145" s="58"/>
      <c r="AP145" s="43"/>
      <c r="AR145" s="63"/>
      <c r="AT145" s="63"/>
      <c r="AV145" s="63"/>
      <c r="AX145" s="63"/>
      <c r="AZ145" s="63"/>
      <c r="BB145" s="63"/>
      <c r="BD145" s="63"/>
    </row>
    <row r="146" spans="1:56" x14ac:dyDescent="0.2">
      <c r="AK146" s="18"/>
      <c r="AN146" s="31"/>
    </row>
    <row r="147" spans="1:56" x14ac:dyDescent="0.2">
      <c r="A147" s="2"/>
      <c r="AK147" s="18"/>
      <c r="AM147" s="18"/>
      <c r="AN147" s="58"/>
      <c r="AP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</row>
    <row r="148" spans="1:56" x14ac:dyDescent="0.2">
      <c r="A148" s="2"/>
      <c r="AK148" s="18"/>
      <c r="AM148" s="18"/>
      <c r="AN148" s="58"/>
      <c r="AP148" s="43"/>
      <c r="AR148" s="63"/>
      <c r="AT148" s="63"/>
      <c r="AV148" s="63"/>
      <c r="AX148" s="63"/>
      <c r="AZ148" s="63"/>
      <c r="BB148" s="63"/>
      <c r="BD148" s="63"/>
    </row>
    <row r="149" spans="1:56" x14ac:dyDescent="0.2">
      <c r="AK149" s="18"/>
      <c r="AN149" s="31"/>
    </row>
    <row r="150" spans="1:56" x14ac:dyDescent="0.2">
      <c r="A150" s="2"/>
      <c r="AK150" s="18"/>
      <c r="AM150" s="18"/>
      <c r="AN150" s="58"/>
      <c r="AP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</row>
    <row r="151" spans="1:56" x14ac:dyDescent="0.2">
      <c r="A151" s="2"/>
      <c r="AK151" s="18"/>
      <c r="AM151" s="18"/>
      <c r="AN151" s="58"/>
      <c r="AP151" s="43"/>
      <c r="AR151" s="63"/>
      <c r="AT151" s="63"/>
      <c r="AV151" s="63"/>
      <c r="AX151" s="63"/>
      <c r="AZ151" s="63"/>
      <c r="BB151" s="63"/>
      <c r="BD151" s="63"/>
    </row>
    <row r="155" spans="1:56" x14ac:dyDescent="0.2">
      <c r="H155" s="151"/>
    </row>
    <row r="156" spans="1:56" x14ac:dyDescent="0.2">
      <c r="H156" s="151"/>
    </row>
  </sheetData>
  <mergeCells count="2">
    <mergeCell ref="B6:R6"/>
    <mergeCell ref="B7:R7"/>
  </mergeCells>
  <pageMargins left="0.7" right="0.7" top="0.75" bottom="0.75" header="0.3" footer="0.3"/>
  <pageSetup scale="49" fitToHeight="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15822-59DE-497B-B0CF-9C5D0615257E}">
  <sheetPr>
    <tabColor theme="0" tint="-0.249977111117893"/>
    <pageSetUpPr fitToPage="1"/>
  </sheetPr>
  <dimension ref="B5:BM182"/>
  <sheetViews>
    <sheetView topLeftCell="A149" zoomScale="70" zoomScaleNormal="70" workbookViewId="0">
      <selection activeCell="Z184" sqref="Z184"/>
    </sheetView>
  </sheetViews>
  <sheetFormatPr defaultColWidth="9.140625" defaultRowHeight="12.75" x14ac:dyDescent="0.2"/>
  <cols>
    <col min="1" max="1" width="1.7109375" style="1" customWidth="1"/>
    <col min="2" max="2" width="5.5703125" style="18" bestFit="1" customWidth="1"/>
    <col min="3" max="3" width="1.7109375" style="1" customWidth="1"/>
    <col min="4" max="4" width="46" style="1" bestFit="1" customWidth="1"/>
    <col min="5" max="5" width="1.7109375" style="1" customWidth="1"/>
    <col min="6" max="6" width="19.7109375" style="31" customWidth="1"/>
    <col min="7" max="7" width="1.7109375" style="31" customWidth="1"/>
    <col min="8" max="8" width="13.140625" style="31" customWidth="1"/>
    <col min="9" max="9" width="1.7109375" style="31" customWidth="1"/>
    <col min="10" max="10" width="19.28515625" style="31" customWidth="1"/>
    <col min="11" max="11" width="1.7109375" style="31" customWidth="1"/>
    <col min="12" max="12" width="13.28515625" style="31" customWidth="1"/>
    <col min="13" max="13" width="1.7109375" style="31" customWidth="1"/>
    <col min="14" max="14" width="23.42578125" style="18" customWidth="1"/>
    <col min="15" max="15" width="1.5703125" style="74" customWidth="1"/>
    <col min="16" max="16" width="15.42578125" style="1" customWidth="1"/>
    <col min="17" max="17" width="1.7109375" style="1" customWidth="1"/>
    <col min="18" max="18" width="15.42578125" style="1" customWidth="1"/>
    <col min="19" max="19" width="1.7109375" style="1" customWidth="1"/>
    <col min="20" max="20" width="15.42578125" style="1" customWidth="1"/>
    <col min="21" max="21" width="1.7109375" style="1" customWidth="1"/>
    <col min="22" max="22" width="15.42578125" style="1" customWidth="1"/>
    <col min="23" max="23" width="1.7109375" style="1" customWidth="1"/>
    <col min="24" max="24" width="15.42578125" style="1" customWidth="1"/>
    <col min="25" max="25" width="1.7109375" style="1" customWidth="1"/>
    <col min="26" max="26" width="15.42578125" style="1" customWidth="1"/>
    <col min="27" max="27" width="1.7109375" style="1" customWidth="1"/>
    <col min="28" max="28" width="15.42578125" style="1" customWidth="1"/>
    <col min="29" max="29" width="1.7109375" style="1" customWidth="1"/>
    <col min="30" max="30" width="15.42578125" style="1" customWidth="1"/>
    <col min="31" max="31" width="1.7109375" style="1" customWidth="1"/>
    <col min="32" max="32" width="15.42578125" style="1" customWidth="1"/>
    <col min="33" max="33" width="1.7109375" style="1" customWidth="1"/>
    <col min="34" max="34" width="15.42578125" style="1" customWidth="1"/>
    <col min="35" max="35" width="1.7109375" style="1" customWidth="1"/>
    <col min="36" max="36" width="16" style="1" bestFit="1" customWidth="1"/>
    <col min="37" max="37" width="9" style="1" customWidth="1"/>
    <col min="38" max="38" width="9.140625" style="1" hidden="1" customWidth="1"/>
    <col min="39" max="40" width="9.140625" style="1"/>
    <col min="41" max="41" width="12" style="31" bestFit="1" customWidth="1"/>
    <col min="42" max="43" width="9.140625" style="31"/>
    <col min="44" max="44" width="11" style="31" customWidth="1"/>
    <col min="45" max="45" width="1.7109375" style="31" customWidth="1"/>
    <col min="46" max="46" width="11" style="31" customWidth="1"/>
    <col min="47" max="47" width="1.7109375" style="31" customWidth="1"/>
    <col min="48" max="48" width="11" style="31" customWidth="1"/>
    <col min="49" max="49" width="1.7109375" style="31" customWidth="1"/>
    <col min="50" max="50" width="11" style="31" customWidth="1"/>
    <col min="51" max="51" width="1.7109375" style="31" customWidth="1"/>
    <col min="52" max="52" width="11" style="31" customWidth="1"/>
    <col min="53" max="53" width="1.7109375" style="31" customWidth="1"/>
    <col min="54" max="54" width="11" style="31" customWidth="1"/>
    <col min="55" max="55" width="1.7109375" style="31" customWidth="1"/>
    <col min="56" max="56" width="11" style="31" customWidth="1"/>
    <col min="57" max="57" width="1.7109375" style="31" customWidth="1"/>
    <col min="58" max="58" width="11" style="31" customWidth="1"/>
    <col min="59" max="59" width="1.7109375" style="31" customWidth="1"/>
    <col min="60" max="60" width="11" style="31" customWidth="1"/>
    <col min="61" max="61" width="1.7109375" style="31" customWidth="1"/>
    <col min="62" max="62" width="11" style="31" customWidth="1"/>
    <col min="63" max="63" width="1.7109375" style="31" customWidth="1"/>
    <col min="64" max="64" width="12.85546875" style="31" customWidth="1"/>
    <col min="65" max="65" width="9.140625" style="31"/>
    <col min="66" max="16384" width="9.140625" style="1"/>
  </cols>
  <sheetData>
    <row r="5" spans="2:65" ht="15" customHeight="1" x14ac:dyDescent="0.2"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</row>
    <row r="6" spans="2:65" ht="15" customHeight="1" x14ac:dyDescent="0.2">
      <c r="B6" s="158" t="s">
        <v>511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</row>
    <row r="7" spans="2:65" ht="15" customHeight="1" x14ac:dyDescent="0.2">
      <c r="B7" s="157" t="s">
        <v>378</v>
      </c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</row>
    <row r="9" spans="2:65" x14ac:dyDescent="0.2">
      <c r="P9" s="159" t="s">
        <v>63</v>
      </c>
      <c r="Q9" s="159"/>
      <c r="R9" s="159"/>
      <c r="S9" s="159"/>
      <c r="T9" s="159"/>
      <c r="U9" s="159"/>
      <c r="V9" s="159"/>
      <c r="X9" s="159" t="s">
        <v>64</v>
      </c>
      <c r="Y9" s="159"/>
      <c r="Z9" s="159"/>
      <c r="AA9" s="159"/>
      <c r="AB9" s="159"/>
      <c r="AC9" s="159"/>
      <c r="AD9" s="159"/>
      <c r="AE9" s="159"/>
      <c r="AF9" s="159"/>
    </row>
    <row r="10" spans="2:65" ht="15" x14ac:dyDescent="0.25">
      <c r="H10" s="2" t="s">
        <v>11</v>
      </c>
      <c r="J10" s="2" t="s">
        <v>130</v>
      </c>
      <c r="L10" s="2" t="s">
        <v>137</v>
      </c>
      <c r="N10" s="18" t="s">
        <v>10</v>
      </c>
      <c r="P10" s="18"/>
      <c r="R10" s="18"/>
      <c r="T10" s="18"/>
      <c r="V10" s="18" t="s">
        <v>114</v>
      </c>
      <c r="X10" s="31"/>
      <c r="Y10" s="31"/>
      <c r="Z10" s="31"/>
      <c r="AA10" s="31"/>
      <c r="AB10" s="31"/>
      <c r="AC10" s="31"/>
      <c r="AD10" s="31"/>
      <c r="AE10" s="31"/>
      <c r="AF10" s="2" t="s">
        <v>68</v>
      </c>
      <c r="AG10" s="31"/>
      <c r="AH10" s="2"/>
      <c r="AI10" s="32"/>
    </row>
    <row r="11" spans="2:65" x14ac:dyDescent="0.2">
      <c r="B11" s="18" t="s">
        <v>2</v>
      </c>
      <c r="F11" s="2" t="s">
        <v>3</v>
      </c>
      <c r="H11" s="2" t="s">
        <v>130</v>
      </c>
      <c r="J11" s="2" t="s">
        <v>131</v>
      </c>
      <c r="L11" s="2" t="s">
        <v>138</v>
      </c>
      <c r="N11" s="18" t="s">
        <v>141</v>
      </c>
      <c r="P11" s="18" t="s">
        <v>320</v>
      </c>
      <c r="Q11" s="18"/>
      <c r="R11" s="18" t="s">
        <v>320</v>
      </c>
      <c r="S11" s="3"/>
      <c r="T11" s="2" t="s">
        <v>321</v>
      </c>
      <c r="U11" s="3"/>
      <c r="V11" s="2" t="s">
        <v>128</v>
      </c>
      <c r="W11" s="3"/>
      <c r="X11" s="2" t="s">
        <v>10</v>
      </c>
      <c r="Y11" s="2"/>
      <c r="Z11" s="2" t="s">
        <v>10</v>
      </c>
      <c r="AA11" s="2"/>
      <c r="AB11" s="2" t="s">
        <v>10</v>
      </c>
      <c r="AC11" s="2"/>
      <c r="AD11" s="2" t="s">
        <v>10</v>
      </c>
      <c r="AE11" s="2"/>
      <c r="AF11" s="2" t="s">
        <v>128</v>
      </c>
      <c r="AG11" s="2"/>
      <c r="AH11" s="2" t="s">
        <v>10</v>
      </c>
      <c r="AI11" s="3"/>
    </row>
    <row r="12" spans="2:65" x14ac:dyDescent="0.2">
      <c r="B12" s="4" t="s">
        <v>4</v>
      </c>
      <c r="D12" s="5" t="s">
        <v>374</v>
      </c>
      <c r="F12" s="33" t="s">
        <v>5</v>
      </c>
      <c r="H12" s="33" t="s">
        <v>131</v>
      </c>
      <c r="J12" s="33" t="s">
        <v>6</v>
      </c>
      <c r="K12" s="2"/>
      <c r="L12" s="33" t="s">
        <v>322</v>
      </c>
      <c r="N12" s="4" t="s">
        <v>6</v>
      </c>
      <c r="O12" s="73" t="s">
        <v>253</v>
      </c>
      <c r="P12" s="4" t="s">
        <v>327</v>
      </c>
      <c r="Q12" s="18"/>
      <c r="R12" s="4" t="s">
        <v>328</v>
      </c>
      <c r="S12" s="18"/>
      <c r="T12" s="4" t="s">
        <v>129</v>
      </c>
      <c r="U12" s="18"/>
      <c r="V12" s="4" t="s">
        <v>104</v>
      </c>
      <c r="W12" s="18"/>
      <c r="X12" s="33" t="s">
        <v>23</v>
      </c>
      <c r="Y12" s="2"/>
      <c r="Z12" s="33" t="s">
        <v>31</v>
      </c>
      <c r="AA12" s="2"/>
      <c r="AB12" s="33" t="s">
        <v>33</v>
      </c>
      <c r="AC12" s="2"/>
      <c r="AD12" s="33" t="s">
        <v>183</v>
      </c>
      <c r="AE12" s="2"/>
      <c r="AF12" s="33" t="s">
        <v>104</v>
      </c>
      <c r="AG12" s="2"/>
      <c r="AH12" s="33" t="s">
        <v>49</v>
      </c>
      <c r="AI12" s="3"/>
      <c r="AJ12" s="4" t="s">
        <v>11</v>
      </c>
      <c r="AL12" s="26" t="s">
        <v>84</v>
      </c>
      <c r="AM12" s="104"/>
    </row>
    <row r="13" spans="2:65" x14ac:dyDescent="0.2">
      <c r="F13" s="2" t="s">
        <v>12</v>
      </c>
      <c r="H13" s="2" t="s">
        <v>13</v>
      </c>
      <c r="J13" s="2" t="s">
        <v>14</v>
      </c>
      <c r="K13" s="2"/>
      <c r="L13" s="2" t="s">
        <v>147</v>
      </c>
      <c r="N13" s="18" t="s">
        <v>15</v>
      </c>
      <c r="O13" s="73"/>
      <c r="P13" s="18" t="s">
        <v>16</v>
      </c>
      <c r="Q13" s="18"/>
      <c r="R13" s="18" t="s">
        <v>59</v>
      </c>
      <c r="S13" s="18"/>
      <c r="T13" s="18" t="s">
        <v>61</v>
      </c>
      <c r="U13" s="18"/>
      <c r="V13" s="18" t="s">
        <v>62</v>
      </c>
      <c r="W13" s="18"/>
      <c r="X13" s="18" t="s">
        <v>82</v>
      </c>
      <c r="Y13" s="18"/>
      <c r="Z13" s="18" t="s">
        <v>143</v>
      </c>
      <c r="AA13" s="18"/>
      <c r="AB13" s="18" t="s">
        <v>144</v>
      </c>
      <c r="AC13" s="18"/>
      <c r="AD13" s="18" t="s">
        <v>145</v>
      </c>
      <c r="AE13" s="18"/>
      <c r="AF13" s="18" t="s">
        <v>184</v>
      </c>
      <c r="AG13" s="18"/>
      <c r="AH13" s="18" t="s">
        <v>193</v>
      </c>
      <c r="AI13" s="18"/>
      <c r="AJ13" s="18" t="s">
        <v>194</v>
      </c>
      <c r="AL13" s="27"/>
    </row>
    <row r="14" spans="2:65" s="74" customFormat="1" x14ac:dyDescent="0.2">
      <c r="B14" s="73"/>
      <c r="F14" s="31"/>
      <c r="G14" s="31"/>
      <c r="H14" s="31"/>
      <c r="I14" s="31"/>
      <c r="J14" s="31"/>
      <c r="K14" s="31"/>
      <c r="L14" s="31"/>
      <c r="M14" s="31"/>
      <c r="N14" s="73"/>
      <c r="P14" s="74">
        <v>4</v>
      </c>
      <c r="R14" s="74">
        <v>6</v>
      </c>
      <c r="T14" s="74">
        <v>8</v>
      </c>
      <c r="V14" s="74">
        <v>10</v>
      </c>
      <c r="X14" s="74">
        <v>12</v>
      </c>
      <c r="Z14" s="74">
        <v>14</v>
      </c>
      <c r="AB14" s="74">
        <v>16</v>
      </c>
      <c r="AD14" s="74">
        <v>18</v>
      </c>
      <c r="AF14" s="74">
        <v>20</v>
      </c>
      <c r="AH14" s="74">
        <v>22</v>
      </c>
      <c r="AL14" s="75"/>
      <c r="AO14" s="31"/>
      <c r="AP14" s="31"/>
      <c r="AQ14" s="31"/>
      <c r="AR14" s="2" t="s">
        <v>320</v>
      </c>
      <c r="AS14" s="31"/>
      <c r="AT14" s="2" t="s">
        <v>320</v>
      </c>
      <c r="AU14" s="31"/>
      <c r="AV14" s="2" t="s">
        <v>321</v>
      </c>
      <c r="AW14" s="31"/>
      <c r="AX14" s="2" t="s">
        <v>114</v>
      </c>
      <c r="AY14" s="31"/>
      <c r="AZ14" s="31"/>
      <c r="BA14" s="31"/>
      <c r="BB14" s="31"/>
      <c r="BC14" s="31"/>
      <c r="BD14" s="31"/>
      <c r="BE14" s="31"/>
      <c r="BF14" s="31"/>
      <c r="BG14" s="31"/>
      <c r="BH14" s="2" t="s">
        <v>68</v>
      </c>
      <c r="BI14" s="31"/>
      <c r="BJ14" s="31"/>
      <c r="BK14" s="31"/>
      <c r="BL14" s="31"/>
      <c r="BM14" s="31"/>
    </row>
    <row r="15" spans="2:65" x14ac:dyDescent="0.2">
      <c r="D15" s="6"/>
      <c r="E15" s="6"/>
      <c r="F15" s="77"/>
      <c r="AL15" s="25"/>
      <c r="AM15" s="51"/>
      <c r="AO15" s="2" t="s">
        <v>318</v>
      </c>
      <c r="AR15" s="2" t="s">
        <v>129</v>
      </c>
      <c r="AS15" s="2"/>
      <c r="AT15" s="2" t="s">
        <v>129</v>
      </c>
      <c r="AU15" s="2"/>
      <c r="AV15" s="2" t="s">
        <v>129</v>
      </c>
      <c r="AW15" s="2"/>
      <c r="AX15" s="2" t="s">
        <v>128</v>
      </c>
      <c r="AY15" s="2"/>
      <c r="AZ15" s="2" t="s">
        <v>10</v>
      </c>
      <c r="BA15" s="2"/>
      <c r="BB15" s="2" t="s">
        <v>10</v>
      </c>
      <c r="BC15" s="2"/>
      <c r="BD15" s="2" t="s">
        <v>10</v>
      </c>
      <c r="BE15" s="2"/>
      <c r="BF15" s="2" t="s">
        <v>10</v>
      </c>
      <c r="BG15" s="2"/>
      <c r="BH15" s="2" t="s">
        <v>128</v>
      </c>
      <c r="BI15" s="2"/>
      <c r="BJ15" s="2" t="s">
        <v>10</v>
      </c>
    </row>
    <row r="16" spans="2:65" x14ac:dyDescent="0.2">
      <c r="D16" s="6" t="s">
        <v>295</v>
      </c>
      <c r="E16" s="7"/>
      <c r="F16" s="78"/>
      <c r="AL16" s="27"/>
      <c r="AO16" s="33" t="s">
        <v>319</v>
      </c>
      <c r="AR16" s="33" t="s">
        <v>66</v>
      </c>
      <c r="AS16" s="2"/>
      <c r="AT16" s="33" t="s">
        <v>65</v>
      </c>
      <c r="AU16" s="2"/>
      <c r="AV16" s="33" t="s">
        <v>67</v>
      </c>
      <c r="AW16" s="2"/>
      <c r="AX16" s="33" t="s">
        <v>104</v>
      </c>
      <c r="AY16" s="2"/>
      <c r="AZ16" s="33" t="s">
        <v>23</v>
      </c>
      <c r="BA16" s="2"/>
      <c r="BB16" s="33" t="s">
        <v>31</v>
      </c>
      <c r="BC16" s="2"/>
      <c r="BD16" s="33" t="s">
        <v>33</v>
      </c>
      <c r="BE16" s="2"/>
      <c r="BF16" s="33" t="s">
        <v>183</v>
      </c>
      <c r="BG16" s="2"/>
      <c r="BH16" s="33" t="s">
        <v>104</v>
      </c>
      <c r="BI16" s="2"/>
      <c r="BJ16" s="33" t="s">
        <v>49</v>
      </c>
      <c r="BL16" s="33" t="s">
        <v>11</v>
      </c>
    </row>
    <row r="17" spans="2:64" x14ac:dyDescent="0.2">
      <c r="AL17" s="25" t="str">
        <f t="shared" ref="AL17" si="0">IF(ROUND(L17,4)=ROUND(AJ17,4), "", "check")</f>
        <v/>
      </c>
      <c r="AM17" s="51"/>
    </row>
    <row r="18" spans="2:64" x14ac:dyDescent="0.2">
      <c r="B18" s="18">
        <v>1</v>
      </c>
      <c r="D18" s="1" t="s">
        <v>76</v>
      </c>
      <c r="F18" s="50">
        <f ca="1">Function!V18</f>
        <v>111376.57056194174</v>
      </c>
      <c r="H18" s="50"/>
      <c r="J18" s="2"/>
      <c r="K18" s="73">
        <f>_xlfn.IFNA(MATCH(J18,'Dist Factors'!$B$15:$B$431,0),0)</f>
        <v>0</v>
      </c>
      <c r="L18" s="50">
        <f ca="1">F18-H18</f>
        <v>111376.57056194174</v>
      </c>
      <c r="N18" s="18" t="s">
        <v>18</v>
      </c>
      <c r="O18" s="73">
        <f>_xlfn.IFNA(MATCH(N18,'Dist Factors'!$B$15:$B$431,0),0)</f>
        <v>63</v>
      </c>
      <c r="P18" s="20">
        <f ca="1">OFFSET('Dist Factors'!$B$15,$O18-1,P$14)*$L18+OFFSET('Dist Factors'!$B$15,$K18-1,P$14)*$H18</f>
        <v>31002.810122636201</v>
      </c>
      <c r="R18" s="20">
        <f ca="1">OFFSET('Dist Factors'!$B$15,$O18-1,R$14)*$L18+OFFSET('Dist Factors'!$B$15,$K18-1,R$14)*$H18</f>
        <v>5929.7388487675689</v>
      </c>
      <c r="S18" s="20"/>
      <c r="T18" s="20">
        <f ca="1">OFFSET('Dist Factors'!$B$15,$O18-1,T$14)*$L18+OFFSET('Dist Factors'!$B$15,$K18-1,T$14)*$H18</f>
        <v>31450.651126336237</v>
      </c>
      <c r="U18" s="20"/>
      <c r="V18" s="20">
        <f ca="1">OFFSET('Dist Factors'!$B$15,$O18-1,V$14)*$L18+OFFSET('Dist Factors'!$B$15,$K18-1,V$14)*$H18</f>
        <v>0</v>
      </c>
      <c r="X18" s="20">
        <f ca="1">OFFSET('Dist Factors'!$B$15,$O18-1,X$14)*$L18+OFFSET('Dist Factors'!$B$15,$K18-1,X$14)*$H18</f>
        <v>42993.370464201733</v>
      </c>
      <c r="Y18" s="9"/>
      <c r="Z18" s="20">
        <f ca="1">OFFSET('Dist Factors'!$B$15,$O18-1,Z$14)*$L18+OFFSET('Dist Factors'!$B$15,$K18-1,Z$14)*$H18</f>
        <v>0</v>
      </c>
      <c r="AA18" s="20"/>
      <c r="AB18" s="20">
        <f ca="1">OFFSET('Dist Factors'!$B$15,$O18-1,AB$14)*$L18+OFFSET('Dist Factors'!$B$15,$K18-1,AB$14)*$H18</f>
        <v>0</v>
      </c>
      <c r="AC18" s="9"/>
      <c r="AD18" s="20">
        <f ca="1">OFFSET('Dist Factors'!$B$15,$O18-1,AD$14)*$L18+OFFSET('Dist Factors'!$B$15,$K18-1,AD$14)*$H18</f>
        <v>0</v>
      </c>
      <c r="AE18" s="9"/>
      <c r="AF18" s="20">
        <f ca="1">OFFSET('Dist Factors'!$B$15,$O18-1,AF$14)*$L18+OFFSET('Dist Factors'!$B$15,$K18-1,AF$14)*$H18</f>
        <v>0</v>
      </c>
      <c r="AG18" s="9"/>
      <c r="AH18" s="20">
        <f ca="1">OFFSET('Dist Factors'!$B$15,$O18-1,AH$14)*$L18+OFFSET('Dist Factors'!$B$15,$K18-1,AH$14)*$H18</f>
        <v>0</v>
      </c>
      <c r="AI18" s="9"/>
      <c r="AJ18" s="9">
        <f t="shared" ref="AJ18:AJ31" ca="1" si="1">SUM(P18:AI18)</f>
        <v>111376.57056194174</v>
      </c>
      <c r="AL18" s="25" t="str">
        <f ca="1">IF(ROUND(F18,4)=ROUND(AJ18,4), "", "check")</f>
        <v/>
      </c>
      <c r="AM18" s="51"/>
      <c r="AO18" s="93">
        <v>0</v>
      </c>
      <c r="AR18" s="50">
        <f t="shared" ref="AR18:AR30" ca="1" si="2">IFERROR($AO18*(P18/$AJ18),"")</f>
        <v>0</v>
      </c>
      <c r="AT18" s="50">
        <f t="shared" ref="AT18:AT30" ca="1" si="3">IFERROR($AO18*(R18/$AJ18),"")</f>
        <v>0</v>
      </c>
      <c r="AV18" s="50">
        <f t="shared" ref="AV18:AV30" ca="1" si="4">IFERROR($AO18*(T18/$AJ18),"")</f>
        <v>0</v>
      </c>
      <c r="AX18" s="50">
        <f t="shared" ref="AX18:AX30" ca="1" si="5">IFERROR($AO18*(V18/$AJ18),"")</f>
        <v>0</v>
      </c>
      <c r="AZ18" s="50">
        <f t="shared" ref="AZ18:AZ30" ca="1" si="6">IFERROR($AO18*(X18/$AJ18),"")</f>
        <v>0</v>
      </c>
      <c r="BB18" s="50">
        <f t="shared" ref="BB18:BB30" ca="1" si="7">IFERROR($AO18*(Z18/$AJ18),"")</f>
        <v>0</v>
      </c>
      <c r="BD18" s="50">
        <f t="shared" ref="BD18:BD30" ca="1" si="8">IFERROR($AO18*(AB18/$AJ18),"")</f>
        <v>0</v>
      </c>
      <c r="BF18" s="50">
        <f t="shared" ref="BF18:BF30" ca="1" si="9">IFERROR($AO18*(AD18/$AJ18),"")</f>
        <v>0</v>
      </c>
      <c r="BH18" s="50">
        <f t="shared" ref="BH18:BH30" ca="1" si="10">IFERROR($AO18*(AF18/$AJ18),"")</f>
        <v>0</v>
      </c>
      <c r="BJ18" s="50">
        <f t="shared" ref="BJ18:BJ30" ca="1" si="11">IFERROR($AO18*(AH18/$AJ18),"")</f>
        <v>0</v>
      </c>
      <c r="BL18" s="50">
        <f ca="1">SUM(AR18:BJ18)</f>
        <v>0</v>
      </c>
    </row>
    <row r="19" spans="2:64" x14ac:dyDescent="0.2">
      <c r="B19" s="18">
        <f>B18+1</f>
        <v>2</v>
      </c>
      <c r="D19" s="1" t="s">
        <v>75</v>
      </c>
      <c r="F19" s="50">
        <f ca="1">Function!V19</f>
        <v>90928.056814230149</v>
      </c>
      <c r="H19" s="50"/>
      <c r="J19" s="2"/>
      <c r="K19" s="73">
        <f>_xlfn.IFNA(MATCH(J19,'Dist Factors'!$B$15:$B$431,0),0)</f>
        <v>0</v>
      </c>
      <c r="L19" s="50">
        <f ca="1">F19-H19</f>
        <v>90928.056814230149</v>
      </c>
      <c r="N19" s="18" t="s">
        <v>160</v>
      </c>
      <c r="O19" s="73">
        <f>_xlfn.IFNA(MATCH(N19,'Dist Factors'!$B$15:$B$431,0),0)</f>
        <v>66</v>
      </c>
      <c r="P19" s="20">
        <f ca="1">OFFSET('Dist Factors'!$B$15,$O19-1,P$14)*$L19+OFFSET('Dist Factors'!$B$15,$K19-1,P$14)*$H19</f>
        <v>25513.165801451945</v>
      </c>
      <c r="R19" s="20">
        <f ca="1">OFFSET('Dist Factors'!$B$15,$O19-1,R$14)*$L19+OFFSET('Dist Factors'!$B$15,$K19-1,R$14)*$H19</f>
        <v>4879.7644410129933</v>
      </c>
      <c r="S19" s="20"/>
      <c r="T19" s="20">
        <f ca="1">OFFSET('Dist Factors'!$B$15,$O19-1,T$14)*$L19+OFFSET('Dist Factors'!$B$15,$K19-1,T$14)*$H19</f>
        <v>25881.707934726037</v>
      </c>
      <c r="U19" s="20"/>
      <c r="V19" s="20">
        <f ca="1">OFFSET('Dist Factors'!$B$15,$O19-1,V$14)*$L19+OFFSET('Dist Factors'!$B$15,$K19-1,V$14)*$H19</f>
        <v>0</v>
      </c>
      <c r="X19" s="20">
        <f ca="1">OFFSET('Dist Factors'!$B$15,$O19-1,X$14)*$L19+OFFSET('Dist Factors'!$B$15,$K19-1,X$14)*$H19</f>
        <v>34653.418637039162</v>
      </c>
      <c r="Y19" s="9"/>
      <c r="Z19" s="20">
        <f ca="1">OFFSET('Dist Factors'!$B$15,$O19-1,Z$14)*$L19+OFFSET('Dist Factors'!$B$15,$K19-1,Z$14)*$H19</f>
        <v>0</v>
      </c>
      <c r="AA19" s="20"/>
      <c r="AB19" s="20">
        <f ca="1">OFFSET('Dist Factors'!$B$15,$O19-1,AB$14)*$L19+OFFSET('Dist Factors'!$B$15,$K19-1,AB$14)*$H19</f>
        <v>0</v>
      </c>
      <c r="AC19" s="9"/>
      <c r="AD19" s="20">
        <f ca="1">OFFSET('Dist Factors'!$B$15,$O19-1,AD$14)*$L19+OFFSET('Dist Factors'!$B$15,$K19-1,AD$14)*$H19</f>
        <v>0</v>
      </c>
      <c r="AE19" s="9"/>
      <c r="AF19" s="20">
        <f ca="1">OFFSET('Dist Factors'!$B$15,$O19-1,AF$14)*$L19+OFFSET('Dist Factors'!$B$15,$K19-1,AF$14)*$H19</f>
        <v>0</v>
      </c>
      <c r="AG19" s="9"/>
      <c r="AH19" s="20">
        <f ca="1">OFFSET('Dist Factors'!$B$15,$O19-1,AH$14)*$L19+OFFSET('Dist Factors'!$B$15,$K19-1,AH$14)*$H19</f>
        <v>0</v>
      </c>
      <c r="AI19" s="9"/>
      <c r="AJ19" s="9">
        <f t="shared" ca="1" si="1"/>
        <v>90928.056814230134</v>
      </c>
      <c r="AL19" s="25" t="str">
        <f t="shared" ref="AL19:AL37" ca="1" si="12">IF(ROUND(F19,4)=ROUND(AJ19,4), "", "check")</f>
        <v/>
      </c>
      <c r="AM19" s="51"/>
      <c r="AO19" s="93">
        <v>1508.2351291978975</v>
      </c>
      <c r="AR19" s="50">
        <f t="shared" ca="1" si="2"/>
        <v>423.19009409181837</v>
      </c>
      <c r="AT19" s="50">
        <f t="shared" ca="1" si="3"/>
        <v>80.941267305238753</v>
      </c>
      <c r="AV19" s="50">
        <f t="shared" ca="1" si="4"/>
        <v>429.30314886796015</v>
      </c>
      <c r="AX19" s="50">
        <f t="shared" ca="1" si="5"/>
        <v>0</v>
      </c>
      <c r="AZ19" s="50">
        <f t="shared" ca="1" si="6"/>
        <v>574.80061893288041</v>
      </c>
      <c r="BB19" s="50">
        <f t="shared" ca="1" si="7"/>
        <v>0</v>
      </c>
      <c r="BD19" s="50">
        <f t="shared" ca="1" si="8"/>
        <v>0</v>
      </c>
      <c r="BF19" s="50">
        <f t="shared" ca="1" si="9"/>
        <v>0</v>
      </c>
      <c r="BH19" s="50">
        <f t="shared" ca="1" si="10"/>
        <v>0</v>
      </c>
      <c r="BJ19" s="50">
        <f t="shared" ca="1" si="11"/>
        <v>0</v>
      </c>
      <c r="BL19" s="50">
        <f t="shared" ref="BL19:BL30" ca="1" si="13">SUM(AR19:BJ19)</f>
        <v>1508.2351291978975</v>
      </c>
    </row>
    <row r="20" spans="2:64" x14ac:dyDescent="0.2">
      <c r="B20" s="18">
        <f t="shared" ref="B20:B31" si="14">B19+1</f>
        <v>3</v>
      </c>
      <c r="D20" s="1" t="s">
        <v>19</v>
      </c>
      <c r="F20" s="50">
        <f ca="1">Function!V20</f>
        <v>334784.5579165357</v>
      </c>
      <c r="H20" s="50"/>
      <c r="J20" s="2"/>
      <c r="K20" s="73">
        <f>_xlfn.IFNA(MATCH(J20,'Dist Factors'!$B$15:$B$431,0),0)</f>
        <v>0</v>
      </c>
      <c r="L20" s="50">
        <f t="shared" ref="L20:L30" ca="1" si="15">F20-H20</f>
        <v>334784.5579165357</v>
      </c>
      <c r="N20" s="2" t="s">
        <v>455</v>
      </c>
      <c r="O20" s="73">
        <f>_xlfn.IFNA(MATCH(N20,'Dist Factors'!$B$15:$B$431,0),0)</f>
        <v>72</v>
      </c>
      <c r="P20" s="20">
        <f ca="1">OFFSET('Dist Factors'!$B$15,$O20-1,P$14)*$L20+OFFSET('Dist Factors'!$B$15,$K20-1,P$14)*$H20</f>
        <v>94823.052083128496</v>
      </c>
      <c r="R20" s="20">
        <f ca="1">OFFSET('Dist Factors'!$B$15,$O20-1,R$14)*$L20+OFFSET('Dist Factors'!$B$15,$K20-1,R$14)*$H20</f>
        <v>18136.28937092709</v>
      </c>
      <c r="S20" s="20"/>
      <c r="T20" s="20">
        <f ca="1">OFFSET('Dist Factors'!$B$15,$O20-1,T$14)*$L20+OFFSET('Dist Factors'!$B$15,$K20-1,T$14)*$H20</f>
        <v>96192.787621643583</v>
      </c>
      <c r="U20" s="20"/>
      <c r="V20" s="20">
        <f ca="1">OFFSET('Dist Factors'!$B$15,$O20-1,V$14)*$L20+OFFSET('Dist Factors'!$B$15,$K20-1,V$14)*$H20</f>
        <v>0</v>
      </c>
      <c r="W20" s="9"/>
      <c r="X20" s="20">
        <f ca="1">OFFSET('Dist Factors'!$B$15,$O20-1,X$14)*$L20+OFFSET('Dist Factors'!$B$15,$K20-1,X$14)*$H20</f>
        <v>125632.42884083654</v>
      </c>
      <c r="Y20" s="9"/>
      <c r="Z20" s="20">
        <f ca="1">OFFSET('Dist Factors'!$B$15,$O20-1,Z$14)*$L20+OFFSET('Dist Factors'!$B$15,$K20-1,Z$14)*$H20</f>
        <v>0</v>
      </c>
      <c r="AA20" s="20"/>
      <c r="AB20" s="20">
        <f ca="1">OFFSET('Dist Factors'!$B$15,$O20-1,AB$14)*$L20+OFFSET('Dist Factors'!$B$15,$K20-1,AB$14)*$H20</f>
        <v>0</v>
      </c>
      <c r="AC20" s="9"/>
      <c r="AD20" s="20">
        <f ca="1">OFFSET('Dist Factors'!$B$15,$O20-1,AD$14)*$L20+OFFSET('Dist Factors'!$B$15,$K20-1,AD$14)*$H20</f>
        <v>0</v>
      </c>
      <c r="AE20" s="9"/>
      <c r="AF20" s="20">
        <f ca="1">OFFSET('Dist Factors'!$B$15,$O20-1,AF$14)*$L20+OFFSET('Dist Factors'!$B$15,$K20-1,AF$14)*$H20</f>
        <v>0</v>
      </c>
      <c r="AG20" s="9"/>
      <c r="AH20" s="20">
        <f ca="1">OFFSET('Dist Factors'!$B$15,$O20-1,AH$14)*$L20+OFFSET('Dist Factors'!$B$15,$K20-1,AH$14)*$H20</f>
        <v>0</v>
      </c>
      <c r="AI20" s="9"/>
      <c r="AJ20" s="9">
        <f t="shared" ca="1" si="1"/>
        <v>334784.5579165357</v>
      </c>
      <c r="AL20" s="25" t="str">
        <f t="shared" ca="1" si="12"/>
        <v/>
      </c>
      <c r="AM20" s="51"/>
      <c r="AO20" s="93">
        <v>13904.149206435119</v>
      </c>
      <c r="AR20" s="50">
        <f t="shared" ca="1" si="2"/>
        <v>3938.1561460850962</v>
      </c>
      <c r="AT20" s="50">
        <f t="shared" ca="1" si="3"/>
        <v>753.22970400361578</v>
      </c>
      <c r="AV20" s="50">
        <f t="shared" ca="1" si="4"/>
        <v>3995.0434990125827</v>
      </c>
      <c r="AX20" s="50">
        <f t="shared" ca="1" si="5"/>
        <v>0</v>
      </c>
      <c r="AZ20" s="50">
        <f t="shared" ca="1" si="6"/>
        <v>5217.7198573338237</v>
      </c>
      <c r="BB20" s="50">
        <f t="shared" ca="1" si="7"/>
        <v>0</v>
      </c>
      <c r="BD20" s="50">
        <f t="shared" ca="1" si="8"/>
        <v>0</v>
      </c>
      <c r="BF20" s="50">
        <f t="shared" ca="1" si="9"/>
        <v>0</v>
      </c>
      <c r="BH20" s="50">
        <f t="shared" ca="1" si="10"/>
        <v>0</v>
      </c>
      <c r="BJ20" s="50">
        <f t="shared" ca="1" si="11"/>
        <v>0</v>
      </c>
      <c r="BL20" s="50">
        <f t="shared" ca="1" si="13"/>
        <v>13904.149206435119</v>
      </c>
    </row>
    <row r="21" spans="2:64" x14ac:dyDescent="0.2">
      <c r="B21" s="18">
        <f t="shared" si="14"/>
        <v>4</v>
      </c>
      <c r="D21" s="1" t="s">
        <v>21</v>
      </c>
      <c r="F21" s="50">
        <f ca="1">Function!V21</f>
        <v>1039222.5483038996</v>
      </c>
      <c r="H21" s="50"/>
      <c r="J21" s="2"/>
      <c r="K21" s="73">
        <f>_xlfn.IFNA(MATCH(J21,'Dist Factors'!$B$15:$B$431,0),0)</f>
        <v>0</v>
      </c>
      <c r="L21" s="50">
        <f t="shared" ca="1" si="15"/>
        <v>1039222.5483038996</v>
      </c>
      <c r="N21" s="18" t="s">
        <v>79</v>
      </c>
      <c r="O21" s="73">
        <f>_xlfn.IFNA(MATCH(N21,'Dist Factors'!$B$15:$B$431,0),0)</f>
        <v>54</v>
      </c>
      <c r="P21" s="20">
        <f ca="1">OFFSET('Dist Factors'!$B$15,$O21-1,P$14)*$L21+OFFSET('Dist Factors'!$B$15,$K21-1,P$14)*$H21</f>
        <v>471151.09111854387</v>
      </c>
      <c r="R21" s="20">
        <f ca="1">OFFSET('Dist Factors'!$B$15,$O21-1,R$14)*$L21+OFFSET('Dist Factors'!$B$15,$K21-1,R$14)*$H21</f>
        <v>90114.50631712281</v>
      </c>
      <c r="S21" s="20"/>
      <c r="T21" s="20">
        <f ca="1">OFFSET('Dist Factors'!$B$15,$O21-1,T$14)*$L21+OFFSET('Dist Factors'!$B$15,$K21-1,T$14)*$H21</f>
        <v>477956.95086823293</v>
      </c>
      <c r="U21" s="20"/>
      <c r="V21" s="20">
        <f ca="1">OFFSET('Dist Factors'!$B$15,$O21-1,V$14)*$L21+OFFSET('Dist Factors'!$B$15,$K21-1,V$14)*$H21</f>
        <v>0</v>
      </c>
      <c r="W21" s="9"/>
      <c r="X21" s="20">
        <f ca="1">OFFSET('Dist Factors'!$B$15,$O21-1,X$14)*$L21+OFFSET('Dist Factors'!$B$15,$K21-1,X$14)*$H21</f>
        <v>0</v>
      </c>
      <c r="Y21" s="9"/>
      <c r="Z21" s="20">
        <f ca="1">OFFSET('Dist Factors'!$B$15,$O21-1,Z$14)*$L21+OFFSET('Dist Factors'!$B$15,$K21-1,Z$14)*$H21</f>
        <v>0</v>
      </c>
      <c r="AA21" s="20"/>
      <c r="AB21" s="20">
        <f ca="1">OFFSET('Dist Factors'!$B$15,$O21-1,AB$14)*$L21+OFFSET('Dist Factors'!$B$15,$K21-1,AB$14)*$H21</f>
        <v>0</v>
      </c>
      <c r="AC21" s="9"/>
      <c r="AD21" s="20">
        <f ca="1">OFFSET('Dist Factors'!$B$15,$O21-1,AD$14)*$L21+OFFSET('Dist Factors'!$B$15,$K21-1,AD$14)*$H21</f>
        <v>0</v>
      </c>
      <c r="AE21" s="9"/>
      <c r="AF21" s="20">
        <f ca="1">OFFSET('Dist Factors'!$B$15,$O21-1,AF$14)*$L21+OFFSET('Dist Factors'!$B$15,$K21-1,AF$14)*$H21</f>
        <v>0</v>
      </c>
      <c r="AG21" s="9"/>
      <c r="AH21" s="20">
        <f ca="1">OFFSET('Dist Factors'!$B$15,$O21-1,AH$14)*$L21+OFFSET('Dist Factors'!$B$15,$K21-1,AH$14)*$H21</f>
        <v>0</v>
      </c>
      <c r="AI21" s="9"/>
      <c r="AJ21" s="9">
        <f t="shared" ca="1" si="1"/>
        <v>1039222.5483038996</v>
      </c>
      <c r="AL21" s="25" t="str">
        <f t="shared" ca="1" si="12"/>
        <v/>
      </c>
      <c r="AM21" s="51"/>
      <c r="AO21" s="93">
        <v>26336.800908339177</v>
      </c>
      <c r="AR21" s="50">
        <f t="shared" ca="1" si="2"/>
        <v>11940.284114107975</v>
      </c>
      <c r="AT21" s="50">
        <f t="shared" ca="1" si="3"/>
        <v>2283.7531919421986</v>
      </c>
      <c r="AV21" s="50">
        <f t="shared" ca="1" si="4"/>
        <v>12112.763602289002</v>
      </c>
      <c r="AX21" s="50">
        <f t="shared" ca="1" si="5"/>
        <v>0</v>
      </c>
      <c r="AZ21" s="50">
        <f t="shared" ca="1" si="6"/>
        <v>0</v>
      </c>
      <c r="BB21" s="50">
        <f t="shared" ca="1" si="7"/>
        <v>0</v>
      </c>
      <c r="BD21" s="50">
        <f t="shared" ca="1" si="8"/>
        <v>0</v>
      </c>
      <c r="BF21" s="50">
        <f t="shared" ca="1" si="9"/>
        <v>0</v>
      </c>
      <c r="BH21" s="50">
        <f t="shared" ca="1" si="10"/>
        <v>0</v>
      </c>
      <c r="BJ21" s="50">
        <f t="shared" ca="1" si="11"/>
        <v>0</v>
      </c>
      <c r="BL21" s="50">
        <f t="shared" ca="1" si="13"/>
        <v>26336.800908339173</v>
      </c>
    </row>
    <row r="22" spans="2:64" x14ac:dyDescent="0.2">
      <c r="B22" s="18">
        <f t="shared" si="14"/>
        <v>5</v>
      </c>
      <c r="D22" s="1" t="s">
        <v>23</v>
      </c>
      <c r="F22" s="50">
        <f ca="1">Function!V22</f>
        <v>8788880.7876994964</v>
      </c>
      <c r="H22" s="50"/>
      <c r="J22" s="2"/>
      <c r="K22" s="73">
        <f>_xlfn.IFNA(MATCH(J22,'Dist Factors'!$B$15:$B$431,0),0)</f>
        <v>0</v>
      </c>
      <c r="L22" s="50">
        <f t="shared" ca="1" si="15"/>
        <v>8788880.7876994964</v>
      </c>
      <c r="N22" s="18" t="s">
        <v>78</v>
      </c>
      <c r="O22" s="73">
        <f>_xlfn.IFNA(MATCH(N22,'Dist Factors'!$B$15:$B$431,0),0)</f>
        <v>78</v>
      </c>
      <c r="P22" s="20">
        <f ca="1">OFFSET('Dist Factors'!$B$15,$O22-1,P$14)*$L22+OFFSET('Dist Factors'!$B$15,$K22-1,P$14)*$H22</f>
        <v>2279749.0838851305</v>
      </c>
      <c r="R22" s="20">
        <f ca="1">OFFSET('Dist Factors'!$B$15,$O22-1,R$14)*$L22+OFFSET('Dist Factors'!$B$15,$K22-1,R$14)*$H22</f>
        <v>436035.20631459646</v>
      </c>
      <c r="S22" s="20"/>
      <c r="T22" s="20">
        <f ca="1">OFFSET('Dist Factors'!$B$15,$O22-1,T$14)*$L22+OFFSET('Dist Factors'!$B$15,$K22-1,T$14)*$H22</f>
        <v>2312680.4573274991</v>
      </c>
      <c r="U22" s="20"/>
      <c r="V22" s="20">
        <f ca="1">OFFSET('Dist Factors'!$B$15,$O22-1,V$14)*$L22+OFFSET('Dist Factors'!$B$15,$K22-1,V$14)*$H22</f>
        <v>0</v>
      </c>
      <c r="W22" s="9"/>
      <c r="X22" s="20">
        <f ca="1">OFFSET('Dist Factors'!$B$15,$O22-1,X$14)*$L22+OFFSET('Dist Factors'!$B$15,$K22-1,X$14)*$H22</f>
        <v>3760416.0401722705</v>
      </c>
      <c r="Y22" s="9"/>
      <c r="Z22" s="20">
        <f ca="1">OFFSET('Dist Factors'!$B$15,$O22-1,Z$14)*$L22+OFFSET('Dist Factors'!$B$15,$K22-1,Z$14)*$H22</f>
        <v>0</v>
      </c>
      <c r="AA22" s="20"/>
      <c r="AB22" s="20">
        <f ca="1">OFFSET('Dist Factors'!$B$15,$O22-1,AB$14)*$L22+OFFSET('Dist Factors'!$B$15,$K22-1,AB$14)*$H22</f>
        <v>0</v>
      </c>
      <c r="AC22" s="9"/>
      <c r="AD22" s="20">
        <f ca="1">OFFSET('Dist Factors'!$B$15,$O22-1,AD$14)*$L22+OFFSET('Dist Factors'!$B$15,$K22-1,AD$14)*$H22</f>
        <v>0</v>
      </c>
      <c r="AE22" s="9"/>
      <c r="AF22" s="20">
        <f ca="1">OFFSET('Dist Factors'!$B$15,$O22-1,AF$14)*$L22+OFFSET('Dist Factors'!$B$15,$K22-1,AF$14)*$H22</f>
        <v>0</v>
      </c>
      <c r="AG22" s="9"/>
      <c r="AH22" s="20">
        <f ca="1">OFFSET('Dist Factors'!$B$15,$O22-1,AH$14)*$L22+OFFSET('Dist Factors'!$B$15,$K22-1,AH$14)*$H22</f>
        <v>0</v>
      </c>
      <c r="AI22" s="9"/>
      <c r="AJ22" s="9">
        <f t="shared" ca="1" si="1"/>
        <v>8788880.7876994964</v>
      </c>
      <c r="AL22" s="25" t="str">
        <f t="shared" ca="1" si="12"/>
        <v/>
      </c>
      <c r="AM22" s="51"/>
      <c r="AO22" s="93">
        <v>191589.69324271625</v>
      </c>
      <c r="AR22" s="50">
        <f t="shared" ca="1" si="2"/>
        <v>49696.478789791676</v>
      </c>
      <c r="AT22" s="50">
        <f t="shared" ca="1" si="3"/>
        <v>9505.1751683509538</v>
      </c>
      <c r="AV22" s="50">
        <f t="shared" ca="1" si="4"/>
        <v>50414.353100331296</v>
      </c>
      <c r="AX22" s="50">
        <f t="shared" ca="1" si="5"/>
        <v>0</v>
      </c>
      <c r="AZ22" s="50">
        <f t="shared" ca="1" si="6"/>
        <v>81973.686184242324</v>
      </c>
      <c r="BB22" s="50">
        <f t="shared" ca="1" si="7"/>
        <v>0</v>
      </c>
      <c r="BD22" s="50">
        <f t="shared" ca="1" si="8"/>
        <v>0</v>
      </c>
      <c r="BF22" s="50">
        <f t="shared" ca="1" si="9"/>
        <v>0</v>
      </c>
      <c r="BH22" s="50">
        <f t="shared" ca="1" si="10"/>
        <v>0</v>
      </c>
      <c r="BJ22" s="50">
        <f t="shared" ca="1" si="11"/>
        <v>0</v>
      </c>
      <c r="BL22" s="50">
        <f t="shared" ca="1" si="13"/>
        <v>191589.69324271625</v>
      </c>
    </row>
    <row r="23" spans="2:64" x14ac:dyDescent="0.2">
      <c r="B23" s="18">
        <f t="shared" si="14"/>
        <v>6</v>
      </c>
      <c r="D23" s="1" t="s">
        <v>25</v>
      </c>
      <c r="F23" s="50">
        <f ca="1">Function!V23</f>
        <v>37552.240402498595</v>
      </c>
      <c r="H23" s="50"/>
      <c r="K23" s="73">
        <f>_xlfn.IFNA(MATCH(J23,'Dist Factors'!$B$15:$B$431,0),0)</f>
        <v>0</v>
      </c>
      <c r="L23" s="50">
        <f t="shared" ca="1" si="15"/>
        <v>37552.240402498595</v>
      </c>
      <c r="N23" s="18" t="s">
        <v>241</v>
      </c>
      <c r="O23" s="73">
        <f>_xlfn.IFNA(MATCH(N23,'Dist Factors'!$B$15:$B$431,0),0)</f>
        <v>15</v>
      </c>
      <c r="P23" s="20">
        <f ca="1">OFFSET('Dist Factors'!$B$15,$O23-1,P$14)*$L23+OFFSET('Dist Factors'!$B$15,$K23-1,P$14)*$H23</f>
        <v>0</v>
      </c>
      <c r="R23" s="20">
        <f ca="1">OFFSET('Dist Factors'!$B$15,$O23-1,R$14)*$L23+OFFSET('Dist Factors'!$B$15,$K23-1,R$14)*$H23</f>
        <v>0</v>
      </c>
      <c r="S23" s="20"/>
      <c r="T23" s="20">
        <f ca="1">OFFSET('Dist Factors'!$B$15,$O23-1,T$14)*$L23+OFFSET('Dist Factors'!$B$15,$K23-1,T$14)*$H23</f>
        <v>0</v>
      </c>
      <c r="U23" s="20"/>
      <c r="V23" s="20">
        <f ca="1">OFFSET('Dist Factors'!$B$15,$O23-1,V$14)*$L23+OFFSET('Dist Factors'!$B$15,$K23-1,V$14)*$H23</f>
        <v>0</v>
      </c>
      <c r="W23" s="9"/>
      <c r="X23" s="20">
        <f ca="1">OFFSET('Dist Factors'!$B$15,$O23-1,X$14)*$L23+OFFSET('Dist Factors'!$B$15,$K23-1,X$14)*$H23</f>
        <v>0</v>
      </c>
      <c r="Y23" s="9"/>
      <c r="Z23" s="20">
        <f ca="1">OFFSET('Dist Factors'!$B$15,$O23-1,Z$14)*$L23+OFFSET('Dist Factors'!$B$15,$K23-1,Z$14)*$H23</f>
        <v>0</v>
      </c>
      <c r="AA23" s="20"/>
      <c r="AB23" s="20">
        <f ca="1">OFFSET('Dist Factors'!$B$15,$O23-1,AB$14)*$L23+OFFSET('Dist Factors'!$B$15,$K23-1,AB$14)*$H23</f>
        <v>0</v>
      </c>
      <c r="AC23" s="9"/>
      <c r="AD23" s="20">
        <f ca="1">OFFSET('Dist Factors'!$B$15,$O23-1,AD$14)*$L23+OFFSET('Dist Factors'!$B$15,$K23-1,AD$14)*$H23</f>
        <v>37552.240402498595</v>
      </c>
      <c r="AE23" s="9"/>
      <c r="AF23" s="20">
        <f ca="1">OFFSET('Dist Factors'!$B$15,$O23-1,AF$14)*$L23+OFFSET('Dist Factors'!$B$15,$K23-1,AF$14)*$H23</f>
        <v>0</v>
      </c>
      <c r="AG23" s="9"/>
      <c r="AH23" s="20">
        <f ca="1">OFFSET('Dist Factors'!$B$15,$O23-1,AH$14)*$L23+OFFSET('Dist Factors'!$B$15,$K23-1,AH$14)*$H23</f>
        <v>0</v>
      </c>
      <c r="AI23" s="9"/>
      <c r="AJ23" s="9">
        <f t="shared" ca="1" si="1"/>
        <v>37552.240402498595</v>
      </c>
      <c r="AL23" s="25" t="str">
        <f t="shared" ca="1" si="12"/>
        <v/>
      </c>
      <c r="AM23" s="51"/>
      <c r="AO23" s="93">
        <v>1241.6290117452595</v>
      </c>
      <c r="AR23" s="50">
        <f t="shared" ca="1" si="2"/>
        <v>0</v>
      </c>
      <c r="AT23" s="50">
        <f t="shared" ca="1" si="3"/>
        <v>0</v>
      </c>
      <c r="AV23" s="50">
        <f t="shared" ca="1" si="4"/>
        <v>0</v>
      </c>
      <c r="AX23" s="50">
        <f t="shared" ca="1" si="5"/>
        <v>0</v>
      </c>
      <c r="AZ23" s="50">
        <f t="shared" ca="1" si="6"/>
        <v>0</v>
      </c>
      <c r="BB23" s="50">
        <f t="shared" ca="1" si="7"/>
        <v>0</v>
      </c>
      <c r="BD23" s="50">
        <f t="shared" ca="1" si="8"/>
        <v>0</v>
      </c>
      <c r="BF23" s="50">
        <f t="shared" ca="1" si="9"/>
        <v>1241.6290117452595</v>
      </c>
      <c r="BH23" s="50">
        <f t="shared" ca="1" si="10"/>
        <v>0</v>
      </c>
      <c r="BJ23" s="50">
        <f t="shared" ca="1" si="11"/>
        <v>0</v>
      </c>
      <c r="BL23" s="50">
        <f t="shared" ca="1" si="13"/>
        <v>1241.6290117452595</v>
      </c>
    </row>
    <row r="24" spans="2:64" x14ac:dyDescent="0.2">
      <c r="B24" s="18">
        <f t="shared" si="14"/>
        <v>7</v>
      </c>
      <c r="D24" s="1" t="s">
        <v>27</v>
      </c>
      <c r="F24" s="50">
        <f ca="1">Function!V24</f>
        <v>0</v>
      </c>
      <c r="H24" s="50"/>
      <c r="K24" s="73">
        <f>_xlfn.IFNA(MATCH(J24,'Dist Factors'!$B$15:$B$431,0),0)</f>
        <v>0</v>
      </c>
      <c r="L24" s="50">
        <f t="shared" ca="1" si="15"/>
        <v>0</v>
      </c>
      <c r="O24" s="73">
        <f>_xlfn.IFNA(MATCH(N24,'Dist Factors'!$B$15:$B$431,0),0)</f>
        <v>0</v>
      </c>
      <c r="P24" s="20">
        <f ca="1">OFFSET('Dist Factors'!$B$15,$O24-1,P$14)*$L24+OFFSET('Dist Factors'!$B$15,$K24-1,P$14)*$H24</f>
        <v>0</v>
      </c>
      <c r="R24" s="20">
        <f ca="1">OFFSET('Dist Factors'!$B$15,$O24-1,R$14)*$L24+OFFSET('Dist Factors'!$B$15,$K24-1,R$14)*$H24</f>
        <v>0</v>
      </c>
      <c r="S24" s="20"/>
      <c r="T24" s="20">
        <f ca="1">OFFSET('Dist Factors'!$B$15,$O24-1,T$14)*$L24+OFFSET('Dist Factors'!$B$15,$K24-1,T$14)*$H24</f>
        <v>0</v>
      </c>
      <c r="U24" s="20"/>
      <c r="V24" s="20">
        <f ca="1">OFFSET('Dist Factors'!$B$15,$O24-1,V$14)*$L24+OFFSET('Dist Factors'!$B$15,$K24-1,V$14)*$H24</f>
        <v>0</v>
      </c>
      <c r="W24" s="9"/>
      <c r="X24" s="20">
        <f ca="1">OFFSET('Dist Factors'!$B$15,$O24-1,X$14)*$L24+OFFSET('Dist Factors'!$B$15,$K24-1,X$14)*$H24</f>
        <v>0</v>
      </c>
      <c r="Y24" s="9"/>
      <c r="Z24" s="20">
        <f ca="1">OFFSET('Dist Factors'!$B$15,$O24-1,Z$14)*$L24+OFFSET('Dist Factors'!$B$15,$K24-1,Z$14)*$H24</f>
        <v>0</v>
      </c>
      <c r="AA24" s="20"/>
      <c r="AB24" s="20">
        <f ca="1">OFFSET('Dist Factors'!$B$15,$O24-1,AB$14)*$L24+OFFSET('Dist Factors'!$B$15,$K24-1,AB$14)*$H24</f>
        <v>0</v>
      </c>
      <c r="AC24" s="9"/>
      <c r="AD24" s="20">
        <f ca="1">OFFSET('Dist Factors'!$B$15,$O24-1,AD$14)*$L24+OFFSET('Dist Factors'!$B$15,$K24-1,AD$14)*$H24</f>
        <v>0</v>
      </c>
      <c r="AE24" s="9"/>
      <c r="AF24" s="20">
        <f ca="1">OFFSET('Dist Factors'!$B$15,$O24-1,AF$14)*$L24+OFFSET('Dist Factors'!$B$15,$K24-1,AF$14)*$H24</f>
        <v>0</v>
      </c>
      <c r="AG24" s="9"/>
      <c r="AH24" s="20">
        <f ca="1">OFFSET('Dist Factors'!$B$15,$O24-1,AH$14)*$L24+OFFSET('Dist Factors'!$B$15,$K24-1,AH$14)*$H24</f>
        <v>0</v>
      </c>
      <c r="AI24" s="9"/>
      <c r="AJ24" s="9">
        <f t="shared" ca="1" si="1"/>
        <v>0</v>
      </c>
      <c r="AL24" s="25" t="str">
        <f t="shared" ca="1" si="12"/>
        <v/>
      </c>
      <c r="AM24" s="51"/>
      <c r="AO24" s="93"/>
      <c r="AR24" s="50" t="str">
        <f t="shared" ca="1" si="2"/>
        <v/>
      </c>
      <c r="AT24" s="50" t="str">
        <f t="shared" ca="1" si="3"/>
        <v/>
      </c>
      <c r="AV24" s="50" t="str">
        <f t="shared" ca="1" si="4"/>
        <v/>
      </c>
      <c r="AX24" s="50" t="str">
        <f t="shared" ca="1" si="5"/>
        <v/>
      </c>
      <c r="AZ24" s="50" t="str">
        <f t="shared" ca="1" si="6"/>
        <v/>
      </c>
      <c r="BB24" s="50" t="str">
        <f t="shared" ca="1" si="7"/>
        <v/>
      </c>
      <c r="BD24" s="50" t="str">
        <f t="shared" ca="1" si="8"/>
        <v/>
      </c>
      <c r="BF24" s="50" t="str">
        <f t="shared" ca="1" si="9"/>
        <v/>
      </c>
      <c r="BH24" s="50" t="str">
        <f t="shared" ca="1" si="10"/>
        <v/>
      </c>
      <c r="BJ24" s="50" t="str">
        <f t="shared" ca="1" si="11"/>
        <v/>
      </c>
      <c r="BL24" s="50">
        <f t="shared" ca="1" si="13"/>
        <v>0</v>
      </c>
    </row>
    <row r="25" spans="2:64" x14ac:dyDescent="0.2">
      <c r="B25" s="18">
        <f t="shared" si="14"/>
        <v>8</v>
      </c>
      <c r="D25" s="1" t="s">
        <v>29</v>
      </c>
      <c r="F25" s="50">
        <f ca="1">Function!V25</f>
        <v>0</v>
      </c>
      <c r="H25" s="50"/>
      <c r="K25" s="73">
        <f>_xlfn.IFNA(MATCH(J25,'Dist Factors'!$B$15:$B$431,0),0)</f>
        <v>0</v>
      </c>
      <c r="L25" s="50">
        <f t="shared" ca="1" si="15"/>
        <v>0</v>
      </c>
      <c r="O25" s="73">
        <f>_xlfn.IFNA(MATCH(N25,'Dist Factors'!$B$15:$B$431,0),0)</f>
        <v>0</v>
      </c>
      <c r="P25" s="20">
        <f ca="1">OFFSET('Dist Factors'!$B$15,$O25-1,P$14)*$L25+OFFSET('Dist Factors'!$B$15,$K25-1,P$14)*$H25</f>
        <v>0</v>
      </c>
      <c r="R25" s="20">
        <f ca="1">OFFSET('Dist Factors'!$B$15,$O25-1,R$14)*$L25+OFFSET('Dist Factors'!$B$15,$K25-1,R$14)*$H25</f>
        <v>0</v>
      </c>
      <c r="S25" s="20"/>
      <c r="T25" s="20">
        <f ca="1">OFFSET('Dist Factors'!$B$15,$O25-1,T$14)*$L25+OFFSET('Dist Factors'!$B$15,$K25-1,T$14)*$H25</f>
        <v>0</v>
      </c>
      <c r="U25" s="20"/>
      <c r="V25" s="20">
        <f ca="1">OFFSET('Dist Factors'!$B$15,$O25-1,V$14)*$L25+OFFSET('Dist Factors'!$B$15,$K25-1,V$14)*$H25</f>
        <v>0</v>
      </c>
      <c r="W25" s="9"/>
      <c r="X25" s="20">
        <f ca="1">OFFSET('Dist Factors'!$B$15,$O25-1,X$14)*$L25+OFFSET('Dist Factors'!$B$15,$K25-1,X$14)*$H25</f>
        <v>0</v>
      </c>
      <c r="Y25" s="9"/>
      <c r="Z25" s="20">
        <f ca="1">OFFSET('Dist Factors'!$B$15,$O25-1,Z$14)*$L25+OFFSET('Dist Factors'!$B$15,$K25-1,Z$14)*$H25</f>
        <v>0</v>
      </c>
      <c r="AA25" s="20"/>
      <c r="AB25" s="20">
        <f ca="1">OFFSET('Dist Factors'!$B$15,$O25-1,AB$14)*$L25+OFFSET('Dist Factors'!$B$15,$K25-1,AB$14)*$H25</f>
        <v>0</v>
      </c>
      <c r="AC25" s="9"/>
      <c r="AD25" s="20">
        <f ca="1">OFFSET('Dist Factors'!$B$15,$O25-1,AD$14)*$L25+OFFSET('Dist Factors'!$B$15,$K25-1,AD$14)*$H25</f>
        <v>0</v>
      </c>
      <c r="AE25" s="9"/>
      <c r="AF25" s="20">
        <f ca="1">OFFSET('Dist Factors'!$B$15,$O25-1,AF$14)*$L25+OFFSET('Dist Factors'!$B$15,$K25-1,AF$14)*$H25</f>
        <v>0</v>
      </c>
      <c r="AG25" s="9"/>
      <c r="AH25" s="20">
        <f ca="1">OFFSET('Dist Factors'!$B$15,$O25-1,AH$14)*$L25+OFFSET('Dist Factors'!$B$15,$K25-1,AH$14)*$H25</f>
        <v>0</v>
      </c>
      <c r="AI25" s="9"/>
      <c r="AJ25" s="9">
        <f t="shared" ca="1" si="1"/>
        <v>0</v>
      </c>
      <c r="AL25" s="25" t="str">
        <f t="shared" ca="1" si="12"/>
        <v/>
      </c>
      <c r="AM25" s="51"/>
      <c r="AO25" s="93"/>
      <c r="AR25" s="50" t="str">
        <f t="shared" ca="1" si="2"/>
        <v/>
      </c>
      <c r="AT25" s="50" t="str">
        <f t="shared" ca="1" si="3"/>
        <v/>
      </c>
      <c r="AV25" s="50" t="str">
        <f t="shared" ca="1" si="4"/>
        <v/>
      </c>
      <c r="AX25" s="50" t="str">
        <f t="shared" ca="1" si="5"/>
        <v/>
      </c>
      <c r="AZ25" s="50" t="str">
        <f t="shared" ca="1" si="6"/>
        <v/>
      </c>
      <c r="BB25" s="50" t="str">
        <f t="shared" ca="1" si="7"/>
        <v/>
      </c>
      <c r="BD25" s="50" t="str">
        <f t="shared" ca="1" si="8"/>
        <v/>
      </c>
      <c r="BF25" s="50" t="str">
        <f t="shared" ca="1" si="9"/>
        <v/>
      </c>
      <c r="BH25" s="50" t="str">
        <f t="shared" ca="1" si="10"/>
        <v/>
      </c>
      <c r="BJ25" s="50" t="str">
        <f t="shared" ca="1" si="11"/>
        <v/>
      </c>
      <c r="BL25" s="50">
        <f t="shared" ca="1" si="13"/>
        <v>0</v>
      </c>
    </row>
    <row r="26" spans="2:64" x14ac:dyDescent="0.2">
      <c r="B26" s="18">
        <f t="shared" si="14"/>
        <v>9</v>
      </c>
      <c r="D26" s="1" t="s">
        <v>30</v>
      </c>
      <c r="F26" s="50">
        <f ca="1">Function!V26</f>
        <v>0</v>
      </c>
      <c r="H26" s="50"/>
      <c r="K26" s="73">
        <f>_xlfn.IFNA(MATCH(J26,'Dist Factors'!$B$15:$B$431,0),0)</f>
        <v>0</v>
      </c>
      <c r="L26" s="50">
        <f t="shared" ca="1" si="15"/>
        <v>0</v>
      </c>
      <c r="O26" s="73">
        <f>_xlfn.IFNA(MATCH(N26,'Dist Factors'!$B$15:$B$431,0),0)</f>
        <v>0</v>
      </c>
      <c r="P26" s="20">
        <f ca="1">OFFSET('Dist Factors'!$B$15,$O26-1,P$14)*$L26+OFFSET('Dist Factors'!$B$15,$K26-1,P$14)*$H26</f>
        <v>0</v>
      </c>
      <c r="R26" s="20">
        <f ca="1">OFFSET('Dist Factors'!$B$15,$O26-1,R$14)*$L26+OFFSET('Dist Factors'!$B$15,$K26-1,R$14)*$H26</f>
        <v>0</v>
      </c>
      <c r="S26" s="20"/>
      <c r="T26" s="20">
        <f ca="1">OFFSET('Dist Factors'!$B$15,$O26-1,T$14)*$L26+OFFSET('Dist Factors'!$B$15,$K26-1,T$14)*$H26</f>
        <v>0</v>
      </c>
      <c r="U26" s="20"/>
      <c r="V26" s="20">
        <f ca="1">OFFSET('Dist Factors'!$B$15,$O26-1,V$14)*$L26+OFFSET('Dist Factors'!$B$15,$K26-1,V$14)*$H26</f>
        <v>0</v>
      </c>
      <c r="W26" s="9"/>
      <c r="X26" s="20">
        <f ca="1">OFFSET('Dist Factors'!$B$15,$O26-1,X$14)*$L26+OFFSET('Dist Factors'!$B$15,$K26-1,X$14)*$H26</f>
        <v>0</v>
      </c>
      <c r="Y26" s="9"/>
      <c r="Z26" s="20">
        <f ca="1">OFFSET('Dist Factors'!$B$15,$O26-1,Z$14)*$L26+OFFSET('Dist Factors'!$B$15,$K26-1,Z$14)*$H26</f>
        <v>0</v>
      </c>
      <c r="AA26" s="20"/>
      <c r="AB26" s="20">
        <f ca="1">OFFSET('Dist Factors'!$B$15,$O26-1,AB$14)*$L26+OFFSET('Dist Factors'!$B$15,$K26-1,AB$14)*$H26</f>
        <v>0</v>
      </c>
      <c r="AC26" s="9"/>
      <c r="AD26" s="20">
        <f ca="1">OFFSET('Dist Factors'!$B$15,$O26-1,AD$14)*$L26+OFFSET('Dist Factors'!$B$15,$K26-1,AD$14)*$H26</f>
        <v>0</v>
      </c>
      <c r="AE26" s="9"/>
      <c r="AF26" s="20">
        <f ca="1">OFFSET('Dist Factors'!$B$15,$O26-1,AF$14)*$L26+OFFSET('Dist Factors'!$B$15,$K26-1,AF$14)*$H26</f>
        <v>0</v>
      </c>
      <c r="AG26" s="9"/>
      <c r="AH26" s="20">
        <f ca="1">OFFSET('Dist Factors'!$B$15,$O26-1,AH$14)*$L26+OFFSET('Dist Factors'!$B$15,$K26-1,AH$14)*$H26</f>
        <v>0</v>
      </c>
      <c r="AI26" s="9"/>
      <c r="AJ26" s="9">
        <f t="shared" ca="1" si="1"/>
        <v>0</v>
      </c>
      <c r="AL26" s="25" t="str">
        <f t="shared" ca="1" si="12"/>
        <v/>
      </c>
      <c r="AM26" s="51"/>
      <c r="AO26" s="93"/>
      <c r="AR26" s="50" t="str">
        <f t="shared" ca="1" si="2"/>
        <v/>
      </c>
      <c r="AT26" s="50" t="str">
        <f t="shared" ca="1" si="3"/>
        <v/>
      </c>
      <c r="AV26" s="50" t="str">
        <f t="shared" ca="1" si="4"/>
        <v/>
      </c>
      <c r="AX26" s="50" t="str">
        <f t="shared" ca="1" si="5"/>
        <v/>
      </c>
      <c r="AZ26" s="50" t="str">
        <f t="shared" ca="1" si="6"/>
        <v/>
      </c>
      <c r="BB26" s="50" t="str">
        <f t="shared" ca="1" si="7"/>
        <v/>
      </c>
      <c r="BD26" s="50" t="str">
        <f t="shared" ca="1" si="8"/>
        <v/>
      </c>
      <c r="BF26" s="50" t="str">
        <f t="shared" ca="1" si="9"/>
        <v/>
      </c>
      <c r="BH26" s="50" t="str">
        <f t="shared" ca="1" si="10"/>
        <v/>
      </c>
      <c r="BJ26" s="50" t="str">
        <f t="shared" ca="1" si="11"/>
        <v/>
      </c>
      <c r="BL26" s="50">
        <f t="shared" ca="1" si="13"/>
        <v>0</v>
      </c>
    </row>
    <row r="27" spans="2:64" x14ac:dyDescent="0.2">
      <c r="B27" s="18">
        <f t="shared" si="14"/>
        <v>10</v>
      </c>
      <c r="D27" s="1" t="s">
        <v>31</v>
      </c>
      <c r="F27" s="50">
        <f ca="1">Function!V27</f>
        <v>5648597.565263316</v>
      </c>
      <c r="H27" s="50"/>
      <c r="K27" s="73">
        <f>_xlfn.IFNA(MATCH(J27,'Dist Factors'!$B$15:$B$431,0),0)</f>
        <v>0</v>
      </c>
      <c r="L27" s="50">
        <f t="shared" ca="1" si="15"/>
        <v>5648597.565263316</v>
      </c>
      <c r="N27" s="18" t="s">
        <v>243</v>
      </c>
      <c r="O27" s="73">
        <f>_xlfn.IFNA(MATCH(N27,'Dist Factors'!$B$15:$B$431,0),0)</f>
        <v>9</v>
      </c>
      <c r="P27" s="20">
        <f ca="1">OFFSET('Dist Factors'!$B$15,$O27-1,P$14)*$L27+OFFSET('Dist Factors'!$B$15,$K27-1,P$14)*$H27</f>
        <v>0</v>
      </c>
      <c r="R27" s="20">
        <f ca="1">OFFSET('Dist Factors'!$B$15,$O27-1,R$14)*$L27+OFFSET('Dist Factors'!$B$15,$K27-1,R$14)*$H27</f>
        <v>0</v>
      </c>
      <c r="S27" s="20"/>
      <c r="T27" s="20">
        <f ca="1">OFFSET('Dist Factors'!$B$15,$O27-1,T$14)*$L27+OFFSET('Dist Factors'!$B$15,$K27-1,T$14)*$H27</f>
        <v>0</v>
      </c>
      <c r="U27" s="20"/>
      <c r="V27" s="20">
        <f ca="1">OFFSET('Dist Factors'!$B$15,$O27-1,V$14)*$L27+OFFSET('Dist Factors'!$B$15,$K27-1,V$14)*$H27</f>
        <v>0</v>
      </c>
      <c r="W27" s="9"/>
      <c r="X27" s="20">
        <f ca="1">OFFSET('Dist Factors'!$B$15,$O27-1,X$14)*$L27+OFFSET('Dist Factors'!$B$15,$K27-1,X$14)*$H27</f>
        <v>0</v>
      </c>
      <c r="Y27" s="9"/>
      <c r="Z27" s="20">
        <f ca="1">OFFSET('Dist Factors'!$B$15,$O27-1,Z$14)*$L27+OFFSET('Dist Factors'!$B$15,$K27-1,Z$14)*$H27</f>
        <v>5648597.565263316</v>
      </c>
      <c r="AA27" s="20"/>
      <c r="AB27" s="20">
        <f ca="1">OFFSET('Dist Factors'!$B$15,$O27-1,AB$14)*$L27+OFFSET('Dist Factors'!$B$15,$K27-1,AB$14)*$H27</f>
        <v>0</v>
      </c>
      <c r="AC27" s="9"/>
      <c r="AD27" s="20">
        <f ca="1">OFFSET('Dist Factors'!$B$15,$O27-1,AD$14)*$L27+OFFSET('Dist Factors'!$B$15,$K27-1,AD$14)*$H27</f>
        <v>0</v>
      </c>
      <c r="AE27" s="9"/>
      <c r="AF27" s="20">
        <f ca="1">OFFSET('Dist Factors'!$B$15,$O27-1,AF$14)*$L27+OFFSET('Dist Factors'!$B$15,$K27-1,AF$14)*$H27</f>
        <v>0</v>
      </c>
      <c r="AG27" s="9"/>
      <c r="AH27" s="20">
        <f ca="1">OFFSET('Dist Factors'!$B$15,$O27-1,AH$14)*$L27+OFFSET('Dist Factors'!$B$15,$K27-1,AH$14)*$H27</f>
        <v>0</v>
      </c>
      <c r="AI27" s="9"/>
      <c r="AJ27" s="9">
        <f t="shared" ca="1" si="1"/>
        <v>5648597.565263316</v>
      </c>
      <c r="AL27" s="25" t="str">
        <f t="shared" ca="1" si="12"/>
        <v/>
      </c>
      <c r="AM27" s="51"/>
      <c r="AO27" s="93">
        <v>167835.01764249537</v>
      </c>
      <c r="AR27" s="50">
        <f t="shared" ca="1" si="2"/>
        <v>0</v>
      </c>
      <c r="AT27" s="50">
        <f t="shared" ca="1" si="3"/>
        <v>0</v>
      </c>
      <c r="AV27" s="50">
        <f t="shared" ca="1" si="4"/>
        <v>0</v>
      </c>
      <c r="AX27" s="50">
        <f t="shared" ca="1" si="5"/>
        <v>0</v>
      </c>
      <c r="AZ27" s="50">
        <f t="shared" ca="1" si="6"/>
        <v>0</v>
      </c>
      <c r="BB27" s="50">
        <f t="shared" ca="1" si="7"/>
        <v>167835.01764249537</v>
      </c>
      <c r="BD27" s="50">
        <f t="shared" ca="1" si="8"/>
        <v>0</v>
      </c>
      <c r="BF27" s="50">
        <f t="shared" ca="1" si="9"/>
        <v>0</v>
      </c>
      <c r="BH27" s="50">
        <f t="shared" ca="1" si="10"/>
        <v>0</v>
      </c>
      <c r="BJ27" s="50">
        <f t="shared" ca="1" si="11"/>
        <v>0</v>
      </c>
      <c r="BL27" s="50">
        <f t="shared" ca="1" si="13"/>
        <v>167835.01764249537</v>
      </c>
    </row>
    <row r="28" spans="2:64" x14ac:dyDescent="0.2">
      <c r="B28" s="18">
        <f t="shared" si="14"/>
        <v>11</v>
      </c>
      <c r="D28" s="1" t="s">
        <v>293</v>
      </c>
      <c r="F28" s="50">
        <f ca="1">Function!V28</f>
        <v>1686509.739595745</v>
      </c>
      <c r="H28" s="50"/>
      <c r="K28" s="73">
        <f>_xlfn.IFNA(MATCH(J28,'Dist Factors'!$B$15:$B$431,0),0)</f>
        <v>0</v>
      </c>
      <c r="L28" s="50">
        <f t="shared" ca="1" si="15"/>
        <v>1686509.739595745</v>
      </c>
      <c r="N28" s="18" t="s">
        <v>240</v>
      </c>
      <c r="O28" s="73">
        <f>_xlfn.IFNA(MATCH(N28,'Dist Factors'!$B$15:$B$431,0),0)</f>
        <v>6</v>
      </c>
      <c r="P28" s="20">
        <f ca="1">OFFSET('Dist Factors'!$B$15,$O28-1,P$14)*$L28+OFFSET('Dist Factors'!$B$15,$K28-1,P$14)*$H28</f>
        <v>0</v>
      </c>
      <c r="R28" s="20">
        <f ca="1">OFFSET('Dist Factors'!$B$15,$O28-1,R$14)*$L28+OFFSET('Dist Factors'!$B$15,$K28-1,R$14)*$H28</f>
        <v>0</v>
      </c>
      <c r="S28" s="20"/>
      <c r="T28" s="20">
        <f ca="1">OFFSET('Dist Factors'!$B$15,$O28-1,T$14)*$L28+OFFSET('Dist Factors'!$B$15,$K28-1,T$14)*$H28</f>
        <v>0</v>
      </c>
      <c r="U28" s="20"/>
      <c r="V28" s="20">
        <f ca="1">OFFSET('Dist Factors'!$B$15,$O28-1,V$14)*$L28+OFFSET('Dist Factors'!$B$15,$K28-1,V$14)*$H28</f>
        <v>0</v>
      </c>
      <c r="W28" s="9"/>
      <c r="X28" s="20">
        <f ca="1">OFFSET('Dist Factors'!$B$15,$O28-1,X$14)*$L28+OFFSET('Dist Factors'!$B$15,$K28-1,X$14)*$H28</f>
        <v>0</v>
      </c>
      <c r="Y28" s="9"/>
      <c r="Z28" s="20">
        <f ca="1">OFFSET('Dist Factors'!$B$15,$O28-1,Z$14)*$L28+OFFSET('Dist Factors'!$B$15,$K28-1,Z$14)*$H28</f>
        <v>0</v>
      </c>
      <c r="AA28" s="20"/>
      <c r="AB28" s="20">
        <f ca="1">OFFSET('Dist Factors'!$B$15,$O28-1,AB$14)*$L28+OFFSET('Dist Factors'!$B$15,$K28-1,AB$14)*$H28</f>
        <v>1686509.739595745</v>
      </c>
      <c r="AC28" s="9"/>
      <c r="AD28" s="20">
        <f ca="1">OFFSET('Dist Factors'!$B$15,$O28-1,AD$14)*$L28+OFFSET('Dist Factors'!$B$15,$K28-1,AD$14)*$H28</f>
        <v>0</v>
      </c>
      <c r="AE28" s="9"/>
      <c r="AF28" s="20">
        <f ca="1">OFFSET('Dist Factors'!$B$15,$O28-1,AF$14)*$L28+OFFSET('Dist Factors'!$B$15,$K28-1,AF$14)*$H28</f>
        <v>0</v>
      </c>
      <c r="AG28" s="9"/>
      <c r="AH28" s="20">
        <f ca="1">OFFSET('Dist Factors'!$B$15,$O28-1,AH$14)*$L28+OFFSET('Dist Factors'!$B$15,$K28-1,AH$14)*$H28</f>
        <v>0</v>
      </c>
      <c r="AI28" s="9"/>
      <c r="AJ28" s="9">
        <f t="shared" ca="1" si="1"/>
        <v>1686509.739595745</v>
      </c>
      <c r="AL28" s="25" t="str">
        <f t="shared" ca="1" si="12"/>
        <v/>
      </c>
      <c r="AM28" s="51"/>
      <c r="AO28" s="93">
        <v>150968.24809454841</v>
      </c>
      <c r="AR28" s="50">
        <f t="shared" ca="1" si="2"/>
        <v>0</v>
      </c>
      <c r="AT28" s="50">
        <f t="shared" ca="1" si="3"/>
        <v>0</v>
      </c>
      <c r="AV28" s="50">
        <f t="shared" ca="1" si="4"/>
        <v>0</v>
      </c>
      <c r="AX28" s="50">
        <f t="shared" ca="1" si="5"/>
        <v>0</v>
      </c>
      <c r="AZ28" s="50">
        <f t="shared" ca="1" si="6"/>
        <v>0</v>
      </c>
      <c r="BB28" s="50">
        <f t="shared" ca="1" si="7"/>
        <v>0</v>
      </c>
      <c r="BD28" s="50">
        <f t="shared" ca="1" si="8"/>
        <v>150968.24809454841</v>
      </c>
      <c r="BF28" s="50">
        <f t="shared" ca="1" si="9"/>
        <v>0</v>
      </c>
      <c r="BH28" s="50">
        <f t="shared" ca="1" si="10"/>
        <v>0</v>
      </c>
      <c r="BJ28" s="50">
        <f t="shared" ca="1" si="11"/>
        <v>0</v>
      </c>
      <c r="BL28" s="50">
        <f t="shared" ca="1" si="13"/>
        <v>150968.24809454841</v>
      </c>
    </row>
    <row r="29" spans="2:64" x14ac:dyDescent="0.2">
      <c r="B29" s="18">
        <f>B28+1</f>
        <v>12</v>
      </c>
      <c r="D29" s="1" t="s">
        <v>34</v>
      </c>
      <c r="F29" s="50">
        <f ca="1">Function!V29</f>
        <v>421046.57844368438</v>
      </c>
      <c r="H29" s="50"/>
      <c r="K29" s="73">
        <f>_xlfn.IFNA(MATCH(J29,'Dist Factors'!$B$15:$B$431,0),0)</f>
        <v>0</v>
      </c>
      <c r="L29" s="50">
        <f t="shared" ca="1" si="15"/>
        <v>421046.57844368438</v>
      </c>
      <c r="N29" s="18" t="s">
        <v>241</v>
      </c>
      <c r="O29" s="73">
        <f>_xlfn.IFNA(MATCH(N29,'Dist Factors'!$B$15:$B$431,0),0)</f>
        <v>15</v>
      </c>
      <c r="P29" s="20">
        <f ca="1">OFFSET('Dist Factors'!$B$15,$O29-1,P$14)*$L29+OFFSET('Dist Factors'!$B$15,$K29-1,P$14)*$H29</f>
        <v>0</v>
      </c>
      <c r="R29" s="20">
        <f ca="1">OFFSET('Dist Factors'!$B$15,$O29-1,R$14)*$L29+OFFSET('Dist Factors'!$B$15,$K29-1,R$14)*$H29</f>
        <v>0</v>
      </c>
      <c r="S29" s="20"/>
      <c r="T29" s="20">
        <f ca="1">OFFSET('Dist Factors'!$B$15,$O29-1,T$14)*$L29+OFFSET('Dist Factors'!$B$15,$K29-1,T$14)*$H29</f>
        <v>0</v>
      </c>
      <c r="U29" s="20"/>
      <c r="V29" s="20">
        <f ca="1">OFFSET('Dist Factors'!$B$15,$O29-1,V$14)*$L29+OFFSET('Dist Factors'!$B$15,$K29-1,V$14)*$H29</f>
        <v>0</v>
      </c>
      <c r="W29" s="9"/>
      <c r="X29" s="20">
        <f ca="1">OFFSET('Dist Factors'!$B$15,$O29-1,X$14)*$L29+OFFSET('Dist Factors'!$B$15,$K29-1,X$14)*$H29</f>
        <v>0</v>
      </c>
      <c r="Y29" s="9"/>
      <c r="Z29" s="20">
        <f ca="1">OFFSET('Dist Factors'!$B$15,$O29-1,Z$14)*$L29+OFFSET('Dist Factors'!$B$15,$K29-1,Z$14)*$H29</f>
        <v>0</v>
      </c>
      <c r="AA29" s="20"/>
      <c r="AB29" s="20">
        <f ca="1">OFFSET('Dist Factors'!$B$15,$O29-1,AB$14)*$L29+OFFSET('Dist Factors'!$B$15,$K29-1,AB$14)*$H29</f>
        <v>0</v>
      </c>
      <c r="AC29" s="9"/>
      <c r="AD29" s="20">
        <f ca="1">OFFSET('Dist Factors'!$B$15,$O29-1,AD$14)*$L29+OFFSET('Dist Factors'!$B$15,$K29-1,AD$14)*$H29</f>
        <v>421046.57844368438</v>
      </c>
      <c r="AE29" s="9"/>
      <c r="AF29" s="20">
        <f ca="1">OFFSET('Dist Factors'!$B$15,$O29-1,AF$14)*$L29+OFFSET('Dist Factors'!$B$15,$K29-1,AF$14)*$H29</f>
        <v>0</v>
      </c>
      <c r="AG29" s="9"/>
      <c r="AH29" s="20">
        <f ca="1">OFFSET('Dist Factors'!$B$15,$O29-1,AH$14)*$L29+OFFSET('Dist Factors'!$B$15,$K29-1,AH$14)*$H29</f>
        <v>0</v>
      </c>
      <c r="AI29" s="9"/>
      <c r="AJ29" s="9">
        <f t="shared" ca="1" si="1"/>
        <v>421046.57844368438</v>
      </c>
      <c r="AL29" s="25" t="str">
        <f t="shared" ca="1" si="12"/>
        <v/>
      </c>
      <c r="AM29" s="51"/>
      <c r="AO29" s="93">
        <v>12241.007694016862</v>
      </c>
      <c r="AR29" s="50">
        <f t="shared" ca="1" si="2"/>
        <v>0</v>
      </c>
      <c r="AT29" s="50">
        <f t="shared" ca="1" si="3"/>
        <v>0</v>
      </c>
      <c r="AV29" s="50">
        <f t="shared" ca="1" si="4"/>
        <v>0</v>
      </c>
      <c r="AX29" s="50">
        <f t="shared" ca="1" si="5"/>
        <v>0</v>
      </c>
      <c r="AZ29" s="50">
        <f t="shared" ca="1" si="6"/>
        <v>0</v>
      </c>
      <c r="BB29" s="50">
        <f t="shared" ca="1" si="7"/>
        <v>0</v>
      </c>
      <c r="BD29" s="50">
        <f t="shared" ca="1" si="8"/>
        <v>0</v>
      </c>
      <c r="BF29" s="50">
        <f t="shared" ca="1" si="9"/>
        <v>12241.007694016862</v>
      </c>
      <c r="BH29" s="50">
        <f t="shared" ca="1" si="10"/>
        <v>0</v>
      </c>
      <c r="BJ29" s="50">
        <f t="shared" ca="1" si="11"/>
        <v>0</v>
      </c>
      <c r="BL29" s="50">
        <f t="shared" ca="1" si="13"/>
        <v>12241.007694016862</v>
      </c>
    </row>
    <row r="30" spans="2:64" x14ac:dyDescent="0.2">
      <c r="B30" s="18">
        <f>B29+1</f>
        <v>13</v>
      </c>
      <c r="D30" s="1" t="s">
        <v>77</v>
      </c>
      <c r="F30" s="50">
        <f ca="1">Function!V30</f>
        <v>2387.408565560464</v>
      </c>
      <c r="H30" s="50"/>
      <c r="K30" s="73">
        <f>_xlfn.IFNA(MATCH(J30,'Dist Factors'!$B$15:$B$431,0),0)</f>
        <v>0</v>
      </c>
      <c r="L30" s="50">
        <f t="shared" ca="1" si="15"/>
        <v>2387.408565560464</v>
      </c>
      <c r="N30" s="18" t="s">
        <v>534</v>
      </c>
      <c r="O30" s="73">
        <f>_xlfn.IFNA(MATCH(N30,'Dist Factors'!$B$15:$B$431,0),0)</f>
        <v>33</v>
      </c>
      <c r="P30" s="20">
        <f ca="1">OFFSET('Dist Factors'!$B$15,$O30-1,P$14)*$L30+OFFSET('Dist Factors'!$B$15,$K30-1,P$14)*$H30</f>
        <v>1798.6302208240656</v>
      </c>
      <c r="R30" s="20">
        <f ca="1">OFFSET('Dist Factors'!$B$15,$O30-1,R$14)*$L30+OFFSET('Dist Factors'!$B$15,$K30-1,R$14)*$H30</f>
        <v>344.01421847888179</v>
      </c>
      <c r="S30" s="20"/>
      <c r="T30" s="20">
        <f ca="1">OFFSET('Dist Factors'!$B$15,$O30-1,T$14)*$L30+OFFSET('Dist Factors'!$B$15,$K30-1,T$14)*$H30</f>
        <v>244.76412625751695</v>
      </c>
      <c r="U30" s="20"/>
      <c r="V30" s="20">
        <f ca="1">OFFSET('Dist Factors'!$B$15,$O30-1,V$14)*$L30+OFFSET('Dist Factors'!$B$15,$K30-1,V$14)*$H30</f>
        <v>0</v>
      </c>
      <c r="W30" s="9"/>
      <c r="X30" s="20">
        <f ca="1">OFFSET('Dist Factors'!$B$15,$O30-1,X$14)*$L30+OFFSET('Dist Factors'!$B$15,$K30-1,X$14)*$H30</f>
        <v>0</v>
      </c>
      <c r="Y30" s="9"/>
      <c r="Z30" s="20">
        <f ca="1">OFFSET('Dist Factors'!$B$15,$O30-1,Z$14)*$L30+OFFSET('Dist Factors'!$B$15,$K30-1,Z$14)*$H30</f>
        <v>0</v>
      </c>
      <c r="AA30" s="20"/>
      <c r="AB30" s="20">
        <f ca="1">OFFSET('Dist Factors'!$B$15,$O30-1,AB$14)*$L30+OFFSET('Dist Factors'!$B$15,$K30-1,AB$14)*$H30</f>
        <v>0</v>
      </c>
      <c r="AC30" s="9"/>
      <c r="AD30" s="20">
        <f ca="1">OFFSET('Dist Factors'!$B$15,$O30-1,AD$14)*$L30+OFFSET('Dist Factors'!$B$15,$K30-1,AD$14)*$H30</f>
        <v>0</v>
      </c>
      <c r="AE30" s="9"/>
      <c r="AF30" s="20">
        <f ca="1">OFFSET('Dist Factors'!$B$15,$O30-1,AF$14)*$L30+OFFSET('Dist Factors'!$B$15,$K30-1,AF$14)*$H30</f>
        <v>0</v>
      </c>
      <c r="AG30" s="9"/>
      <c r="AH30" s="20">
        <f ca="1">OFFSET('Dist Factors'!$B$15,$O30-1,AH$14)*$L30+OFFSET('Dist Factors'!$B$15,$K30-1,AH$14)*$H30</f>
        <v>0</v>
      </c>
      <c r="AI30" s="9"/>
      <c r="AJ30" s="9">
        <f t="shared" ca="1" si="1"/>
        <v>2387.4085655604645</v>
      </c>
      <c r="AL30" s="25" t="str">
        <f t="shared" ca="1" si="12"/>
        <v/>
      </c>
      <c r="AM30" s="51"/>
      <c r="AO30" s="93">
        <v>0</v>
      </c>
      <c r="AR30" s="50">
        <f t="shared" ca="1" si="2"/>
        <v>0</v>
      </c>
      <c r="AT30" s="50">
        <f t="shared" ca="1" si="3"/>
        <v>0</v>
      </c>
      <c r="AV30" s="50">
        <f t="shared" ca="1" si="4"/>
        <v>0</v>
      </c>
      <c r="AX30" s="50">
        <f t="shared" ca="1" si="5"/>
        <v>0</v>
      </c>
      <c r="AZ30" s="50">
        <f t="shared" ca="1" si="6"/>
        <v>0</v>
      </c>
      <c r="BB30" s="50">
        <f t="shared" ca="1" si="7"/>
        <v>0</v>
      </c>
      <c r="BD30" s="50">
        <f t="shared" ca="1" si="8"/>
        <v>0</v>
      </c>
      <c r="BF30" s="50">
        <f t="shared" ca="1" si="9"/>
        <v>0</v>
      </c>
      <c r="BH30" s="50">
        <f t="shared" ca="1" si="10"/>
        <v>0</v>
      </c>
      <c r="BJ30" s="50">
        <f t="shared" ca="1" si="11"/>
        <v>0</v>
      </c>
      <c r="BL30" s="50">
        <f t="shared" ca="1" si="13"/>
        <v>0</v>
      </c>
    </row>
    <row r="31" spans="2:64" x14ac:dyDescent="0.2">
      <c r="B31" s="18">
        <f t="shared" si="14"/>
        <v>14</v>
      </c>
      <c r="D31" s="1" t="s">
        <v>297</v>
      </c>
      <c r="F31" s="41">
        <f ca="1">SUM(F18:F30)</f>
        <v>18161286.05356691</v>
      </c>
      <c r="H31" s="41">
        <f>SUM(H18:H30)</f>
        <v>0</v>
      </c>
      <c r="K31" s="74"/>
      <c r="L31" s="41">
        <f ca="1">SUM(L18:L30)</f>
        <v>18161286.05356691</v>
      </c>
      <c r="P31" s="11">
        <f ca="1">SUM(P18:P30)</f>
        <v>2904037.833231715</v>
      </c>
      <c r="Q31" s="12"/>
      <c r="R31" s="11">
        <f ca="1">SUM(R18:R30)</f>
        <v>555439.51951090584</v>
      </c>
      <c r="S31" s="13"/>
      <c r="T31" s="11">
        <f ca="1">SUM(T18:T30)</f>
        <v>2944407.3190046954</v>
      </c>
      <c r="U31" s="13"/>
      <c r="V31" s="11">
        <f ca="1">SUM(V18:V30)</f>
        <v>0</v>
      </c>
      <c r="W31" s="13"/>
      <c r="X31" s="11">
        <f ca="1">SUM(X18:X30)</f>
        <v>3963695.2581143482</v>
      </c>
      <c r="Y31" s="13"/>
      <c r="Z31" s="11">
        <f ca="1">SUM(Z18:Z30)</f>
        <v>5648597.565263316</v>
      </c>
      <c r="AA31" s="13"/>
      <c r="AB31" s="11">
        <f ca="1">SUM(AB18:AB30)</f>
        <v>1686509.739595745</v>
      </c>
      <c r="AC31" s="13"/>
      <c r="AD31" s="11">
        <f ca="1">SUM(AD18:AD30)</f>
        <v>458598.81884618296</v>
      </c>
      <c r="AE31" s="13"/>
      <c r="AF31" s="11">
        <f ca="1">SUM(AF18:AF30)</f>
        <v>0</v>
      </c>
      <c r="AG31" s="13"/>
      <c r="AH31" s="11">
        <f ca="1">SUM(AH18:AH30)</f>
        <v>0</v>
      </c>
      <c r="AI31" s="13"/>
      <c r="AJ31" s="11">
        <f t="shared" ca="1" si="1"/>
        <v>18161286.05356691</v>
      </c>
      <c r="AK31" s="8"/>
      <c r="AL31" s="25" t="str">
        <f t="shared" ca="1" si="12"/>
        <v/>
      </c>
      <c r="AM31" s="51"/>
      <c r="AO31" s="81">
        <f>SUM(AO18:AO30)</f>
        <v>565624.78092949442</v>
      </c>
      <c r="AR31" s="81">
        <f ca="1">SUM(AR18:AR30)</f>
        <v>65998.109144076559</v>
      </c>
      <c r="AT31" s="81">
        <f ca="1">SUM(AT18:AT30)</f>
        <v>12623.099331602007</v>
      </c>
      <c r="AV31" s="81">
        <f ca="1">SUM(AV18:AV30)</f>
        <v>66951.463350500839</v>
      </c>
      <c r="AX31" s="81">
        <f ca="1">SUM(AX18:AX30)</f>
        <v>0</v>
      </c>
      <c r="AZ31" s="81">
        <f ca="1">SUM(AZ18:AZ30)</f>
        <v>87766.206660509022</v>
      </c>
      <c r="BB31" s="81">
        <f ca="1">SUM(BB18:BB30)</f>
        <v>167835.01764249537</v>
      </c>
      <c r="BD31" s="81">
        <f ca="1">SUM(BD18:BD30)</f>
        <v>150968.24809454841</v>
      </c>
      <c r="BF31" s="81">
        <f ca="1">SUM(BF18:BF30)</f>
        <v>13482.636705762121</v>
      </c>
      <c r="BH31" s="81">
        <f ca="1">SUM(BH18:BH30)</f>
        <v>0</v>
      </c>
      <c r="BJ31" s="81">
        <f ca="1">SUM(BJ18:BJ30)</f>
        <v>0</v>
      </c>
      <c r="BL31" s="81">
        <f ca="1">SUM(BL18:BL30)</f>
        <v>565624.78092949442</v>
      </c>
    </row>
    <row r="32" spans="2:64" x14ac:dyDescent="0.2">
      <c r="K32" s="74"/>
      <c r="AJ32" s="8"/>
      <c r="AL32" s="25" t="str">
        <f t="shared" si="12"/>
        <v/>
      </c>
      <c r="AM32" s="51"/>
    </row>
    <row r="33" spans="2:64" x14ac:dyDescent="0.2">
      <c r="B33" s="18">
        <f>B31+1</f>
        <v>15</v>
      </c>
      <c r="D33" s="1" t="s">
        <v>196</v>
      </c>
      <c r="F33" s="50">
        <f ca="1">Function!V33</f>
        <v>679229.182026239</v>
      </c>
      <c r="H33" s="50"/>
      <c r="K33" s="73">
        <f>_xlfn.IFNA(MATCH(J33,'Dist Factors'!$B$15:$B$431,0),0)</f>
        <v>0</v>
      </c>
      <c r="L33" s="50">
        <f t="shared" ref="L33" ca="1" si="16">F33-H33</f>
        <v>679229.182026239</v>
      </c>
      <c r="N33" s="18" t="s">
        <v>121</v>
      </c>
      <c r="O33" s="73">
        <f>_xlfn.IFNA(MATCH(N33,'Dist Factors'!$B$15:$B$431,0),0)</f>
        <v>27</v>
      </c>
      <c r="P33" s="20">
        <f ca="1">OFFSET('Dist Factors'!$B$15,$O33-1,P$14)*$L33+OFFSET('Dist Factors'!$B$15,$K33-1,P$14)*$H33</f>
        <v>89712.926291450422</v>
      </c>
      <c r="R33" s="20">
        <f ca="1">OFFSET('Dist Factors'!$B$15,$O33-1,R$14)*$L33+OFFSET('Dist Factors'!$B$15,$K33-1,R$14)*$H33</f>
        <v>17158.903407876005</v>
      </c>
      <c r="S33" s="20"/>
      <c r="T33" s="20">
        <f ca="1">OFFSET('Dist Factors'!$B$15,$O33-1,T$14)*$L33+OFFSET('Dist Factors'!$B$15,$K33-1,T$14)*$H33</f>
        <v>91008.845170942455</v>
      </c>
      <c r="U33" s="20"/>
      <c r="V33" s="20">
        <f ca="1">OFFSET('Dist Factors'!$B$15,$O33-1,V$14)*$L33+OFFSET('Dist Factors'!$B$15,$K33-1,V$14)*$H33</f>
        <v>27745.880803275781</v>
      </c>
      <c r="W33" s="9"/>
      <c r="X33" s="20">
        <f ca="1">OFFSET('Dist Factors'!$B$15,$O33-1,X$14)*$L33+OFFSET('Dist Factors'!$B$15,$K33-1,X$14)*$H33</f>
        <v>120035.97023118011</v>
      </c>
      <c r="Y33" s="9"/>
      <c r="Z33" s="20">
        <f ca="1">OFFSET('Dist Factors'!$B$15,$O33-1,Z$14)*$L33+OFFSET('Dist Factors'!$B$15,$K33-1,Z$14)*$H33</f>
        <v>165405.34043375903</v>
      </c>
      <c r="AA33" s="20"/>
      <c r="AB33" s="20">
        <f ca="1">OFFSET('Dist Factors'!$B$15,$O33-1,AB$14)*$L33+OFFSET('Dist Factors'!$B$15,$K33-1,AB$14)*$H33</f>
        <v>59613.482751113945</v>
      </c>
      <c r="AC33" s="9"/>
      <c r="AD33" s="20">
        <f ca="1">OFFSET('Dist Factors'!$B$15,$O33-1,AD$14)*$L33+OFFSET('Dist Factors'!$B$15,$K33-1,AD$14)*$H33</f>
        <v>14621.986908025916</v>
      </c>
      <c r="AE33" s="9"/>
      <c r="AF33" s="20">
        <f ca="1">OFFSET('Dist Factors'!$B$15,$O33-1,AF$14)*$L33+OFFSET('Dist Factors'!$B$15,$K33-1,AF$14)*$H33</f>
        <v>93925.846028615342</v>
      </c>
      <c r="AG33" s="9"/>
      <c r="AH33" s="20">
        <f ca="1">OFFSET('Dist Factors'!$B$15,$O33-1,AH$14)*$L33+OFFSET('Dist Factors'!$B$15,$K33-1,AH$14)*$H33</f>
        <v>-1.3031943624612084E-13</v>
      </c>
      <c r="AI33" s="9"/>
      <c r="AJ33" s="9">
        <f ca="1">SUM(P33:AI33)</f>
        <v>679229.182026239</v>
      </c>
      <c r="AL33" s="25" t="str">
        <f t="shared" ca="1" si="12"/>
        <v/>
      </c>
      <c r="AM33" s="51"/>
    </row>
    <row r="34" spans="2:64" x14ac:dyDescent="0.2">
      <c r="K34" s="74"/>
      <c r="AJ34" s="8"/>
      <c r="AL34" s="25" t="str">
        <f t="shared" si="12"/>
        <v/>
      </c>
      <c r="AM34" s="51"/>
    </row>
    <row r="35" spans="2:64" x14ac:dyDescent="0.2">
      <c r="B35" s="18">
        <f>B33+1</f>
        <v>16</v>
      </c>
      <c r="D35" s="1" t="s">
        <v>392</v>
      </c>
      <c r="F35" s="41">
        <f ca="1">F31+F33</f>
        <v>18840515.235593148</v>
      </c>
      <c r="H35" s="41">
        <f>H31+H33</f>
        <v>0</v>
      </c>
      <c r="K35" s="74"/>
      <c r="L35" s="41">
        <f ca="1">L31+L33</f>
        <v>18840515.235593148</v>
      </c>
      <c r="P35" s="10">
        <f ca="1">P31+P33</f>
        <v>2993750.7595231654</v>
      </c>
      <c r="Q35" s="14"/>
      <c r="R35" s="10">
        <f ca="1">R31+R33</f>
        <v>572598.42291878187</v>
      </c>
      <c r="S35" s="8"/>
      <c r="T35" s="10">
        <f ca="1">T31+T33</f>
        <v>3035416.164175638</v>
      </c>
      <c r="U35" s="8"/>
      <c r="V35" s="10">
        <f ca="1">V31+V33</f>
        <v>27745.880803275781</v>
      </c>
      <c r="W35" s="8"/>
      <c r="X35" s="10">
        <f ca="1">X31+X33</f>
        <v>4083731.2283455282</v>
      </c>
      <c r="Y35" s="8"/>
      <c r="Z35" s="10">
        <f ca="1">Z31+Z33</f>
        <v>5814002.9056970747</v>
      </c>
      <c r="AA35" s="8"/>
      <c r="AB35" s="10">
        <f ca="1">AB31+AB33</f>
        <v>1746123.2223468591</v>
      </c>
      <c r="AC35" s="8"/>
      <c r="AD35" s="10">
        <f ca="1">AD31+AD33</f>
        <v>473220.80575420888</v>
      </c>
      <c r="AE35" s="8"/>
      <c r="AF35" s="10">
        <f ca="1">AF31+AF33</f>
        <v>93925.846028615342</v>
      </c>
      <c r="AG35" s="8"/>
      <c r="AH35" s="10">
        <f ca="1">AH31+AH33</f>
        <v>-1.3031943624612084E-13</v>
      </c>
      <c r="AI35" s="8"/>
      <c r="AJ35" s="10">
        <f ca="1">AJ31+AJ33</f>
        <v>18840515.235593148</v>
      </c>
      <c r="AL35" s="25" t="str">
        <f t="shared" ca="1" si="12"/>
        <v/>
      </c>
      <c r="AM35" s="51"/>
    </row>
    <row r="36" spans="2:64" x14ac:dyDescent="0.2">
      <c r="D36" s="6"/>
      <c r="E36" s="6"/>
      <c r="F36" s="77"/>
      <c r="H36" s="77"/>
      <c r="K36" s="74"/>
      <c r="L36" s="77"/>
      <c r="AL36" s="25" t="str">
        <f t="shared" si="12"/>
        <v/>
      </c>
      <c r="AM36" s="51"/>
    </row>
    <row r="37" spans="2:64" x14ac:dyDescent="0.2">
      <c r="K37" s="74"/>
      <c r="AL37" s="25" t="str">
        <f t="shared" si="12"/>
        <v/>
      </c>
      <c r="AM37" s="51"/>
    </row>
    <row r="38" spans="2:64" x14ac:dyDescent="0.2">
      <c r="D38" s="6" t="s">
        <v>296</v>
      </c>
      <c r="E38" s="7"/>
      <c r="F38" s="78"/>
      <c r="K38" s="74"/>
      <c r="AL38" s="27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L38" s="2"/>
    </row>
    <row r="39" spans="2:64" x14ac:dyDescent="0.2">
      <c r="K39" s="74"/>
      <c r="AL39" s="25" t="str">
        <f t="shared" ref="AL39" si="17">IF(ROUND(L39,4)=ROUND(AJ39,4), "", "check")</f>
        <v/>
      </c>
      <c r="AM39" s="51"/>
    </row>
    <row r="40" spans="2:64" x14ac:dyDescent="0.2">
      <c r="B40" s="18">
        <f>B35+1</f>
        <v>17</v>
      </c>
      <c r="D40" s="1" t="s">
        <v>76</v>
      </c>
      <c r="F40" s="50">
        <f ca="1">Function!V40</f>
        <v>0</v>
      </c>
      <c r="H40" s="50"/>
      <c r="J40" s="2"/>
      <c r="K40" s="73">
        <f>_xlfn.IFNA(MATCH(J40,'Dist Factors'!$B$15:$B$431,0),0)</f>
        <v>0</v>
      </c>
      <c r="L40" s="50">
        <f ca="1">F40-H40</f>
        <v>0</v>
      </c>
      <c r="N40" s="2" t="s">
        <v>535</v>
      </c>
      <c r="O40" s="73">
        <f>_xlfn.IFNA(MATCH(N40,'Dist Factors'!$B$15:$B$431,0),0)</f>
        <v>36</v>
      </c>
      <c r="P40" s="20">
        <f ca="1">OFFSET('Dist Factors'!$B$15,$O40-1,P$14)*$L40+OFFSET('Dist Factors'!$B$15,$K40-1,P$14)*$H40</f>
        <v>0</v>
      </c>
      <c r="R40" s="20">
        <f ca="1">OFFSET('Dist Factors'!$B$15,$O40-1,R$14)*$L40+OFFSET('Dist Factors'!$B$15,$K40-1,R$14)*$H40</f>
        <v>0</v>
      </c>
      <c r="S40" s="20"/>
      <c r="T40" s="20">
        <f ca="1">OFFSET('Dist Factors'!$B$15,$O40-1,T$14)*$L40+OFFSET('Dist Factors'!$B$15,$K40-1,T$14)*$H40</f>
        <v>0</v>
      </c>
      <c r="U40" s="20"/>
      <c r="V40" s="20">
        <f ca="1">OFFSET('Dist Factors'!$B$15,$O40-1,V$14)*$L40+OFFSET('Dist Factors'!$B$15,$K40-1,V$14)*$H40</f>
        <v>0</v>
      </c>
      <c r="X40" s="20">
        <f ca="1">OFFSET('Dist Factors'!$B$15,$O40-1,X$14)*$L40+OFFSET('Dist Factors'!$B$15,$K40-1,X$14)*$H40</f>
        <v>0</v>
      </c>
      <c r="Y40" s="9"/>
      <c r="Z40" s="20">
        <f ca="1">OFFSET('Dist Factors'!$B$15,$O40-1,Z$14)*$L40+OFFSET('Dist Factors'!$B$15,$K40-1,Z$14)*$H40</f>
        <v>0</v>
      </c>
      <c r="AA40" s="20"/>
      <c r="AB40" s="20">
        <f ca="1">OFFSET('Dist Factors'!$B$15,$O40-1,AB$14)*$L40+OFFSET('Dist Factors'!$B$15,$K40-1,AB$14)*$H40</f>
        <v>0</v>
      </c>
      <c r="AC40" s="9"/>
      <c r="AD40" s="20">
        <f ca="1">OFFSET('Dist Factors'!$B$15,$O40-1,AD$14)*$L40+OFFSET('Dist Factors'!$B$15,$K40-1,AD$14)*$H40</f>
        <v>0</v>
      </c>
      <c r="AE40" s="9"/>
      <c r="AF40" s="20">
        <f ca="1">OFFSET('Dist Factors'!$B$15,$O40-1,AF$14)*$L40+OFFSET('Dist Factors'!$B$15,$K40-1,AF$14)*$H40</f>
        <v>0</v>
      </c>
      <c r="AG40" s="9"/>
      <c r="AH40" s="20">
        <f ca="1">OFFSET('Dist Factors'!$B$15,$O40-1,AH$14)*$L40+OFFSET('Dist Factors'!$B$15,$K40-1,AH$14)*$H40</f>
        <v>0</v>
      </c>
      <c r="AI40" s="9"/>
      <c r="AJ40" s="9">
        <f t="shared" ref="AJ40:AJ53" ca="1" si="18">SUM(P40:AI40)</f>
        <v>0</v>
      </c>
      <c r="AL40" s="25" t="str">
        <f ca="1">IF(ROUND(F40,4)=ROUND(AJ40,4), "", "check")</f>
        <v/>
      </c>
      <c r="AM40" s="51"/>
      <c r="AO40" s="38"/>
      <c r="AR40" s="50"/>
      <c r="AT40" s="50"/>
      <c r="AV40" s="50"/>
      <c r="AX40" s="50"/>
      <c r="AZ40" s="50"/>
      <c r="BB40" s="50"/>
      <c r="BD40" s="50"/>
      <c r="BF40" s="50"/>
      <c r="BH40" s="50"/>
      <c r="BJ40" s="50"/>
      <c r="BL40" s="50"/>
    </row>
    <row r="41" spans="2:64" x14ac:dyDescent="0.2">
      <c r="B41" s="18">
        <f>B40+1</f>
        <v>18</v>
      </c>
      <c r="D41" s="1" t="s">
        <v>75</v>
      </c>
      <c r="F41" s="50">
        <f ca="1">Function!V41</f>
        <v>-20930.803618101087</v>
      </c>
      <c r="H41" s="50"/>
      <c r="J41" s="2"/>
      <c r="K41" s="73">
        <f>_xlfn.IFNA(MATCH(J41,'Dist Factors'!$B$15:$B$431,0),0)</f>
        <v>0</v>
      </c>
      <c r="L41" s="50">
        <f ca="1">F41-H41</f>
        <v>-20930.803618101087</v>
      </c>
      <c r="N41" s="2" t="s">
        <v>454</v>
      </c>
      <c r="O41" s="73">
        <f>_xlfn.IFNA(MATCH(N41,'Dist Factors'!$B$15:$B$431,0),0)</f>
        <v>69</v>
      </c>
      <c r="P41" s="20">
        <f ca="1">OFFSET('Dist Factors'!$B$15,$O41-1,P$14)*$L41+OFFSET('Dist Factors'!$B$15,$K41-1,P$14)*$H41</f>
        <v>-5911.2380499682495</v>
      </c>
      <c r="R41" s="20">
        <f ca="1">OFFSET('Dist Factors'!$B$15,$O41-1,R$14)*$L41+OFFSET('Dist Factors'!$B$15,$K41-1,R$14)*$H41</f>
        <v>-1130.6103469510031</v>
      </c>
      <c r="S41" s="20"/>
      <c r="T41" s="20">
        <f ca="1">OFFSET('Dist Factors'!$B$15,$O41-1,T$14)*$L41+OFFSET('Dist Factors'!$B$15,$K41-1,T$14)*$H41</f>
        <v>-5996.6269153948333</v>
      </c>
      <c r="U41" s="20"/>
      <c r="V41" s="20">
        <f ca="1">OFFSET('Dist Factors'!$B$15,$O41-1,V$14)*$L41+OFFSET('Dist Factors'!$B$15,$K41-1,V$14)*$H41</f>
        <v>0</v>
      </c>
      <c r="X41" s="20">
        <f ca="1">OFFSET('Dist Factors'!$B$15,$O41-1,X$14)*$L41+OFFSET('Dist Factors'!$B$15,$K41-1,X$14)*$H41</f>
        <v>-7892.3283057870003</v>
      </c>
      <c r="Y41" s="9"/>
      <c r="Z41" s="20">
        <f ca="1">OFFSET('Dist Factors'!$B$15,$O41-1,Z$14)*$L41+OFFSET('Dist Factors'!$B$15,$K41-1,Z$14)*$H41</f>
        <v>0</v>
      </c>
      <c r="AA41" s="20"/>
      <c r="AB41" s="20">
        <f ca="1">OFFSET('Dist Factors'!$B$15,$O41-1,AB$14)*$L41+OFFSET('Dist Factors'!$B$15,$K41-1,AB$14)*$H41</f>
        <v>0</v>
      </c>
      <c r="AC41" s="9"/>
      <c r="AD41" s="20">
        <f ca="1">OFFSET('Dist Factors'!$B$15,$O41-1,AD$14)*$L41+OFFSET('Dist Factors'!$B$15,$K41-1,AD$14)*$H41</f>
        <v>0</v>
      </c>
      <c r="AE41" s="9"/>
      <c r="AF41" s="20">
        <f ca="1">OFFSET('Dist Factors'!$B$15,$O41-1,AF$14)*$L41+OFFSET('Dist Factors'!$B$15,$K41-1,AF$14)*$H41</f>
        <v>0</v>
      </c>
      <c r="AG41" s="9"/>
      <c r="AH41" s="20">
        <f ca="1">OFFSET('Dist Factors'!$B$15,$O41-1,AH$14)*$L41+OFFSET('Dist Factors'!$B$15,$K41-1,AH$14)*$H41</f>
        <v>0</v>
      </c>
      <c r="AI41" s="9"/>
      <c r="AJ41" s="9">
        <f t="shared" ca="1" si="18"/>
        <v>-20930.803618101087</v>
      </c>
      <c r="AL41" s="25" t="str">
        <f t="shared" ref="AL41:AL59" ca="1" si="19">IF(ROUND(F41,4)=ROUND(AJ41,4), "", "check")</f>
        <v/>
      </c>
      <c r="AM41" s="51"/>
      <c r="AO41" s="38"/>
      <c r="AR41" s="50"/>
      <c r="AT41" s="50"/>
      <c r="AV41" s="50"/>
      <c r="AX41" s="50"/>
      <c r="AZ41" s="50"/>
      <c r="BB41" s="50"/>
      <c r="BD41" s="50"/>
      <c r="BF41" s="50"/>
      <c r="BH41" s="50"/>
      <c r="BJ41" s="50"/>
      <c r="BL41" s="50"/>
    </row>
    <row r="42" spans="2:64" x14ac:dyDescent="0.2">
      <c r="B42" s="18">
        <f t="shared" ref="B42:B53" si="20">B41+1</f>
        <v>19</v>
      </c>
      <c r="D42" s="1" t="s">
        <v>19</v>
      </c>
      <c r="F42" s="50">
        <f ca="1">Function!V42</f>
        <v>-107521.11072554668</v>
      </c>
      <c r="H42" s="50"/>
      <c r="J42" s="2"/>
      <c r="K42" s="73">
        <f>_xlfn.IFNA(MATCH(J42,'Dist Factors'!$B$15:$B$431,0),0)</f>
        <v>0</v>
      </c>
      <c r="L42" s="50">
        <f t="shared" ref="L42:L52" ca="1" si="21">F42-H42</f>
        <v>-107521.11072554668</v>
      </c>
      <c r="N42" s="2" t="s">
        <v>456</v>
      </c>
      <c r="O42" s="73">
        <f>_xlfn.IFNA(MATCH(N42,'Dist Factors'!$B$15:$B$431,0),0)</f>
        <v>75</v>
      </c>
      <c r="P42" s="20">
        <f ca="1">OFFSET('Dist Factors'!$B$15,$O42-1,P$14)*$L42+OFFSET('Dist Factors'!$B$15,$K42-1,P$14)*$H42</f>
        <v>-30629.586430174662</v>
      </c>
      <c r="R42" s="20">
        <f ca="1">OFFSET('Dist Factors'!$B$15,$O42-1,R$14)*$L42+OFFSET('Dist Factors'!$B$15,$K42-1,R$14)*$H42</f>
        <v>-5858.3543833041067</v>
      </c>
      <c r="S42" s="20"/>
      <c r="T42" s="20">
        <f ca="1">OFFSET('Dist Factors'!$B$15,$O42-1,T$14)*$L42+OFFSET('Dist Factors'!$B$15,$K42-1,T$14)*$H42</f>
        <v>-31072.036152491655</v>
      </c>
      <c r="U42" s="20"/>
      <c r="V42" s="20">
        <f ca="1">OFFSET('Dist Factors'!$B$15,$O42-1,V$14)*$L42+OFFSET('Dist Factors'!$B$15,$K42-1,V$14)*$H42</f>
        <v>0</v>
      </c>
      <c r="W42" s="9"/>
      <c r="X42" s="20">
        <f ca="1">OFFSET('Dist Factors'!$B$15,$O42-1,X$14)*$L42+OFFSET('Dist Factors'!$B$15,$K42-1,X$14)*$H42</f>
        <v>-39961.133759576231</v>
      </c>
      <c r="Y42" s="9"/>
      <c r="Z42" s="20">
        <f ca="1">OFFSET('Dist Factors'!$B$15,$O42-1,Z$14)*$L42+OFFSET('Dist Factors'!$B$15,$K42-1,Z$14)*$H42</f>
        <v>0</v>
      </c>
      <c r="AA42" s="20"/>
      <c r="AB42" s="20">
        <f ca="1">OFFSET('Dist Factors'!$B$15,$O42-1,AB$14)*$L42+OFFSET('Dist Factors'!$B$15,$K42-1,AB$14)*$H42</f>
        <v>0</v>
      </c>
      <c r="AC42" s="9"/>
      <c r="AD42" s="20">
        <f ca="1">OFFSET('Dist Factors'!$B$15,$O42-1,AD$14)*$L42+OFFSET('Dist Factors'!$B$15,$K42-1,AD$14)*$H42</f>
        <v>0</v>
      </c>
      <c r="AE42" s="9"/>
      <c r="AF42" s="20">
        <f ca="1">OFFSET('Dist Factors'!$B$15,$O42-1,AF$14)*$L42+OFFSET('Dist Factors'!$B$15,$K42-1,AF$14)*$H42</f>
        <v>0</v>
      </c>
      <c r="AG42" s="9"/>
      <c r="AH42" s="20">
        <f ca="1">OFFSET('Dist Factors'!$B$15,$O42-1,AH$14)*$L42+OFFSET('Dist Factors'!$B$15,$K42-1,AH$14)*$H42</f>
        <v>0</v>
      </c>
      <c r="AI42" s="9"/>
      <c r="AJ42" s="9">
        <f t="shared" ca="1" si="18"/>
        <v>-107521.11072554665</v>
      </c>
      <c r="AL42" s="25" t="str">
        <f t="shared" ca="1" si="19"/>
        <v/>
      </c>
      <c r="AM42" s="51"/>
      <c r="AO42" s="38"/>
      <c r="AR42" s="50"/>
      <c r="AT42" s="50"/>
      <c r="AV42" s="50"/>
      <c r="AX42" s="50"/>
      <c r="AZ42" s="50"/>
      <c r="BB42" s="50"/>
      <c r="BD42" s="50"/>
      <c r="BF42" s="50"/>
      <c r="BH42" s="50"/>
      <c r="BJ42" s="50"/>
      <c r="BL42" s="50"/>
    </row>
    <row r="43" spans="2:64" x14ac:dyDescent="0.2">
      <c r="B43" s="18">
        <f t="shared" si="20"/>
        <v>20</v>
      </c>
      <c r="D43" s="1" t="s">
        <v>21</v>
      </c>
      <c r="F43" s="50">
        <f ca="1">Function!V43</f>
        <v>-371324.53497546032</v>
      </c>
      <c r="H43" s="50"/>
      <c r="J43" s="2"/>
      <c r="K43" s="73">
        <f>_xlfn.IFNA(MATCH(J43,'Dist Factors'!$B$15:$B$431,0),0)</f>
        <v>0</v>
      </c>
      <c r="L43" s="50">
        <f t="shared" ca="1" si="21"/>
        <v>-371324.53497546032</v>
      </c>
      <c r="N43" s="18" t="s">
        <v>79</v>
      </c>
      <c r="O43" s="73">
        <f>_xlfn.IFNA(MATCH(N43,'Dist Factors'!$B$15:$B$431,0),0)</f>
        <v>54</v>
      </c>
      <c r="P43" s="20">
        <f ca="1">OFFSET('Dist Factors'!$B$15,$O43-1,P$14)*$L43+OFFSET('Dist Factors'!$B$15,$K43-1,P$14)*$H43</f>
        <v>-168346.96292753404</v>
      </c>
      <c r="R43" s="20">
        <f ca="1">OFFSET('Dist Factors'!$B$15,$O43-1,R$14)*$L43+OFFSET('Dist Factors'!$B$15,$K43-1,R$14)*$H43</f>
        <v>-32198.807856277966</v>
      </c>
      <c r="S43" s="20"/>
      <c r="T43" s="20">
        <f ca="1">OFFSET('Dist Factors'!$B$15,$O43-1,T$14)*$L43+OFFSET('Dist Factors'!$B$15,$K43-1,T$14)*$H43</f>
        <v>-170778.76419164831</v>
      </c>
      <c r="U43" s="20"/>
      <c r="V43" s="20">
        <f ca="1">OFFSET('Dist Factors'!$B$15,$O43-1,V$14)*$L43+OFFSET('Dist Factors'!$B$15,$K43-1,V$14)*$H43</f>
        <v>0</v>
      </c>
      <c r="W43" s="9"/>
      <c r="X43" s="20">
        <f ca="1">OFFSET('Dist Factors'!$B$15,$O43-1,X$14)*$L43+OFFSET('Dist Factors'!$B$15,$K43-1,X$14)*$H43</f>
        <v>0</v>
      </c>
      <c r="Y43" s="9"/>
      <c r="Z43" s="20">
        <f ca="1">OFFSET('Dist Factors'!$B$15,$O43-1,Z$14)*$L43+OFFSET('Dist Factors'!$B$15,$K43-1,Z$14)*$H43</f>
        <v>0</v>
      </c>
      <c r="AA43" s="20"/>
      <c r="AB43" s="20">
        <f ca="1">OFFSET('Dist Factors'!$B$15,$O43-1,AB$14)*$L43+OFFSET('Dist Factors'!$B$15,$K43-1,AB$14)*$H43</f>
        <v>0</v>
      </c>
      <c r="AC43" s="9"/>
      <c r="AD43" s="20">
        <f ca="1">OFFSET('Dist Factors'!$B$15,$O43-1,AD$14)*$L43+OFFSET('Dist Factors'!$B$15,$K43-1,AD$14)*$H43</f>
        <v>0</v>
      </c>
      <c r="AE43" s="9"/>
      <c r="AF43" s="20">
        <f ca="1">OFFSET('Dist Factors'!$B$15,$O43-1,AF$14)*$L43+OFFSET('Dist Factors'!$B$15,$K43-1,AF$14)*$H43</f>
        <v>0</v>
      </c>
      <c r="AG43" s="9"/>
      <c r="AH43" s="20">
        <f ca="1">OFFSET('Dist Factors'!$B$15,$O43-1,AH$14)*$L43+OFFSET('Dist Factors'!$B$15,$K43-1,AH$14)*$H43</f>
        <v>0</v>
      </c>
      <c r="AI43" s="9"/>
      <c r="AJ43" s="9">
        <f t="shared" ca="1" si="18"/>
        <v>-371324.53497546032</v>
      </c>
      <c r="AL43" s="25" t="str">
        <f t="shared" ca="1" si="19"/>
        <v/>
      </c>
      <c r="AM43" s="51"/>
      <c r="AO43" s="38"/>
      <c r="AR43" s="50"/>
      <c r="AT43" s="50"/>
      <c r="AV43" s="50"/>
      <c r="AX43" s="50"/>
      <c r="AZ43" s="50"/>
      <c r="BB43" s="50"/>
      <c r="BD43" s="50"/>
      <c r="BF43" s="50"/>
      <c r="BH43" s="50"/>
      <c r="BJ43" s="50"/>
      <c r="BL43" s="50"/>
    </row>
    <row r="44" spans="2:64" x14ac:dyDescent="0.2">
      <c r="B44" s="18">
        <f t="shared" si="20"/>
        <v>21</v>
      </c>
      <c r="D44" s="1" t="s">
        <v>23</v>
      </c>
      <c r="F44" s="50">
        <f ca="1">Function!V44</f>
        <v>-3164609.488205547</v>
      </c>
      <c r="H44" s="50"/>
      <c r="J44" s="2"/>
      <c r="K44" s="73">
        <f>_xlfn.IFNA(MATCH(J44,'Dist Factors'!$B$15:$B$431,0),0)</f>
        <v>0</v>
      </c>
      <c r="L44" s="50">
        <f t="shared" ca="1" si="21"/>
        <v>-3164609.488205547</v>
      </c>
      <c r="N44" s="18" t="s">
        <v>78</v>
      </c>
      <c r="O44" s="73">
        <f>_xlfn.IFNA(MATCH(N44,'Dist Factors'!$B$15:$B$431,0),0)</f>
        <v>78</v>
      </c>
      <c r="P44" s="20">
        <f ca="1">OFFSET('Dist Factors'!$B$15,$O44-1,P$14)*$L44+OFFSET('Dist Factors'!$B$15,$K44-1,P$14)*$H44</f>
        <v>-820868.5219269197</v>
      </c>
      <c r="R44" s="20">
        <f ca="1">OFFSET('Dist Factors'!$B$15,$O44-1,R$14)*$L44+OFFSET('Dist Factors'!$B$15,$K44-1,R$14)*$H44</f>
        <v>-157003.056979229</v>
      </c>
      <c r="S44" s="20"/>
      <c r="T44" s="20">
        <f ca="1">OFFSET('Dist Factors'!$B$15,$O44-1,T$14)*$L44+OFFSET('Dist Factors'!$B$15,$K44-1,T$14)*$H44</f>
        <v>-832726.11100711452</v>
      </c>
      <c r="U44" s="20"/>
      <c r="V44" s="20">
        <f ca="1">OFFSET('Dist Factors'!$B$15,$O44-1,V$14)*$L44+OFFSET('Dist Factors'!$B$15,$K44-1,V$14)*$H44</f>
        <v>0</v>
      </c>
      <c r="W44" s="9"/>
      <c r="X44" s="20">
        <f ca="1">OFFSET('Dist Factors'!$B$15,$O44-1,X$14)*$L44+OFFSET('Dist Factors'!$B$15,$K44-1,X$14)*$H44</f>
        <v>-1354011.7982922837</v>
      </c>
      <c r="Y44" s="9"/>
      <c r="Z44" s="20">
        <f ca="1">OFFSET('Dist Factors'!$B$15,$O44-1,Z$14)*$L44+OFFSET('Dist Factors'!$B$15,$K44-1,Z$14)*$H44</f>
        <v>0</v>
      </c>
      <c r="AA44" s="20"/>
      <c r="AB44" s="20">
        <f ca="1">OFFSET('Dist Factors'!$B$15,$O44-1,AB$14)*$L44+OFFSET('Dist Factors'!$B$15,$K44-1,AB$14)*$H44</f>
        <v>0</v>
      </c>
      <c r="AC44" s="9"/>
      <c r="AD44" s="20">
        <f ca="1">OFFSET('Dist Factors'!$B$15,$O44-1,AD$14)*$L44+OFFSET('Dist Factors'!$B$15,$K44-1,AD$14)*$H44</f>
        <v>0</v>
      </c>
      <c r="AE44" s="9"/>
      <c r="AF44" s="20">
        <f ca="1">OFFSET('Dist Factors'!$B$15,$O44-1,AF$14)*$L44+OFFSET('Dist Factors'!$B$15,$K44-1,AF$14)*$H44</f>
        <v>0</v>
      </c>
      <c r="AG44" s="9"/>
      <c r="AH44" s="20">
        <f ca="1">OFFSET('Dist Factors'!$B$15,$O44-1,AH$14)*$L44+OFFSET('Dist Factors'!$B$15,$K44-1,AH$14)*$H44</f>
        <v>0</v>
      </c>
      <c r="AI44" s="9"/>
      <c r="AJ44" s="9">
        <f t="shared" ca="1" si="18"/>
        <v>-3164609.4882055465</v>
      </c>
      <c r="AL44" s="25" t="str">
        <f t="shared" ca="1" si="19"/>
        <v/>
      </c>
      <c r="AM44" s="51"/>
      <c r="AO44" s="38"/>
      <c r="AR44" s="50"/>
      <c r="AT44" s="50"/>
      <c r="AV44" s="50"/>
      <c r="AX44" s="50"/>
      <c r="AZ44" s="50"/>
      <c r="BB44" s="50"/>
      <c r="BD44" s="50"/>
      <c r="BF44" s="50"/>
      <c r="BH44" s="50"/>
      <c r="BJ44" s="50"/>
      <c r="BL44" s="50"/>
    </row>
    <row r="45" spans="2:64" x14ac:dyDescent="0.2">
      <c r="B45" s="18">
        <f t="shared" si="20"/>
        <v>22</v>
      </c>
      <c r="D45" s="1" t="s">
        <v>25</v>
      </c>
      <c r="F45" s="50">
        <f ca="1">Function!V45</f>
        <v>-7071.2809398120935</v>
      </c>
      <c r="H45" s="50"/>
      <c r="K45" s="73">
        <f>_xlfn.IFNA(MATCH(J45,'Dist Factors'!$B$15:$B$431,0),0)</f>
        <v>0</v>
      </c>
      <c r="L45" s="50">
        <f t="shared" ca="1" si="21"/>
        <v>-7071.2809398120935</v>
      </c>
      <c r="N45" s="18" t="s">
        <v>241</v>
      </c>
      <c r="O45" s="73">
        <f>_xlfn.IFNA(MATCH(N45,'Dist Factors'!$B$15:$B$431,0),0)</f>
        <v>15</v>
      </c>
      <c r="P45" s="20">
        <f ca="1">OFFSET('Dist Factors'!$B$15,$O45-1,P$14)*$L45+OFFSET('Dist Factors'!$B$15,$K45-1,P$14)*$H45</f>
        <v>0</v>
      </c>
      <c r="R45" s="20">
        <f ca="1">OFFSET('Dist Factors'!$B$15,$O45-1,R$14)*$L45+OFFSET('Dist Factors'!$B$15,$K45-1,R$14)*$H45</f>
        <v>0</v>
      </c>
      <c r="S45" s="20"/>
      <c r="T45" s="20">
        <f ca="1">OFFSET('Dist Factors'!$B$15,$O45-1,T$14)*$L45+OFFSET('Dist Factors'!$B$15,$K45-1,T$14)*$H45</f>
        <v>0</v>
      </c>
      <c r="U45" s="20"/>
      <c r="V45" s="20">
        <f ca="1">OFFSET('Dist Factors'!$B$15,$O45-1,V$14)*$L45+OFFSET('Dist Factors'!$B$15,$K45-1,V$14)*$H45</f>
        <v>0</v>
      </c>
      <c r="W45" s="9"/>
      <c r="X45" s="20">
        <f ca="1">OFFSET('Dist Factors'!$B$15,$O45-1,X$14)*$L45+OFFSET('Dist Factors'!$B$15,$K45-1,X$14)*$H45</f>
        <v>0</v>
      </c>
      <c r="Y45" s="9"/>
      <c r="Z45" s="20">
        <f ca="1">OFFSET('Dist Factors'!$B$15,$O45-1,Z$14)*$L45+OFFSET('Dist Factors'!$B$15,$K45-1,Z$14)*$H45</f>
        <v>0</v>
      </c>
      <c r="AA45" s="20"/>
      <c r="AB45" s="20">
        <f ca="1">OFFSET('Dist Factors'!$B$15,$O45-1,AB$14)*$L45+OFFSET('Dist Factors'!$B$15,$K45-1,AB$14)*$H45</f>
        <v>0</v>
      </c>
      <c r="AC45" s="9"/>
      <c r="AD45" s="20">
        <f ca="1">OFFSET('Dist Factors'!$B$15,$O45-1,AD$14)*$L45+OFFSET('Dist Factors'!$B$15,$K45-1,AD$14)*$H45</f>
        <v>-7071.2809398120935</v>
      </c>
      <c r="AE45" s="9"/>
      <c r="AF45" s="20">
        <f ca="1">OFFSET('Dist Factors'!$B$15,$O45-1,AF$14)*$L45+OFFSET('Dist Factors'!$B$15,$K45-1,AF$14)*$H45</f>
        <v>0</v>
      </c>
      <c r="AG45" s="9"/>
      <c r="AH45" s="20">
        <f ca="1">OFFSET('Dist Factors'!$B$15,$O45-1,AH$14)*$L45+OFFSET('Dist Factors'!$B$15,$K45-1,AH$14)*$H45</f>
        <v>0</v>
      </c>
      <c r="AI45" s="9"/>
      <c r="AJ45" s="9">
        <f t="shared" ca="1" si="18"/>
        <v>-7071.2809398120935</v>
      </c>
      <c r="AL45" s="25" t="str">
        <f t="shared" ca="1" si="19"/>
        <v/>
      </c>
      <c r="AM45" s="51"/>
      <c r="AO45" s="38"/>
      <c r="AR45" s="50"/>
      <c r="AT45" s="50"/>
      <c r="AV45" s="50"/>
      <c r="AX45" s="50"/>
      <c r="AZ45" s="50"/>
      <c r="BB45" s="50"/>
      <c r="BD45" s="50"/>
      <c r="BF45" s="50"/>
      <c r="BH45" s="50"/>
      <c r="BJ45" s="50"/>
      <c r="BL45" s="50"/>
    </row>
    <row r="46" spans="2:64" x14ac:dyDescent="0.2">
      <c r="B46" s="18">
        <f t="shared" si="20"/>
        <v>23</v>
      </c>
      <c r="D46" s="1" t="s">
        <v>27</v>
      </c>
      <c r="F46" s="50">
        <f ca="1">Function!V46</f>
        <v>0</v>
      </c>
      <c r="H46" s="50"/>
      <c r="K46" s="73">
        <f>_xlfn.IFNA(MATCH(J46,'Dist Factors'!$B$15:$B$431,0),0)</f>
        <v>0</v>
      </c>
      <c r="L46" s="50">
        <f t="shared" ca="1" si="21"/>
        <v>0</v>
      </c>
      <c r="O46" s="73">
        <f>_xlfn.IFNA(MATCH(N46,'Dist Factors'!$B$15:$B$431,0),0)</f>
        <v>0</v>
      </c>
      <c r="P46" s="20">
        <f ca="1">OFFSET('Dist Factors'!$B$15,$O46-1,P$14)*$L46+OFFSET('Dist Factors'!$B$15,$K46-1,P$14)*$H46</f>
        <v>0</v>
      </c>
      <c r="R46" s="20">
        <f ca="1">OFFSET('Dist Factors'!$B$15,$O46-1,R$14)*$L46+OFFSET('Dist Factors'!$B$15,$K46-1,R$14)*$H46</f>
        <v>0</v>
      </c>
      <c r="S46" s="20"/>
      <c r="T46" s="20">
        <f ca="1">OFFSET('Dist Factors'!$B$15,$O46-1,T$14)*$L46+OFFSET('Dist Factors'!$B$15,$K46-1,T$14)*$H46</f>
        <v>0</v>
      </c>
      <c r="U46" s="20"/>
      <c r="V46" s="20">
        <f ca="1">OFFSET('Dist Factors'!$B$15,$O46-1,V$14)*$L46+OFFSET('Dist Factors'!$B$15,$K46-1,V$14)*$H46</f>
        <v>0</v>
      </c>
      <c r="W46" s="9"/>
      <c r="X46" s="20">
        <f ca="1">OFFSET('Dist Factors'!$B$15,$O46-1,X$14)*$L46+OFFSET('Dist Factors'!$B$15,$K46-1,X$14)*$H46</f>
        <v>0</v>
      </c>
      <c r="Y46" s="9"/>
      <c r="Z46" s="20">
        <f ca="1">OFFSET('Dist Factors'!$B$15,$O46-1,Z$14)*$L46+OFFSET('Dist Factors'!$B$15,$K46-1,Z$14)*$H46</f>
        <v>0</v>
      </c>
      <c r="AA46" s="20"/>
      <c r="AB46" s="20">
        <f ca="1">OFFSET('Dist Factors'!$B$15,$O46-1,AB$14)*$L46+OFFSET('Dist Factors'!$B$15,$K46-1,AB$14)*$H46</f>
        <v>0</v>
      </c>
      <c r="AC46" s="9"/>
      <c r="AD46" s="20">
        <f ca="1">OFFSET('Dist Factors'!$B$15,$O46-1,AD$14)*$L46+OFFSET('Dist Factors'!$B$15,$K46-1,AD$14)*$H46</f>
        <v>0</v>
      </c>
      <c r="AE46" s="9"/>
      <c r="AF46" s="20">
        <f ca="1">OFFSET('Dist Factors'!$B$15,$O46-1,AF$14)*$L46+OFFSET('Dist Factors'!$B$15,$K46-1,AF$14)*$H46</f>
        <v>0</v>
      </c>
      <c r="AG46" s="9"/>
      <c r="AH46" s="20">
        <f ca="1">OFFSET('Dist Factors'!$B$15,$O46-1,AH$14)*$L46+OFFSET('Dist Factors'!$B$15,$K46-1,AH$14)*$H46</f>
        <v>0</v>
      </c>
      <c r="AI46" s="9"/>
      <c r="AJ46" s="9">
        <f t="shared" ca="1" si="18"/>
        <v>0</v>
      </c>
      <c r="AL46" s="25" t="str">
        <f t="shared" ca="1" si="19"/>
        <v/>
      </c>
      <c r="AM46" s="51"/>
      <c r="AO46" s="38"/>
      <c r="AR46" s="50"/>
      <c r="AT46" s="50"/>
      <c r="AV46" s="50"/>
      <c r="AX46" s="50"/>
      <c r="AZ46" s="50"/>
      <c r="BB46" s="50"/>
      <c r="BD46" s="50"/>
      <c r="BF46" s="50"/>
      <c r="BH46" s="50"/>
      <c r="BJ46" s="50"/>
      <c r="BL46" s="50"/>
    </row>
    <row r="47" spans="2:64" x14ac:dyDescent="0.2">
      <c r="B47" s="18">
        <f t="shared" si="20"/>
        <v>24</v>
      </c>
      <c r="D47" s="1" t="s">
        <v>29</v>
      </c>
      <c r="F47" s="50">
        <f ca="1">Function!V47</f>
        <v>0</v>
      </c>
      <c r="H47" s="50"/>
      <c r="K47" s="73">
        <f>_xlfn.IFNA(MATCH(J47,'Dist Factors'!$B$15:$B$431,0),0)</f>
        <v>0</v>
      </c>
      <c r="L47" s="50">
        <f t="shared" ca="1" si="21"/>
        <v>0</v>
      </c>
      <c r="O47" s="73">
        <f>_xlfn.IFNA(MATCH(N47,'Dist Factors'!$B$15:$B$431,0),0)</f>
        <v>0</v>
      </c>
      <c r="P47" s="20">
        <f ca="1">OFFSET('Dist Factors'!$B$15,$O47-1,P$14)*$L47+OFFSET('Dist Factors'!$B$15,$K47-1,P$14)*$H47</f>
        <v>0</v>
      </c>
      <c r="R47" s="20">
        <f ca="1">OFFSET('Dist Factors'!$B$15,$O47-1,R$14)*$L47+OFFSET('Dist Factors'!$B$15,$K47-1,R$14)*$H47</f>
        <v>0</v>
      </c>
      <c r="S47" s="20"/>
      <c r="T47" s="20">
        <f ca="1">OFFSET('Dist Factors'!$B$15,$O47-1,T$14)*$L47+OFFSET('Dist Factors'!$B$15,$K47-1,T$14)*$H47</f>
        <v>0</v>
      </c>
      <c r="U47" s="20"/>
      <c r="V47" s="20">
        <f ca="1">OFFSET('Dist Factors'!$B$15,$O47-1,V$14)*$L47+OFFSET('Dist Factors'!$B$15,$K47-1,V$14)*$H47</f>
        <v>0</v>
      </c>
      <c r="W47" s="9"/>
      <c r="X47" s="20">
        <f ca="1">OFFSET('Dist Factors'!$B$15,$O47-1,X$14)*$L47+OFFSET('Dist Factors'!$B$15,$K47-1,X$14)*$H47</f>
        <v>0</v>
      </c>
      <c r="Y47" s="9"/>
      <c r="Z47" s="20">
        <f ca="1">OFFSET('Dist Factors'!$B$15,$O47-1,Z$14)*$L47+OFFSET('Dist Factors'!$B$15,$K47-1,Z$14)*$H47</f>
        <v>0</v>
      </c>
      <c r="AA47" s="20"/>
      <c r="AB47" s="20">
        <f ca="1">OFFSET('Dist Factors'!$B$15,$O47-1,AB$14)*$L47+OFFSET('Dist Factors'!$B$15,$K47-1,AB$14)*$H47</f>
        <v>0</v>
      </c>
      <c r="AC47" s="9"/>
      <c r="AD47" s="20">
        <f ca="1">OFFSET('Dist Factors'!$B$15,$O47-1,AD$14)*$L47+OFFSET('Dist Factors'!$B$15,$K47-1,AD$14)*$H47</f>
        <v>0</v>
      </c>
      <c r="AE47" s="9"/>
      <c r="AF47" s="20">
        <f ca="1">OFFSET('Dist Factors'!$B$15,$O47-1,AF$14)*$L47+OFFSET('Dist Factors'!$B$15,$K47-1,AF$14)*$H47</f>
        <v>0</v>
      </c>
      <c r="AG47" s="9"/>
      <c r="AH47" s="20">
        <f ca="1">OFFSET('Dist Factors'!$B$15,$O47-1,AH$14)*$L47+OFFSET('Dist Factors'!$B$15,$K47-1,AH$14)*$H47</f>
        <v>0</v>
      </c>
      <c r="AI47" s="9"/>
      <c r="AJ47" s="9">
        <f t="shared" ca="1" si="18"/>
        <v>0</v>
      </c>
      <c r="AL47" s="25" t="str">
        <f t="shared" ca="1" si="19"/>
        <v/>
      </c>
      <c r="AM47" s="51"/>
      <c r="AO47" s="38"/>
      <c r="AR47" s="50"/>
      <c r="AT47" s="50"/>
      <c r="AV47" s="50"/>
      <c r="AX47" s="50"/>
      <c r="AZ47" s="50"/>
      <c r="BB47" s="50"/>
      <c r="BD47" s="50"/>
      <c r="BF47" s="50"/>
      <c r="BH47" s="50"/>
      <c r="BJ47" s="50"/>
      <c r="BL47" s="50"/>
    </row>
    <row r="48" spans="2:64" x14ac:dyDescent="0.2">
      <c r="B48" s="18">
        <f t="shared" si="20"/>
        <v>25</v>
      </c>
      <c r="D48" s="1" t="s">
        <v>30</v>
      </c>
      <c r="F48" s="50">
        <f ca="1">Function!V48</f>
        <v>0</v>
      </c>
      <c r="H48" s="50"/>
      <c r="K48" s="73">
        <f>_xlfn.IFNA(MATCH(J48,'Dist Factors'!$B$15:$B$431,0),0)</f>
        <v>0</v>
      </c>
      <c r="L48" s="50">
        <f t="shared" ca="1" si="21"/>
        <v>0</v>
      </c>
      <c r="O48" s="73">
        <f>_xlfn.IFNA(MATCH(N48,'Dist Factors'!$B$15:$B$431,0),0)</f>
        <v>0</v>
      </c>
      <c r="P48" s="20">
        <f ca="1">OFFSET('Dist Factors'!$B$15,$O48-1,P$14)*$L48+OFFSET('Dist Factors'!$B$15,$K48-1,P$14)*$H48</f>
        <v>0</v>
      </c>
      <c r="R48" s="20">
        <f ca="1">OFFSET('Dist Factors'!$B$15,$O48-1,R$14)*$L48+OFFSET('Dist Factors'!$B$15,$K48-1,R$14)*$H48</f>
        <v>0</v>
      </c>
      <c r="S48" s="20"/>
      <c r="T48" s="20">
        <f ca="1">OFFSET('Dist Factors'!$B$15,$O48-1,T$14)*$L48+OFFSET('Dist Factors'!$B$15,$K48-1,T$14)*$H48</f>
        <v>0</v>
      </c>
      <c r="U48" s="20"/>
      <c r="V48" s="20">
        <f ca="1">OFFSET('Dist Factors'!$B$15,$O48-1,V$14)*$L48+OFFSET('Dist Factors'!$B$15,$K48-1,V$14)*$H48</f>
        <v>0</v>
      </c>
      <c r="W48" s="9"/>
      <c r="X48" s="20">
        <f ca="1">OFFSET('Dist Factors'!$B$15,$O48-1,X$14)*$L48+OFFSET('Dist Factors'!$B$15,$K48-1,X$14)*$H48</f>
        <v>0</v>
      </c>
      <c r="Y48" s="9"/>
      <c r="Z48" s="20">
        <f ca="1">OFFSET('Dist Factors'!$B$15,$O48-1,Z$14)*$L48+OFFSET('Dist Factors'!$B$15,$K48-1,Z$14)*$H48</f>
        <v>0</v>
      </c>
      <c r="AA48" s="20"/>
      <c r="AB48" s="20">
        <f ca="1">OFFSET('Dist Factors'!$B$15,$O48-1,AB$14)*$L48+OFFSET('Dist Factors'!$B$15,$K48-1,AB$14)*$H48</f>
        <v>0</v>
      </c>
      <c r="AC48" s="9"/>
      <c r="AD48" s="20">
        <f ca="1">OFFSET('Dist Factors'!$B$15,$O48-1,AD$14)*$L48+OFFSET('Dist Factors'!$B$15,$K48-1,AD$14)*$H48</f>
        <v>0</v>
      </c>
      <c r="AE48" s="9"/>
      <c r="AF48" s="20">
        <f ca="1">OFFSET('Dist Factors'!$B$15,$O48-1,AF$14)*$L48+OFFSET('Dist Factors'!$B$15,$K48-1,AF$14)*$H48</f>
        <v>0</v>
      </c>
      <c r="AG48" s="9"/>
      <c r="AH48" s="20">
        <f ca="1">OFFSET('Dist Factors'!$B$15,$O48-1,AH$14)*$L48+OFFSET('Dist Factors'!$B$15,$K48-1,AH$14)*$H48</f>
        <v>0</v>
      </c>
      <c r="AI48" s="9"/>
      <c r="AJ48" s="9">
        <f t="shared" ca="1" si="18"/>
        <v>0</v>
      </c>
      <c r="AL48" s="25" t="str">
        <f t="shared" ca="1" si="19"/>
        <v/>
      </c>
      <c r="AM48" s="51"/>
      <c r="AO48" s="38"/>
      <c r="AR48" s="50"/>
      <c r="AT48" s="50"/>
      <c r="AV48" s="50"/>
      <c r="AX48" s="50"/>
      <c r="AZ48" s="50"/>
      <c r="BB48" s="50"/>
      <c r="BD48" s="50"/>
      <c r="BF48" s="50"/>
      <c r="BH48" s="50"/>
      <c r="BJ48" s="50"/>
      <c r="BL48" s="50"/>
    </row>
    <row r="49" spans="2:64" x14ac:dyDescent="0.2">
      <c r="B49" s="18">
        <f t="shared" si="20"/>
        <v>26</v>
      </c>
      <c r="D49" s="1" t="s">
        <v>31</v>
      </c>
      <c r="F49" s="50">
        <f ca="1">Function!V49</f>
        <v>-2151619.3783299127</v>
      </c>
      <c r="H49" s="50"/>
      <c r="K49" s="73">
        <f>_xlfn.IFNA(MATCH(J49,'Dist Factors'!$B$15:$B$431,0),0)</f>
        <v>0</v>
      </c>
      <c r="L49" s="50">
        <f t="shared" ca="1" si="21"/>
        <v>-2151619.3783299127</v>
      </c>
      <c r="N49" s="18" t="s">
        <v>243</v>
      </c>
      <c r="O49" s="73">
        <f>_xlfn.IFNA(MATCH(N49,'Dist Factors'!$B$15:$B$431,0),0)</f>
        <v>9</v>
      </c>
      <c r="P49" s="20">
        <f ca="1">OFFSET('Dist Factors'!$B$15,$O49-1,P$14)*$L49+OFFSET('Dist Factors'!$B$15,$K49-1,P$14)*$H49</f>
        <v>0</v>
      </c>
      <c r="R49" s="20">
        <f ca="1">OFFSET('Dist Factors'!$B$15,$O49-1,R$14)*$L49+OFFSET('Dist Factors'!$B$15,$K49-1,R$14)*$H49</f>
        <v>0</v>
      </c>
      <c r="S49" s="20"/>
      <c r="T49" s="20">
        <f ca="1">OFFSET('Dist Factors'!$B$15,$O49-1,T$14)*$L49+OFFSET('Dist Factors'!$B$15,$K49-1,T$14)*$H49</f>
        <v>0</v>
      </c>
      <c r="U49" s="20"/>
      <c r="V49" s="20">
        <f ca="1">OFFSET('Dist Factors'!$B$15,$O49-1,V$14)*$L49+OFFSET('Dist Factors'!$B$15,$K49-1,V$14)*$H49</f>
        <v>0</v>
      </c>
      <c r="W49" s="9"/>
      <c r="X49" s="20">
        <f ca="1">OFFSET('Dist Factors'!$B$15,$O49-1,X$14)*$L49+OFFSET('Dist Factors'!$B$15,$K49-1,X$14)*$H49</f>
        <v>0</v>
      </c>
      <c r="Y49" s="9"/>
      <c r="Z49" s="20">
        <f ca="1">OFFSET('Dist Factors'!$B$15,$O49-1,Z$14)*$L49+OFFSET('Dist Factors'!$B$15,$K49-1,Z$14)*$H49</f>
        <v>-2151619.3783299127</v>
      </c>
      <c r="AA49" s="20"/>
      <c r="AB49" s="20">
        <f ca="1">OFFSET('Dist Factors'!$B$15,$O49-1,AB$14)*$L49+OFFSET('Dist Factors'!$B$15,$K49-1,AB$14)*$H49</f>
        <v>0</v>
      </c>
      <c r="AC49" s="9"/>
      <c r="AD49" s="20">
        <f ca="1">OFFSET('Dist Factors'!$B$15,$O49-1,AD$14)*$L49+OFFSET('Dist Factors'!$B$15,$K49-1,AD$14)*$H49</f>
        <v>0</v>
      </c>
      <c r="AE49" s="9"/>
      <c r="AF49" s="20">
        <f ca="1">OFFSET('Dist Factors'!$B$15,$O49-1,AF$14)*$L49+OFFSET('Dist Factors'!$B$15,$K49-1,AF$14)*$H49</f>
        <v>0</v>
      </c>
      <c r="AG49" s="9"/>
      <c r="AH49" s="20">
        <f ca="1">OFFSET('Dist Factors'!$B$15,$O49-1,AH$14)*$L49+OFFSET('Dist Factors'!$B$15,$K49-1,AH$14)*$H49</f>
        <v>0</v>
      </c>
      <c r="AI49" s="9"/>
      <c r="AJ49" s="9">
        <f t="shared" ca="1" si="18"/>
        <v>-2151619.3783299127</v>
      </c>
      <c r="AL49" s="25" t="str">
        <f t="shared" ca="1" si="19"/>
        <v/>
      </c>
      <c r="AM49" s="51"/>
      <c r="AO49" s="38"/>
      <c r="AR49" s="50"/>
      <c r="AT49" s="50"/>
      <c r="AV49" s="50"/>
      <c r="AX49" s="50"/>
      <c r="AZ49" s="50"/>
      <c r="BB49" s="50"/>
      <c r="BD49" s="50"/>
      <c r="BF49" s="50"/>
      <c r="BH49" s="50"/>
      <c r="BJ49" s="50"/>
      <c r="BL49" s="50"/>
    </row>
    <row r="50" spans="2:64" x14ac:dyDescent="0.2">
      <c r="B50" s="18">
        <f t="shared" si="20"/>
        <v>27</v>
      </c>
      <c r="D50" s="1" t="s">
        <v>293</v>
      </c>
      <c r="F50" s="50">
        <f ca="1">Function!V50</f>
        <v>-656728.98608636635</v>
      </c>
      <c r="H50" s="50"/>
      <c r="K50" s="73">
        <f>_xlfn.IFNA(MATCH(J50,'Dist Factors'!$B$15:$B$431,0),0)</f>
        <v>0</v>
      </c>
      <c r="L50" s="50">
        <f t="shared" ca="1" si="21"/>
        <v>-656728.98608636635</v>
      </c>
      <c r="N50" s="18" t="s">
        <v>240</v>
      </c>
      <c r="O50" s="73">
        <f>_xlfn.IFNA(MATCH(N50,'Dist Factors'!$B$15:$B$431,0),0)</f>
        <v>6</v>
      </c>
      <c r="P50" s="20">
        <f ca="1">OFFSET('Dist Factors'!$B$15,$O50-1,P$14)*$L50+OFFSET('Dist Factors'!$B$15,$K50-1,P$14)*$H50</f>
        <v>0</v>
      </c>
      <c r="R50" s="20">
        <f ca="1">OFFSET('Dist Factors'!$B$15,$O50-1,R$14)*$L50+OFFSET('Dist Factors'!$B$15,$K50-1,R$14)*$H50</f>
        <v>0</v>
      </c>
      <c r="S50" s="20"/>
      <c r="T50" s="20">
        <f ca="1">OFFSET('Dist Factors'!$B$15,$O50-1,T$14)*$L50+OFFSET('Dist Factors'!$B$15,$K50-1,T$14)*$H50</f>
        <v>0</v>
      </c>
      <c r="U50" s="20"/>
      <c r="V50" s="20">
        <f ca="1">OFFSET('Dist Factors'!$B$15,$O50-1,V$14)*$L50+OFFSET('Dist Factors'!$B$15,$K50-1,V$14)*$H50</f>
        <v>0</v>
      </c>
      <c r="W50" s="9"/>
      <c r="X50" s="20">
        <f ca="1">OFFSET('Dist Factors'!$B$15,$O50-1,X$14)*$L50+OFFSET('Dist Factors'!$B$15,$K50-1,X$14)*$H50</f>
        <v>0</v>
      </c>
      <c r="Y50" s="9"/>
      <c r="Z50" s="20">
        <f ca="1">OFFSET('Dist Factors'!$B$15,$O50-1,Z$14)*$L50+OFFSET('Dist Factors'!$B$15,$K50-1,Z$14)*$H50</f>
        <v>0</v>
      </c>
      <c r="AA50" s="20"/>
      <c r="AB50" s="20">
        <f ca="1">OFFSET('Dist Factors'!$B$15,$O50-1,AB$14)*$L50+OFFSET('Dist Factors'!$B$15,$K50-1,AB$14)*$H50</f>
        <v>-656728.98608636635</v>
      </c>
      <c r="AC50" s="9"/>
      <c r="AD50" s="20">
        <f ca="1">OFFSET('Dist Factors'!$B$15,$O50-1,AD$14)*$L50+OFFSET('Dist Factors'!$B$15,$K50-1,AD$14)*$H50</f>
        <v>0</v>
      </c>
      <c r="AE50" s="9"/>
      <c r="AF50" s="20">
        <f ca="1">OFFSET('Dist Factors'!$B$15,$O50-1,AF$14)*$L50+OFFSET('Dist Factors'!$B$15,$K50-1,AF$14)*$H50</f>
        <v>0</v>
      </c>
      <c r="AG50" s="9"/>
      <c r="AH50" s="20">
        <f ca="1">OFFSET('Dist Factors'!$B$15,$O50-1,AH$14)*$L50+OFFSET('Dist Factors'!$B$15,$K50-1,AH$14)*$H50</f>
        <v>0</v>
      </c>
      <c r="AI50" s="9"/>
      <c r="AJ50" s="9">
        <f t="shared" ca="1" si="18"/>
        <v>-656728.98608636635</v>
      </c>
      <c r="AL50" s="25" t="str">
        <f t="shared" ca="1" si="19"/>
        <v/>
      </c>
      <c r="AM50" s="51"/>
      <c r="AO50" s="38"/>
      <c r="AR50" s="50"/>
      <c r="AT50" s="50"/>
      <c r="AV50" s="50"/>
      <c r="AX50" s="50"/>
      <c r="AZ50" s="50"/>
      <c r="BB50" s="50"/>
      <c r="BD50" s="50"/>
      <c r="BF50" s="50"/>
      <c r="BH50" s="50"/>
      <c r="BJ50" s="50"/>
      <c r="BL50" s="50"/>
    </row>
    <row r="51" spans="2:64" x14ac:dyDescent="0.2">
      <c r="B51" s="18">
        <f>B50+1</f>
        <v>28</v>
      </c>
      <c r="D51" s="1" t="s">
        <v>34</v>
      </c>
      <c r="F51" s="50">
        <f ca="1">Function!V51</f>
        <v>-167236.19894237144</v>
      </c>
      <c r="H51" s="50"/>
      <c r="K51" s="73">
        <f>_xlfn.IFNA(MATCH(J51,'Dist Factors'!$B$15:$B$431,0),0)</f>
        <v>0</v>
      </c>
      <c r="L51" s="50">
        <f t="shared" ca="1" si="21"/>
        <v>-167236.19894237144</v>
      </c>
      <c r="N51" s="18" t="s">
        <v>241</v>
      </c>
      <c r="O51" s="73">
        <f>_xlfn.IFNA(MATCH(N51,'Dist Factors'!$B$15:$B$431,0),0)</f>
        <v>15</v>
      </c>
      <c r="P51" s="20">
        <f ca="1">OFFSET('Dist Factors'!$B$15,$O51-1,P$14)*$L51+OFFSET('Dist Factors'!$B$15,$K51-1,P$14)*$H51</f>
        <v>0</v>
      </c>
      <c r="R51" s="20">
        <f ca="1">OFFSET('Dist Factors'!$B$15,$O51-1,R$14)*$L51+OFFSET('Dist Factors'!$B$15,$K51-1,R$14)*$H51</f>
        <v>0</v>
      </c>
      <c r="S51" s="20"/>
      <c r="T51" s="20">
        <f ca="1">OFFSET('Dist Factors'!$B$15,$O51-1,T$14)*$L51+OFFSET('Dist Factors'!$B$15,$K51-1,T$14)*$H51</f>
        <v>0</v>
      </c>
      <c r="U51" s="20"/>
      <c r="V51" s="20">
        <f ca="1">OFFSET('Dist Factors'!$B$15,$O51-1,V$14)*$L51+OFFSET('Dist Factors'!$B$15,$K51-1,V$14)*$H51</f>
        <v>0</v>
      </c>
      <c r="W51" s="9"/>
      <c r="X51" s="20">
        <f ca="1">OFFSET('Dist Factors'!$B$15,$O51-1,X$14)*$L51+OFFSET('Dist Factors'!$B$15,$K51-1,X$14)*$H51</f>
        <v>0</v>
      </c>
      <c r="Y51" s="9"/>
      <c r="Z51" s="20">
        <f ca="1">OFFSET('Dist Factors'!$B$15,$O51-1,Z$14)*$L51+OFFSET('Dist Factors'!$B$15,$K51-1,Z$14)*$H51</f>
        <v>0</v>
      </c>
      <c r="AA51" s="20"/>
      <c r="AB51" s="20">
        <f ca="1">OFFSET('Dist Factors'!$B$15,$O51-1,AB$14)*$L51+OFFSET('Dist Factors'!$B$15,$K51-1,AB$14)*$H51</f>
        <v>0</v>
      </c>
      <c r="AC51" s="9"/>
      <c r="AD51" s="20">
        <f ca="1">OFFSET('Dist Factors'!$B$15,$O51-1,AD$14)*$L51+OFFSET('Dist Factors'!$B$15,$K51-1,AD$14)*$H51</f>
        <v>-167236.19894237144</v>
      </c>
      <c r="AE51" s="9"/>
      <c r="AF51" s="20">
        <f ca="1">OFFSET('Dist Factors'!$B$15,$O51-1,AF$14)*$L51+OFFSET('Dist Factors'!$B$15,$K51-1,AF$14)*$H51</f>
        <v>0</v>
      </c>
      <c r="AG51" s="9"/>
      <c r="AH51" s="20">
        <f ca="1">OFFSET('Dist Factors'!$B$15,$O51-1,AH$14)*$L51+OFFSET('Dist Factors'!$B$15,$K51-1,AH$14)*$H51</f>
        <v>0</v>
      </c>
      <c r="AI51" s="9"/>
      <c r="AJ51" s="9">
        <f t="shared" ca="1" si="18"/>
        <v>-167236.19894237144</v>
      </c>
      <c r="AL51" s="25" t="str">
        <f t="shared" ca="1" si="19"/>
        <v/>
      </c>
      <c r="AM51" s="51"/>
      <c r="AO51" s="38"/>
      <c r="AR51" s="50"/>
      <c r="AT51" s="50"/>
      <c r="AV51" s="50"/>
      <c r="AX51" s="50"/>
      <c r="AZ51" s="50"/>
      <c r="BB51" s="50"/>
      <c r="BD51" s="50"/>
      <c r="BF51" s="50"/>
      <c r="BH51" s="50"/>
      <c r="BJ51" s="50"/>
      <c r="BL51" s="50"/>
    </row>
    <row r="52" spans="2:64" x14ac:dyDescent="0.2">
      <c r="B52" s="18">
        <f>B51+1</f>
        <v>29</v>
      </c>
      <c r="D52" s="1" t="s">
        <v>77</v>
      </c>
      <c r="F52" s="50">
        <f ca="1">Function!V52</f>
        <v>0</v>
      </c>
      <c r="H52" s="50"/>
      <c r="K52" s="73">
        <f>_xlfn.IFNA(MATCH(J52,'Dist Factors'!$B$15:$B$431,0),0)</f>
        <v>0</v>
      </c>
      <c r="L52" s="50">
        <f t="shared" ca="1" si="21"/>
        <v>0</v>
      </c>
      <c r="N52" s="18" t="s">
        <v>534</v>
      </c>
      <c r="O52" s="73">
        <f>_xlfn.IFNA(MATCH(N52,'Dist Factors'!$B$15:$B$431,0),0)</f>
        <v>33</v>
      </c>
      <c r="P52" s="20">
        <f ca="1">OFFSET('Dist Factors'!$B$15,$O52-1,P$14)*$L52+OFFSET('Dist Factors'!$B$15,$K52-1,P$14)*$H52</f>
        <v>0</v>
      </c>
      <c r="R52" s="20">
        <f ca="1">OFFSET('Dist Factors'!$B$15,$O52-1,R$14)*$L52+OFFSET('Dist Factors'!$B$15,$K52-1,R$14)*$H52</f>
        <v>0</v>
      </c>
      <c r="S52" s="20"/>
      <c r="T52" s="20">
        <f ca="1">OFFSET('Dist Factors'!$B$15,$O52-1,T$14)*$L52+OFFSET('Dist Factors'!$B$15,$K52-1,T$14)*$H52</f>
        <v>0</v>
      </c>
      <c r="U52" s="20"/>
      <c r="V52" s="20">
        <f ca="1">OFFSET('Dist Factors'!$B$15,$O52-1,V$14)*$L52+OFFSET('Dist Factors'!$B$15,$K52-1,V$14)*$H52</f>
        <v>0</v>
      </c>
      <c r="W52" s="9"/>
      <c r="X52" s="20">
        <f ca="1">OFFSET('Dist Factors'!$B$15,$O52-1,X$14)*$L52+OFFSET('Dist Factors'!$B$15,$K52-1,X$14)*$H52</f>
        <v>0</v>
      </c>
      <c r="Y52" s="9"/>
      <c r="Z52" s="20">
        <f ca="1">OFFSET('Dist Factors'!$B$15,$O52-1,Z$14)*$L52+OFFSET('Dist Factors'!$B$15,$K52-1,Z$14)*$H52</f>
        <v>0</v>
      </c>
      <c r="AA52" s="20"/>
      <c r="AB52" s="20">
        <f ca="1">OFFSET('Dist Factors'!$B$15,$O52-1,AB$14)*$L52+OFFSET('Dist Factors'!$B$15,$K52-1,AB$14)*$H52</f>
        <v>0</v>
      </c>
      <c r="AC52" s="9"/>
      <c r="AD52" s="20">
        <f ca="1">OFFSET('Dist Factors'!$B$15,$O52-1,AD$14)*$L52+OFFSET('Dist Factors'!$B$15,$K52-1,AD$14)*$H52</f>
        <v>0</v>
      </c>
      <c r="AE52" s="9"/>
      <c r="AF52" s="20">
        <f ca="1">OFFSET('Dist Factors'!$B$15,$O52-1,AF$14)*$L52+OFFSET('Dist Factors'!$B$15,$K52-1,AF$14)*$H52</f>
        <v>0</v>
      </c>
      <c r="AG52" s="9"/>
      <c r="AH52" s="20">
        <f ca="1">OFFSET('Dist Factors'!$B$15,$O52-1,AH$14)*$L52+OFFSET('Dist Factors'!$B$15,$K52-1,AH$14)*$H52</f>
        <v>0</v>
      </c>
      <c r="AI52" s="9"/>
      <c r="AJ52" s="9">
        <f t="shared" ca="1" si="18"/>
        <v>0</v>
      </c>
      <c r="AL52" s="25" t="str">
        <f t="shared" ca="1" si="19"/>
        <v/>
      </c>
      <c r="AM52" s="51"/>
      <c r="AO52" s="38"/>
      <c r="AR52" s="50"/>
      <c r="AT52" s="50"/>
      <c r="AV52" s="50"/>
      <c r="AX52" s="50"/>
      <c r="AZ52" s="50"/>
      <c r="BB52" s="50"/>
      <c r="BD52" s="50"/>
      <c r="BF52" s="50"/>
      <c r="BH52" s="50"/>
      <c r="BJ52" s="50"/>
      <c r="BL52" s="50"/>
    </row>
    <row r="53" spans="2:64" x14ac:dyDescent="0.2">
      <c r="B53" s="18">
        <f t="shared" si="20"/>
        <v>30</v>
      </c>
      <c r="D53" s="1" t="s">
        <v>298</v>
      </c>
      <c r="F53" s="41">
        <f ca="1">SUM(F40:F52)</f>
        <v>-6647041.7818231182</v>
      </c>
      <c r="H53" s="41">
        <f>SUM(H40:H52)</f>
        <v>0</v>
      </c>
      <c r="K53" s="74"/>
      <c r="L53" s="41">
        <f ca="1">SUM(L40:L52)</f>
        <v>-6647041.7818231182</v>
      </c>
      <c r="P53" s="11">
        <f ca="1">SUM(P40:P52)</f>
        <v>-1025756.3093345966</v>
      </c>
      <c r="Q53" s="12"/>
      <c r="R53" s="11">
        <f ca="1">SUM(R40:R52)</f>
        <v>-196190.82956576208</v>
      </c>
      <c r="S53" s="13"/>
      <c r="T53" s="11">
        <f ca="1">SUM(T40:T52)</f>
        <v>-1040573.5382666494</v>
      </c>
      <c r="U53" s="13"/>
      <c r="V53" s="11">
        <f ca="1">SUM(V40:V52)</f>
        <v>0</v>
      </c>
      <c r="W53" s="13"/>
      <c r="X53" s="11">
        <f ca="1">SUM(X40:X52)</f>
        <v>-1401865.260357647</v>
      </c>
      <c r="Y53" s="13"/>
      <c r="Z53" s="11">
        <f ca="1">SUM(Z40:Z52)</f>
        <v>-2151619.3783299127</v>
      </c>
      <c r="AA53" s="13"/>
      <c r="AB53" s="11">
        <f ca="1">SUM(AB40:AB52)</f>
        <v>-656728.98608636635</v>
      </c>
      <c r="AC53" s="13"/>
      <c r="AD53" s="11">
        <f ca="1">SUM(AD40:AD52)</f>
        <v>-174307.47988218354</v>
      </c>
      <c r="AE53" s="13"/>
      <c r="AF53" s="11">
        <f ca="1">SUM(AF40:AF52)</f>
        <v>0</v>
      </c>
      <c r="AG53" s="13"/>
      <c r="AH53" s="11">
        <f ca="1">SUM(AH40:AH52)</f>
        <v>0</v>
      </c>
      <c r="AI53" s="13"/>
      <c r="AJ53" s="11">
        <f t="shared" ca="1" si="18"/>
        <v>-6647041.7818231182</v>
      </c>
      <c r="AK53" s="8"/>
      <c r="AL53" s="25" t="str">
        <f t="shared" ca="1" si="19"/>
        <v/>
      </c>
      <c r="AM53" s="51"/>
      <c r="AO53" s="38"/>
      <c r="AR53" s="38"/>
      <c r="AT53" s="38"/>
      <c r="AV53" s="38"/>
      <c r="AX53" s="38"/>
      <c r="AZ53" s="38"/>
      <c r="BB53" s="38"/>
      <c r="BD53" s="38"/>
      <c r="BF53" s="38"/>
      <c r="BH53" s="38"/>
      <c r="BJ53" s="38"/>
      <c r="BL53" s="38"/>
    </row>
    <row r="54" spans="2:64" x14ac:dyDescent="0.2">
      <c r="K54" s="74"/>
      <c r="AJ54" s="8"/>
      <c r="AL54" s="25" t="str">
        <f t="shared" si="19"/>
        <v/>
      </c>
      <c r="AM54" s="51"/>
    </row>
    <row r="55" spans="2:64" x14ac:dyDescent="0.2">
      <c r="B55" s="18">
        <f>B53+1</f>
        <v>31</v>
      </c>
      <c r="D55" s="1" t="s">
        <v>196</v>
      </c>
      <c r="F55" s="50">
        <f ca="1">Function!V55</f>
        <v>-339597.40146953578</v>
      </c>
      <c r="H55" s="50"/>
      <c r="K55" s="73">
        <f>_xlfn.IFNA(MATCH(J55,'Dist Factors'!$B$15:$B$431,0),0)</f>
        <v>0</v>
      </c>
      <c r="L55" s="50">
        <f t="shared" ref="L55" ca="1" si="22">F55-H55</f>
        <v>-339597.40146953578</v>
      </c>
      <c r="N55" s="18" t="s">
        <v>121</v>
      </c>
      <c r="O55" s="73">
        <f>_xlfn.IFNA(MATCH(N55,'Dist Factors'!$B$15:$B$431,0),0)</f>
        <v>27</v>
      </c>
      <c r="P55" s="20">
        <f ca="1">OFFSET('Dist Factors'!$B$15,$O55-1,P$14)*$L55+OFFSET('Dist Factors'!$B$15,$K55-1,P$14)*$H55</f>
        <v>-44854.192742307161</v>
      </c>
      <c r="R55" s="20">
        <f ca="1">OFFSET('Dist Factors'!$B$15,$O55-1,R$14)*$L55+OFFSET('Dist Factors'!$B$15,$K55-1,R$14)*$H55</f>
        <v>-8579.0174562263564</v>
      </c>
      <c r="S55" s="20"/>
      <c r="T55" s="20">
        <f ca="1">OFFSET('Dist Factors'!$B$15,$O55-1,T$14)*$L55+OFFSET('Dist Factors'!$B$15,$K55-1,T$14)*$H55</f>
        <v>-45502.119385679507</v>
      </c>
      <c r="U55" s="20"/>
      <c r="V55" s="20">
        <f ca="1">OFFSET('Dist Factors'!$B$15,$O55-1,V$14)*$L55+OFFSET('Dist Factors'!$B$15,$K55-1,V$14)*$H55</f>
        <v>-13872.238224758632</v>
      </c>
      <c r="W55" s="9"/>
      <c r="X55" s="20">
        <f ca="1">OFFSET('Dist Factors'!$B$15,$O55-1,X$14)*$L55+OFFSET('Dist Factors'!$B$15,$K55-1,X$14)*$H55</f>
        <v>-60014.947313922363</v>
      </c>
      <c r="Y55" s="9"/>
      <c r="Z55" s="20">
        <f ca="1">OFFSET('Dist Factors'!$B$15,$O55-1,Z$14)*$L55+OFFSET('Dist Factors'!$B$15,$K55-1,Z$14)*$H55</f>
        <v>-82698.484233144423</v>
      </c>
      <c r="AA55" s="20"/>
      <c r="AB55" s="20">
        <f ca="1">OFFSET('Dist Factors'!$B$15,$O55-1,AB$14)*$L55+OFFSET('Dist Factors'!$B$15,$K55-1,AB$14)*$H55</f>
        <v>-29805.232711637571</v>
      </c>
      <c r="AC55" s="9"/>
      <c r="AD55" s="20">
        <f ca="1">OFFSET('Dist Factors'!$B$15,$O55-1,AD$14)*$L55+OFFSET('Dist Factors'!$B$15,$K55-1,AD$14)*$H55</f>
        <v>-7310.6234091328388</v>
      </c>
      <c r="AE55" s="9"/>
      <c r="AF55" s="20">
        <f ca="1">OFFSET('Dist Factors'!$B$15,$O55-1,AF$14)*$L55+OFFSET('Dist Factors'!$B$15,$K55-1,AF$14)*$H55</f>
        <v>-46960.545992726933</v>
      </c>
      <c r="AG55" s="9"/>
      <c r="AH55" s="20">
        <f ca="1">OFFSET('Dist Factors'!$B$15,$O55-1,AH$14)*$L55+OFFSET('Dist Factors'!$B$15,$K55-1,AH$14)*$H55</f>
        <v>6.51564200733175E-14</v>
      </c>
      <c r="AI55" s="9"/>
      <c r="AJ55" s="9">
        <f ca="1">SUM(P55:AI55)</f>
        <v>-339597.40146953578</v>
      </c>
      <c r="AL55" s="25" t="str">
        <f t="shared" ca="1" si="19"/>
        <v/>
      </c>
      <c r="AM55" s="51"/>
    </row>
    <row r="56" spans="2:64" x14ac:dyDescent="0.2">
      <c r="K56" s="74"/>
      <c r="AJ56" s="8"/>
      <c r="AL56" s="25" t="str">
        <f t="shared" si="19"/>
        <v/>
      </c>
      <c r="AM56" s="51"/>
    </row>
    <row r="57" spans="2:64" x14ac:dyDescent="0.2">
      <c r="B57" s="18">
        <f>B55+1</f>
        <v>32</v>
      </c>
      <c r="D57" s="1" t="s">
        <v>393</v>
      </c>
      <c r="F57" s="41">
        <f ca="1">F53+F55</f>
        <v>-6986639.1832926543</v>
      </c>
      <c r="H57" s="41">
        <f>H53+H55</f>
        <v>0</v>
      </c>
      <c r="K57" s="74"/>
      <c r="L57" s="41">
        <f ca="1">L53+L55</f>
        <v>-6986639.1832926543</v>
      </c>
      <c r="P57" s="10">
        <f ca="1">P53+P55</f>
        <v>-1070610.5020769038</v>
      </c>
      <c r="Q57" s="14"/>
      <c r="R57" s="10">
        <f ca="1">R53+R55</f>
        <v>-204769.84702198842</v>
      </c>
      <c r="S57" s="8"/>
      <c r="T57" s="10">
        <f ca="1">T53+T55</f>
        <v>-1086075.657652329</v>
      </c>
      <c r="U57" s="8"/>
      <c r="V57" s="10">
        <f ca="1">V53+V55</f>
        <v>-13872.238224758632</v>
      </c>
      <c r="W57" s="8"/>
      <c r="X57" s="10">
        <f ca="1">X53+X55</f>
        <v>-1461880.2076715694</v>
      </c>
      <c r="Y57" s="8"/>
      <c r="Z57" s="10">
        <f ca="1">Z53+Z55</f>
        <v>-2234317.8625630569</v>
      </c>
      <c r="AA57" s="8"/>
      <c r="AB57" s="10">
        <f ca="1">AB53+AB55</f>
        <v>-686534.21879800397</v>
      </c>
      <c r="AC57" s="8"/>
      <c r="AD57" s="10">
        <f ca="1">AD53+AD55</f>
        <v>-181618.10329131639</v>
      </c>
      <c r="AE57" s="8"/>
      <c r="AF57" s="10">
        <f ca="1">AF53+AF55</f>
        <v>-46960.545992726933</v>
      </c>
      <c r="AG57" s="8"/>
      <c r="AH57" s="10">
        <f ca="1">AH53+AH55</f>
        <v>6.51564200733175E-14</v>
      </c>
      <c r="AI57" s="8"/>
      <c r="AJ57" s="10">
        <f ca="1">AJ53+AJ55</f>
        <v>-6986639.1832926543</v>
      </c>
      <c r="AL57" s="25" t="str">
        <f t="shared" ca="1" si="19"/>
        <v/>
      </c>
      <c r="AM57" s="51"/>
    </row>
    <row r="58" spans="2:64" x14ac:dyDescent="0.2">
      <c r="D58" s="6"/>
      <c r="E58" s="6"/>
      <c r="F58" s="77"/>
      <c r="H58" s="77"/>
      <c r="K58" s="74"/>
      <c r="L58" s="77"/>
      <c r="AL58" s="25" t="str">
        <f t="shared" si="19"/>
        <v/>
      </c>
      <c r="AM58" s="51"/>
    </row>
    <row r="59" spans="2:64" x14ac:dyDescent="0.2">
      <c r="K59" s="74"/>
      <c r="AL59" s="25" t="str">
        <f t="shared" si="19"/>
        <v/>
      </c>
      <c r="AM59" s="51"/>
    </row>
    <row r="60" spans="2:64" x14ac:dyDescent="0.2">
      <c r="D60" s="6" t="s">
        <v>17</v>
      </c>
      <c r="E60" s="7"/>
      <c r="F60" s="78"/>
      <c r="K60" s="74"/>
      <c r="AL60" s="27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L60" s="2"/>
    </row>
    <row r="61" spans="2:64" x14ac:dyDescent="0.2">
      <c r="K61" s="74"/>
      <c r="AL61" s="25" t="str">
        <f t="shared" ref="AL61" si="23">IF(ROUND(L61,4)=ROUND(AJ61,4), "", "check")</f>
        <v/>
      </c>
      <c r="AM61" s="51"/>
    </row>
    <row r="62" spans="2:64" x14ac:dyDescent="0.2">
      <c r="B62" s="18">
        <f>B57+1</f>
        <v>33</v>
      </c>
      <c r="D62" s="1" t="s">
        <v>76</v>
      </c>
      <c r="F62" s="50">
        <f ca="1">Function!V62</f>
        <v>111376.57056194174</v>
      </c>
      <c r="H62" s="50"/>
      <c r="J62" s="2"/>
      <c r="K62" s="73">
        <f>_xlfn.IFNA(MATCH(J62,'Dist Factors'!$B$15:$B$431,0),0)</f>
        <v>0</v>
      </c>
      <c r="L62" s="50">
        <f ca="1">F62-H62</f>
        <v>111376.57056194174</v>
      </c>
      <c r="O62" s="73">
        <f>_xlfn.IFNA(MATCH(N62,'Dist Factors'!$B$15:$B$431,0),0)</f>
        <v>0</v>
      </c>
      <c r="P62" s="20">
        <f ca="1">P18+P40</f>
        <v>31002.810122636201</v>
      </c>
      <c r="R62" s="20">
        <f ca="1">R18+R40</f>
        <v>5929.7388487675689</v>
      </c>
      <c r="S62" s="20"/>
      <c r="T62" s="20">
        <f ca="1">T18+T40</f>
        <v>31450.651126336237</v>
      </c>
      <c r="U62" s="20"/>
      <c r="V62" s="20">
        <f ca="1">V18+V40</f>
        <v>0</v>
      </c>
      <c r="X62" s="20">
        <f ca="1">X18+X40</f>
        <v>42993.370464201733</v>
      </c>
      <c r="Y62" s="9"/>
      <c r="Z62" s="20">
        <f ca="1">Z18+Z40</f>
        <v>0</v>
      </c>
      <c r="AA62" s="20"/>
      <c r="AB62" s="20">
        <f ca="1">AB18+AB40</f>
        <v>0</v>
      </c>
      <c r="AC62" s="9"/>
      <c r="AD62" s="20">
        <f ca="1">AD18+AD40</f>
        <v>0</v>
      </c>
      <c r="AE62" s="9"/>
      <c r="AF62" s="20">
        <f ca="1">AF18+AF40</f>
        <v>0</v>
      </c>
      <c r="AG62" s="9"/>
      <c r="AH62" s="20">
        <f ca="1">AH18+AH40</f>
        <v>0</v>
      </c>
      <c r="AI62" s="9"/>
      <c r="AJ62" s="9">
        <f t="shared" ref="AJ62:AJ75" ca="1" si="24">SUM(P62:AI62)</f>
        <v>111376.57056194174</v>
      </c>
      <c r="AL62" s="25" t="str">
        <f ca="1">IF(ROUND(F62,4)=ROUND(AJ62,4), "", "check")</f>
        <v/>
      </c>
      <c r="AM62" s="51"/>
      <c r="AO62" s="38"/>
      <c r="AR62" s="50"/>
      <c r="AT62" s="50"/>
      <c r="AV62" s="50"/>
      <c r="AX62" s="50"/>
      <c r="AZ62" s="50"/>
      <c r="BB62" s="50"/>
      <c r="BD62" s="50"/>
      <c r="BF62" s="50"/>
      <c r="BH62" s="50"/>
      <c r="BJ62" s="50"/>
      <c r="BL62" s="50"/>
    </row>
    <row r="63" spans="2:64" x14ac:dyDescent="0.2">
      <c r="B63" s="18">
        <f>B62+1</f>
        <v>34</v>
      </c>
      <c r="D63" s="1" t="s">
        <v>75</v>
      </c>
      <c r="F63" s="50">
        <f ca="1">Function!V63</f>
        <v>69997.253196129066</v>
      </c>
      <c r="H63" s="50"/>
      <c r="J63" s="2"/>
      <c r="K63" s="73">
        <f>_xlfn.IFNA(MATCH(J63,'Dist Factors'!$B$15:$B$431,0),0)</f>
        <v>0</v>
      </c>
      <c r="L63" s="50">
        <f ca="1">F63-H63</f>
        <v>69997.253196129066</v>
      </c>
      <c r="O63" s="73">
        <f>_xlfn.IFNA(MATCH(N63,'Dist Factors'!$B$15:$B$431,0),0)</f>
        <v>0</v>
      </c>
      <c r="P63" s="20">
        <f t="shared" ref="P63:R74" ca="1" si="25">P19+P41</f>
        <v>19601.927751483694</v>
      </c>
      <c r="R63" s="20">
        <f t="shared" ca="1" si="25"/>
        <v>3749.1540940619902</v>
      </c>
      <c r="S63" s="20"/>
      <c r="T63" s="20">
        <f t="shared" ref="T63" ca="1" si="26">T19+T41</f>
        <v>19885.081019331203</v>
      </c>
      <c r="U63" s="20"/>
      <c r="V63" s="20">
        <f t="shared" ref="V63" ca="1" si="27">V19+V41</f>
        <v>0</v>
      </c>
      <c r="X63" s="20">
        <f t="shared" ref="X63" ca="1" si="28">X19+X41</f>
        <v>26761.090331252162</v>
      </c>
      <c r="Y63" s="9"/>
      <c r="Z63" s="20">
        <f t="shared" ref="Z63" ca="1" si="29">Z19+Z41</f>
        <v>0</v>
      </c>
      <c r="AA63" s="20"/>
      <c r="AB63" s="20">
        <f t="shared" ref="AB63" ca="1" si="30">AB19+AB41</f>
        <v>0</v>
      </c>
      <c r="AC63" s="9"/>
      <c r="AD63" s="20">
        <f t="shared" ref="AD63" ca="1" si="31">AD19+AD41</f>
        <v>0</v>
      </c>
      <c r="AE63" s="9"/>
      <c r="AF63" s="20">
        <f t="shared" ref="AF63" ca="1" si="32">AF19+AF41</f>
        <v>0</v>
      </c>
      <c r="AG63" s="9"/>
      <c r="AH63" s="20">
        <f t="shared" ref="AH63" ca="1" si="33">AH19+AH41</f>
        <v>0</v>
      </c>
      <c r="AI63" s="9"/>
      <c r="AJ63" s="9">
        <f t="shared" ca="1" si="24"/>
        <v>69997.253196129052</v>
      </c>
      <c r="AL63" s="25" t="str">
        <f t="shared" ref="AL63:AL122" ca="1" si="34">IF(ROUND(F63,4)=ROUND(AJ63,4), "", "check")</f>
        <v/>
      </c>
      <c r="AM63" s="51"/>
      <c r="AO63" s="38"/>
      <c r="AR63" s="50"/>
      <c r="AT63" s="50"/>
      <c r="AV63" s="50"/>
      <c r="AX63" s="50"/>
      <c r="AZ63" s="50"/>
      <c r="BB63" s="50"/>
      <c r="BD63" s="50"/>
      <c r="BF63" s="50"/>
      <c r="BH63" s="50"/>
      <c r="BJ63" s="50"/>
      <c r="BL63" s="50"/>
    </row>
    <row r="64" spans="2:64" x14ac:dyDescent="0.2">
      <c r="B64" s="18">
        <f t="shared" ref="B64:B75" si="35">B63+1</f>
        <v>35</v>
      </c>
      <c r="D64" s="1" t="s">
        <v>19</v>
      </c>
      <c r="F64" s="50">
        <f ca="1">Function!V64</f>
        <v>227263.44719098904</v>
      </c>
      <c r="H64" s="50"/>
      <c r="J64" s="2"/>
      <c r="K64" s="73">
        <f>_xlfn.IFNA(MATCH(J64,'Dist Factors'!$B$15:$B$431,0),0)</f>
        <v>0</v>
      </c>
      <c r="L64" s="50">
        <f t="shared" ref="L64:L74" ca="1" si="36">F64-H64</f>
        <v>227263.44719098904</v>
      </c>
      <c r="O64" s="73">
        <f>_xlfn.IFNA(MATCH(N64,'Dist Factors'!$B$15:$B$431,0),0)</f>
        <v>0</v>
      </c>
      <c r="P64" s="20">
        <f t="shared" ca="1" si="25"/>
        <v>64193.465652953833</v>
      </c>
      <c r="R64" s="20">
        <f t="shared" ca="1" si="25"/>
        <v>12277.934987622983</v>
      </c>
      <c r="S64" s="20"/>
      <c r="T64" s="20">
        <f t="shared" ref="T64" ca="1" si="37">T20+T42</f>
        <v>65120.751469151932</v>
      </c>
      <c r="U64" s="20"/>
      <c r="V64" s="20">
        <f t="shared" ref="V64" ca="1" si="38">V20+V42</f>
        <v>0</v>
      </c>
      <c r="W64" s="9"/>
      <c r="X64" s="20">
        <f t="shared" ref="X64" ca="1" si="39">X20+X42</f>
        <v>85671.295081260309</v>
      </c>
      <c r="Y64" s="9"/>
      <c r="Z64" s="20">
        <f t="shared" ref="Z64" ca="1" si="40">Z20+Z42</f>
        <v>0</v>
      </c>
      <c r="AA64" s="20"/>
      <c r="AB64" s="20">
        <f t="shared" ref="AB64" ca="1" si="41">AB20+AB42</f>
        <v>0</v>
      </c>
      <c r="AC64" s="9"/>
      <c r="AD64" s="20">
        <f t="shared" ref="AD64" ca="1" si="42">AD20+AD42</f>
        <v>0</v>
      </c>
      <c r="AE64" s="9"/>
      <c r="AF64" s="20">
        <f t="shared" ref="AF64" ca="1" si="43">AF20+AF42</f>
        <v>0</v>
      </c>
      <c r="AG64" s="9"/>
      <c r="AH64" s="20">
        <f t="shared" ref="AH64" ca="1" si="44">AH20+AH42</f>
        <v>0</v>
      </c>
      <c r="AI64" s="9"/>
      <c r="AJ64" s="9">
        <f t="shared" ca="1" si="24"/>
        <v>227263.44719098904</v>
      </c>
      <c r="AL64" s="25" t="str">
        <f t="shared" ca="1" si="34"/>
        <v/>
      </c>
      <c r="AM64" s="51"/>
      <c r="AO64" s="38"/>
      <c r="AR64" s="50"/>
      <c r="AT64" s="50"/>
      <c r="AV64" s="50"/>
      <c r="AX64" s="50"/>
      <c r="AZ64" s="50"/>
      <c r="BB64" s="50"/>
      <c r="BD64" s="50"/>
      <c r="BF64" s="50"/>
      <c r="BH64" s="50"/>
      <c r="BJ64" s="50"/>
      <c r="BL64" s="50"/>
    </row>
    <row r="65" spans="2:64" x14ac:dyDescent="0.2">
      <c r="B65" s="18">
        <f t="shared" si="35"/>
        <v>36</v>
      </c>
      <c r="D65" s="1" t="s">
        <v>21</v>
      </c>
      <c r="F65" s="50">
        <f ca="1">Function!V65</f>
        <v>667898.01332843932</v>
      </c>
      <c r="H65" s="50"/>
      <c r="J65" s="2"/>
      <c r="K65" s="73">
        <f>_xlfn.IFNA(MATCH(J65,'Dist Factors'!$B$15:$B$431,0),0)</f>
        <v>0</v>
      </c>
      <c r="L65" s="50">
        <f t="shared" ca="1" si="36"/>
        <v>667898.01332843932</v>
      </c>
      <c r="O65" s="73">
        <f>_xlfn.IFNA(MATCH(N65,'Dist Factors'!$B$15:$B$431,0),0)</f>
        <v>0</v>
      </c>
      <c r="P65" s="20">
        <f t="shared" ca="1" si="25"/>
        <v>302804.12819100986</v>
      </c>
      <c r="R65" s="20">
        <f t="shared" ca="1" si="25"/>
        <v>57915.69846084484</v>
      </c>
      <c r="S65" s="20"/>
      <c r="T65" s="20">
        <f t="shared" ref="T65" ca="1" si="45">T21+T43</f>
        <v>307178.18667658465</v>
      </c>
      <c r="U65" s="20"/>
      <c r="V65" s="20">
        <f t="shared" ref="V65" ca="1" si="46">V21+V43</f>
        <v>0</v>
      </c>
      <c r="W65" s="9"/>
      <c r="X65" s="20">
        <f t="shared" ref="X65" ca="1" si="47">X21+X43</f>
        <v>0</v>
      </c>
      <c r="Y65" s="9"/>
      <c r="Z65" s="20">
        <f t="shared" ref="Z65" ca="1" si="48">Z21+Z43</f>
        <v>0</v>
      </c>
      <c r="AA65" s="20"/>
      <c r="AB65" s="20">
        <f t="shared" ref="AB65" ca="1" si="49">AB21+AB43</f>
        <v>0</v>
      </c>
      <c r="AC65" s="9"/>
      <c r="AD65" s="20">
        <f t="shared" ref="AD65" ca="1" si="50">AD21+AD43</f>
        <v>0</v>
      </c>
      <c r="AE65" s="9"/>
      <c r="AF65" s="20">
        <f t="shared" ref="AF65" ca="1" si="51">AF21+AF43</f>
        <v>0</v>
      </c>
      <c r="AG65" s="9"/>
      <c r="AH65" s="20">
        <f t="shared" ref="AH65" ca="1" si="52">AH21+AH43</f>
        <v>0</v>
      </c>
      <c r="AI65" s="9"/>
      <c r="AJ65" s="9">
        <f t="shared" ca="1" si="24"/>
        <v>667898.01332843932</v>
      </c>
      <c r="AL65" s="25" t="str">
        <f t="shared" ca="1" si="34"/>
        <v/>
      </c>
      <c r="AM65" s="51"/>
      <c r="AO65" s="38"/>
      <c r="AR65" s="50"/>
      <c r="AT65" s="50"/>
      <c r="AV65" s="50"/>
      <c r="AX65" s="50"/>
      <c r="AZ65" s="50"/>
      <c r="BB65" s="50"/>
      <c r="BD65" s="50"/>
      <c r="BF65" s="50"/>
      <c r="BH65" s="50"/>
      <c r="BJ65" s="50"/>
      <c r="BL65" s="50"/>
    </row>
    <row r="66" spans="2:64" x14ac:dyDescent="0.2">
      <c r="B66" s="18">
        <f t="shared" si="35"/>
        <v>37</v>
      </c>
      <c r="D66" s="1" t="s">
        <v>23</v>
      </c>
      <c r="F66" s="50">
        <f ca="1">Function!V66</f>
        <v>5624271.2994939499</v>
      </c>
      <c r="H66" s="50"/>
      <c r="J66" s="2"/>
      <c r="K66" s="73">
        <f>_xlfn.IFNA(MATCH(J66,'Dist Factors'!$B$15:$B$431,0),0)</f>
        <v>0</v>
      </c>
      <c r="L66" s="50">
        <f t="shared" ca="1" si="36"/>
        <v>5624271.2994939499</v>
      </c>
      <c r="O66" s="73">
        <f>_xlfn.IFNA(MATCH(N66,'Dist Factors'!$B$15:$B$431,0),0)</f>
        <v>0</v>
      </c>
      <c r="P66" s="20">
        <f t="shared" ca="1" si="25"/>
        <v>1458880.5619582108</v>
      </c>
      <c r="R66" s="20">
        <f t="shared" ca="1" si="25"/>
        <v>279032.14933536749</v>
      </c>
      <c r="S66" s="20"/>
      <c r="T66" s="20">
        <f t="shared" ref="T66" ca="1" si="53">T22+T44</f>
        <v>1479954.3463203846</v>
      </c>
      <c r="U66" s="20"/>
      <c r="V66" s="20">
        <f t="shared" ref="V66" ca="1" si="54">V22+V44</f>
        <v>0</v>
      </c>
      <c r="W66" s="9"/>
      <c r="X66" s="20">
        <f t="shared" ref="X66" ca="1" si="55">X22+X44</f>
        <v>2406404.2418799866</v>
      </c>
      <c r="Y66" s="9"/>
      <c r="Z66" s="20">
        <f t="shared" ref="Z66" ca="1" si="56">Z22+Z44</f>
        <v>0</v>
      </c>
      <c r="AA66" s="20"/>
      <c r="AB66" s="20">
        <f t="shared" ref="AB66" ca="1" si="57">AB22+AB44</f>
        <v>0</v>
      </c>
      <c r="AC66" s="9"/>
      <c r="AD66" s="20">
        <f t="shared" ref="AD66" ca="1" si="58">AD22+AD44</f>
        <v>0</v>
      </c>
      <c r="AE66" s="9"/>
      <c r="AF66" s="20">
        <f t="shared" ref="AF66" ca="1" si="59">AF22+AF44</f>
        <v>0</v>
      </c>
      <c r="AG66" s="9"/>
      <c r="AH66" s="20">
        <f t="shared" ref="AH66" ca="1" si="60">AH22+AH44</f>
        <v>0</v>
      </c>
      <c r="AI66" s="9"/>
      <c r="AJ66" s="9">
        <f t="shared" ca="1" si="24"/>
        <v>5624271.2994939499</v>
      </c>
      <c r="AL66" s="25" t="str">
        <f t="shared" ca="1" si="34"/>
        <v/>
      </c>
      <c r="AM66" s="51"/>
      <c r="AO66" s="38"/>
      <c r="AR66" s="50"/>
      <c r="AT66" s="50"/>
      <c r="AV66" s="50"/>
      <c r="AX66" s="50"/>
      <c r="AZ66" s="50"/>
      <c r="BB66" s="50"/>
      <c r="BD66" s="50"/>
      <c r="BF66" s="50"/>
      <c r="BH66" s="50"/>
      <c r="BJ66" s="50"/>
      <c r="BL66" s="50"/>
    </row>
    <row r="67" spans="2:64" x14ac:dyDescent="0.2">
      <c r="B67" s="18">
        <f t="shared" si="35"/>
        <v>38</v>
      </c>
      <c r="D67" s="1" t="s">
        <v>25</v>
      </c>
      <c r="F67" s="50">
        <f ca="1">Function!V67</f>
        <v>30480.9594626865</v>
      </c>
      <c r="H67" s="50"/>
      <c r="K67" s="73">
        <f>_xlfn.IFNA(MATCH(J67,'Dist Factors'!$B$15:$B$431,0),0)</f>
        <v>0</v>
      </c>
      <c r="L67" s="50">
        <f t="shared" ca="1" si="36"/>
        <v>30480.9594626865</v>
      </c>
      <c r="O67" s="73">
        <f>_xlfn.IFNA(MATCH(N67,'Dist Factors'!$B$15:$B$431,0),0)</f>
        <v>0</v>
      </c>
      <c r="P67" s="20">
        <f t="shared" ca="1" si="25"/>
        <v>0</v>
      </c>
      <c r="R67" s="20">
        <f t="shared" ca="1" si="25"/>
        <v>0</v>
      </c>
      <c r="S67" s="20"/>
      <c r="T67" s="20">
        <f t="shared" ref="T67" ca="1" si="61">T23+T45</f>
        <v>0</v>
      </c>
      <c r="U67" s="20"/>
      <c r="V67" s="20">
        <f t="shared" ref="V67" ca="1" si="62">V23+V45</f>
        <v>0</v>
      </c>
      <c r="W67" s="9"/>
      <c r="X67" s="20">
        <f t="shared" ref="X67" ca="1" si="63">X23+X45</f>
        <v>0</v>
      </c>
      <c r="Y67" s="9"/>
      <c r="Z67" s="20">
        <f t="shared" ref="Z67" ca="1" si="64">Z23+Z45</f>
        <v>0</v>
      </c>
      <c r="AA67" s="20"/>
      <c r="AB67" s="20">
        <f t="shared" ref="AB67" ca="1" si="65">AB23+AB45</f>
        <v>0</v>
      </c>
      <c r="AC67" s="9"/>
      <c r="AD67" s="20">
        <f t="shared" ref="AD67" ca="1" si="66">AD23+AD45</f>
        <v>30480.9594626865</v>
      </c>
      <c r="AE67" s="9"/>
      <c r="AF67" s="20">
        <f t="shared" ref="AF67" ca="1" si="67">AF23+AF45</f>
        <v>0</v>
      </c>
      <c r="AG67" s="9"/>
      <c r="AH67" s="20">
        <f t="shared" ref="AH67" ca="1" si="68">AH23+AH45</f>
        <v>0</v>
      </c>
      <c r="AI67" s="9"/>
      <c r="AJ67" s="9">
        <f t="shared" ca="1" si="24"/>
        <v>30480.9594626865</v>
      </c>
      <c r="AL67" s="25" t="str">
        <f t="shared" ca="1" si="34"/>
        <v/>
      </c>
      <c r="AM67" s="51"/>
      <c r="AO67" s="38"/>
      <c r="AR67" s="50"/>
      <c r="AT67" s="50"/>
      <c r="AV67" s="50"/>
      <c r="AX67" s="50"/>
      <c r="AZ67" s="50"/>
      <c r="BB67" s="50"/>
      <c r="BD67" s="50"/>
      <c r="BF67" s="50"/>
      <c r="BH67" s="50"/>
      <c r="BJ67" s="50"/>
      <c r="BL67" s="50"/>
    </row>
    <row r="68" spans="2:64" x14ac:dyDescent="0.2">
      <c r="B68" s="18">
        <f t="shared" si="35"/>
        <v>39</v>
      </c>
      <c r="D68" s="1" t="s">
        <v>27</v>
      </c>
      <c r="F68" s="50">
        <f ca="1">Function!V68</f>
        <v>0</v>
      </c>
      <c r="H68" s="50"/>
      <c r="K68" s="73">
        <f>_xlfn.IFNA(MATCH(J68,'Dist Factors'!$B$15:$B$431,0),0)</f>
        <v>0</v>
      </c>
      <c r="L68" s="50">
        <f t="shared" ca="1" si="36"/>
        <v>0</v>
      </c>
      <c r="O68" s="73">
        <f>_xlfn.IFNA(MATCH(N68,'Dist Factors'!$B$15:$B$431,0),0)</f>
        <v>0</v>
      </c>
      <c r="P68" s="20">
        <f t="shared" ca="1" si="25"/>
        <v>0</v>
      </c>
      <c r="R68" s="20">
        <f t="shared" ca="1" si="25"/>
        <v>0</v>
      </c>
      <c r="S68" s="20"/>
      <c r="T68" s="20">
        <f t="shared" ref="T68" ca="1" si="69">T24+T46</f>
        <v>0</v>
      </c>
      <c r="U68" s="20"/>
      <c r="V68" s="20">
        <f t="shared" ref="V68" ca="1" si="70">V24+V46</f>
        <v>0</v>
      </c>
      <c r="W68" s="9"/>
      <c r="X68" s="20">
        <f t="shared" ref="X68" ca="1" si="71">X24+X46</f>
        <v>0</v>
      </c>
      <c r="Y68" s="9"/>
      <c r="Z68" s="20">
        <f t="shared" ref="Z68" ca="1" si="72">Z24+Z46</f>
        <v>0</v>
      </c>
      <c r="AA68" s="20"/>
      <c r="AB68" s="20">
        <f t="shared" ref="AB68" ca="1" si="73">AB24+AB46</f>
        <v>0</v>
      </c>
      <c r="AC68" s="9"/>
      <c r="AD68" s="20">
        <f t="shared" ref="AD68" ca="1" si="74">AD24+AD46</f>
        <v>0</v>
      </c>
      <c r="AE68" s="9"/>
      <c r="AF68" s="20">
        <f t="shared" ref="AF68" ca="1" si="75">AF24+AF46</f>
        <v>0</v>
      </c>
      <c r="AG68" s="9"/>
      <c r="AH68" s="20">
        <f t="shared" ref="AH68" ca="1" si="76">AH24+AH46</f>
        <v>0</v>
      </c>
      <c r="AI68" s="9"/>
      <c r="AJ68" s="9">
        <f t="shared" ca="1" si="24"/>
        <v>0</v>
      </c>
      <c r="AL68" s="25" t="str">
        <f t="shared" ca="1" si="34"/>
        <v/>
      </c>
      <c r="AM68" s="51"/>
      <c r="AO68" s="38"/>
      <c r="AR68" s="50"/>
      <c r="AT68" s="50"/>
      <c r="AV68" s="50"/>
      <c r="AX68" s="50"/>
      <c r="AZ68" s="50"/>
      <c r="BB68" s="50"/>
      <c r="BD68" s="50"/>
      <c r="BF68" s="50"/>
      <c r="BH68" s="50"/>
      <c r="BJ68" s="50"/>
      <c r="BL68" s="50"/>
    </row>
    <row r="69" spans="2:64" x14ac:dyDescent="0.2">
      <c r="B69" s="18">
        <f t="shared" si="35"/>
        <v>40</v>
      </c>
      <c r="D69" s="1" t="s">
        <v>29</v>
      </c>
      <c r="F69" s="50">
        <f ca="1">Function!V69</f>
        <v>0</v>
      </c>
      <c r="H69" s="50"/>
      <c r="K69" s="73">
        <f>_xlfn.IFNA(MATCH(J69,'Dist Factors'!$B$15:$B$431,0),0)</f>
        <v>0</v>
      </c>
      <c r="L69" s="50">
        <f t="shared" ca="1" si="36"/>
        <v>0</v>
      </c>
      <c r="O69" s="73">
        <f>_xlfn.IFNA(MATCH(N69,'Dist Factors'!$B$15:$B$431,0),0)</f>
        <v>0</v>
      </c>
      <c r="P69" s="20">
        <f t="shared" ca="1" si="25"/>
        <v>0</v>
      </c>
      <c r="R69" s="20">
        <f t="shared" ca="1" si="25"/>
        <v>0</v>
      </c>
      <c r="S69" s="20"/>
      <c r="T69" s="20">
        <f t="shared" ref="T69" ca="1" si="77">T25+T47</f>
        <v>0</v>
      </c>
      <c r="U69" s="20"/>
      <c r="V69" s="20">
        <f t="shared" ref="V69" ca="1" si="78">V25+V47</f>
        <v>0</v>
      </c>
      <c r="W69" s="9"/>
      <c r="X69" s="20">
        <f t="shared" ref="X69" ca="1" si="79">X25+X47</f>
        <v>0</v>
      </c>
      <c r="Y69" s="9"/>
      <c r="Z69" s="20">
        <f t="shared" ref="Z69" ca="1" si="80">Z25+Z47</f>
        <v>0</v>
      </c>
      <c r="AA69" s="20"/>
      <c r="AB69" s="20">
        <f t="shared" ref="AB69" ca="1" si="81">AB25+AB47</f>
        <v>0</v>
      </c>
      <c r="AC69" s="9"/>
      <c r="AD69" s="20">
        <f t="shared" ref="AD69" ca="1" si="82">AD25+AD47</f>
        <v>0</v>
      </c>
      <c r="AE69" s="9"/>
      <c r="AF69" s="20">
        <f t="shared" ref="AF69" ca="1" si="83">AF25+AF47</f>
        <v>0</v>
      </c>
      <c r="AG69" s="9"/>
      <c r="AH69" s="20">
        <f t="shared" ref="AH69" ca="1" si="84">AH25+AH47</f>
        <v>0</v>
      </c>
      <c r="AI69" s="9"/>
      <c r="AJ69" s="9">
        <f t="shared" ca="1" si="24"/>
        <v>0</v>
      </c>
      <c r="AL69" s="25" t="str">
        <f t="shared" ca="1" si="34"/>
        <v/>
      </c>
      <c r="AM69" s="51"/>
      <c r="AO69" s="38"/>
      <c r="AR69" s="50"/>
      <c r="AT69" s="50"/>
      <c r="AV69" s="50"/>
      <c r="AX69" s="50"/>
      <c r="AZ69" s="50"/>
      <c r="BB69" s="50"/>
      <c r="BD69" s="50"/>
      <c r="BF69" s="50"/>
      <c r="BH69" s="50"/>
      <c r="BJ69" s="50"/>
      <c r="BL69" s="50"/>
    </row>
    <row r="70" spans="2:64" x14ac:dyDescent="0.2">
      <c r="B70" s="18">
        <f t="shared" si="35"/>
        <v>41</v>
      </c>
      <c r="D70" s="1" t="s">
        <v>30</v>
      </c>
      <c r="F70" s="50">
        <f ca="1">Function!V70</f>
        <v>0</v>
      </c>
      <c r="H70" s="50"/>
      <c r="K70" s="73">
        <f>_xlfn.IFNA(MATCH(J70,'Dist Factors'!$B$15:$B$431,0),0)</f>
        <v>0</v>
      </c>
      <c r="L70" s="50">
        <f t="shared" ca="1" si="36"/>
        <v>0</v>
      </c>
      <c r="O70" s="73">
        <f>_xlfn.IFNA(MATCH(N70,'Dist Factors'!$B$15:$B$431,0),0)</f>
        <v>0</v>
      </c>
      <c r="P70" s="20">
        <f t="shared" ca="1" si="25"/>
        <v>0</v>
      </c>
      <c r="R70" s="20">
        <f t="shared" ca="1" si="25"/>
        <v>0</v>
      </c>
      <c r="S70" s="20"/>
      <c r="T70" s="20">
        <f t="shared" ref="T70" ca="1" si="85">T26+T48</f>
        <v>0</v>
      </c>
      <c r="U70" s="20"/>
      <c r="V70" s="20">
        <f t="shared" ref="V70" ca="1" si="86">V26+V48</f>
        <v>0</v>
      </c>
      <c r="W70" s="9"/>
      <c r="X70" s="20">
        <f t="shared" ref="X70" ca="1" si="87">X26+X48</f>
        <v>0</v>
      </c>
      <c r="Y70" s="9"/>
      <c r="Z70" s="20">
        <f t="shared" ref="Z70" ca="1" si="88">Z26+Z48</f>
        <v>0</v>
      </c>
      <c r="AA70" s="20"/>
      <c r="AB70" s="20">
        <f t="shared" ref="AB70" ca="1" si="89">AB26+AB48</f>
        <v>0</v>
      </c>
      <c r="AC70" s="9"/>
      <c r="AD70" s="20">
        <f t="shared" ref="AD70" ca="1" si="90">AD26+AD48</f>
        <v>0</v>
      </c>
      <c r="AE70" s="9"/>
      <c r="AF70" s="20">
        <f t="shared" ref="AF70" ca="1" si="91">AF26+AF48</f>
        <v>0</v>
      </c>
      <c r="AG70" s="9"/>
      <c r="AH70" s="20">
        <f t="shared" ref="AH70" ca="1" si="92">AH26+AH48</f>
        <v>0</v>
      </c>
      <c r="AI70" s="9"/>
      <c r="AJ70" s="9">
        <f t="shared" ca="1" si="24"/>
        <v>0</v>
      </c>
      <c r="AL70" s="25" t="str">
        <f t="shared" ca="1" si="34"/>
        <v/>
      </c>
      <c r="AM70" s="51"/>
      <c r="AO70" s="38"/>
      <c r="AR70" s="50"/>
      <c r="AT70" s="50"/>
      <c r="AV70" s="50"/>
      <c r="AX70" s="50"/>
      <c r="AZ70" s="50"/>
      <c r="BB70" s="50"/>
      <c r="BD70" s="50"/>
      <c r="BF70" s="50"/>
      <c r="BH70" s="50"/>
      <c r="BJ70" s="50"/>
      <c r="BL70" s="50"/>
    </row>
    <row r="71" spans="2:64" x14ac:dyDescent="0.2">
      <c r="B71" s="18">
        <f t="shared" si="35"/>
        <v>42</v>
      </c>
      <c r="D71" s="1" t="s">
        <v>31</v>
      </c>
      <c r="F71" s="50">
        <f ca="1">Function!V71</f>
        <v>3496978.1869334034</v>
      </c>
      <c r="H71" s="50"/>
      <c r="K71" s="73">
        <f>_xlfn.IFNA(MATCH(J71,'Dist Factors'!$B$15:$B$431,0),0)</f>
        <v>0</v>
      </c>
      <c r="L71" s="50">
        <f t="shared" ca="1" si="36"/>
        <v>3496978.1869334034</v>
      </c>
      <c r="O71" s="73">
        <f>_xlfn.IFNA(MATCH(N71,'Dist Factors'!$B$15:$B$431,0),0)</f>
        <v>0</v>
      </c>
      <c r="P71" s="20">
        <f t="shared" ca="1" si="25"/>
        <v>0</v>
      </c>
      <c r="R71" s="20">
        <f t="shared" ca="1" si="25"/>
        <v>0</v>
      </c>
      <c r="S71" s="20"/>
      <c r="T71" s="20">
        <f t="shared" ref="T71" ca="1" si="93">T27+T49</f>
        <v>0</v>
      </c>
      <c r="U71" s="20"/>
      <c r="V71" s="20">
        <f t="shared" ref="V71" ca="1" si="94">V27+V49</f>
        <v>0</v>
      </c>
      <c r="W71" s="9"/>
      <c r="X71" s="20">
        <f t="shared" ref="X71" ca="1" si="95">X27+X49</f>
        <v>0</v>
      </c>
      <c r="Y71" s="9"/>
      <c r="Z71" s="20">
        <f t="shared" ref="Z71" ca="1" si="96">Z27+Z49</f>
        <v>3496978.1869334034</v>
      </c>
      <c r="AA71" s="20"/>
      <c r="AB71" s="20">
        <f t="shared" ref="AB71" ca="1" si="97">AB27+AB49</f>
        <v>0</v>
      </c>
      <c r="AC71" s="9"/>
      <c r="AD71" s="20">
        <f t="shared" ref="AD71" ca="1" si="98">AD27+AD49</f>
        <v>0</v>
      </c>
      <c r="AE71" s="9"/>
      <c r="AF71" s="20">
        <f t="shared" ref="AF71" ca="1" si="99">AF27+AF49</f>
        <v>0</v>
      </c>
      <c r="AG71" s="9"/>
      <c r="AH71" s="20">
        <f t="shared" ref="AH71" ca="1" si="100">AH27+AH49</f>
        <v>0</v>
      </c>
      <c r="AI71" s="9"/>
      <c r="AJ71" s="9">
        <f t="shared" ca="1" si="24"/>
        <v>3496978.1869334034</v>
      </c>
      <c r="AL71" s="25" t="str">
        <f t="shared" ca="1" si="34"/>
        <v/>
      </c>
      <c r="AM71" s="51"/>
      <c r="AO71" s="38"/>
      <c r="AR71" s="50"/>
      <c r="AT71" s="50"/>
      <c r="AV71" s="50"/>
      <c r="AX71" s="50"/>
      <c r="AZ71" s="50"/>
      <c r="BB71" s="50"/>
      <c r="BD71" s="50"/>
      <c r="BF71" s="50"/>
      <c r="BH71" s="50"/>
      <c r="BJ71" s="50"/>
      <c r="BL71" s="50"/>
    </row>
    <row r="72" spans="2:64" x14ac:dyDescent="0.2">
      <c r="B72" s="18">
        <f t="shared" si="35"/>
        <v>43</v>
      </c>
      <c r="D72" s="1" t="s">
        <v>293</v>
      </c>
      <c r="F72" s="50">
        <f ca="1">Function!V72</f>
        <v>1029780.7535093786</v>
      </c>
      <c r="H72" s="50"/>
      <c r="K72" s="73">
        <f>_xlfn.IFNA(MATCH(J72,'Dist Factors'!$B$15:$B$431,0),0)</f>
        <v>0</v>
      </c>
      <c r="L72" s="50">
        <f t="shared" ca="1" si="36"/>
        <v>1029780.7535093786</v>
      </c>
      <c r="O72" s="73">
        <f>_xlfn.IFNA(MATCH(N72,'Dist Factors'!$B$15:$B$431,0),0)</f>
        <v>0</v>
      </c>
      <c r="P72" s="20">
        <f t="shared" ca="1" si="25"/>
        <v>0</v>
      </c>
      <c r="R72" s="20">
        <f t="shared" ca="1" si="25"/>
        <v>0</v>
      </c>
      <c r="S72" s="20"/>
      <c r="T72" s="20">
        <f t="shared" ref="T72" ca="1" si="101">T28+T50</f>
        <v>0</v>
      </c>
      <c r="U72" s="20"/>
      <c r="V72" s="20">
        <f t="shared" ref="V72" ca="1" si="102">V28+V50</f>
        <v>0</v>
      </c>
      <c r="W72" s="9"/>
      <c r="X72" s="20">
        <f t="shared" ref="X72" ca="1" si="103">X28+X50</f>
        <v>0</v>
      </c>
      <c r="Y72" s="9"/>
      <c r="Z72" s="20">
        <f t="shared" ref="Z72" ca="1" si="104">Z28+Z50</f>
        <v>0</v>
      </c>
      <c r="AA72" s="20"/>
      <c r="AB72" s="20">
        <f t="shared" ref="AB72" ca="1" si="105">AB28+AB50</f>
        <v>1029780.7535093786</v>
      </c>
      <c r="AC72" s="9"/>
      <c r="AD72" s="20">
        <f t="shared" ref="AD72" ca="1" si="106">AD28+AD50</f>
        <v>0</v>
      </c>
      <c r="AE72" s="9"/>
      <c r="AF72" s="20">
        <f t="shared" ref="AF72" ca="1" si="107">AF28+AF50</f>
        <v>0</v>
      </c>
      <c r="AG72" s="9"/>
      <c r="AH72" s="20">
        <f t="shared" ref="AH72" ca="1" si="108">AH28+AH50</f>
        <v>0</v>
      </c>
      <c r="AI72" s="9"/>
      <c r="AJ72" s="9">
        <f t="shared" ca="1" si="24"/>
        <v>1029780.7535093786</v>
      </c>
      <c r="AL72" s="25" t="str">
        <f t="shared" ca="1" si="34"/>
        <v/>
      </c>
      <c r="AM72" s="51"/>
      <c r="AO72" s="38"/>
      <c r="AR72" s="50"/>
      <c r="AT72" s="50"/>
      <c r="AV72" s="50"/>
      <c r="AX72" s="50"/>
      <c r="AZ72" s="50"/>
      <c r="BB72" s="50"/>
      <c r="BD72" s="50"/>
      <c r="BF72" s="50"/>
      <c r="BH72" s="50"/>
      <c r="BJ72" s="50"/>
      <c r="BL72" s="50"/>
    </row>
    <row r="73" spans="2:64" x14ac:dyDescent="0.2">
      <c r="B73" s="18">
        <f>B72+1</f>
        <v>44</v>
      </c>
      <c r="D73" s="1" t="s">
        <v>34</v>
      </c>
      <c r="F73" s="50">
        <f ca="1">Function!V73</f>
        <v>253810.37950131294</v>
      </c>
      <c r="H73" s="50"/>
      <c r="K73" s="73">
        <f>_xlfn.IFNA(MATCH(J73,'Dist Factors'!$B$15:$B$431,0),0)</f>
        <v>0</v>
      </c>
      <c r="L73" s="50">
        <f t="shared" ca="1" si="36"/>
        <v>253810.37950131294</v>
      </c>
      <c r="O73" s="73">
        <f>_xlfn.IFNA(MATCH(N73,'Dist Factors'!$B$15:$B$431,0),0)</f>
        <v>0</v>
      </c>
      <c r="P73" s="20">
        <f t="shared" ca="1" si="25"/>
        <v>0</v>
      </c>
      <c r="R73" s="20">
        <f t="shared" ca="1" si="25"/>
        <v>0</v>
      </c>
      <c r="S73" s="20"/>
      <c r="T73" s="20">
        <f t="shared" ref="T73" ca="1" si="109">T29+T51</f>
        <v>0</v>
      </c>
      <c r="U73" s="20"/>
      <c r="V73" s="20">
        <f t="shared" ref="V73" ca="1" si="110">V29+V51</f>
        <v>0</v>
      </c>
      <c r="W73" s="9"/>
      <c r="X73" s="20">
        <f t="shared" ref="X73" ca="1" si="111">X29+X51</f>
        <v>0</v>
      </c>
      <c r="Y73" s="9"/>
      <c r="Z73" s="20">
        <f t="shared" ref="Z73" ca="1" si="112">Z29+Z51</f>
        <v>0</v>
      </c>
      <c r="AA73" s="20"/>
      <c r="AB73" s="20">
        <f t="shared" ref="AB73" ca="1" si="113">AB29+AB51</f>
        <v>0</v>
      </c>
      <c r="AC73" s="9"/>
      <c r="AD73" s="20">
        <f t="shared" ref="AD73" ca="1" si="114">AD29+AD51</f>
        <v>253810.37950131294</v>
      </c>
      <c r="AE73" s="9"/>
      <c r="AF73" s="20">
        <f t="shared" ref="AF73" ca="1" si="115">AF29+AF51</f>
        <v>0</v>
      </c>
      <c r="AG73" s="9"/>
      <c r="AH73" s="20">
        <f t="shared" ref="AH73" ca="1" si="116">AH29+AH51</f>
        <v>0</v>
      </c>
      <c r="AI73" s="9"/>
      <c r="AJ73" s="9">
        <f t="shared" ca="1" si="24"/>
        <v>253810.37950131294</v>
      </c>
      <c r="AL73" s="25" t="str">
        <f t="shared" ca="1" si="34"/>
        <v/>
      </c>
      <c r="AM73" s="51"/>
      <c r="AO73" s="38"/>
      <c r="AR73" s="50"/>
      <c r="AT73" s="50"/>
      <c r="AV73" s="50"/>
      <c r="AX73" s="50"/>
      <c r="AZ73" s="50"/>
      <c r="BB73" s="50"/>
      <c r="BD73" s="50"/>
      <c r="BF73" s="50"/>
      <c r="BH73" s="50"/>
      <c r="BJ73" s="50"/>
      <c r="BL73" s="50"/>
    </row>
    <row r="74" spans="2:64" x14ac:dyDescent="0.2">
      <c r="B74" s="18">
        <f>B73+1</f>
        <v>45</v>
      </c>
      <c r="D74" s="1" t="s">
        <v>77</v>
      </c>
      <c r="F74" s="50">
        <f ca="1">Function!V74</f>
        <v>2387.408565560464</v>
      </c>
      <c r="H74" s="50"/>
      <c r="K74" s="73">
        <f>_xlfn.IFNA(MATCH(J74,'Dist Factors'!$B$15:$B$431,0),0)</f>
        <v>0</v>
      </c>
      <c r="L74" s="50">
        <f t="shared" ca="1" si="36"/>
        <v>2387.408565560464</v>
      </c>
      <c r="O74" s="73">
        <f>_xlfn.IFNA(MATCH(N74,'Dist Factors'!$B$15:$B$431,0),0)</f>
        <v>0</v>
      </c>
      <c r="P74" s="20">
        <f t="shared" ca="1" si="25"/>
        <v>1798.6302208240656</v>
      </c>
      <c r="R74" s="20">
        <f t="shared" ca="1" si="25"/>
        <v>344.01421847888179</v>
      </c>
      <c r="S74" s="20"/>
      <c r="T74" s="20">
        <f t="shared" ref="T74" ca="1" si="117">T30+T52</f>
        <v>244.76412625751695</v>
      </c>
      <c r="U74" s="20"/>
      <c r="V74" s="20">
        <f t="shared" ref="V74" ca="1" si="118">V30+V52</f>
        <v>0</v>
      </c>
      <c r="W74" s="9"/>
      <c r="X74" s="20">
        <f t="shared" ref="X74" ca="1" si="119">X30+X52</f>
        <v>0</v>
      </c>
      <c r="Y74" s="9"/>
      <c r="Z74" s="20">
        <f t="shared" ref="Z74" ca="1" si="120">Z30+Z52</f>
        <v>0</v>
      </c>
      <c r="AA74" s="20"/>
      <c r="AB74" s="20">
        <f t="shared" ref="AB74" ca="1" si="121">AB30+AB52</f>
        <v>0</v>
      </c>
      <c r="AC74" s="9"/>
      <c r="AD74" s="20">
        <f t="shared" ref="AD74" ca="1" si="122">AD30+AD52</f>
        <v>0</v>
      </c>
      <c r="AE74" s="9"/>
      <c r="AF74" s="20">
        <f t="shared" ref="AF74" ca="1" si="123">AF30+AF52</f>
        <v>0</v>
      </c>
      <c r="AG74" s="9"/>
      <c r="AH74" s="20">
        <f t="shared" ref="AH74" ca="1" si="124">AH30+AH52</f>
        <v>0</v>
      </c>
      <c r="AI74" s="9"/>
      <c r="AJ74" s="9">
        <f t="shared" ca="1" si="24"/>
        <v>2387.4085655604645</v>
      </c>
      <c r="AL74" s="25" t="str">
        <f t="shared" ca="1" si="34"/>
        <v/>
      </c>
      <c r="AM74" s="51"/>
      <c r="AO74" s="38"/>
      <c r="AR74" s="50"/>
      <c r="AT74" s="50"/>
      <c r="AV74" s="50"/>
      <c r="AX74" s="50"/>
      <c r="AZ74" s="50"/>
      <c r="BB74" s="50"/>
      <c r="BD74" s="50"/>
      <c r="BF74" s="50"/>
      <c r="BH74" s="50"/>
      <c r="BJ74" s="50"/>
      <c r="BL74" s="50"/>
    </row>
    <row r="75" spans="2:64" x14ac:dyDescent="0.2">
      <c r="B75" s="18">
        <f t="shared" si="35"/>
        <v>46</v>
      </c>
      <c r="D75" s="1" t="s">
        <v>394</v>
      </c>
      <c r="F75" s="41">
        <f ca="1">SUM(F62:F74)</f>
        <v>11514244.271743789</v>
      </c>
      <c r="H75" s="41">
        <f>SUM(H62:H74)</f>
        <v>0</v>
      </c>
      <c r="K75" s="74"/>
      <c r="L75" s="41">
        <f ca="1">SUM(L62:L74)</f>
        <v>11514244.271743789</v>
      </c>
      <c r="P75" s="11">
        <f ca="1">SUM(P62:P74)</f>
        <v>1878281.5238971186</v>
      </c>
      <c r="Q75" s="12"/>
      <c r="R75" s="11">
        <f ca="1">SUM(R62:R74)</f>
        <v>359248.68994514371</v>
      </c>
      <c r="S75" s="13"/>
      <c r="T75" s="11">
        <f ca="1">SUM(T62:T74)</f>
        <v>1903833.7807380462</v>
      </c>
      <c r="U75" s="13"/>
      <c r="V75" s="11">
        <f ca="1">SUM(V62:V74)</f>
        <v>0</v>
      </c>
      <c r="W75" s="13"/>
      <c r="X75" s="11">
        <f ca="1">SUM(X62:X74)</f>
        <v>2561829.997756701</v>
      </c>
      <c r="Y75" s="13"/>
      <c r="Z75" s="11">
        <f ca="1">SUM(Z62:Z74)</f>
        <v>3496978.1869334034</v>
      </c>
      <c r="AA75" s="13"/>
      <c r="AB75" s="11">
        <f ca="1">SUM(AB62:AB74)</f>
        <v>1029780.7535093786</v>
      </c>
      <c r="AC75" s="13"/>
      <c r="AD75" s="11">
        <f ca="1">SUM(AD62:AD74)</f>
        <v>284291.33896399941</v>
      </c>
      <c r="AE75" s="13"/>
      <c r="AF75" s="11">
        <f ca="1">SUM(AF62:AF74)</f>
        <v>0</v>
      </c>
      <c r="AG75" s="13"/>
      <c r="AH75" s="11">
        <f ca="1">SUM(AH62:AH74)</f>
        <v>0</v>
      </c>
      <c r="AI75" s="13"/>
      <c r="AJ75" s="11">
        <f t="shared" ca="1" si="24"/>
        <v>11514244.271743789</v>
      </c>
      <c r="AK75" s="8"/>
      <c r="AL75" s="25" t="str">
        <f t="shared" ca="1" si="34"/>
        <v/>
      </c>
      <c r="AM75" s="51"/>
      <c r="AO75" s="38"/>
      <c r="AR75" s="38"/>
      <c r="AT75" s="38"/>
      <c r="AV75" s="38"/>
      <c r="AX75" s="38"/>
      <c r="AZ75" s="38"/>
      <c r="BB75" s="38"/>
      <c r="BD75" s="38"/>
      <c r="BF75" s="38"/>
      <c r="BH75" s="38"/>
      <c r="BJ75" s="38"/>
      <c r="BL75" s="38"/>
    </row>
    <row r="76" spans="2:64" x14ac:dyDescent="0.2">
      <c r="K76" s="74"/>
      <c r="AJ76" s="8"/>
      <c r="AL76" s="25" t="str">
        <f t="shared" si="34"/>
        <v/>
      </c>
      <c r="AM76" s="51"/>
    </row>
    <row r="77" spans="2:64" x14ac:dyDescent="0.2">
      <c r="B77" s="18">
        <f>B75+1</f>
        <v>47</v>
      </c>
      <c r="D77" s="1" t="s">
        <v>196</v>
      </c>
      <c r="F77" s="50">
        <f ca="1">Function!V77</f>
        <v>339631.78055670322</v>
      </c>
      <c r="H77" s="50"/>
      <c r="K77" s="73">
        <f>_xlfn.IFNA(MATCH(J77,'Dist Factors'!$B$15:$B$431,0),0)</f>
        <v>0</v>
      </c>
      <c r="L77" s="50">
        <f t="shared" ref="L77" ca="1" si="125">F77-H77</f>
        <v>339631.78055670322</v>
      </c>
      <c r="O77" s="73">
        <f>_xlfn.IFNA(MATCH(N77,'Dist Factors'!$B$15:$B$431,0),0)</f>
        <v>0</v>
      </c>
      <c r="P77" s="20">
        <f t="shared" ref="P77:R77" ca="1" si="126">P33+P55</f>
        <v>44858.73354914326</v>
      </c>
      <c r="R77" s="20">
        <f t="shared" ca="1" si="126"/>
        <v>8579.8859516496486</v>
      </c>
      <c r="S77" s="20"/>
      <c r="T77" s="20">
        <f t="shared" ref="T77" ca="1" si="127">T33+T55</f>
        <v>45506.725785262948</v>
      </c>
      <c r="U77" s="20"/>
      <c r="V77" s="20">
        <f t="shared" ref="V77" ca="1" si="128">V33+V55</f>
        <v>13873.642578517149</v>
      </c>
      <c r="W77" s="9"/>
      <c r="X77" s="20">
        <f t="shared" ref="X77" ca="1" si="129">X33+X55</f>
        <v>60021.022917257746</v>
      </c>
      <c r="Y77" s="9"/>
      <c r="Z77" s="20">
        <f t="shared" ref="Z77" ca="1" si="130">Z33+Z55</f>
        <v>82706.856200614609</v>
      </c>
      <c r="AA77" s="20"/>
      <c r="AB77" s="20">
        <f t="shared" ref="AB77" ca="1" si="131">AB33+AB55</f>
        <v>29808.250039476374</v>
      </c>
      <c r="AC77" s="9"/>
      <c r="AD77" s="20">
        <f t="shared" ref="AD77" ca="1" si="132">AD33+AD55</f>
        <v>7311.3634988930771</v>
      </c>
      <c r="AE77" s="9"/>
      <c r="AF77" s="20">
        <f t="shared" ref="AF77" ca="1" si="133">AF33+AF55</f>
        <v>46965.300035888409</v>
      </c>
      <c r="AG77" s="9"/>
      <c r="AH77" s="20">
        <f t="shared" ref="AH77" ca="1" si="134">AH33+AH55</f>
        <v>-6.5163016172803335E-14</v>
      </c>
      <c r="AI77" s="9"/>
      <c r="AJ77" s="9">
        <f ca="1">SUM(P77:AI77)</f>
        <v>339631.78055670322</v>
      </c>
      <c r="AL77" s="25" t="str">
        <f t="shared" ca="1" si="34"/>
        <v/>
      </c>
      <c r="AM77" s="51"/>
    </row>
    <row r="78" spans="2:64" x14ac:dyDescent="0.2">
      <c r="K78" s="74"/>
      <c r="AJ78" s="8"/>
      <c r="AL78" s="25" t="str">
        <f t="shared" si="34"/>
        <v/>
      </c>
      <c r="AM78" s="51"/>
    </row>
    <row r="79" spans="2:64" x14ac:dyDescent="0.2">
      <c r="B79" s="18">
        <f>B77+1</f>
        <v>48</v>
      </c>
      <c r="D79" s="1" t="s">
        <v>395</v>
      </c>
      <c r="F79" s="41">
        <f ca="1">F75+F77</f>
        <v>11853876.052300492</v>
      </c>
      <c r="H79" s="41">
        <f>H75+H77</f>
        <v>0</v>
      </c>
      <c r="K79" s="74"/>
      <c r="L79" s="41">
        <f ca="1">L75+L77</f>
        <v>11853876.052300492</v>
      </c>
      <c r="P79" s="10">
        <f ca="1">P75+P77</f>
        <v>1923140.2574462618</v>
      </c>
      <c r="Q79" s="14"/>
      <c r="R79" s="10">
        <f ca="1">R75+R77</f>
        <v>367828.57589679334</v>
      </c>
      <c r="S79" s="8"/>
      <c r="T79" s="10">
        <f ca="1">T75+T77</f>
        <v>1949340.506523309</v>
      </c>
      <c r="U79" s="8"/>
      <c r="V79" s="10">
        <f ca="1">V75+V77</f>
        <v>13873.642578517149</v>
      </c>
      <c r="W79" s="8"/>
      <c r="X79" s="10">
        <f ca="1">X75+X77</f>
        <v>2621851.0206739586</v>
      </c>
      <c r="Y79" s="8"/>
      <c r="Z79" s="10">
        <f ca="1">Z75+Z77</f>
        <v>3579685.0431340178</v>
      </c>
      <c r="AA79" s="8"/>
      <c r="AB79" s="10">
        <f ca="1">AB75+AB77</f>
        <v>1059589.003548855</v>
      </c>
      <c r="AC79" s="8"/>
      <c r="AD79" s="10">
        <f ca="1">AD75+AD77</f>
        <v>291602.70246289251</v>
      </c>
      <c r="AE79" s="8"/>
      <c r="AF79" s="10">
        <f ca="1">AF75+AF77</f>
        <v>46965.300035888409</v>
      </c>
      <c r="AG79" s="8"/>
      <c r="AH79" s="10">
        <f ca="1">AH75+AH77</f>
        <v>-6.5163016172803335E-14</v>
      </c>
      <c r="AI79" s="8"/>
      <c r="AJ79" s="10">
        <f ca="1">AJ75+AJ77</f>
        <v>11853876.052300492</v>
      </c>
      <c r="AL79" s="25" t="str">
        <f t="shared" ca="1" si="34"/>
        <v/>
      </c>
      <c r="AM79" s="51"/>
    </row>
    <row r="80" spans="2:64" x14ac:dyDescent="0.2">
      <c r="D80" s="6"/>
      <c r="E80" s="6"/>
      <c r="F80" s="77"/>
      <c r="H80" s="77"/>
      <c r="K80" s="74"/>
      <c r="L80" s="77"/>
      <c r="AL80" s="25" t="str">
        <f t="shared" si="34"/>
        <v/>
      </c>
      <c r="AM80" s="51"/>
    </row>
    <row r="81" spans="2:39" x14ac:dyDescent="0.2">
      <c r="E81" s="18"/>
      <c r="F81" s="2"/>
      <c r="G81" s="2"/>
      <c r="H81" s="2"/>
      <c r="I81" s="2"/>
      <c r="J81" s="2"/>
      <c r="K81" s="73"/>
      <c r="L81" s="2"/>
      <c r="M81" s="2"/>
      <c r="AL81" s="25" t="str">
        <f t="shared" si="34"/>
        <v/>
      </c>
      <c r="AM81" s="51"/>
    </row>
    <row r="82" spans="2:39" x14ac:dyDescent="0.2">
      <c r="D82" s="6" t="s">
        <v>36</v>
      </c>
      <c r="E82" s="18"/>
      <c r="F82" s="2"/>
      <c r="G82" s="2"/>
      <c r="H82" s="2"/>
      <c r="I82" s="2"/>
      <c r="J82" s="2"/>
      <c r="K82" s="73"/>
      <c r="L82" s="2"/>
      <c r="M82" s="2"/>
      <c r="AL82" s="25" t="str">
        <f t="shared" si="34"/>
        <v/>
      </c>
      <c r="AM82" s="51"/>
    </row>
    <row r="83" spans="2:39" x14ac:dyDescent="0.2">
      <c r="K83" s="74"/>
      <c r="N83" s="1"/>
      <c r="AL83" s="25" t="str">
        <f t="shared" si="34"/>
        <v/>
      </c>
      <c r="AM83" s="51"/>
    </row>
    <row r="84" spans="2:39" x14ac:dyDescent="0.2">
      <c r="B84" s="18">
        <f>B79+1</f>
        <v>49</v>
      </c>
      <c r="D84" s="1" t="s">
        <v>41</v>
      </c>
      <c r="F84" s="50">
        <f ca="1">+Function!V84</f>
        <v>84076.885985193789</v>
      </c>
      <c r="H84" s="50"/>
      <c r="K84" s="73">
        <f>_xlfn.IFNA(MATCH(J84,'Dist Factors'!$B$15:$B$431,0),0)</f>
        <v>0</v>
      </c>
      <c r="L84" s="50">
        <f t="shared" ref="L84:L88" ca="1" si="135">F84-H84</f>
        <v>84076.885985193789</v>
      </c>
      <c r="N84" s="18" t="s">
        <v>238</v>
      </c>
      <c r="O84" s="73">
        <f>_xlfn.IFNA(MATCH(N84,'Dist Factors'!$B$15:$B$431,0),0)</f>
        <v>39</v>
      </c>
      <c r="P84" s="20">
        <f ca="1">OFFSET('Dist Factors'!$B$15,$O84-1,P$14)*$L84+OFFSET('Dist Factors'!$B$15,$K84-1,P$14)*$H84</f>
        <v>13704.899233887016</v>
      </c>
      <c r="R84" s="20">
        <f ca="1">OFFSET('Dist Factors'!$B$15,$O84-1,R$14)*$L84+OFFSET('Dist Factors'!$B$15,$K84-1,R$14)*$H84</f>
        <v>2621.261527073294</v>
      </c>
      <c r="S84" s="20"/>
      <c r="T84" s="20">
        <f ca="1">OFFSET('Dist Factors'!$B$15,$O84-1,T$14)*$L84+OFFSET('Dist Factors'!$B$15,$K84-1,T$14)*$H84</f>
        <v>13902.868895483296</v>
      </c>
      <c r="U84" s="20"/>
      <c r="V84" s="20">
        <f ca="1">OFFSET('Dist Factors'!$B$15,$O84-1,V$14)*$L84+OFFSET('Dist Factors'!$B$15,$K84-1,V$14)*$H84</f>
        <v>0</v>
      </c>
      <c r="W84" s="9"/>
      <c r="X84" s="20">
        <f ca="1">OFFSET('Dist Factors'!$B$15,$O84-1,X$14)*$L84+OFFSET('Dist Factors'!$B$15,$K84-1,X$14)*$H84</f>
        <v>18710.334153283908</v>
      </c>
      <c r="Y84" s="9"/>
      <c r="Z84" s="20">
        <f ca="1">OFFSET('Dist Factors'!$B$15,$O84-1,Z$14)*$L84+OFFSET('Dist Factors'!$B$15,$K84-1,Z$14)*$H84</f>
        <v>25540.192152314237</v>
      </c>
      <c r="AA84" s="20"/>
      <c r="AB84" s="20">
        <f ca="1">OFFSET('Dist Factors'!$B$15,$O84-1,AB$14)*$L84+OFFSET('Dist Factors'!$B$15,$K84-1,AB$14)*$H84</f>
        <v>7521.0072563959484</v>
      </c>
      <c r="AC84" s="9"/>
      <c r="AD84" s="20">
        <f ca="1">OFFSET('Dist Factors'!$B$15,$O84-1,AD$14)*$L84+OFFSET('Dist Factors'!$B$15,$K84-1,AD$14)*$H84</f>
        <v>2076.3227667560855</v>
      </c>
      <c r="AE84" s="9"/>
      <c r="AF84" s="20">
        <f ca="1">OFFSET('Dist Factors'!$B$15,$O84-1,AF$14)*$L84+OFFSET('Dist Factors'!$B$15,$K84-1,AF$14)*$H84</f>
        <v>0</v>
      </c>
      <c r="AG84" s="9"/>
      <c r="AH84" s="20">
        <f ca="1">OFFSET('Dist Factors'!$B$15,$O84-1,AH$14)*$L84+OFFSET('Dist Factors'!$B$15,$K84-1,AH$14)*$H84</f>
        <v>0</v>
      </c>
      <c r="AI84" s="9"/>
      <c r="AJ84" s="20">
        <f t="shared" ref="AJ84:AJ88" ca="1" si="136">SUM(P84:AI84)</f>
        <v>84076.885985193789</v>
      </c>
      <c r="AL84" s="25" t="str">
        <f t="shared" ca="1" si="34"/>
        <v/>
      </c>
      <c r="AM84" s="51"/>
    </row>
    <row r="85" spans="2:39" x14ac:dyDescent="0.2">
      <c r="B85" s="18">
        <f>B84+1</f>
        <v>50</v>
      </c>
      <c r="D85" s="1" t="s">
        <v>379</v>
      </c>
      <c r="F85" s="50">
        <f ca="1">+Function!V85</f>
        <v>-3989.230434967275</v>
      </c>
      <c r="H85" s="50"/>
      <c r="K85" s="73">
        <f>_xlfn.IFNA(MATCH(J85,'Dist Factors'!$B$15:$B$431,0),0)</f>
        <v>0</v>
      </c>
      <c r="L85" s="50">
        <f t="shared" ca="1" si="135"/>
        <v>-3989.230434967275</v>
      </c>
      <c r="N85" s="18" t="s">
        <v>238</v>
      </c>
      <c r="O85" s="73">
        <f>_xlfn.IFNA(MATCH(N85,'Dist Factors'!$B$15:$B$431,0),0)</f>
        <v>39</v>
      </c>
      <c r="P85" s="20">
        <f ca="1">OFFSET('Dist Factors'!$B$15,$O85-1,P$14)*$L85+OFFSET('Dist Factors'!$B$15,$K85-1,P$14)*$H85</f>
        <v>-650.26196547776158</v>
      </c>
      <c r="R85" s="20">
        <f ca="1">OFFSET('Dist Factors'!$B$15,$O85-1,R$14)*$L85+OFFSET('Dist Factors'!$B$15,$K85-1,R$14)*$H85</f>
        <v>-124.37206896139158</v>
      </c>
      <c r="S85" s="20"/>
      <c r="T85" s="20">
        <f ca="1">OFFSET('Dist Factors'!$B$15,$O85-1,T$14)*$L85+OFFSET('Dist Factors'!$B$15,$K85-1,T$14)*$H85</f>
        <v>-659.65511307101474</v>
      </c>
      <c r="U85" s="20"/>
      <c r="V85" s="20">
        <f ca="1">OFFSET('Dist Factors'!$B$15,$O85-1,V$14)*$L85+OFFSET('Dist Factors'!$B$15,$K85-1,V$14)*$H85</f>
        <v>0</v>
      </c>
      <c r="W85" s="9"/>
      <c r="X85" s="20">
        <f ca="1">OFFSET('Dist Factors'!$B$15,$O85-1,X$14)*$L85+OFFSET('Dist Factors'!$B$15,$K85-1,X$14)*$H85</f>
        <v>-887.75688559436105</v>
      </c>
      <c r="Y85" s="9"/>
      <c r="Z85" s="20">
        <f ca="1">OFFSET('Dist Factors'!$B$15,$O85-1,Z$14)*$L85+OFFSET('Dist Factors'!$B$15,$K85-1,Z$14)*$H85</f>
        <v>-1211.8159545878841</v>
      </c>
      <c r="AA85" s="20"/>
      <c r="AB85" s="20">
        <f ca="1">OFFSET('Dist Factors'!$B$15,$O85-1,AB$14)*$L85+OFFSET('Dist Factors'!$B$15,$K85-1,AB$14)*$H85</f>
        <v>-356.85231080166398</v>
      </c>
      <c r="AC85" s="9"/>
      <c r="AD85" s="20">
        <f ca="1">OFFSET('Dist Factors'!$B$15,$O85-1,AD$14)*$L85+OFFSET('Dist Factors'!$B$15,$K85-1,AD$14)*$H85</f>
        <v>-98.516136473197719</v>
      </c>
      <c r="AE85" s="9"/>
      <c r="AF85" s="20">
        <f ca="1">OFFSET('Dist Factors'!$B$15,$O85-1,AF$14)*$L85+OFFSET('Dist Factors'!$B$15,$K85-1,AF$14)*$H85</f>
        <v>0</v>
      </c>
      <c r="AG85" s="9"/>
      <c r="AH85" s="20">
        <f ca="1">OFFSET('Dist Factors'!$B$15,$O85-1,AH$14)*$L85+OFFSET('Dist Factors'!$B$15,$K85-1,AH$14)*$H85</f>
        <v>0</v>
      </c>
      <c r="AI85" s="9"/>
      <c r="AJ85" s="20">
        <f t="shared" ca="1" si="136"/>
        <v>-3989.2304349672745</v>
      </c>
      <c r="AL85" s="25" t="str">
        <f t="shared" ca="1" si="34"/>
        <v/>
      </c>
      <c r="AM85" s="51"/>
    </row>
    <row r="86" spans="2:39" x14ac:dyDescent="0.2">
      <c r="B86" s="18">
        <f t="shared" ref="B86:B89" si="137">B85+1</f>
        <v>51</v>
      </c>
      <c r="D86" s="1" t="s">
        <v>42</v>
      </c>
      <c r="F86" s="50">
        <f ca="1">+Function!V86</f>
        <v>-47296.412746348738</v>
      </c>
      <c r="H86" s="50"/>
      <c r="K86" s="73">
        <f>_xlfn.IFNA(MATCH(J86,'Dist Factors'!$B$15:$B$431,0),0)</f>
        <v>0</v>
      </c>
      <c r="L86" s="50">
        <f t="shared" ca="1" si="135"/>
        <v>-47296.412746348738</v>
      </c>
      <c r="N86" s="18" t="s">
        <v>238</v>
      </c>
      <c r="O86" s="73">
        <f>_xlfn.IFNA(MATCH(N86,'Dist Factors'!$B$15:$B$431,0),0)</f>
        <v>39</v>
      </c>
      <c r="P86" s="20">
        <f ca="1">OFFSET('Dist Factors'!$B$15,$O86-1,P$14)*$L86+OFFSET('Dist Factors'!$B$15,$K86-1,P$14)*$H86</f>
        <v>-7709.5216267546793</v>
      </c>
      <c r="R86" s="20">
        <f ca="1">OFFSET('Dist Factors'!$B$15,$O86-1,R$14)*$L86+OFFSET('Dist Factors'!$B$15,$K86-1,R$14)*$H86</f>
        <v>-1474.5582647104166</v>
      </c>
      <c r="S86" s="20"/>
      <c r="T86" s="20">
        <f ca="1">OFFSET('Dist Factors'!$B$15,$O86-1,T$14)*$L86+OFFSET('Dist Factors'!$B$15,$K86-1,T$14)*$H86</f>
        <v>-7820.8870123347488</v>
      </c>
      <c r="U86" s="20"/>
      <c r="V86" s="20">
        <f ca="1">OFFSET('Dist Factors'!$B$15,$O86-1,V$14)*$L86+OFFSET('Dist Factors'!$B$15,$K86-1,V$14)*$H86</f>
        <v>0</v>
      </c>
      <c r="W86" s="9"/>
      <c r="X86" s="20">
        <f ca="1">OFFSET('Dist Factors'!$B$15,$O86-1,X$14)*$L86+OFFSET('Dist Factors'!$B$15,$K86-1,X$14)*$H86</f>
        <v>-10525.267157154945</v>
      </c>
      <c r="Y86" s="9"/>
      <c r="Z86" s="20">
        <f ca="1">OFFSET('Dist Factors'!$B$15,$O86-1,Z$14)*$L86+OFFSET('Dist Factors'!$B$15,$K86-1,Z$14)*$H86</f>
        <v>-14367.319335181333</v>
      </c>
      <c r="AA86" s="20"/>
      <c r="AB86" s="20">
        <f ca="1">OFFSET('Dist Factors'!$B$15,$O86-1,AB$14)*$L86+OFFSET('Dist Factors'!$B$15,$K86-1,AB$14)*$H86</f>
        <v>-4230.849647897634</v>
      </c>
      <c r="AC86" s="9"/>
      <c r="AD86" s="20">
        <f ca="1">OFFSET('Dist Factors'!$B$15,$O86-1,AD$14)*$L86+OFFSET('Dist Factors'!$B$15,$K86-1,AD$14)*$H86</f>
        <v>-1168.0097023149788</v>
      </c>
      <c r="AE86" s="9"/>
      <c r="AF86" s="20">
        <f ca="1">OFFSET('Dist Factors'!$B$15,$O86-1,AF$14)*$L86+OFFSET('Dist Factors'!$B$15,$K86-1,AF$14)*$H86</f>
        <v>0</v>
      </c>
      <c r="AG86" s="9"/>
      <c r="AH86" s="20">
        <f ca="1">OFFSET('Dist Factors'!$B$15,$O86-1,AH$14)*$L86+OFFSET('Dist Factors'!$B$15,$K86-1,AH$14)*$H86</f>
        <v>0</v>
      </c>
      <c r="AI86" s="9"/>
      <c r="AJ86" s="20">
        <f t="shared" ca="1" si="136"/>
        <v>-47296.412746348731</v>
      </c>
      <c r="AL86" s="25" t="str">
        <f t="shared" ca="1" si="34"/>
        <v/>
      </c>
      <c r="AM86" s="51"/>
    </row>
    <row r="87" spans="2:39" x14ac:dyDescent="0.2">
      <c r="B87" s="18">
        <f t="shared" si="137"/>
        <v>52</v>
      </c>
      <c r="D87" s="1" t="s">
        <v>380</v>
      </c>
      <c r="F87" s="50">
        <f ca="1">+Function!V87</f>
        <v>0</v>
      </c>
      <c r="H87" s="50"/>
      <c r="K87" s="73">
        <f>_xlfn.IFNA(MATCH(J87,'Dist Factors'!$B$15:$B$431,0),0)</f>
        <v>0</v>
      </c>
      <c r="L87" s="50">
        <f t="shared" ca="1" si="135"/>
        <v>0</v>
      </c>
      <c r="O87" s="73">
        <f>_xlfn.IFNA(MATCH(N87,'Dist Factors'!$B$15:$B$431,0),0)</f>
        <v>0</v>
      </c>
      <c r="P87" s="20">
        <f ca="1">OFFSET('Dist Factors'!$B$15,$O87-1,P$14)*$L87+OFFSET('Dist Factors'!$B$15,$K87-1,P$14)*$H87</f>
        <v>0</v>
      </c>
      <c r="R87" s="20">
        <f ca="1">OFFSET('Dist Factors'!$B$15,$O87-1,R$14)*$L87+OFFSET('Dist Factors'!$B$15,$K87-1,R$14)*$H87</f>
        <v>0</v>
      </c>
      <c r="S87" s="20"/>
      <c r="T87" s="20">
        <f ca="1">OFFSET('Dist Factors'!$B$15,$O87-1,T$14)*$L87+OFFSET('Dist Factors'!$B$15,$K87-1,T$14)*$H87</f>
        <v>0</v>
      </c>
      <c r="U87" s="20"/>
      <c r="V87" s="20">
        <f ca="1">OFFSET('Dist Factors'!$B$15,$O87-1,V$14)*$L87+OFFSET('Dist Factors'!$B$15,$K87-1,V$14)*$H87</f>
        <v>0</v>
      </c>
      <c r="W87" s="9"/>
      <c r="X87" s="20">
        <f ca="1">OFFSET('Dist Factors'!$B$15,$O87-1,X$14)*$L87+OFFSET('Dist Factors'!$B$15,$K87-1,X$14)*$H87</f>
        <v>0</v>
      </c>
      <c r="Y87" s="9"/>
      <c r="Z87" s="20">
        <f ca="1">OFFSET('Dist Factors'!$B$15,$O87-1,Z$14)*$L87+OFFSET('Dist Factors'!$B$15,$K87-1,Z$14)*$H87</f>
        <v>0</v>
      </c>
      <c r="AA87" s="20"/>
      <c r="AB87" s="20">
        <f ca="1">OFFSET('Dist Factors'!$B$15,$O87-1,AB$14)*$L87+OFFSET('Dist Factors'!$B$15,$K87-1,AB$14)*$H87</f>
        <v>0</v>
      </c>
      <c r="AC87" s="9"/>
      <c r="AD87" s="20">
        <f ca="1">OFFSET('Dist Factors'!$B$15,$O87-1,AD$14)*$L87+OFFSET('Dist Factors'!$B$15,$K87-1,AD$14)*$H87</f>
        <v>0</v>
      </c>
      <c r="AE87" s="9"/>
      <c r="AF87" s="20">
        <f ca="1">OFFSET('Dist Factors'!$B$15,$O87-1,AF$14)*$L87+OFFSET('Dist Factors'!$B$15,$K87-1,AF$14)*$H87</f>
        <v>0</v>
      </c>
      <c r="AG87" s="9"/>
      <c r="AH87" s="20">
        <f ca="1">OFFSET('Dist Factors'!$B$15,$O87-1,AH$14)*$L87+OFFSET('Dist Factors'!$B$15,$K87-1,AH$14)*$H87</f>
        <v>0</v>
      </c>
      <c r="AI87" s="9"/>
      <c r="AJ87" s="20">
        <f t="shared" ca="1" si="136"/>
        <v>0</v>
      </c>
      <c r="AL87" s="25" t="str">
        <f t="shared" ca="1" si="34"/>
        <v/>
      </c>
      <c r="AM87" s="51"/>
    </row>
    <row r="88" spans="2:39" x14ac:dyDescent="0.2">
      <c r="B88" s="18">
        <f t="shared" si="137"/>
        <v>53</v>
      </c>
      <c r="D88" s="1" t="s">
        <v>381</v>
      </c>
      <c r="F88" s="50">
        <f ca="1">+Function!V88</f>
        <v>-102473.00891693014</v>
      </c>
      <c r="H88" s="50"/>
      <c r="K88" s="73">
        <f>_xlfn.IFNA(MATCH(J88,'Dist Factors'!$B$15:$B$431,0),0)</f>
        <v>0</v>
      </c>
      <c r="L88" s="50">
        <f t="shared" ca="1" si="135"/>
        <v>-102473.00891693014</v>
      </c>
      <c r="N88" s="18" t="s">
        <v>238</v>
      </c>
      <c r="O88" s="73">
        <f>_xlfn.IFNA(MATCH(N88,'Dist Factors'!$B$15:$B$431,0),0)</f>
        <v>39</v>
      </c>
      <c r="P88" s="20">
        <f ca="1">OFFSET('Dist Factors'!$B$15,$O88-1,P$14)*$L88+OFFSET('Dist Factors'!$B$15,$K88-1,P$14)*$H88</f>
        <v>-16703.547532041677</v>
      </c>
      <c r="R88" s="20">
        <f ca="1">OFFSET('Dist Factors'!$B$15,$O88-1,R$14)*$L88+OFFSET('Dist Factors'!$B$15,$K88-1,R$14)*$H88</f>
        <v>-3194.7966755653911</v>
      </c>
      <c r="S88" s="20"/>
      <c r="T88" s="20">
        <f ca="1">OFFSET('Dist Factors'!$B$15,$O88-1,T$14)*$L88+OFFSET('Dist Factors'!$B$15,$K88-1,T$14)*$H88</f>
        <v>-16944.833191712871</v>
      </c>
      <c r="U88" s="20"/>
      <c r="V88" s="20">
        <f ca="1">OFFSET('Dist Factors'!$B$15,$O88-1,V$14)*$L88+OFFSET('Dist Factors'!$B$15,$K88-1,V$14)*$H88</f>
        <v>0</v>
      </c>
      <c r="W88" s="9"/>
      <c r="X88" s="20">
        <f ca="1">OFFSET('Dist Factors'!$B$15,$O88-1,X$14)*$L88+OFFSET('Dist Factors'!$B$15,$K88-1,X$14)*$H88</f>
        <v>-22804.177581765431</v>
      </c>
      <c r="Y88" s="9"/>
      <c r="Z88" s="20">
        <f ca="1">OFFSET('Dist Factors'!$B$15,$O88-1,Z$14)*$L88+OFFSET('Dist Factors'!$B$15,$K88-1,Z$14)*$H88</f>
        <v>-31128.416656928752</v>
      </c>
      <c r="AA88" s="20"/>
      <c r="AB88" s="20">
        <f ca="1">OFFSET('Dist Factors'!$B$15,$O88-1,AB$14)*$L88+OFFSET('Dist Factors'!$B$15,$K88-1,AB$14)*$H88</f>
        <v>-9166.6126143715774</v>
      </c>
      <c r="AC88" s="9"/>
      <c r="AD88" s="20">
        <f ca="1">OFFSET('Dist Factors'!$B$15,$O88-1,AD$14)*$L88+OFFSET('Dist Factors'!$B$15,$K88-1,AD$14)*$H88</f>
        <v>-2530.6246645444312</v>
      </c>
      <c r="AE88" s="9"/>
      <c r="AF88" s="20">
        <f ca="1">OFFSET('Dist Factors'!$B$15,$O88-1,AF$14)*$L88+OFFSET('Dist Factors'!$B$15,$K88-1,AF$14)*$H88</f>
        <v>0</v>
      </c>
      <c r="AG88" s="9"/>
      <c r="AH88" s="20">
        <f ca="1">OFFSET('Dist Factors'!$B$15,$O88-1,AH$14)*$L88+OFFSET('Dist Factors'!$B$15,$K88-1,AH$14)*$H88</f>
        <v>0</v>
      </c>
      <c r="AI88" s="9"/>
      <c r="AJ88" s="20">
        <f t="shared" ca="1" si="136"/>
        <v>-102473.00891693014</v>
      </c>
      <c r="AL88" s="25" t="str">
        <f t="shared" ca="1" si="34"/>
        <v/>
      </c>
      <c r="AM88" s="51"/>
    </row>
    <row r="89" spans="2:39" x14ac:dyDescent="0.2">
      <c r="B89" s="18">
        <f t="shared" si="137"/>
        <v>54</v>
      </c>
      <c r="D89" s="1" t="s">
        <v>396</v>
      </c>
      <c r="F89" s="41">
        <f ca="1">SUM(F81:F88)</f>
        <v>-69681.766113052363</v>
      </c>
      <c r="H89" s="41">
        <f>SUM(H81:H88)</f>
        <v>0</v>
      </c>
      <c r="K89" s="74"/>
      <c r="L89" s="41">
        <f ca="1">SUM(L81:L88)</f>
        <v>-69681.766113052363</v>
      </c>
      <c r="P89" s="11">
        <f ca="1">SUM(P81:P88)</f>
        <v>-11358.431890387103</v>
      </c>
      <c r="Q89" s="13"/>
      <c r="R89" s="11">
        <f ca="1">SUM(R81:R88)</f>
        <v>-2172.4654821639051</v>
      </c>
      <c r="S89" s="13"/>
      <c r="T89" s="11">
        <f ca="1">SUM(T81:T88)</f>
        <v>-11522.506421635338</v>
      </c>
      <c r="U89" s="13"/>
      <c r="V89" s="11">
        <f ca="1">SUM(V81:V88)</f>
        <v>0</v>
      </c>
      <c r="W89" s="13"/>
      <c r="X89" s="11">
        <f ca="1">SUM(X81:X88)</f>
        <v>-15506.867471230829</v>
      </c>
      <c r="Y89" s="13"/>
      <c r="Z89" s="11">
        <f ca="1">SUM(Z81:Z88)</f>
        <v>-21167.35979438373</v>
      </c>
      <c r="AA89" s="13"/>
      <c r="AB89" s="11">
        <f ca="1">SUM(AB81:AB88)</f>
        <v>-6233.3073166749273</v>
      </c>
      <c r="AC89" s="13"/>
      <c r="AD89" s="11">
        <f ca="1">SUM(AD81:AD88)</f>
        <v>-1720.8277365765223</v>
      </c>
      <c r="AE89" s="13"/>
      <c r="AF89" s="11">
        <f ca="1">SUM(AF81:AF88)</f>
        <v>0</v>
      </c>
      <c r="AG89" s="13"/>
      <c r="AH89" s="11">
        <f ca="1">SUM(AH81:AH88)</f>
        <v>0</v>
      </c>
      <c r="AI89" s="13"/>
      <c r="AJ89" s="11">
        <f ca="1">SUM(AJ81:AJ88)</f>
        <v>-69681.766113052348</v>
      </c>
      <c r="AL89" s="25" t="str">
        <f t="shared" ca="1" si="34"/>
        <v/>
      </c>
      <c r="AM89" s="51"/>
    </row>
    <row r="90" spans="2:39" x14ac:dyDescent="0.2">
      <c r="K90" s="74"/>
      <c r="AL90" s="25" t="str">
        <f t="shared" si="34"/>
        <v/>
      </c>
      <c r="AM90" s="51"/>
    </row>
    <row r="91" spans="2:39" x14ac:dyDescent="0.2">
      <c r="K91" s="74"/>
      <c r="AL91" s="25" t="str">
        <f t="shared" si="34"/>
        <v/>
      </c>
      <c r="AM91" s="51"/>
    </row>
    <row r="92" spans="2:39" x14ac:dyDescent="0.2">
      <c r="B92" s="18">
        <f>B89+1</f>
        <v>55</v>
      </c>
      <c r="D92" s="1" t="s">
        <v>397</v>
      </c>
      <c r="F92" s="41">
        <f ca="1">F79+F89</f>
        <v>11784194.28618744</v>
      </c>
      <c r="H92" s="41">
        <f>H79+H89</f>
        <v>0</v>
      </c>
      <c r="K92" s="74"/>
      <c r="L92" s="41">
        <f ca="1">L79+L89</f>
        <v>11784194.28618744</v>
      </c>
      <c r="P92" s="92">
        <f ca="1">P79+P89</f>
        <v>1911781.8255558747</v>
      </c>
      <c r="Q92" s="14"/>
      <c r="R92" s="10">
        <f ca="1">R79+R89</f>
        <v>365656.11041462945</v>
      </c>
      <c r="S92" s="8"/>
      <c r="T92" s="10">
        <f ca="1">T79+T89</f>
        <v>1937818.0001016736</v>
      </c>
      <c r="U92" s="8"/>
      <c r="V92" s="10">
        <f ca="1">V79+V89</f>
        <v>13873.642578517149</v>
      </c>
      <c r="W92" s="8"/>
      <c r="X92" s="10">
        <f ca="1">X79+X89</f>
        <v>2606344.1532027279</v>
      </c>
      <c r="Y92" s="8"/>
      <c r="Z92" s="10">
        <f ca="1">Z79+Z89</f>
        <v>3558517.683339634</v>
      </c>
      <c r="AA92" s="8"/>
      <c r="AB92" s="10">
        <f ca="1">AB79+AB89</f>
        <v>1053355.6962321801</v>
      </c>
      <c r="AC92" s="8"/>
      <c r="AD92" s="10">
        <f ca="1">AD79+AD89</f>
        <v>289881.87472631602</v>
      </c>
      <c r="AE92" s="8"/>
      <c r="AF92" s="10">
        <f ca="1">AF79+AF89</f>
        <v>46965.300035888409</v>
      </c>
      <c r="AG92" s="8"/>
      <c r="AH92" s="10">
        <f ca="1">AH79+AH89</f>
        <v>-6.5163016172803335E-14</v>
      </c>
      <c r="AI92" s="8"/>
      <c r="AJ92" s="10">
        <f ca="1">AJ79+AJ89</f>
        <v>11784194.28618744</v>
      </c>
      <c r="AL92" s="25" t="str">
        <f t="shared" ca="1" si="34"/>
        <v/>
      </c>
      <c r="AM92" s="51"/>
    </row>
    <row r="93" spans="2:39" x14ac:dyDescent="0.2">
      <c r="K93" s="74"/>
      <c r="AL93" s="25" t="str">
        <f t="shared" si="34"/>
        <v/>
      </c>
      <c r="AM93" s="51"/>
    </row>
    <row r="94" spans="2:39" x14ac:dyDescent="0.2">
      <c r="K94" s="74"/>
      <c r="AL94" s="25" t="str">
        <f t="shared" si="34"/>
        <v/>
      </c>
      <c r="AM94" s="51"/>
    </row>
    <row r="95" spans="2:39" x14ac:dyDescent="0.2">
      <c r="B95" s="18">
        <f>B92+1</f>
        <v>56</v>
      </c>
      <c r="D95" s="1" t="s">
        <v>38</v>
      </c>
      <c r="F95" s="87">
        <f>Function!$F$95</f>
        <v>6.0821321807016528E-2</v>
      </c>
      <c r="H95" s="87">
        <f>Function!$F$95</f>
        <v>6.0821321807016528E-2</v>
      </c>
      <c r="K95" s="74"/>
      <c r="L95" s="87">
        <f>Function!$F$95</f>
        <v>6.0821321807016528E-2</v>
      </c>
      <c r="P95" s="17">
        <f>$F$95</f>
        <v>6.0821321807016528E-2</v>
      </c>
      <c r="R95" s="17">
        <f>$F$95</f>
        <v>6.0821321807016528E-2</v>
      </c>
      <c r="T95" s="17">
        <f>$F$95</f>
        <v>6.0821321807016528E-2</v>
      </c>
      <c r="V95" s="17">
        <f>$F$95</f>
        <v>6.0821321807016528E-2</v>
      </c>
      <c r="X95" s="17">
        <f>$F$95</f>
        <v>6.0821321807016528E-2</v>
      </c>
      <c r="Z95" s="17">
        <f>$F$95</f>
        <v>6.0821321807016528E-2</v>
      </c>
      <c r="AB95" s="17">
        <f>$F$95</f>
        <v>6.0821321807016528E-2</v>
      </c>
      <c r="AD95" s="17">
        <f>$F$95</f>
        <v>6.0821321807016528E-2</v>
      </c>
      <c r="AF95" s="17">
        <f>$F$95</f>
        <v>6.0821321807016528E-2</v>
      </c>
      <c r="AH95" s="17">
        <f>$F$95</f>
        <v>6.0821321807016528E-2</v>
      </c>
      <c r="AJ95" s="17"/>
      <c r="AL95" s="25"/>
      <c r="AM95" s="51"/>
    </row>
    <row r="96" spans="2:39" x14ac:dyDescent="0.2">
      <c r="K96" s="74"/>
      <c r="AL96" s="25" t="str">
        <f t="shared" si="34"/>
        <v/>
      </c>
      <c r="AM96" s="51"/>
    </row>
    <row r="97" spans="2:60" x14ac:dyDescent="0.2">
      <c r="B97" s="18">
        <f>B95+1</f>
        <v>57</v>
      </c>
      <c r="D97" s="1" t="s">
        <v>398</v>
      </c>
      <c r="F97" s="41">
        <f ca="1">F92*F95</f>
        <v>716730.27291661175</v>
      </c>
      <c r="H97" s="41">
        <f>H92*H95</f>
        <v>0</v>
      </c>
      <c r="K97" s="74"/>
      <c r="L97" s="41">
        <f ca="1">L92*L95</f>
        <v>716730.27291661175</v>
      </c>
      <c r="N97" s="52"/>
      <c r="P97" s="10">
        <f ca="1">P92*P95</f>
        <v>116277.09763693939</v>
      </c>
      <c r="R97" s="10">
        <f ca="1">R92*R95</f>
        <v>22239.687962230146</v>
      </c>
      <c r="S97" s="20"/>
      <c r="T97" s="10">
        <f ca="1">T92*T95</f>
        <v>117860.65218761309</v>
      </c>
      <c r="U97" s="20"/>
      <c r="V97" s="10">
        <f ca="1">V92*V95</f>
        <v>843.81327990351804</v>
      </c>
      <c r="W97" s="9"/>
      <c r="X97" s="10">
        <f ca="1">X92*X95</f>
        <v>158521.29648177911</v>
      </c>
      <c r="Y97" s="9"/>
      <c r="Z97" s="10">
        <f ca="1">Z92*Z95</f>
        <v>216433.74917435882</v>
      </c>
      <c r="AA97" s="20"/>
      <c r="AB97" s="10">
        <f ca="1">AB92*AB95</f>
        <v>64066.485777791371</v>
      </c>
      <c r="AC97" s="9"/>
      <c r="AD97" s="10">
        <f ca="1">AD92*AD95</f>
        <v>17630.998788750519</v>
      </c>
      <c r="AE97" s="9"/>
      <c r="AF97" s="10">
        <f ca="1">AF92*AF95</f>
        <v>2856.491627245854</v>
      </c>
      <c r="AG97" s="9"/>
      <c r="AH97" s="10">
        <f ca="1">AH92*AH95</f>
        <v>-3.9633007765618943E-15</v>
      </c>
      <c r="AI97" s="9"/>
      <c r="AJ97" s="10">
        <f ca="1">SUM(P97:AI97)</f>
        <v>716730.27291661187</v>
      </c>
      <c r="AL97" s="25" t="str">
        <f t="shared" ca="1" si="34"/>
        <v/>
      </c>
      <c r="AM97" s="51"/>
    </row>
    <row r="98" spans="2:60" x14ac:dyDescent="0.2">
      <c r="F98" s="50"/>
      <c r="H98" s="50"/>
      <c r="K98" s="74"/>
      <c r="L98" s="50"/>
      <c r="AL98" s="25" t="str">
        <f t="shared" si="34"/>
        <v/>
      </c>
      <c r="AM98" s="51"/>
    </row>
    <row r="99" spans="2:60" x14ac:dyDescent="0.2">
      <c r="F99" s="50"/>
      <c r="H99" s="50"/>
      <c r="K99" s="74"/>
      <c r="L99" s="50"/>
      <c r="AL99" s="25" t="str">
        <f t="shared" si="34"/>
        <v/>
      </c>
      <c r="AM99" s="51"/>
    </row>
    <row r="100" spans="2:60" x14ac:dyDescent="0.2">
      <c r="D100" s="6" t="s">
        <v>70</v>
      </c>
      <c r="K100" s="74"/>
      <c r="AL100" s="25" t="str">
        <f t="shared" si="34"/>
        <v/>
      </c>
      <c r="AM100" s="51"/>
    </row>
    <row r="101" spans="2:60" x14ac:dyDescent="0.2">
      <c r="K101" s="74"/>
      <c r="AL101" s="25" t="str">
        <f t="shared" si="34"/>
        <v/>
      </c>
      <c r="AM101" s="51"/>
    </row>
    <row r="102" spans="2:60" x14ac:dyDescent="0.2">
      <c r="B102" s="18">
        <f>B97+1</f>
        <v>58</v>
      </c>
      <c r="D102" s="1" t="s">
        <v>195</v>
      </c>
      <c r="F102" s="50">
        <f ca="1">Function!V102</f>
        <v>565624.78092949442</v>
      </c>
      <c r="H102" s="50"/>
      <c r="J102" s="2"/>
      <c r="K102" s="73">
        <f>_xlfn.IFNA(MATCH(J102,'Dist Factors'!$B$15:$B$431,0),0)</f>
        <v>0</v>
      </c>
      <c r="L102" s="50">
        <f t="shared" ref="L102" ca="1" si="138">F102-H102</f>
        <v>565624.78092949442</v>
      </c>
      <c r="N102" s="18" t="s">
        <v>246</v>
      </c>
      <c r="O102" s="73">
        <f>_xlfn.IFNA(MATCH(N102,'Dist Factors'!$B$15:$B$431,0),0)</f>
        <v>24</v>
      </c>
      <c r="P102" s="20">
        <f ca="1">OFFSET('Dist Factors'!$B$15,$O102-1,P$14)*$L102+OFFSET('Dist Factors'!$B$15,$K102-1,P$14)*$H102</f>
        <v>65998.109144076574</v>
      </c>
      <c r="R102" s="20">
        <f ca="1">OFFSET('Dist Factors'!$B$15,$O102-1,R$14)*$L102+OFFSET('Dist Factors'!$B$15,$K102-1,R$14)*$H102</f>
        <v>12623.099331602009</v>
      </c>
      <c r="S102" s="20"/>
      <c r="T102" s="20">
        <f ca="1">OFFSET('Dist Factors'!$B$15,$O102-1,T$14)*$L102+OFFSET('Dist Factors'!$B$15,$K102-1,T$14)*$H102</f>
        <v>66951.463350500853</v>
      </c>
      <c r="U102" s="20"/>
      <c r="V102" s="20">
        <f ca="1">OFFSET('Dist Factors'!$B$15,$O102-1,V$14)*$L102+OFFSET('Dist Factors'!$B$15,$K102-1,V$14)*$H102</f>
        <v>0</v>
      </c>
      <c r="W102" s="9"/>
      <c r="X102" s="20">
        <f ca="1">OFFSET('Dist Factors'!$B$15,$O102-1,X$14)*$L102+OFFSET('Dist Factors'!$B$15,$K102-1,X$14)*$H102</f>
        <v>87766.206660509037</v>
      </c>
      <c r="Y102" s="9"/>
      <c r="Z102" s="20">
        <f ca="1">OFFSET('Dist Factors'!$B$15,$O102-1,Z$14)*$L102+OFFSET('Dist Factors'!$B$15,$K102-1,Z$14)*$H102</f>
        <v>167835.0176424954</v>
      </c>
      <c r="AA102" s="20"/>
      <c r="AB102" s="20">
        <f ca="1">OFFSET('Dist Factors'!$B$15,$O102-1,AB$14)*$L102+OFFSET('Dist Factors'!$B$15,$K102-1,AB$14)*$H102</f>
        <v>150968.24809454844</v>
      </c>
      <c r="AC102" s="9"/>
      <c r="AD102" s="20">
        <f ca="1">OFFSET('Dist Factors'!$B$15,$O102-1,AD$14)*$L102+OFFSET('Dist Factors'!$B$15,$K102-1,AD$14)*$H102</f>
        <v>13482.636705762123</v>
      </c>
      <c r="AE102" s="9"/>
      <c r="AF102" s="20">
        <f ca="1">OFFSET('Dist Factors'!$B$15,$O102-1,AF$14)*$L102+OFFSET('Dist Factors'!$B$15,$K102-1,AF$14)*$H102</f>
        <v>0</v>
      </c>
      <c r="AG102" s="9"/>
      <c r="AH102" s="20">
        <f ca="1">OFFSET('Dist Factors'!$B$15,$O102-1,AH$14)*$L102+OFFSET('Dist Factors'!$B$15,$K102-1,AH$14)*$H102</f>
        <v>0</v>
      </c>
      <c r="AI102" s="9"/>
      <c r="AJ102" s="20">
        <f ca="1">SUM(P102:AI102)</f>
        <v>565624.78092949442</v>
      </c>
      <c r="AL102" s="25" t="str">
        <f t="shared" ca="1" si="34"/>
        <v/>
      </c>
      <c r="AM102" s="51"/>
    </row>
    <row r="103" spans="2:60" x14ac:dyDescent="0.2">
      <c r="B103" s="18">
        <f>B102+1</f>
        <v>59</v>
      </c>
      <c r="D103" s="1" t="s">
        <v>196</v>
      </c>
      <c r="F103" s="88">
        <f ca="1">Function!V103</f>
        <v>47226.529641032546</v>
      </c>
      <c r="H103" s="88"/>
      <c r="K103" s="73">
        <f>_xlfn.IFNA(MATCH(J103,'Dist Factors'!$B$15:$B$431,0),0)</f>
        <v>0</v>
      </c>
      <c r="L103" s="88">
        <f t="shared" ref="L103" ca="1" si="139">F103-H103</f>
        <v>47226.529641032546</v>
      </c>
      <c r="N103" s="18" t="s">
        <v>121</v>
      </c>
      <c r="O103" s="73">
        <f>_xlfn.IFNA(MATCH(N103,'Dist Factors'!$B$15:$B$431,0),0)</f>
        <v>27</v>
      </c>
      <c r="P103" s="20">
        <f ca="1">OFFSET('Dist Factors'!$B$15,$O103-1,P$14)*$L103+OFFSET('Dist Factors'!$B$15,$K103-1,P$14)*$H103</f>
        <v>6237.7033920242848</v>
      </c>
      <c r="R103" s="20">
        <f ca="1">OFFSET('Dist Factors'!$B$15,$O103-1,R$14)*$L103+OFFSET('Dist Factors'!$B$15,$K103-1,R$14)*$H103</f>
        <v>1193.0515970798883</v>
      </c>
      <c r="S103" s="20"/>
      <c r="T103" s="20">
        <f ca="1">OFFSET('Dist Factors'!$B$15,$O103-1,T$14)*$L103+OFFSET('Dist Factors'!$B$15,$K103-1,T$14)*$H103</f>
        <v>6327.8081063007385</v>
      </c>
      <c r="U103" s="20"/>
      <c r="V103" s="20">
        <f ca="1">OFFSET('Dist Factors'!$B$15,$O103-1,V$14)*$L103+OFFSET('Dist Factors'!$B$15,$K103-1,V$14)*$H103</f>
        <v>1929.159843020173</v>
      </c>
      <c r="W103" s="9"/>
      <c r="X103" s="20">
        <f ca="1">OFFSET('Dist Factors'!$B$15,$O103-1,X$14)*$L103+OFFSET('Dist Factors'!$B$15,$K103-1,X$14)*$H103</f>
        <v>8346.0523430424928</v>
      </c>
      <c r="Y103" s="9"/>
      <c r="Z103" s="20">
        <f ca="1">OFFSET('Dist Factors'!$B$15,$O103-1,Z$14)*$L103+OFFSET('Dist Factors'!$B$15,$K103-1,Z$14)*$H103</f>
        <v>11500.566258765715</v>
      </c>
      <c r="AA103" s="20"/>
      <c r="AB103" s="20">
        <f ca="1">OFFSET('Dist Factors'!$B$15,$O103-1,AB$14)*$L103+OFFSET('Dist Factors'!$B$15,$K103-1,AB$14)*$H103</f>
        <v>4144.9012861198107</v>
      </c>
      <c r="AC103" s="9"/>
      <c r="AD103" s="20">
        <f ca="1">OFFSET('Dist Factors'!$B$15,$O103-1,AD$14)*$L103+OFFSET('Dist Factors'!$B$15,$K103-1,AD$14)*$H103</f>
        <v>1016.6608214074047</v>
      </c>
      <c r="AE103" s="9"/>
      <c r="AF103" s="20">
        <f ca="1">OFFSET('Dist Factors'!$B$15,$O103-1,AF$14)*$L103+OFFSET('Dist Factors'!$B$15,$K103-1,AF$14)*$H103</f>
        <v>6530.6259932720395</v>
      </c>
      <c r="AG103" s="9"/>
      <c r="AH103" s="20">
        <f ca="1">OFFSET('Dist Factors'!$B$15,$O103-1,AH$14)*$L103+OFFSET('Dist Factors'!$B$15,$K103-1,AH$14)*$H103</f>
        <v>-9.0610575657544754E-15</v>
      </c>
      <c r="AI103" s="9"/>
      <c r="AJ103" s="20">
        <f ca="1">SUM(P103:AI103)</f>
        <v>47226.529641032554</v>
      </c>
      <c r="AL103" s="25" t="str">
        <f t="shared" ca="1" si="34"/>
        <v/>
      </c>
      <c r="AM103" s="51"/>
    </row>
    <row r="104" spans="2:60" x14ac:dyDescent="0.2">
      <c r="B104" s="18">
        <f>B103+1</f>
        <v>60</v>
      </c>
      <c r="D104" s="1" t="s">
        <v>197</v>
      </c>
      <c r="F104" s="41">
        <f ca="1">F102+F103</f>
        <v>612851.31057052698</v>
      </c>
      <c r="H104" s="41">
        <f>H102+H103</f>
        <v>0</v>
      </c>
      <c r="K104" s="74"/>
      <c r="L104" s="41">
        <f ca="1">L102+L103</f>
        <v>612851.31057052698</v>
      </c>
      <c r="P104" s="10">
        <f ca="1">P102+P103</f>
        <v>72235.812536100857</v>
      </c>
      <c r="R104" s="10">
        <f ca="1">R102+R103</f>
        <v>13816.150928681896</v>
      </c>
      <c r="T104" s="10">
        <f ca="1">T102+T103</f>
        <v>73279.271456801594</v>
      </c>
      <c r="V104" s="10">
        <f ca="1">V102+V103</f>
        <v>1929.159843020173</v>
      </c>
      <c r="X104" s="10">
        <f ca="1">X102+X103</f>
        <v>96112.259003551531</v>
      </c>
      <c r="Z104" s="10">
        <f ca="1">Z102+Z103</f>
        <v>179335.58390126112</v>
      </c>
      <c r="AB104" s="10">
        <f ca="1">AB102+AB103</f>
        <v>155113.14938066824</v>
      </c>
      <c r="AD104" s="10">
        <f ca="1">AD102+AD103</f>
        <v>14499.297527169527</v>
      </c>
      <c r="AF104" s="10">
        <f ca="1">AF102+AF103</f>
        <v>6530.6259932720395</v>
      </c>
      <c r="AH104" s="10">
        <f ca="1">AH102+AH103</f>
        <v>-9.0610575657544754E-15</v>
      </c>
      <c r="AJ104" s="10">
        <f ca="1">AJ102+AJ103</f>
        <v>612851.31057052698</v>
      </c>
      <c r="AL104" s="25" t="str">
        <f t="shared" ca="1" si="34"/>
        <v/>
      </c>
      <c r="AM104" s="51"/>
    </row>
    <row r="105" spans="2:60" x14ac:dyDescent="0.2">
      <c r="K105" s="74"/>
      <c r="AL105" s="25" t="str">
        <f t="shared" si="34"/>
        <v/>
      </c>
      <c r="AM105" s="51"/>
    </row>
    <row r="106" spans="2:60" x14ac:dyDescent="0.2">
      <c r="D106" s="6" t="s">
        <v>69</v>
      </c>
      <c r="F106" s="50"/>
      <c r="H106" s="50"/>
      <c r="K106" s="74"/>
      <c r="L106" s="50"/>
      <c r="AL106" s="25" t="str">
        <f t="shared" ref="AL106:AL111" si="140">IF(ROUND(F106,4)=ROUND(AJ106,4), "", "check")</f>
        <v/>
      </c>
      <c r="AM106" s="51"/>
    </row>
    <row r="107" spans="2:60" x14ac:dyDescent="0.2">
      <c r="F107" s="50"/>
      <c r="H107" s="50"/>
      <c r="K107" s="74"/>
      <c r="L107" s="50"/>
      <c r="AL107" s="25" t="str">
        <f t="shared" si="140"/>
        <v/>
      </c>
      <c r="AM107" s="51"/>
    </row>
    <row r="108" spans="2:60" x14ac:dyDescent="0.2">
      <c r="B108" s="18">
        <f>B104+1</f>
        <v>61</v>
      </c>
      <c r="D108" s="1" t="s">
        <v>39</v>
      </c>
      <c r="F108" s="50">
        <f ca="1">Function!V108</f>
        <v>92491.927807701548</v>
      </c>
      <c r="H108" s="50"/>
      <c r="K108" s="73">
        <f>_xlfn.IFNA(MATCH(J108,'Dist Factors'!$B$15:$B$431,0),0)</f>
        <v>0</v>
      </c>
      <c r="L108" s="50">
        <f t="shared" ref="L108:L109" ca="1" si="141">F108-H108</f>
        <v>92491.927807701548</v>
      </c>
      <c r="N108" s="18" t="s">
        <v>86</v>
      </c>
      <c r="O108" s="73">
        <f>_xlfn.IFNA(MATCH(N108,'Dist Factors'!$B$15:$B$431,0),0)</f>
        <v>48</v>
      </c>
      <c r="P108" s="20">
        <f ca="1">OFFSET('Dist Factors'!$B$15,$O108-1,P$14)*$L108+OFFSET('Dist Factors'!$B$15,$K108-1,P$14)*$H108</f>
        <v>15005.216504334983</v>
      </c>
      <c r="R108" s="20">
        <f ca="1">OFFSET('Dist Factors'!$B$15,$O108-1,R$14)*$L108+OFFSET('Dist Factors'!$B$15,$K108-1,R$14)*$H108</f>
        <v>2869.9661381649503</v>
      </c>
      <c r="S108" s="20"/>
      <c r="T108" s="20">
        <f ca="1">OFFSET('Dist Factors'!$B$15,$O108-1,T$14)*$L108+OFFSET('Dist Factors'!$B$15,$K108-1,T$14)*$H108</f>
        <v>15209.569548590322</v>
      </c>
      <c r="U108" s="20"/>
      <c r="V108" s="20">
        <f ca="1">OFFSET('Dist Factors'!$B$15,$O108-1,V$14)*$L108+OFFSET('Dist Factors'!$B$15,$K108-1,V$14)*$H108</f>
        <v>108.89161504288283</v>
      </c>
      <c r="W108" s="9"/>
      <c r="X108" s="20">
        <f ca="1">OFFSET('Dist Factors'!$B$15,$O108-1,X$14)*$L108+OFFSET('Dist Factors'!$B$15,$K108-1,X$14)*$H108</f>
        <v>20456.705770933455</v>
      </c>
      <c r="Y108" s="9"/>
      <c r="Z108" s="20">
        <f ca="1">OFFSET('Dist Factors'!$B$15,$O108-1,Z$14)*$L108+OFFSET('Dist Factors'!$B$15,$K108-1,Z$14)*$H108</f>
        <v>27930.136984898949</v>
      </c>
      <c r="AA108" s="20"/>
      <c r="AB108" s="20">
        <f ca="1">OFFSET('Dist Factors'!$B$15,$O108-1,AB$14)*$L108+OFFSET('Dist Factors'!$B$15,$K108-1,AB$14)*$H108</f>
        <v>8267.5910330105962</v>
      </c>
      <c r="AC108" s="9"/>
      <c r="AD108" s="20">
        <f ca="1">OFFSET('Dist Factors'!$B$15,$O108-1,AD$14)*$L108+OFFSET('Dist Factors'!$B$15,$K108-1,AD$14)*$H108</f>
        <v>2275.2283931175784</v>
      </c>
      <c r="AE108" s="9"/>
      <c r="AF108" s="20">
        <f ca="1">OFFSET('Dist Factors'!$B$15,$O108-1,AF$14)*$L108+OFFSET('Dist Factors'!$B$15,$K108-1,AF$14)*$H108</f>
        <v>368.62181960781515</v>
      </c>
      <c r="AG108" s="9"/>
      <c r="AH108" s="20">
        <f ca="1">OFFSET('Dist Factors'!$B$15,$O108-1,AH$14)*$L108+OFFSET('Dist Factors'!$B$15,$K108-1,AH$14)*$H108</f>
        <v>-5.1145227592279927E-16</v>
      </c>
      <c r="AI108" s="9"/>
      <c r="AJ108" s="9">
        <f ca="1">SUM(P108:AI108)</f>
        <v>92491.927807701533</v>
      </c>
      <c r="AL108" s="25" t="str">
        <f t="shared" ca="1" si="140"/>
        <v/>
      </c>
      <c r="AM108" s="51"/>
    </row>
    <row r="109" spans="2:60" x14ac:dyDescent="0.2">
      <c r="B109" s="18">
        <f>B108+1</f>
        <v>62</v>
      </c>
      <c r="D109" s="1" t="s">
        <v>40</v>
      </c>
      <c r="F109" s="50">
        <f ca="1">Function!V109</f>
        <v>95278.782195306019</v>
      </c>
      <c r="H109" s="50"/>
      <c r="K109" s="73">
        <f>_xlfn.IFNA(MATCH(J109,'Dist Factors'!$B$15:$B$431,0),0)</f>
        <v>0</v>
      </c>
      <c r="L109" s="50">
        <f t="shared" ca="1" si="141"/>
        <v>95278.782195306019</v>
      </c>
      <c r="N109" s="18" t="s">
        <v>242</v>
      </c>
      <c r="O109" s="73">
        <f>_xlfn.IFNA(MATCH(N109,'Dist Factors'!$B$15:$B$431,0),0)</f>
        <v>45</v>
      </c>
      <c r="P109" s="20">
        <f ca="1">OFFSET('Dist Factors'!$B$15,$O109-1,P$14)*$L109+OFFSET('Dist Factors'!$B$15,$K109-1,P$14)*$H109</f>
        <v>19694.934093863736</v>
      </c>
      <c r="R109" s="20">
        <f ca="1">OFFSET('Dist Factors'!$B$15,$O109-1,R$14)*$L109+OFFSET('Dist Factors'!$B$15,$K109-1,R$14)*$H109</f>
        <v>3766.9429112502116</v>
      </c>
      <c r="S109" s="20"/>
      <c r="T109" s="20">
        <f ca="1">OFFSET('Dist Factors'!$B$15,$O109-1,T$14)*$L109+OFFSET('Dist Factors'!$B$15,$K109-1,T$14)*$H109</f>
        <v>21290.651503878955</v>
      </c>
      <c r="U109" s="20"/>
      <c r="V109" s="20">
        <f ca="1">OFFSET('Dist Factors'!$B$15,$O109-1,V$14)*$L109+OFFSET('Dist Factors'!$B$15,$K109-1,V$14)*$H109</f>
        <v>0</v>
      </c>
      <c r="W109" s="9"/>
      <c r="X109" s="20">
        <f ca="1">OFFSET('Dist Factors'!$B$15,$O109-1,X$14)*$L109+OFFSET('Dist Factors'!$B$15,$K109-1,X$14)*$H109</f>
        <v>32109.185356070342</v>
      </c>
      <c r="Y109" s="9"/>
      <c r="Z109" s="20">
        <f ca="1">OFFSET('Dist Factors'!$B$15,$O109-1,Z$14)*$L109+OFFSET('Dist Factors'!$B$15,$K109-1,Z$14)*$H109</f>
        <v>18417.068330242775</v>
      </c>
      <c r="AA109" s="20"/>
      <c r="AB109" s="20">
        <f ca="1">OFFSET('Dist Factors'!$B$15,$O109-1,AB$14)*$L109+OFFSET('Dist Factors'!$B$15,$K109-1,AB$14)*$H109</f>
        <v>0</v>
      </c>
      <c r="AC109" s="9"/>
      <c r="AD109" s="20">
        <f ca="1">OFFSET('Dist Factors'!$B$15,$O109-1,AD$14)*$L109+OFFSET('Dist Factors'!$B$15,$K109-1,AD$14)*$H109</f>
        <v>0</v>
      </c>
      <c r="AE109" s="9"/>
      <c r="AF109" s="20">
        <f ca="1">OFFSET('Dist Factors'!$B$15,$O109-1,AF$14)*$L109+OFFSET('Dist Factors'!$B$15,$K109-1,AF$14)*$H109</f>
        <v>0</v>
      </c>
      <c r="AG109" s="9"/>
      <c r="AH109" s="20">
        <f ca="1">OFFSET('Dist Factors'!$B$15,$O109-1,AH$14)*$L109+OFFSET('Dist Factors'!$B$15,$K109-1,AH$14)*$H109</f>
        <v>0</v>
      </c>
      <c r="AI109" s="9"/>
      <c r="AJ109" s="9">
        <f ca="1">SUM(P109:AI109)</f>
        <v>95278.782195306019</v>
      </c>
      <c r="AL109" s="25" t="str">
        <f t="shared" ca="1" si="140"/>
        <v/>
      </c>
      <c r="AM109" s="51"/>
    </row>
    <row r="110" spans="2:60" x14ac:dyDescent="0.2">
      <c r="B110" s="18">
        <f>B109+1</f>
        <v>63</v>
      </c>
      <c r="D110" s="1" t="s">
        <v>294</v>
      </c>
      <c r="F110" s="41">
        <f ca="1">F108+F109</f>
        <v>187770.71000300755</v>
      </c>
      <c r="H110" s="41">
        <f>H108+H109</f>
        <v>0</v>
      </c>
      <c r="K110" s="74"/>
      <c r="L110" s="41">
        <f ca="1">L108+L109</f>
        <v>187770.71000300755</v>
      </c>
      <c r="P110" s="10">
        <f ca="1">P108+P109</f>
        <v>34700.150598198721</v>
      </c>
      <c r="R110" s="10">
        <f ca="1">R108+R109</f>
        <v>6636.9090494151624</v>
      </c>
      <c r="T110" s="10">
        <f ca="1">T108+T109</f>
        <v>36500.221052469278</v>
      </c>
      <c r="V110" s="10">
        <f ca="1">V108+V109</f>
        <v>108.89161504288283</v>
      </c>
      <c r="X110" s="10">
        <f ca="1">X108+X109</f>
        <v>52565.891127003793</v>
      </c>
      <c r="Z110" s="10">
        <f ca="1">Z108+Z109</f>
        <v>46347.20531514172</v>
      </c>
      <c r="AB110" s="10">
        <f ca="1">AB108+AB109</f>
        <v>8267.5910330105962</v>
      </c>
      <c r="AD110" s="10">
        <f ca="1">AD108+AD109</f>
        <v>2275.2283931175784</v>
      </c>
      <c r="AF110" s="10">
        <f ca="1">AF108+AF109</f>
        <v>368.62181960781515</v>
      </c>
      <c r="AH110" s="10">
        <f ca="1">AH108+AH109</f>
        <v>-5.1145227592279927E-16</v>
      </c>
      <c r="AJ110" s="10">
        <f ca="1">AJ108+AJ109</f>
        <v>187770.71000300755</v>
      </c>
      <c r="AL110" s="25" t="str">
        <f t="shared" ca="1" si="140"/>
        <v/>
      </c>
      <c r="AM110" s="51"/>
    </row>
    <row r="111" spans="2:60" x14ac:dyDescent="0.2">
      <c r="K111" s="74"/>
      <c r="AL111" s="25" t="str">
        <f t="shared" si="140"/>
        <v/>
      </c>
      <c r="AM111" s="51"/>
    </row>
    <row r="112" spans="2:60" x14ac:dyDescent="0.2">
      <c r="K112" s="74"/>
      <c r="AL112" s="25" t="str">
        <f t="shared" si="34"/>
        <v/>
      </c>
      <c r="AM112" s="51"/>
      <c r="AR112" s="2" t="s">
        <v>320</v>
      </c>
      <c r="AT112" s="2" t="s">
        <v>320</v>
      </c>
      <c r="AV112" s="2" t="s">
        <v>321</v>
      </c>
      <c r="AX112" s="2" t="s">
        <v>114</v>
      </c>
      <c r="BH112" s="2" t="s">
        <v>68</v>
      </c>
    </row>
    <row r="113" spans="2:64" x14ac:dyDescent="0.2">
      <c r="D113" s="6" t="s">
        <v>74</v>
      </c>
      <c r="K113" s="74"/>
      <c r="AL113" s="25" t="str">
        <f t="shared" si="34"/>
        <v/>
      </c>
      <c r="AM113" s="51"/>
      <c r="AO113" s="2" t="s">
        <v>181</v>
      </c>
      <c r="AP113" s="2" t="s">
        <v>189</v>
      </c>
      <c r="AR113" s="2" t="s">
        <v>129</v>
      </c>
      <c r="AS113" s="2"/>
      <c r="AT113" s="2" t="s">
        <v>129</v>
      </c>
      <c r="AU113" s="2"/>
      <c r="AV113" s="2" t="s">
        <v>129</v>
      </c>
      <c r="AW113" s="2"/>
      <c r="AX113" s="2" t="s">
        <v>128</v>
      </c>
      <c r="AY113" s="2"/>
      <c r="AZ113" s="2" t="s">
        <v>10</v>
      </c>
      <c r="BA113" s="2"/>
      <c r="BB113" s="2" t="s">
        <v>10</v>
      </c>
      <c r="BC113" s="2"/>
      <c r="BD113" s="2" t="s">
        <v>10</v>
      </c>
      <c r="BE113" s="2"/>
      <c r="BF113" s="2" t="s">
        <v>10</v>
      </c>
      <c r="BG113" s="2"/>
      <c r="BH113" s="2" t="s">
        <v>128</v>
      </c>
      <c r="BI113" s="2"/>
      <c r="BJ113" s="2" t="s">
        <v>10</v>
      </c>
    </row>
    <row r="114" spans="2:64" x14ac:dyDescent="0.2">
      <c r="K114" s="74"/>
      <c r="AL114" s="25" t="str">
        <f t="shared" si="34"/>
        <v/>
      </c>
      <c r="AM114" s="51"/>
      <c r="AO114" s="33" t="s">
        <v>187</v>
      </c>
      <c r="AP114" s="33" t="s">
        <v>188</v>
      </c>
      <c r="AR114" s="33" t="s">
        <v>66</v>
      </c>
      <c r="AS114" s="2"/>
      <c r="AT114" s="33" t="s">
        <v>65</v>
      </c>
      <c r="AU114" s="2"/>
      <c r="AV114" s="33" t="s">
        <v>67</v>
      </c>
      <c r="AW114" s="2"/>
      <c r="AX114" s="33" t="s">
        <v>104</v>
      </c>
      <c r="AY114" s="2"/>
      <c r="AZ114" s="33" t="s">
        <v>23</v>
      </c>
      <c r="BA114" s="2"/>
      <c r="BB114" s="33" t="s">
        <v>31</v>
      </c>
      <c r="BC114" s="2"/>
      <c r="BD114" s="33" t="s">
        <v>33</v>
      </c>
      <c r="BE114" s="2"/>
      <c r="BF114" s="33" t="s">
        <v>183</v>
      </c>
      <c r="BG114" s="2"/>
      <c r="BH114" s="33" t="s">
        <v>104</v>
      </c>
      <c r="BI114" s="2"/>
      <c r="BJ114" s="33" t="s">
        <v>49</v>
      </c>
      <c r="BL114" s="33" t="s">
        <v>11</v>
      </c>
    </row>
    <row r="115" spans="2:64" x14ac:dyDescent="0.2">
      <c r="D115" s="1" t="s">
        <v>7</v>
      </c>
      <c r="K115" s="74"/>
      <c r="AL115" s="25" t="str">
        <f t="shared" si="34"/>
        <v/>
      </c>
      <c r="AM115" s="51"/>
    </row>
    <row r="116" spans="2:64" x14ac:dyDescent="0.2">
      <c r="B116" s="18">
        <f>B110+1</f>
        <v>64</v>
      </c>
      <c r="D116" s="36" t="s">
        <v>309</v>
      </c>
      <c r="F116" s="50">
        <f ca="1">Function!V116</f>
        <v>0</v>
      </c>
      <c r="H116" s="79"/>
      <c r="K116" s="73">
        <f>_xlfn.IFNA(MATCH(J116,'Dist Factors'!$B$15:$B$431,0),0)</f>
        <v>0</v>
      </c>
      <c r="L116" s="50">
        <f t="shared" ref="L116:L119" ca="1" si="142">F116-H116</f>
        <v>0</v>
      </c>
      <c r="O116" s="73">
        <f>_xlfn.IFNA(MATCH(N116,'Dist Factors'!$B$15:$B$431,0),0)</f>
        <v>0</v>
      </c>
      <c r="P116" s="20">
        <f ca="1">OFFSET('Dist Factors'!$B$15,$O116-1,P$14)*$L116+OFFSET('Dist Factors'!$B$15,$K116-1,P$14)*$H116</f>
        <v>0</v>
      </c>
      <c r="R116" s="20">
        <f ca="1">OFFSET('Dist Factors'!$B$15,$O116-1,R$14)*$L116+OFFSET('Dist Factors'!$B$15,$K116-1,R$14)*$H116</f>
        <v>0</v>
      </c>
      <c r="S116" s="20"/>
      <c r="T116" s="20">
        <f ca="1">OFFSET('Dist Factors'!$B$15,$O116-1,T$14)*$L116+OFFSET('Dist Factors'!$B$15,$K116-1,T$14)*$H116</f>
        <v>0</v>
      </c>
      <c r="U116" s="20"/>
      <c r="V116" s="20">
        <f ca="1">OFFSET('Dist Factors'!$B$15,$O116-1,V$14)*$L116+OFFSET('Dist Factors'!$B$15,$K116-1,V$14)*$H116</f>
        <v>0</v>
      </c>
      <c r="W116" s="9"/>
      <c r="X116" s="20">
        <f ca="1">OFFSET('Dist Factors'!$B$15,$O116-1,X$14)*$L116+OFFSET('Dist Factors'!$B$15,$K116-1,X$14)*$H116</f>
        <v>0</v>
      </c>
      <c r="Y116" s="9"/>
      <c r="Z116" s="20">
        <f ca="1">OFFSET('Dist Factors'!$B$15,$O116-1,Z$14)*$L116+OFFSET('Dist Factors'!$B$15,$K116-1,Z$14)*$H116</f>
        <v>0</v>
      </c>
      <c r="AA116" s="20"/>
      <c r="AB116" s="20">
        <f ca="1">OFFSET('Dist Factors'!$B$15,$O116-1,AB$14)*$L116+OFFSET('Dist Factors'!$B$15,$K116-1,AB$14)*$H116</f>
        <v>0</v>
      </c>
      <c r="AC116" s="9"/>
      <c r="AD116" s="20">
        <f ca="1">OFFSET('Dist Factors'!$B$15,$O116-1,AD$14)*$L116+OFFSET('Dist Factors'!$B$15,$K116-1,AD$14)*$H116</f>
        <v>0</v>
      </c>
      <c r="AE116" s="9"/>
      <c r="AF116" s="20">
        <f ca="1">OFFSET('Dist Factors'!$B$15,$O116-1,AF$14)*$L116+OFFSET('Dist Factors'!$B$15,$K116-1,AF$14)*$H116</f>
        <v>0</v>
      </c>
      <c r="AG116" s="9"/>
      <c r="AH116" s="20">
        <f ca="1">OFFSET('Dist Factors'!$B$15,$O116-1,AH$14)*$L116+OFFSET('Dist Factors'!$B$15,$K116-1,AH$14)*$H116</f>
        <v>0</v>
      </c>
      <c r="AI116" s="9"/>
      <c r="AJ116" s="9">
        <f ca="1">SUM(P116:AI116)</f>
        <v>0</v>
      </c>
      <c r="AL116" s="25" t="str">
        <f t="shared" ca="1" si="34"/>
        <v/>
      </c>
      <c r="AM116" s="51"/>
      <c r="AO116" s="93">
        <f ca="1">Function!AL116</f>
        <v>0</v>
      </c>
      <c r="AP116" s="100">
        <f t="shared" ref="AP116:AP122" ca="1" si="143">IFERROR(AO116/F116,0)</f>
        <v>0</v>
      </c>
      <c r="AR116" s="50">
        <f t="shared" ref="AR116:AR158" ca="1" si="144">$AP116*P116</f>
        <v>0</v>
      </c>
      <c r="AT116" s="50">
        <f t="shared" ref="AT116:AT158" ca="1" si="145">$AP116*R116</f>
        <v>0</v>
      </c>
      <c r="AV116" s="50">
        <f t="shared" ref="AV116:AV158" ca="1" si="146">$AP116*T116</f>
        <v>0</v>
      </c>
      <c r="AX116" s="50">
        <f t="shared" ref="AX116:AX158" ca="1" si="147">$AP116*V116</f>
        <v>0</v>
      </c>
      <c r="AZ116" s="50">
        <f t="shared" ref="AZ116:AZ158" ca="1" si="148">$AP116*X116</f>
        <v>0</v>
      </c>
      <c r="BB116" s="50">
        <f t="shared" ref="BB116:BB158" ca="1" si="149">$AP116*Z116</f>
        <v>0</v>
      </c>
      <c r="BD116" s="50">
        <f t="shared" ref="BD116:BD158" ca="1" si="150">$AP116*AB116</f>
        <v>0</v>
      </c>
      <c r="BF116" s="50">
        <f t="shared" ref="BF116:BF158" ca="1" si="151">$AP116*AD116</f>
        <v>0</v>
      </c>
      <c r="BH116" s="50">
        <f t="shared" ref="BH116:BH158" ca="1" si="152">$AP116*AF116</f>
        <v>0</v>
      </c>
      <c r="BJ116" s="50">
        <f t="shared" ref="BJ116:BJ158" ca="1" si="153">$AP116*AH116</f>
        <v>0</v>
      </c>
      <c r="BL116" s="50">
        <f ca="1">SUM(AR116:BJ116)</f>
        <v>0</v>
      </c>
    </row>
    <row r="117" spans="2:64" x14ac:dyDescent="0.2">
      <c r="B117" s="18">
        <f t="shared" ref="B117:B122" si="154">B116+1</f>
        <v>65</v>
      </c>
      <c r="D117" s="36" t="s">
        <v>105</v>
      </c>
      <c r="F117" s="50">
        <f ca="1">Function!V117</f>
        <v>0</v>
      </c>
      <c r="H117" s="79"/>
      <c r="K117" s="73">
        <f>_xlfn.IFNA(MATCH(J117,'Dist Factors'!$B$15:$B$431,0),0)</f>
        <v>0</v>
      </c>
      <c r="L117" s="50">
        <f t="shared" ca="1" si="142"/>
        <v>0</v>
      </c>
      <c r="O117" s="73">
        <f>_xlfn.IFNA(MATCH(N117,'Dist Factors'!$B$15:$B$431,0),0)</f>
        <v>0</v>
      </c>
      <c r="P117" s="20">
        <f ca="1">OFFSET('Dist Factors'!$B$15,$O117-1,P$14)*$L117+OFFSET('Dist Factors'!$B$15,$K117-1,P$14)*$H117</f>
        <v>0</v>
      </c>
      <c r="R117" s="20">
        <f ca="1">OFFSET('Dist Factors'!$B$15,$O117-1,R$14)*$L117+OFFSET('Dist Factors'!$B$15,$K117-1,R$14)*$H117</f>
        <v>0</v>
      </c>
      <c r="S117" s="20"/>
      <c r="T117" s="20">
        <f ca="1">OFFSET('Dist Factors'!$B$15,$O117-1,T$14)*$L117+OFFSET('Dist Factors'!$B$15,$K117-1,T$14)*$H117</f>
        <v>0</v>
      </c>
      <c r="U117" s="20"/>
      <c r="V117" s="20">
        <f ca="1">OFFSET('Dist Factors'!$B$15,$O117-1,V$14)*$L117+OFFSET('Dist Factors'!$B$15,$K117-1,V$14)*$H117</f>
        <v>0</v>
      </c>
      <c r="W117" s="9"/>
      <c r="X117" s="20">
        <f ca="1">OFFSET('Dist Factors'!$B$15,$O117-1,X$14)*$L117+OFFSET('Dist Factors'!$B$15,$K117-1,X$14)*$H117</f>
        <v>0</v>
      </c>
      <c r="Y117" s="9"/>
      <c r="Z117" s="20">
        <f ca="1">OFFSET('Dist Factors'!$B$15,$O117-1,Z$14)*$L117+OFFSET('Dist Factors'!$B$15,$K117-1,Z$14)*$H117</f>
        <v>0</v>
      </c>
      <c r="AA117" s="20"/>
      <c r="AB117" s="20">
        <f ca="1">OFFSET('Dist Factors'!$B$15,$O117-1,AB$14)*$L117+OFFSET('Dist Factors'!$B$15,$K117-1,AB$14)*$H117</f>
        <v>0</v>
      </c>
      <c r="AC117" s="9"/>
      <c r="AD117" s="20">
        <f ca="1">OFFSET('Dist Factors'!$B$15,$O117-1,AD$14)*$L117+OFFSET('Dist Factors'!$B$15,$K117-1,AD$14)*$H117</f>
        <v>0</v>
      </c>
      <c r="AE117" s="9"/>
      <c r="AF117" s="20">
        <f ca="1">OFFSET('Dist Factors'!$B$15,$O117-1,AF$14)*$L117+OFFSET('Dist Factors'!$B$15,$K117-1,AF$14)*$H117</f>
        <v>0</v>
      </c>
      <c r="AG117" s="9"/>
      <c r="AH117" s="20">
        <f ca="1">OFFSET('Dist Factors'!$B$15,$O117-1,AH$14)*$L117+OFFSET('Dist Factors'!$B$15,$K117-1,AH$14)*$H117</f>
        <v>0</v>
      </c>
      <c r="AI117" s="9"/>
      <c r="AJ117" s="9">
        <f ca="1">SUM(P117:AI117)</f>
        <v>0</v>
      </c>
      <c r="AL117" s="25" t="str">
        <f t="shared" ca="1" si="34"/>
        <v/>
      </c>
      <c r="AM117" s="51"/>
      <c r="AO117" s="93">
        <f ca="1">Function!AL117</f>
        <v>0</v>
      </c>
      <c r="AP117" s="100">
        <f t="shared" ca="1" si="143"/>
        <v>0</v>
      </c>
      <c r="AR117" s="50">
        <f t="shared" ca="1" si="144"/>
        <v>0</v>
      </c>
      <c r="AT117" s="50">
        <f t="shared" ca="1" si="145"/>
        <v>0</v>
      </c>
      <c r="AV117" s="50">
        <f t="shared" ca="1" si="146"/>
        <v>0</v>
      </c>
      <c r="AX117" s="50">
        <f t="shared" ca="1" si="147"/>
        <v>0</v>
      </c>
      <c r="AZ117" s="50">
        <f t="shared" ca="1" si="148"/>
        <v>0</v>
      </c>
      <c r="BB117" s="50">
        <f t="shared" ca="1" si="149"/>
        <v>0</v>
      </c>
      <c r="BD117" s="50">
        <f t="shared" ca="1" si="150"/>
        <v>0</v>
      </c>
      <c r="BF117" s="50">
        <f t="shared" ca="1" si="151"/>
        <v>0</v>
      </c>
      <c r="BH117" s="50">
        <f t="shared" ca="1" si="152"/>
        <v>0</v>
      </c>
      <c r="BJ117" s="50">
        <f t="shared" ca="1" si="153"/>
        <v>0</v>
      </c>
      <c r="BL117" s="50">
        <f t="shared" ref="BL117:BL160" ca="1" si="155">SUM(AR117:BJ117)</f>
        <v>0</v>
      </c>
    </row>
    <row r="118" spans="2:64" x14ac:dyDescent="0.2">
      <c r="B118" s="18">
        <f t="shared" si="154"/>
        <v>66</v>
      </c>
      <c r="D118" s="36" t="s">
        <v>106</v>
      </c>
      <c r="F118" s="50">
        <f ca="1">Function!V118</f>
        <v>16614.592810299422</v>
      </c>
      <c r="H118" s="79"/>
      <c r="K118" s="73">
        <f>_xlfn.IFNA(MATCH(J118,'Dist Factors'!$B$15:$B$431,0),0)</f>
        <v>0</v>
      </c>
      <c r="L118" s="50">
        <f t="shared" ca="1" si="142"/>
        <v>16614.592810299422</v>
      </c>
      <c r="N118" s="18" t="s">
        <v>259</v>
      </c>
      <c r="O118" s="73">
        <f>_xlfn.IFNA(MATCH(N118,'Dist Factors'!$B$15:$B$431,0),0)</f>
        <v>21</v>
      </c>
      <c r="P118" s="20">
        <f ca="1">OFFSET('Dist Factors'!$B$15,$O118-1,P$14)*$L118+OFFSET('Dist Factors'!$B$15,$K118-1,P$14)*$H118</f>
        <v>0</v>
      </c>
      <c r="R118" s="20">
        <f ca="1">OFFSET('Dist Factors'!$B$15,$O118-1,R$14)*$L118+OFFSET('Dist Factors'!$B$15,$K118-1,R$14)*$H118</f>
        <v>0</v>
      </c>
      <c r="S118" s="20"/>
      <c r="T118" s="20">
        <f ca="1">OFFSET('Dist Factors'!$B$15,$O118-1,T$14)*$L118+OFFSET('Dist Factors'!$B$15,$K118-1,T$14)*$H118</f>
        <v>0</v>
      </c>
      <c r="U118" s="20"/>
      <c r="V118" s="20">
        <f ca="1">OFFSET('Dist Factors'!$B$15,$O118-1,V$14)*$L118+OFFSET('Dist Factors'!$B$15,$K118-1,V$14)*$H118</f>
        <v>0</v>
      </c>
      <c r="W118" s="9"/>
      <c r="X118" s="20">
        <f ca="1">OFFSET('Dist Factors'!$B$15,$O118-1,X$14)*$L118+OFFSET('Dist Factors'!$B$15,$K118-1,X$14)*$H118</f>
        <v>0</v>
      </c>
      <c r="Y118" s="9"/>
      <c r="Z118" s="20">
        <f ca="1">OFFSET('Dist Factors'!$B$15,$O118-1,Z$14)*$L118+OFFSET('Dist Factors'!$B$15,$K118-1,Z$14)*$H118</f>
        <v>0</v>
      </c>
      <c r="AA118" s="20"/>
      <c r="AB118" s="20">
        <f ca="1">OFFSET('Dist Factors'!$B$15,$O118-1,AB$14)*$L118+OFFSET('Dist Factors'!$B$15,$K118-1,AB$14)*$H118</f>
        <v>0</v>
      </c>
      <c r="AC118" s="9"/>
      <c r="AD118" s="20">
        <f ca="1">OFFSET('Dist Factors'!$B$15,$O118-1,AD$14)*$L118+OFFSET('Dist Factors'!$B$15,$K118-1,AD$14)*$H118</f>
        <v>0</v>
      </c>
      <c r="AE118" s="9"/>
      <c r="AF118" s="20">
        <f ca="1">OFFSET('Dist Factors'!$B$15,$O118-1,AF$14)*$L118+OFFSET('Dist Factors'!$B$15,$K118-1,AF$14)*$H118</f>
        <v>0</v>
      </c>
      <c r="AG118" s="9"/>
      <c r="AH118" s="20">
        <f ca="1">OFFSET('Dist Factors'!$B$15,$O118-1,AH$14)*$L118+OFFSET('Dist Factors'!$B$15,$K118-1,AH$14)*$H118</f>
        <v>16614.592810299422</v>
      </c>
      <c r="AI118" s="9"/>
      <c r="AJ118" s="9">
        <f ca="1">SUM(P118:AI118)</f>
        <v>16614.592810299422</v>
      </c>
      <c r="AL118" s="25" t="str">
        <f t="shared" ca="1" si="34"/>
        <v/>
      </c>
      <c r="AM118" s="51"/>
      <c r="AO118" s="93">
        <f ca="1">Function!AL118</f>
        <v>0</v>
      </c>
      <c r="AP118" s="100">
        <f t="shared" ca="1" si="143"/>
        <v>0</v>
      </c>
      <c r="AR118" s="50">
        <f t="shared" ca="1" si="144"/>
        <v>0</v>
      </c>
      <c r="AT118" s="50">
        <f t="shared" ca="1" si="145"/>
        <v>0</v>
      </c>
      <c r="AV118" s="50">
        <f t="shared" ca="1" si="146"/>
        <v>0</v>
      </c>
      <c r="AX118" s="50">
        <f t="shared" ca="1" si="147"/>
        <v>0</v>
      </c>
      <c r="AZ118" s="50">
        <f t="shared" ca="1" si="148"/>
        <v>0</v>
      </c>
      <c r="BB118" s="50">
        <f t="shared" ca="1" si="149"/>
        <v>0</v>
      </c>
      <c r="BD118" s="50">
        <f t="shared" ca="1" si="150"/>
        <v>0</v>
      </c>
      <c r="BF118" s="50">
        <f t="shared" ca="1" si="151"/>
        <v>0</v>
      </c>
      <c r="BH118" s="50">
        <f t="shared" ca="1" si="152"/>
        <v>0</v>
      </c>
      <c r="BJ118" s="50">
        <f t="shared" ca="1" si="153"/>
        <v>0</v>
      </c>
      <c r="BL118" s="50">
        <f t="shared" ca="1" si="155"/>
        <v>0</v>
      </c>
    </row>
    <row r="119" spans="2:64" x14ac:dyDescent="0.2">
      <c r="B119" s="18">
        <f t="shared" si="154"/>
        <v>67</v>
      </c>
      <c r="D119" s="36" t="s">
        <v>224</v>
      </c>
      <c r="F119" s="50">
        <f ca="1">Function!V119</f>
        <v>1725.290575876292</v>
      </c>
      <c r="H119" s="79"/>
      <c r="K119" s="73">
        <f>_xlfn.IFNA(MATCH(J119,'Dist Factors'!$B$15:$B$431,0),0)</f>
        <v>0</v>
      </c>
      <c r="L119" s="50">
        <f t="shared" ca="1" si="142"/>
        <v>1725.290575876292</v>
      </c>
      <c r="N119" s="18" t="s">
        <v>259</v>
      </c>
      <c r="O119" s="73">
        <f>_xlfn.IFNA(MATCH(N119,'Dist Factors'!$B$15:$B$431,0),0)</f>
        <v>21</v>
      </c>
      <c r="P119" s="20">
        <f ca="1">OFFSET('Dist Factors'!$B$15,$O119-1,P$14)*$L119+OFFSET('Dist Factors'!$B$15,$K119-1,P$14)*$H119</f>
        <v>0</v>
      </c>
      <c r="R119" s="20">
        <f ca="1">OFFSET('Dist Factors'!$B$15,$O119-1,R$14)*$L119+OFFSET('Dist Factors'!$B$15,$K119-1,R$14)*$H119</f>
        <v>0</v>
      </c>
      <c r="S119" s="20"/>
      <c r="T119" s="20">
        <f ca="1">OFFSET('Dist Factors'!$B$15,$O119-1,T$14)*$L119+OFFSET('Dist Factors'!$B$15,$K119-1,T$14)*$H119</f>
        <v>0</v>
      </c>
      <c r="U119" s="20"/>
      <c r="V119" s="20">
        <f ca="1">OFFSET('Dist Factors'!$B$15,$O119-1,V$14)*$L119+OFFSET('Dist Factors'!$B$15,$K119-1,V$14)*$H119</f>
        <v>0</v>
      </c>
      <c r="W119" s="9"/>
      <c r="X119" s="20">
        <f ca="1">OFFSET('Dist Factors'!$B$15,$O119-1,X$14)*$L119+OFFSET('Dist Factors'!$B$15,$K119-1,X$14)*$H119</f>
        <v>0</v>
      </c>
      <c r="Y119" s="9"/>
      <c r="Z119" s="20">
        <f ca="1">OFFSET('Dist Factors'!$B$15,$O119-1,Z$14)*$L119+OFFSET('Dist Factors'!$B$15,$K119-1,Z$14)*$H119</f>
        <v>0</v>
      </c>
      <c r="AA119" s="20"/>
      <c r="AB119" s="20">
        <f ca="1">OFFSET('Dist Factors'!$B$15,$O119-1,AB$14)*$L119+OFFSET('Dist Factors'!$B$15,$K119-1,AB$14)*$H119</f>
        <v>0</v>
      </c>
      <c r="AC119" s="9"/>
      <c r="AD119" s="20">
        <f ca="1">OFFSET('Dist Factors'!$B$15,$O119-1,AD$14)*$L119+OFFSET('Dist Factors'!$B$15,$K119-1,AD$14)*$H119</f>
        <v>0</v>
      </c>
      <c r="AE119" s="9"/>
      <c r="AF119" s="20">
        <f ca="1">OFFSET('Dist Factors'!$B$15,$O119-1,AF$14)*$L119+OFFSET('Dist Factors'!$B$15,$K119-1,AF$14)*$H119</f>
        <v>0</v>
      </c>
      <c r="AG119" s="9"/>
      <c r="AH119" s="20">
        <f ca="1">OFFSET('Dist Factors'!$B$15,$O119-1,AH$14)*$L119+OFFSET('Dist Factors'!$B$15,$K119-1,AH$14)*$H119</f>
        <v>1725.290575876292</v>
      </c>
      <c r="AI119" s="9"/>
      <c r="AJ119" s="9">
        <f t="shared" ref="AJ119:AJ161" ca="1" si="156">SUM(P119:AI119)</f>
        <v>1725.290575876292</v>
      </c>
      <c r="AL119" s="25"/>
      <c r="AM119" s="51"/>
      <c r="AO119" s="93">
        <f ca="1">Function!AL119</f>
        <v>0</v>
      </c>
      <c r="AP119" s="100">
        <f t="shared" ca="1" si="143"/>
        <v>0</v>
      </c>
      <c r="AR119" s="50">
        <f t="shared" ca="1" si="144"/>
        <v>0</v>
      </c>
      <c r="AT119" s="50">
        <f t="shared" ca="1" si="145"/>
        <v>0</v>
      </c>
      <c r="AV119" s="50">
        <f t="shared" ca="1" si="146"/>
        <v>0</v>
      </c>
      <c r="AX119" s="50">
        <f t="shared" ca="1" si="147"/>
        <v>0</v>
      </c>
      <c r="AZ119" s="50">
        <f t="shared" ca="1" si="148"/>
        <v>0</v>
      </c>
      <c r="BB119" s="50">
        <f t="shared" ca="1" si="149"/>
        <v>0</v>
      </c>
      <c r="BD119" s="50">
        <f t="shared" ca="1" si="150"/>
        <v>0</v>
      </c>
      <c r="BF119" s="50">
        <f t="shared" ca="1" si="151"/>
        <v>0</v>
      </c>
      <c r="BH119" s="50">
        <f t="shared" ca="1" si="152"/>
        <v>0</v>
      </c>
      <c r="BJ119" s="50">
        <f t="shared" ca="1" si="153"/>
        <v>0</v>
      </c>
      <c r="BL119" s="50">
        <f t="shared" ca="1" si="155"/>
        <v>0</v>
      </c>
    </row>
    <row r="120" spans="2:64" x14ac:dyDescent="0.2">
      <c r="B120" s="18">
        <f t="shared" si="154"/>
        <v>68</v>
      </c>
      <c r="D120" s="36" t="s">
        <v>337</v>
      </c>
      <c r="F120" s="50">
        <f ca="1">Function!V120</f>
        <v>0</v>
      </c>
      <c r="H120" s="79"/>
      <c r="K120" s="73">
        <f>_xlfn.IFNA(MATCH(J120,'Dist Factors'!$B$15:$B$431,0),0)</f>
        <v>0</v>
      </c>
      <c r="L120" s="50">
        <f t="shared" ref="L120:L122" ca="1" si="157">F120-H120</f>
        <v>0</v>
      </c>
      <c r="O120" s="73">
        <f>_xlfn.IFNA(MATCH(N120,'Dist Factors'!$B$15:$B$431,0),0)</f>
        <v>0</v>
      </c>
      <c r="P120" s="20">
        <f ca="1">OFFSET('Dist Factors'!$B$15,$O120-1,P$14)*$L120+OFFSET('Dist Factors'!$B$15,$K120-1,P$14)*$H120</f>
        <v>0</v>
      </c>
      <c r="R120" s="20">
        <f ca="1">OFFSET('Dist Factors'!$B$15,$O120-1,R$14)*$L120+OFFSET('Dist Factors'!$B$15,$K120-1,R$14)*$H120</f>
        <v>0</v>
      </c>
      <c r="S120" s="20"/>
      <c r="T120" s="20">
        <f ca="1">OFFSET('Dist Factors'!$B$15,$O120-1,T$14)*$L120+OFFSET('Dist Factors'!$B$15,$K120-1,T$14)*$H120</f>
        <v>0</v>
      </c>
      <c r="U120" s="20"/>
      <c r="V120" s="20">
        <f ca="1">OFFSET('Dist Factors'!$B$15,$O120-1,V$14)*$L120+OFFSET('Dist Factors'!$B$15,$K120-1,V$14)*$H120</f>
        <v>0</v>
      </c>
      <c r="W120" s="9"/>
      <c r="X120" s="20">
        <f ca="1">OFFSET('Dist Factors'!$B$15,$O120-1,X$14)*$L120+OFFSET('Dist Factors'!$B$15,$K120-1,X$14)*$H120</f>
        <v>0</v>
      </c>
      <c r="Y120" s="9"/>
      <c r="Z120" s="20">
        <f ca="1">OFFSET('Dist Factors'!$B$15,$O120-1,Z$14)*$L120+OFFSET('Dist Factors'!$B$15,$K120-1,Z$14)*$H120</f>
        <v>0</v>
      </c>
      <c r="AA120" s="20"/>
      <c r="AB120" s="20">
        <f ca="1">OFFSET('Dist Factors'!$B$15,$O120-1,AB$14)*$L120+OFFSET('Dist Factors'!$B$15,$K120-1,AB$14)*$H120</f>
        <v>0</v>
      </c>
      <c r="AC120" s="9"/>
      <c r="AD120" s="20">
        <f ca="1">OFFSET('Dist Factors'!$B$15,$O120-1,AD$14)*$L120+OFFSET('Dist Factors'!$B$15,$K120-1,AD$14)*$H120</f>
        <v>0</v>
      </c>
      <c r="AE120" s="9"/>
      <c r="AF120" s="20">
        <f ca="1">OFFSET('Dist Factors'!$B$15,$O120-1,AF$14)*$L120+OFFSET('Dist Factors'!$B$15,$K120-1,AF$14)*$H120</f>
        <v>0</v>
      </c>
      <c r="AG120" s="9"/>
      <c r="AH120" s="20">
        <f ca="1">OFFSET('Dist Factors'!$B$15,$O120-1,AH$14)*$L120+OFFSET('Dist Factors'!$B$15,$K120-1,AH$14)*$H120</f>
        <v>0</v>
      </c>
      <c r="AI120" s="9"/>
      <c r="AJ120" s="9">
        <f t="shared" ca="1" si="156"/>
        <v>0</v>
      </c>
      <c r="AL120" s="25" t="str">
        <f t="shared" ca="1" si="34"/>
        <v/>
      </c>
      <c r="AM120" s="51"/>
      <c r="AO120" s="93">
        <f ca="1">Function!AL120</f>
        <v>0</v>
      </c>
      <c r="AP120" s="100">
        <f t="shared" ca="1" si="143"/>
        <v>0</v>
      </c>
      <c r="AR120" s="50">
        <f t="shared" ca="1" si="144"/>
        <v>0</v>
      </c>
      <c r="AT120" s="50">
        <f t="shared" ca="1" si="145"/>
        <v>0</v>
      </c>
      <c r="AV120" s="50">
        <f t="shared" ca="1" si="146"/>
        <v>0</v>
      </c>
      <c r="AX120" s="50">
        <f t="shared" ca="1" si="147"/>
        <v>0</v>
      </c>
      <c r="AZ120" s="50">
        <f t="shared" ca="1" si="148"/>
        <v>0</v>
      </c>
      <c r="BB120" s="50">
        <f t="shared" ca="1" si="149"/>
        <v>0</v>
      </c>
      <c r="BD120" s="50">
        <f t="shared" ca="1" si="150"/>
        <v>0</v>
      </c>
      <c r="BF120" s="50">
        <f t="shared" ca="1" si="151"/>
        <v>0</v>
      </c>
      <c r="BH120" s="50">
        <f t="shared" ca="1" si="152"/>
        <v>0</v>
      </c>
      <c r="BJ120" s="50">
        <f t="shared" ca="1" si="153"/>
        <v>0</v>
      </c>
      <c r="BL120" s="50">
        <f t="shared" ca="1" si="155"/>
        <v>0</v>
      </c>
    </row>
    <row r="121" spans="2:64" x14ac:dyDescent="0.2">
      <c r="B121" s="18">
        <f t="shared" si="154"/>
        <v>69</v>
      </c>
      <c r="D121" s="36" t="s">
        <v>203</v>
      </c>
      <c r="F121" s="50"/>
      <c r="H121" s="79"/>
      <c r="K121" s="73">
        <f>_xlfn.IFNA(MATCH(J121,'Dist Factors'!$B$15:$B$431,0),0)</f>
        <v>0</v>
      </c>
      <c r="L121" s="50"/>
      <c r="O121" s="73">
        <f>_xlfn.IFNA(MATCH(N121,'Dist Factors'!$B$15:$B$431,0),0)</f>
        <v>0</v>
      </c>
      <c r="P121" s="20">
        <f ca="1">OFFSET('Dist Factors'!$B$15,$O121-1,P$14)*$L121+OFFSET('Dist Factors'!$B$15,$K121-1,P$14)*$H121</f>
        <v>0</v>
      </c>
      <c r="R121" s="20">
        <f ca="1">OFFSET('Dist Factors'!$B$15,$O121-1,R$14)*$L121+OFFSET('Dist Factors'!$B$15,$K121-1,R$14)*$H121</f>
        <v>0</v>
      </c>
      <c r="S121" s="20"/>
      <c r="T121" s="20">
        <f ca="1">OFFSET('Dist Factors'!$B$15,$O121-1,T$14)*$L121+OFFSET('Dist Factors'!$B$15,$K121-1,T$14)*$H121</f>
        <v>0</v>
      </c>
      <c r="U121" s="20"/>
      <c r="V121" s="20">
        <f ca="1">OFFSET('Dist Factors'!$B$15,$O121-1,V$14)*$L121+OFFSET('Dist Factors'!$B$15,$K121-1,V$14)*$H121</f>
        <v>0</v>
      </c>
      <c r="W121" s="9"/>
      <c r="X121" s="20">
        <f ca="1">OFFSET('Dist Factors'!$B$15,$O121-1,X$14)*$L121+OFFSET('Dist Factors'!$B$15,$K121-1,X$14)*$H121</f>
        <v>0</v>
      </c>
      <c r="Y121" s="9"/>
      <c r="Z121" s="20">
        <f ca="1">OFFSET('Dist Factors'!$B$15,$O121-1,Z$14)*$L121+OFFSET('Dist Factors'!$B$15,$K121-1,Z$14)*$H121</f>
        <v>0</v>
      </c>
      <c r="AA121" s="20"/>
      <c r="AB121" s="20">
        <f ca="1">OFFSET('Dist Factors'!$B$15,$O121-1,AB$14)*$L121+OFFSET('Dist Factors'!$B$15,$K121-1,AB$14)*$H121</f>
        <v>0</v>
      </c>
      <c r="AC121" s="9"/>
      <c r="AD121" s="20">
        <f ca="1">OFFSET('Dist Factors'!$B$15,$O121-1,AD$14)*$L121+OFFSET('Dist Factors'!$B$15,$K121-1,AD$14)*$H121</f>
        <v>0</v>
      </c>
      <c r="AE121" s="9"/>
      <c r="AF121" s="20">
        <f ca="1">OFFSET('Dist Factors'!$B$15,$O121-1,AF$14)*$L121+OFFSET('Dist Factors'!$B$15,$K121-1,AF$14)*$H121</f>
        <v>0</v>
      </c>
      <c r="AG121" s="9"/>
      <c r="AH121" s="20">
        <f ca="1">OFFSET('Dist Factors'!$B$15,$O121-1,AH$14)*$L121+OFFSET('Dist Factors'!$B$15,$K121-1,AH$14)*$H121</f>
        <v>0</v>
      </c>
      <c r="AI121" s="9"/>
      <c r="AJ121" s="9">
        <f t="shared" ca="1" si="156"/>
        <v>0</v>
      </c>
      <c r="AL121" s="25"/>
      <c r="AM121" s="51"/>
      <c r="AO121" s="93">
        <f ca="1">Function!AL121</f>
        <v>0</v>
      </c>
      <c r="AP121" s="100">
        <f t="shared" ca="1" si="143"/>
        <v>0</v>
      </c>
      <c r="AR121" s="50">
        <f t="shared" ca="1" si="144"/>
        <v>0</v>
      </c>
      <c r="AT121" s="50">
        <f t="shared" ca="1" si="145"/>
        <v>0</v>
      </c>
      <c r="AV121" s="50">
        <f t="shared" ca="1" si="146"/>
        <v>0</v>
      </c>
      <c r="AX121" s="50">
        <f t="shared" ca="1" si="147"/>
        <v>0</v>
      </c>
      <c r="AZ121" s="50">
        <f t="shared" ca="1" si="148"/>
        <v>0</v>
      </c>
      <c r="BB121" s="50">
        <f t="shared" ca="1" si="149"/>
        <v>0</v>
      </c>
      <c r="BD121" s="50">
        <f t="shared" ca="1" si="150"/>
        <v>0</v>
      </c>
      <c r="BF121" s="50">
        <f t="shared" ca="1" si="151"/>
        <v>0</v>
      </c>
      <c r="BH121" s="50">
        <f t="shared" ca="1" si="152"/>
        <v>0</v>
      </c>
      <c r="BJ121" s="50">
        <f t="shared" ca="1" si="153"/>
        <v>0</v>
      </c>
      <c r="BL121" s="50">
        <f t="shared" ca="1" si="155"/>
        <v>0</v>
      </c>
    </row>
    <row r="122" spans="2:64" x14ac:dyDescent="0.2">
      <c r="B122" s="18">
        <f t="shared" si="154"/>
        <v>70</v>
      </c>
      <c r="D122" s="36" t="s">
        <v>117</v>
      </c>
      <c r="F122" s="50">
        <f ca="1">Function!V122</f>
        <v>10709.990086266376</v>
      </c>
      <c r="H122" s="79"/>
      <c r="K122" s="73">
        <f>_xlfn.IFNA(MATCH(J122,'Dist Factors'!$B$15:$B$431,0),0)</f>
        <v>0</v>
      </c>
      <c r="L122" s="50">
        <f t="shared" ca="1" si="157"/>
        <v>10709.990086266376</v>
      </c>
      <c r="N122" s="18" t="s">
        <v>537</v>
      </c>
      <c r="O122" s="73">
        <f>_xlfn.IFNA(MATCH(N122,'Dist Factors'!$B$15:$B$431,0),0)</f>
        <v>60</v>
      </c>
      <c r="P122" s="20">
        <f ca="1">OFFSET('Dist Factors'!$B$15,$O122-1,P$14)*$L122+OFFSET('Dist Factors'!$B$15,$K122-1,P$14)*$H122</f>
        <v>10709.990086266376</v>
      </c>
      <c r="R122" s="20">
        <f ca="1">OFFSET('Dist Factors'!$B$15,$O122-1,R$14)*$L122+OFFSET('Dist Factors'!$B$15,$K122-1,R$14)*$H122</f>
        <v>0</v>
      </c>
      <c r="S122" s="20"/>
      <c r="T122" s="20">
        <f ca="1">OFFSET('Dist Factors'!$B$15,$O122-1,T$14)*$L122+OFFSET('Dist Factors'!$B$15,$K122-1,T$14)*$H122</f>
        <v>0</v>
      </c>
      <c r="U122" s="20"/>
      <c r="V122" s="20">
        <f ca="1">OFFSET('Dist Factors'!$B$15,$O122-1,V$14)*$L122+OFFSET('Dist Factors'!$B$15,$K122-1,V$14)*$H122</f>
        <v>0</v>
      </c>
      <c r="W122" s="9"/>
      <c r="X122" s="20">
        <f ca="1">OFFSET('Dist Factors'!$B$15,$O122-1,X$14)*$L122+OFFSET('Dist Factors'!$B$15,$K122-1,X$14)*$H122</f>
        <v>0</v>
      </c>
      <c r="Y122" s="9"/>
      <c r="Z122" s="20">
        <f ca="1">OFFSET('Dist Factors'!$B$15,$O122-1,Z$14)*$L122+OFFSET('Dist Factors'!$B$15,$K122-1,Z$14)*$H122</f>
        <v>0</v>
      </c>
      <c r="AA122" s="20"/>
      <c r="AB122" s="20">
        <f ca="1">OFFSET('Dist Factors'!$B$15,$O122-1,AB$14)*$L122+OFFSET('Dist Factors'!$B$15,$K122-1,AB$14)*$H122</f>
        <v>0</v>
      </c>
      <c r="AC122" s="9"/>
      <c r="AD122" s="20">
        <f ca="1">OFFSET('Dist Factors'!$B$15,$O122-1,AD$14)*$L122+OFFSET('Dist Factors'!$B$15,$K122-1,AD$14)*$H122</f>
        <v>0</v>
      </c>
      <c r="AE122" s="9"/>
      <c r="AF122" s="20">
        <f ca="1">OFFSET('Dist Factors'!$B$15,$O122-1,AF$14)*$L122+OFFSET('Dist Factors'!$B$15,$K122-1,AF$14)*$H122</f>
        <v>0</v>
      </c>
      <c r="AG122" s="9"/>
      <c r="AH122" s="20">
        <f ca="1">OFFSET('Dist Factors'!$B$15,$O122-1,AH$14)*$L122+OFFSET('Dist Factors'!$B$15,$K122-1,AH$14)*$H122</f>
        <v>0</v>
      </c>
      <c r="AI122" s="9"/>
      <c r="AJ122" s="9">
        <f t="shared" ca="1" si="156"/>
        <v>10709.990086266376</v>
      </c>
      <c r="AL122" s="25" t="str">
        <f t="shared" ca="1" si="34"/>
        <v/>
      </c>
      <c r="AM122" s="51"/>
      <c r="AO122" s="93">
        <f ca="1">Function!AL122</f>
        <v>0</v>
      </c>
      <c r="AP122" s="100">
        <f t="shared" ca="1" si="143"/>
        <v>0</v>
      </c>
      <c r="AR122" s="50">
        <f t="shared" ca="1" si="144"/>
        <v>0</v>
      </c>
      <c r="AT122" s="50">
        <f t="shared" ca="1" si="145"/>
        <v>0</v>
      </c>
      <c r="AV122" s="50">
        <f t="shared" ca="1" si="146"/>
        <v>0</v>
      </c>
      <c r="AX122" s="50">
        <f t="shared" ca="1" si="147"/>
        <v>0</v>
      </c>
      <c r="AZ122" s="50">
        <f t="shared" ca="1" si="148"/>
        <v>0</v>
      </c>
      <c r="BB122" s="50">
        <f t="shared" ca="1" si="149"/>
        <v>0</v>
      </c>
      <c r="BD122" s="50">
        <f t="shared" ca="1" si="150"/>
        <v>0</v>
      </c>
      <c r="BF122" s="50">
        <f t="shared" ca="1" si="151"/>
        <v>0</v>
      </c>
      <c r="BH122" s="50">
        <f t="shared" ca="1" si="152"/>
        <v>0</v>
      </c>
      <c r="BJ122" s="50">
        <f t="shared" ca="1" si="153"/>
        <v>0</v>
      </c>
      <c r="BL122" s="50">
        <f t="shared" ca="1" si="155"/>
        <v>0</v>
      </c>
    </row>
    <row r="123" spans="2:64" x14ac:dyDescent="0.2">
      <c r="D123" s="1" t="s">
        <v>8</v>
      </c>
      <c r="K123" s="74"/>
      <c r="O123" s="73"/>
      <c r="AD123" s="9"/>
      <c r="AE123" s="9"/>
      <c r="AF123" s="9"/>
      <c r="AG123" s="9"/>
      <c r="AH123" s="9"/>
      <c r="AJ123" s="9">
        <f t="shared" si="156"/>
        <v>0</v>
      </c>
      <c r="AL123" s="25" t="str">
        <f t="shared" ref="AL123:AL180" si="158">IF(ROUND(F123,4)=ROUND(AJ123,4), "", "check")</f>
        <v/>
      </c>
      <c r="AM123" s="51"/>
      <c r="AR123" s="50">
        <f t="shared" si="144"/>
        <v>0</v>
      </c>
      <c r="AT123" s="50">
        <f t="shared" si="145"/>
        <v>0</v>
      </c>
      <c r="AV123" s="50">
        <f t="shared" si="146"/>
        <v>0</v>
      </c>
      <c r="AX123" s="50">
        <f t="shared" si="147"/>
        <v>0</v>
      </c>
      <c r="AZ123" s="50">
        <f t="shared" si="148"/>
        <v>0</v>
      </c>
      <c r="BB123" s="50">
        <f t="shared" si="149"/>
        <v>0</v>
      </c>
      <c r="BD123" s="50">
        <f t="shared" si="150"/>
        <v>0</v>
      </c>
      <c r="BF123" s="50">
        <f t="shared" si="151"/>
        <v>0</v>
      </c>
      <c r="BH123" s="50">
        <f t="shared" si="152"/>
        <v>0</v>
      </c>
      <c r="BJ123" s="50">
        <f t="shared" si="153"/>
        <v>0</v>
      </c>
      <c r="BL123" s="50">
        <f t="shared" si="155"/>
        <v>0</v>
      </c>
    </row>
    <row r="124" spans="2:64" x14ac:dyDescent="0.2">
      <c r="B124" s="18">
        <f>B122+1</f>
        <v>71</v>
      </c>
      <c r="D124" s="36" t="s">
        <v>71</v>
      </c>
      <c r="F124" s="50">
        <f ca="1">Function!V124</f>
        <v>0</v>
      </c>
      <c r="H124" s="79"/>
      <c r="K124" s="73">
        <f>_xlfn.IFNA(MATCH(J124,'Dist Factors'!$B$15:$B$431,0),0)</f>
        <v>0</v>
      </c>
      <c r="L124" s="50">
        <f t="shared" ref="L124" ca="1" si="159">F124-H124</f>
        <v>0</v>
      </c>
      <c r="O124" s="73">
        <f>_xlfn.IFNA(MATCH(N124,'Dist Factors'!$B$15:$B$431,0),0)</f>
        <v>0</v>
      </c>
      <c r="P124" s="20">
        <f ca="1">OFFSET('Dist Factors'!$B$15,$O124-1,P$14)*$L124+OFFSET('Dist Factors'!$B$15,$K124-1,P$14)*$H124</f>
        <v>0</v>
      </c>
      <c r="R124" s="20">
        <f ca="1">OFFSET('Dist Factors'!$B$15,$O124-1,R$14)*$L124+OFFSET('Dist Factors'!$B$15,$K124-1,R$14)*$H124</f>
        <v>0</v>
      </c>
      <c r="S124" s="20"/>
      <c r="T124" s="20">
        <f ca="1">OFFSET('Dist Factors'!$B$15,$O124-1,T$14)*$L124+OFFSET('Dist Factors'!$B$15,$K124-1,T$14)*$H124</f>
        <v>0</v>
      </c>
      <c r="U124" s="20"/>
      <c r="V124" s="20">
        <f ca="1">OFFSET('Dist Factors'!$B$15,$O124-1,V$14)*$L124+OFFSET('Dist Factors'!$B$15,$K124-1,V$14)*$H124</f>
        <v>0</v>
      </c>
      <c r="W124" s="9"/>
      <c r="X124" s="20">
        <f ca="1">OFFSET('Dist Factors'!$B$15,$O124-1,X$14)*$L124+OFFSET('Dist Factors'!$B$15,$K124-1,X$14)*$H124</f>
        <v>0</v>
      </c>
      <c r="Y124" s="9"/>
      <c r="Z124" s="20">
        <f ca="1">OFFSET('Dist Factors'!$B$15,$O124-1,Z$14)*$L124+OFFSET('Dist Factors'!$B$15,$K124-1,Z$14)*$H124</f>
        <v>0</v>
      </c>
      <c r="AA124" s="20"/>
      <c r="AB124" s="20">
        <f ca="1">OFFSET('Dist Factors'!$B$15,$O124-1,AB$14)*$L124+OFFSET('Dist Factors'!$B$15,$K124-1,AB$14)*$H124</f>
        <v>0</v>
      </c>
      <c r="AC124" s="9"/>
      <c r="AD124" s="20">
        <f ca="1">OFFSET('Dist Factors'!$B$15,$O124-1,AD$14)*$L124+OFFSET('Dist Factors'!$B$15,$K124-1,AD$14)*$H124</f>
        <v>0</v>
      </c>
      <c r="AE124" s="9"/>
      <c r="AF124" s="20">
        <f ca="1">OFFSET('Dist Factors'!$B$15,$O124-1,AF$14)*$L124+OFFSET('Dist Factors'!$B$15,$K124-1,AF$14)*$H124</f>
        <v>0</v>
      </c>
      <c r="AG124" s="9"/>
      <c r="AH124" s="20">
        <f ca="1">OFFSET('Dist Factors'!$B$15,$O124-1,AH$14)*$L124+OFFSET('Dist Factors'!$B$15,$K124-1,AH$14)*$H124</f>
        <v>0</v>
      </c>
      <c r="AI124" s="9"/>
      <c r="AJ124" s="9">
        <f t="shared" ca="1" si="156"/>
        <v>0</v>
      </c>
      <c r="AL124" s="25" t="str">
        <f t="shared" ca="1" si="158"/>
        <v/>
      </c>
      <c r="AM124" s="51"/>
      <c r="AO124" s="93">
        <f ca="1">Function!AL124</f>
        <v>0</v>
      </c>
      <c r="AP124" s="100">
        <f t="shared" ref="AP124:AP131" ca="1" si="160">IFERROR(AO124/F124,0)</f>
        <v>0</v>
      </c>
      <c r="AR124" s="50">
        <f t="shared" ca="1" si="144"/>
        <v>0</v>
      </c>
      <c r="AT124" s="50">
        <f t="shared" ca="1" si="145"/>
        <v>0</v>
      </c>
      <c r="AV124" s="50">
        <f t="shared" ca="1" si="146"/>
        <v>0</v>
      </c>
      <c r="AX124" s="50">
        <f t="shared" ca="1" si="147"/>
        <v>0</v>
      </c>
      <c r="AZ124" s="50">
        <f t="shared" ca="1" si="148"/>
        <v>0</v>
      </c>
      <c r="BB124" s="50">
        <f t="shared" ca="1" si="149"/>
        <v>0</v>
      </c>
      <c r="BD124" s="50">
        <f t="shared" ca="1" si="150"/>
        <v>0</v>
      </c>
      <c r="BF124" s="50">
        <f t="shared" ca="1" si="151"/>
        <v>0</v>
      </c>
      <c r="BH124" s="50">
        <f t="shared" ca="1" si="152"/>
        <v>0</v>
      </c>
      <c r="BJ124" s="50">
        <f t="shared" ca="1" si="153"/>
        <v>0</v>
      </c>
      <c r="BL124" s="50">
        <f t="shared" ca="1" si="155"/>
        <v>0</v>
      </c>
    </row>
    <row r="125" spans="2:64" x14ac:dyDescent="0.2">
      <c r="B125" s="18">
        <f t="shared" ref="B125:B131" si="161">B124+1</f>
        <v>72</v>
      </c>
      <c r="D125" s="36" t="s">
        <v>171</v>
      </c>
      <c r="F125" s="50">
        <f ca="1">Function!V125</f>
        <v>0</v>
      </c>
      <c r="H125" s="79"/>
      <c r="K125" s="73">
        <f>_xlfn.IFNA(MATCH(J125,'Dist Factors'!$B$15:$B$431,0),0)</f>
        <v>0</v>
      </c>
      <c r="L125" s="50"/>
      <c r="O125" s="73">
        <f>_xlfn.IFNA(MATCH(N125,'Dist Factors'!$B$15:$B$431,0),0)</f>
        <v>0</v>
      </c>
      <c r="P125" s="20">
        <f ca="1">OFFSET('Dist Factors'!$B$15,$O125-1,P$14)*$L125+OFFSET('Dist Factors'!$B$15,$K125-1,P$14)*$H125</f>
        <v>0</v>
      </c>
      <c r="R125" s="20">
        <f ca="1">OFFSET('Dist Factors'!$B$15,$O125-1,R$14)*$L125+OFFSET('Dist Factors'!$B$15,$K125-1,R$14)*$H125</f>
        <v>0</v>
      </c>
      <c r="S125" s="20"/>
      <c r="T125" s="20">
        <f ca="1">OFFSET('Dist Factors'!$B$15,$O125-1,T$14)*$L125+OFFSET('Dist Factors'!$B$15,$K125-1,T$14)*$H125</f>
        <v>0</v>
      </c>
      <c r="U125" s="20"/>
      <c r="V125" s="20">
        <f ca="1">OFFSET('Dist Factors'!$B$15,$O125-1,V$14)*$L125+OFFSET('Dist Factors'!$B$15,$K125-1,V$14)*$H125</f>
        <v>0</v>
      </c>
      <c r="W125" s="9"/>
      <c r="X125" s="20">
        <f ca="1">OFFSET('Dist Factors'!$B$15,$O125-1,X$14)*$L125+OFFSET('Dist Factors'!$B$15,$K125-1,X$14)*$H125</f>
        <v>0</v>
      </c>
      <c r="Y125" s="9"/>
      <c r="Z125" s="20">
        <f ca="1">OFFSET('Dist Factors'!$B$15,$O125-1,Z$14)*$L125+OFFSET('Dist Factors'!$B$15,$K125-1,Z$14)*$H125</f>
        <v>0</v>
      </c>
      <c r="AA125" s="20"/>
      <c r="AB125" s="20">
        <f ca="1">OFFSET('Dist Factors'!$B$15,$O125-1,AB$14)*$L125+OFFSET('Dist Factors'!$B$15,$K125-1,AB$14)*$H125</f>
        <v>0</v>
      </c>
      <c r="AC125" s="9"/>
      <c r="AD125" s="20">
        <f ca="1">OFFSET('Dist Factors'!$B$15,$O125-1,AD$14)*$L125+OFFSET('Dist Factors'!$B$15,$K125-1,AD$14)*$H125</f>
        <v>0</v>
      </c>
      <c r="AE125" s="9"/>
      <c r="AF125" s="20">
        <f ca="1">OFFSET('Dist Factors'!$B$15,$O125-1,AF$14)*$L125+OFFSET('Dist Factors'!$B$15,$K125-1,AF$14)*$H125</f>
        <v>0</v>
      </c>
      <c r="AG125" s="9"/>
      <c r="AH125" s="20">
        <f ca="1">OFFSET('Dist Factors'!$B$15,$O125-1,AH$14)*$L125+OFFSET('Dist Factors'!$B$15,$K125-1,AH$14)*$H125</f>
        <v>0</v>
      </c>
      <c r="AI125" s="9"/>
      <c r="AJ125" s="9">
        <f t="shared" ca="1" si="156"/>
        <v>0</v>
      </c>
      <c r="AL125" s="25" t="str">
        <f t="shared" ca="1" si="158"/>
        <v/>
      </c>
      <c r="AM125" s="51"/>
      <c r="AO125" s="93">
        <f ca="1">Function!AL125</f>
        <v>0</v>
      </c>
      <c r="AP125" s="100">
        <f t="shared" ca="1" si="160"/>
        <v>0</v>
      </c>
      <c r="AR125" s="50">
        <f t="shared" ca="1" si="144"/>
        <v>0</v>
      </c>
      <c r="AT125" s="50">
        <f t="shared" ca="1" si="145"/>
        <v>0</v>
      </c>
      <c r="AV125" s="50">
        <f t="shared" ca="1" si="146"/>
        <v>0</v>
      </c>
      <c r="AX125" s="50">
        <f t="shared" ca="1" si="147"/>
        <v>0</v>
      </c>
      <c r="AZ125" s="50">
        <f t="shared" ca="1" si="148"/>
        <v>0</v>
      </c>
      <c r="BB125" s="50">
        <f t="shared" ca="1" si="149"/>
        <v>0</v>
      </c>
      <c r="BD125" s="50">
        <f t="shared" ca="1" si="150"/>
        <v>0</v>
      </c>
      <c r="BF125" s="50">
        <f t="shared" ca="1" si="151"/>
        <v>0</v>
      </c>
      <c r="BH125" s="50">
        <f t="shared" ca="1" si="152"/>
        <v>0</v>
      </c>
      <c r="BJ125" s="50">
        <f t="shared" ca="1" si="153"/>
        <v>0</v>
      </c>
      <c r="BL125" s="50">
        <f t="shared" ca="1" si="155"/>
        <v>0</v>
      </c>
    </row>
    <row r="126" spans="2:64" x14ac:dyDescent="0.2">
      <c r="B126" s="18">
        <f t="shared" si="161"/>
        <v>73</v>
      </c>
      <c r="D126" s="36" t="s">
        <v>179</v>
      </c>
      <c r="F126" s="50">
        <f ca="1">Function!V126</f>
        <v>0</v>
      </c>
      <c r="H126" s="79"/>
      <c r="K126" s="73">
        <f>_xlfn.IFNA(MATCH(J126,'Dist Factors'!$B$15:$B$431,0),0)</f>
        <v>0</v>
      </c>
      <c r="L126" s="50">
        <f t="shared" ref="L126:L131" ca="1" si="162">F126-H126</f>
        <v>0</v>
      </c>
      <c r="O126" s="73">
        <f>_xlfn.IFNA(MATCH(N126,'Dist Factors'!$B$15:$B$431,0),0)</f>
        <v>0</v>
      </c>
      <c r="P126" s="20">
        <f ca="1">OFFSET('Dist Factors'!$B$15,$O126-1,P$14)*$L126+OFFSET('Dist Factors'!$B$15,$K126-1,P$14)*$H126</f>
        <v>0</v>
      </c>
      <c r="R126" s="20">
        <f ca="1">OFFSET('Dist Factors'!$B$15,$O126-1,R$14)*$L126+OFFSET('Dist Factors'!$B$15,$K126-1,R$14)*$H126</f>
        <v>0</v>
      </c>
      <c r="S126" s="20"/>
      <c r="T126" s="20">
        <f ca="1">OFFSET('Dist Factors'!$B$15,$O126-1,T$14)*$L126+OFFSET('Dist Factors'!$B$15,$K126-1,T$14)*$H126</f>
        <v>0</v>
      </c>
      <c r="U126" s="20"/>
      <c r="V126" s="20">
        <f ca="1">OFFSET('Dist Factors'!$B$15,$O126-1,V$14)*$L126+OFFSET('Dist Factors'!$B$15,$K126-1,V$14)*$H126</f>
        <v>0</v>
      </c>
      <c r="W126" s="9"/>
      <c r="X126" s="20">
        <f ca="1">OFFSET('Dist Factors'!$B$15,$O126-1,X$14)*$L126+OFFSET('Dist Factors'!$B$15,$K126-1,X$14)*$H126</f>
        <v>0</v>
      </c>
      <c r="Y126" s="9"/>
      <c r="Z126" s="20">
        <f ca="1">OFFSET('Dist Factors'!$B$15,$O126-1,Z$14)*$L126+OFFSET('Dist Factors'!$B$15,$K126-1,Z$14)*$H126</f>
        <v>0</v>
      </c>
      <c r="AA126" s="20"/>
      <c r="AB126" s="20">
        <f ca="1">OFFSET('Dist Factors'!$B$15,$O126-1,AB$14)*$L126+OFFSET('Dist Factors'!$B$15,$K126-1,AB$14)*$H126</f>
        <v>0</v>
      </c>
      <c r="AC126" s="9"/>
      <c r="AD126" s="20">
        <f ca="1">OFFSET('Dist Factors'!$B$15,$O126-1,AD$14)*$L126+OFFSET('Dist Factors'!$B$15,$K126-1,AD$14)*$H126</f>
        <v>0</v>
      </c>
      <c r="AE126" s="9"/>
      <c r="AF126" s="20">
        <f ca="1">OFFSET('Dist Factors'!$B$15,$O126-1,AF$14)*$L126+OFFSET('Dist Factors'!$B$15,$K126-1,AF$14)*$H126</f>
        <v>0</v>
      </c>
      <c r="AG126" s="9"/>
      <c r="AH126" s="20">
        <f ca="1">OFFSET('Dist Factors'!$B$15,$O126-1,AH$14)*$L126+OFFSET('Dist Factors'!$B$15,$K126-1,AH$14)*$H126</f>
        <v>0</v>
      </c>
      <c r="AI126" s="9"/>
      <c r="AJ126" s="9">
        <f t="shared" ca="1" si="156"/>
        <v>0</v>
      </c>
      <c r="AL126" s="25" t="str">
        <f t="shared" ca="1" si="158"/>
        <v/>
      </c>
      <c r="AM126" s="51"/>
      <c r="AO126" s="93">
        <f ca="1">Function!AL126</f>
        <v>0</v>
      </c>
      <c r="AP126" s="100">
        <f t="shared" ca="1" si="160"/>
        <v>0</v>
      </c>
      <c r="AR126" s="50">
        <f t="shared" ca="1" si="144"/>
        <v>0</v>
      </c>
      <c r="AT126" s="50">
        <f t="shared" ca="1" si="145"/>
        <v>0</v>
      </c>
      <c r="AV126" s="50">
        <f t="shared" ca="1" si="146"/>
        <v>0</v>
      </c>
      <c r="AX126" s="50">
        <f t="shared" ca="1" si="147"/>
        <v>0</v>
      </c>
      <c r="AZ126" s="50">
        <f t="shared" ca="1" si="148"/>
        <v>0</v>
      </c>
      <c r="BB126" s="50">
        <f t="shared" ca="1" si="149"/>
        <v>0</v>
      </c>
      <c r="BD126" s="50">
        <f t="shared" ca="1" si="150"/>
        <v>0</v>
      </c>
      <c r="BF126" s="50">
        <f t="shared" ca="1" si="151"/>
        <v>0</v>
      </c>
      <c r="BH126" s="50">
        <f t="shared" ca="1" si="152"/>
        <v>0</v>
      </c>
      <c r="BJ126" s="50">
        <f t="shared" ca="1" si="153"/>
        <v>0</v>
      </c>
      <c r="BL126" s="50">
        <f t="shared" ca="1" si="155"/>
        <v>0</v>
      </c>
    </row>
    <row r="127" spans="2:64" x14ac:dyDescent="0.2">
      <c r="B127" s="18">
        <f t="shared" si="161"/>
        <v>74</v>
      </c>
      <c r="D127" s="36" t="s">
        <v>199</v>
      </c>
      <c r="F127" s="50">
        <f ca="1">Function!V127</f>
        <v>0</v>
      </c>
      <c r="H127" s="79"/>
      <c r="K127" s="73">
        <f>_xlfn.IFNA(MATCH(J127,'Dist Factors'!$B$15:$B$431,0),0)</f>
        <v>0</v>
      </c>
      <c r="L127" s="50">
        <f t="shared" ca="1" si="162"/>
        <v>0</v>
      </c>
      <c r="O127" s="73">
        <f>_xlfn.IFNA(MATCH(N127,'Dist Factors'!$B$15:$B$431,0),0)</f>
        <v>0</v>
      </c>
      <c r="P127" s="20">
        <f ca="1">OFFSET('Dist Factors'!$B$15,$O127-1,P$14)*$L127+OFFSET('Dist Factors'!$B$15,$K127-1,P$14)*$H127</f>
        <v>0</v>
      </c>
      <c r="R127" s="20">
        <f ca="1">OFFSET('Dist Factors'!$B$15,$O127-1,R$14)*$L127+OFFSET('Dist Factors'!$B$15,$K127-1,R$14)*$H127</f>
        <v>0</v>
      </c>
      <c r="S127" s="20"/>
      <c r="T127" s="20">
        <f ca="1">OFFSET('Dist Factors'!$B$15,$O127-1,T$14)*$L127+OFFSET('Dist Factors'!$B$15,$K127-1,T$14)*$H127</f>
        <v>0</v>
      </c>
      <c r="U127" s="20"/>
      <c r="V127" s="20">
        <f ca="1">OFFSET('Dist Factors'!$B$15,$O127-1,V$14)*$L127+OFFSET('Dist Factors'!$B$15,$K127-1,V$14)*$H127</f>
        <v>0</v>
      </c>
      <c r="W127" s="9"/>
      <c r="X127" s="20">
        <f ca="1">OFFSET('Dist Factors'!$B$15,$O127-1,X$14)*$L127+OFFSET('Dist Factors'!$B$15,$K127-1,X$14)*$H127</f>
        <v>0</v>
      </c>
      <c r="Y127" s="9"/>
      <c r="Z127" s="20">
        <f ca="1">OFFSET('Dist Factors'!$B$15,$O127-1,Z$14)*$L127+OFFSET('Dist Factors'!$B$15,$K127-1,Z$14)*$H127</f>
        <v>0</v>
      </c>
      <c r="AA127" s="20"/>
      <c r="AB127" s="20">
        <f ca="1">OFFSET('Dist Factors'!$B$15,$O127-1,AB$14)*$L127+OFFSET('Dist Factors'!$B$15,$K127-1,AB$14)*$H127</f>
        <v>0</v>
      </c>
      <c r="AC127" s="9"/>
      <c r="AD127" s="20">
        <f ca="1">OFFSET('Dist Factors'!$B$15,$O127-1,AD$14)*$L127+OFFSET('Dist Factors'!$B$15,$K127-1,AD$14)*$H127</f>
        <v>0</v>
      </c>
      <c r="AE127" s="9"/>
      <c r="AF127" s="20">
        <f ca="1">OFFSET('Dist Factors'!$B$15,$O127-1,AF$14)*$L127+OFFSET('Dist Factors'!$B$15,$K127-1,AF$14)*$H127</f>
        <v>0</v>
      </c>
      <c r="AG127" s="9"/>
      <c r="AH127" s="20">
        <f ca="1">OFFSET('Dist Factors'!$B$15,$O127-1,AH$14)*$L127+OFFSET('Dist Factors'!$B$15,$K127-1,AH$14)*$H127</f>
        <v>0</v>
      </c>
      <c r="AI127" s="9"/>
      <c r="AJ127" s="9">
        <f t="shared" ca="1" si="156"/>
        <v>0</v>
      </c>
      <c r="AL127" s="25" t="str">
        <f t="shared" ca="1" si="158"/>
        <v/>
      </c>
      <c r="AM127" s="51"/>
      <c r="AO127" s="93">
        <f ca="1">Function!AL127</f>
        <v>0</v>
      </c>
      <c r="AP127" s="100">
        <f t="shared" ca="1" si="160"/>
        <v>0</v>
      </c>
      <c r="AR127" s="50">
        <f t="shared" ca="1" si="144"/>
        <v>0</v>
      </c>
      <c r="AT127" s="50">
        <f t="shared" ca="1" si="145"/>
        <v>0</v>
      </c>
      <c r="AV127" s="50">
        <f t="shared" ca="1" si="146"/>
        <v>0</v>
      </c>
      <c r="AX127" s="50">
        <f t="shared" ca="1" si="147"/>
        <v>0</v>
      </c>
      <c r="AZ127" s="50">
        <f t="shared" ca="1" si="148"/>
        <v>0</v>
      </c>
      <c r="BB127" s="50">
        <f t="shared" ca="1" si="149"/>
        <v>0</v>
      </c>
      <c r="BD127" s="50">
        <f t="shared" ca="1" si="150"/>
        <v>0</v>
      </c>
      <c r="BF127" s="50">
        <f t="shared" ca="1" si="151"/>
        <v>0</v>
      </c>
      <c r="BH127" s="50">
        <f t="shared" ca="1" si="152"/>
        <v>0</v>
      </c>
      <c r="BJ127" s="50">
        <f t="shared" ca="1" si="153"/>
        <v>0</v>
      </c>
      <c r="BL127" s="50">
        <f t="shared" ca="1" si="155"/>
        <v>0</v>
      </c>
    </row>
    <row r="128" spans="2:64" x14ac:dyDescent="0.2">
      <c r="B128" s="18">
        <f t="shared" si="161"/>
        <v>75</v>
      </c>
      <c r="D128" s="36" t="s">
        <v>21</v>
      </c>
      <c r="F128" s="50">
        <f ca="1">Function!V128</f>
        <v>0</v>
      </c>
      <c r="H128" s="79"/>
      <c r="K128" s="73">
        <f>_xlfn.IFNA(MATCH(J128,'Dist Factors'!$B$15:$B$431,0),0)</f>
        <v>0</v>
      </c>
      <c r="L128" s="50">
        <f t="shared" ca="1" si="162"/>
        <v>0</v>
      </c>
      <c r="O128" s="73">
        <f>_xlfn.IFNA(MATCH(N128,'Dist Factors'!$B$15:$B$431,0),0)</f>
        <v>0</v>
      </c>
      <c r="P128" s="20">
        <f ca="1">OFFSET('Dist Factors'!$B$15,$O128-1,P$14)*$L128+OFFSET('Dist Factors'!$B$15,$K128-1,P$14)*$H128</f>
        <v>0</v>
      </c>
      <c r="R128" s="20">
        <f ca="1">OFFSET('Dist Factors'!$B$15,$O128-1,R$14)*$L128+OFFSET('Dist Factors'!$B$15,$K128-1,R$14)*$H128</f>
        <v>0</v>
      </c>
      <c r="S128" s="20"/>
      <c r="T128" s="20">
        <f ca="1">OFFSET('Dist Factors'!$B$15,$O128-1,T$14)*$L128+OFFSET('Dist Factors'!$B$15,$K128-1,T$14)*$H128</f>
        <v>0</v>
      </c>
      <c r="U128" s="20"/>
      <c r="V128" s="20">
        <f ca="1">OFFSET('Dist Factors'!$B$15,$O128-1,V$14)*$L128+OFFSET('Dist Factors'!$B$15,$K128-1,V$14)*$H128</f>
        <v>0</v>
      </c>
      <c r="W128" s="9"/>
      <c r="X128" s="20">
        <f ca="1">OFFSET('Dist Factors'!$B$15,$O128-1,X$14)*$L128+OFFSET('Dist Factors'!$B$15,$K128-1,X$14)*$H128</f>
        <v>0</v>
      </c>
      <c r="Y128" s="9"/>
      <c r="Z128" s="20">
        <f ca="1">OFFSET('Dist Factors'!$B$15,$O128-1,Z$14)*$L128+OFFSET('Dist Factors'!$B$15,$K128-1,Z$14)*$H128</f>
        <v>0</v>
      </c>
      <c r="AA128" s="20"/>
      <c r="AB128" s="20">
        <f ca="1">OFFSET('Dist Factors'!$B$15,$O128-1,AB$14)*$L128+OFFSET('Dist Factors'!$B$15,$K128-1,AB$14)*$H128</f>
        <v>0</v>
      </c>
      <c r="AC128" s="9"/>
      <c r="AD128" s="20">
        <f ca="1">OFFSET('Dist Factors'!$B$15,$O128-1,AD$14)*$L128+OFFSET('Dist Factors'!$B$15,$K128-1,AD$14)*$H128</f>
        <v>0</v>
      </c>
      <c r="AE128" s="9"/>
      <c r="AF128" s="20">
        <f ca="1">OFFSET('Dist Factors'!$B$15,$O128-1,AF$14)*$L128+OFFSET('Dist Factors'!$B$15,$K128-1,AF$14)*$H128</f>
        <v>0</v>
      </c>
      <c r="AG128" s="9"/>
      <c r="AH128" s="20">
        <f ca="1">OFFSET('Dist Factors'!$B$15,$O128-1,AH$14)*$L128+OFFSET('Dist Factors'!$B$15,$K128-1,AH$14)*$H128</f>
        <v>0</v>
      </c>
      <c r="AI128" s="9"/>
      <c r="AJ128" s="9">
        <f t="shared" ca="1" si="156"/>
        <v>0</v>
      </c>
      <c r="AL128" s="25" t="str">
        <f t="shared" ca="1" si="158"/>
        <v/>
      </c>
      <c r="AM128" s="51"/>
      <c r="AO128" s="93">
        <f ca="1">Function!AL128</f>
        <v>0</v>
      </c>
      <c r="AP128" s="100">
        <f t="shared" ca="1" si="160"/>
        <v>0</v>
      </c>
      <c r="AR128" s="50">
        <f t="shared" ca="1" si="144"/>
        <v>0</v>
      </c>
      <c r="AT128" s="50">
        <f t="shared" ca="1" si="145"/>
        <v>0</v>
      </c>
      <c r="AV128" s="50">
        <f t="shared" ca="1" si="146"/>
        <v>0</v>
      </c>
      <c r="AX128" s="50">
        <f t="shared" ca="1" si="147"/>
        <v>0</v>
      </c>
      <c r="AZ128" s="50">
        <f t="shared" ca="1" si="148"/>
        <v>0</v>
      </c>
      <c r="BB128" s="50">
        <f t="shared" ca="1" si="149"/>
        <v>0</v>
      </c>
      <c r="BD128" s="50">
        <f t="shared" ca="1" si="150"/>
        <v>0</v>
      </c>
      <c r="BF128" s="50">
        <f t="shared" ca="1" si="151"/>
        <v>0</v>
      </c>
      <c r="BH128" s="50">
        <f t="shared" ca="1" si="152"/>
        <v>0</v>
      </c>
      <c r="BJ128" s="50">
        <f t="shared" ca="1" si="153"/>
        <v>0</v>
      </c>
      <c r="BL128" s="50">
        <f t="shared" ca="1" si="155"/>
        <v>0</v>
      </c>
    </row>
    <row r="129" spans="2:64" x14ac:dyDescent="0.2">
      <c r="B129" s="18">
        <f t="shared" si="161"/>
        <v>76</v>
      </c>
      <c r="D129" s="36" t="s">
        <v>200</v>
      </c>
      <c r="F129" s="50">
        <f ca="1">Function!V129</f>
        <v>0</v>
      </c>
      <c r="H129" s="79"/>
      <c r="K129" s="73">
        <f>_xlfn.IFNA(MATCH(J129,'Dist Factors'!$B$15:$B$431,0),0)</f>
        <v>0</v>
      </c>
      <c r="L129" s="50">
        <f t="shared" ca="1" si="162"/>
        <v>0</v>
      </c>
      <c r="O129" s="73">
        <f>_xlfn.IFNA(MATCH(N129,'Dist Factors'!$B$15:$B$431,0),0)</f>
        <v>0</v>
      </c>
      <c r="P129" s="20">
        <f ca="1">OFFSET('Dist Factors'!$B$15,$O129-1,P$14)*$L129+OFFSET('Dist Factors'!$B$15,$K129-1,P$14)*$H129</f>
        <v>0</v>
      </c>
      <c r="R129" s="20">
        <f ca="1">OFFSET('Dist Factors'!$B$15,$O129-1,R$14)*$L129+OFFSET('Dist Factors'!$B$15,$K129-1,R$14)*$H129</f>
        <v>0</v>
      </c>
      <c r="S129" s="20"/>
      <c r="T129" s="20">
        <f ca="1">OFFSET('Dist Factors'!$B$15,$O129-1,T$14)*$L129+OFFSET('Dist Factors'!$B$15,$K129-1,T$14)*$H129</f>
        <v>0</v>
      </c>
      <c r="U129" s="20"/>
      <c r="V129" s="20">
        <f ca="1">OFFSET('Dist Factors'!$B$15,$O129-1,V$14)*$L129+OFFSET('Dist Factors'!$B$15,$K129-1,V$14)*$H129</f>
        <v>0</v>
      </c>
      <c r="W129" s="9"/>
      <c r="X129" s="20">
        <f ca="1">OFFSET('Dist Factors'!$B$15,$O129-1,X$14)*$L129+OFFSET('Dist Factors'!$B$15,$K129-1,X$14)*$H129</f>
        <v>0</v>
      </c>
      <c r="Y129" s="9"/>
      <c r="Z129" s="20">
        <f ca="1">OFFSET('Dist Factors'!$B$15,$O129-1,Z$14)*$L129+OFFSET('Dist Factors'!$B$15,$K129-1,Z$14)*$H129</f>
        <v>0</v>
      </c>
      <c r="AA129" s="20"/>
      <c r="AB129" s="20">
        <f ca="1">OFFSET('Dist Factors'!$B$15,$O129-1,AB$14)*$L129+OFFSET('Dist Factors'!$B$15,$K129-1,AB$14)*$H129</f>
        <v>0</v>
      </c>
      <c r="AC129" s="9"/>
      <c r="AD129" s="20">
        <f ca="1">OFFSET('Dist Factors'!$B$15,$O129-1,AD$14)*$L129+OFFSET('Dist Factors'!$B$15,$K129-1,AD$14)*$H129</f>
        <v>0</v>
      </c>
      <c r="AE129" s="9"/>
      <c r="AF129" s="20">
        <f ca="1">OFFSET('Dist Factors'!$B$15,$O129-1,AF$14)*$L129+OFFSET('Dist Factors'!$B$15,$K129-1,AF$14)*$H129</f>
        <v>0</v>
      </c>
      <c r="AG129" s="9"/>
      <c r="AH129" s="20">
        <f ca="1">OFFSET('Dist Factors'!$B$15,$O129-1,AH$14)*$L129+OFFSET('Dist Factors'!$B$15,$K129-1,AH$14)*$H129</f>
        <v>0</v>
      </c>
      <c r="AI129" s="9"/>
      <c r="AJ129" s="9">
        <f t="shared" ca="1" si="156"/>
        <v>0</v>
      </c>
      <c r="AL129" s="25" t="str">
        <f t="shared" ca="1" si="158"/>
        <v/>
      </c>
      <c r="AM129" s="51"/>
      <c r="AO129" s="93">
        <f ca="1">Function!AL129</f>
        <v>0</v>
      </c>
      <c r="AP129" s="100">
        <f t="shared" ca="1" si="160"/>
        <v>0</v>
      </c>
      <c r="AR129" s="50">
        <f t="shared" ca="1" si="144"/>
        <v>0</v>
      </c>
      <c r="AT129" s="50">
        <f t="shared" ca="1" si="145"/>
        <v>0</v>
      </c>
      <c r="AV129" s="50">
        <f t="shared" ca="1" si="146"/>
        <v>0</v>
      </c>
      <c r="AX129" s="50">
        <f t="shared" ca="1" si="147"/>
        <v>0</v>
      </c>
      <c r="AZ129" s="50">
        <f t="shared" ca="1" si="148"/>
        <v>0</v>
      </c>
      <c r="BB129" s="50">
        <f t="shared" ca="1" si="149"/>
        <v>0</v>
      </c>
      <c r="BD129" s="50">
        <f t="shared" ca="1" si="150"/>
        <v>0</v>
      </c>
      <c r="BF129" s="50">
        <f t="shared" ca="1" si="151"/>
        <v>0</v>
      </c>
      <c r="BH129" s="50">
        <f t="shared" ca="1" si="152"/>
        <v>0</v>
      </c>
      <c r="BJ129" s="50">
        <f t="shared" ca="1" si="153"/>
        <v>0</v>
      </c>
      <c r="BL129" s="50">
        <f t="shared" ca="1" si="155"/>
        <v>0</v>
      </c>
    </row>
    <row r="130" spans="2:64" x14ac:dyDescent="0.2">
      <c r="B130" s="18">
        <f t="shared" si="161"/>
        <v>77</v>
      </c>
      <c r="D130" s="36" t="s">
        <v>180</v>
      </c>
      <c r="F130" s="50">
        <f ca="1">Function!V130</f>
        <v>0</v>
      </c>
      <c r="H130" s="79"/>
      <c r="K130" s="73">
        <f>_xlfn.IFNA(MATCH(J130,'Dist Factors'!$B$15:$B$431,0),0)</f>
        <v>0</v>
      </c>
      <c r="L130" s="50">
        <f t="shared" ca="1" si="162"/>
        <v>0</v>
      </c>
      <c r="O130" s="73">
        <f>_xlfn.IFNA(MATCH(N130,'Dist Factors'!$B$15:$B$431,0),0)</f>
        <v>0</v>
      </c>
      <c r="P130" s="20">
        <f ca="1">OFFSET('Dist Factors'!$B$15,$O130-1,P$14)*$L130+OFFSET('Dist Factors'!$B$15,$K130-1,P$14)*$H130</f>
        <v>0</v>
      </c>
      <c r="R130" s="20">
        <f ca="1">OFFSET('Dist Factors'!$B$15,$O130-1,R$14)*$L130+OFFSET('Dist Factors'!$B$15,$K130-1,R$14)*$H130</f>
        <v>0</v>
      </c>
      <c r="S130" s="20"/>
      <c r="T130" s="20">
        <f ca="1">OFFSET('Dist Factors'!$B$15,$O130-1,T$14)*$L130+OFFSET('Dist Factors'!$B$15,$K130-1,T$14)*$H130</f>
        <v>0</v>
      </c>
      <c r="U130" s="20"/>
      <c r="V130" s="20">
        <f ca="1">OFFSET('Dist Factors'!$B$15,$O130-1,V$14)*$L130+OFFSET('Dist Factors'!$B$15,$K130-1,V$14)*$H130</f>
        <v>0</v>
      </c>
      <c r="W130" s="9"/>
      <c r="X130" s="20">
        <f ca="1">OFFSET('Dist Factors'!$B$15,$O130-1,X$14)*$L130+OFFSET('Dist Factors'!$B$15,$K130-1,X$14)*$H130</f>
        <v>0</v>
      </c>
      <c r="Y130" s="9"/>
      <c r="Z130" s="20">
        <f ca="1">OFFSET('Dist Factors'!$B$15,$O130-1,Z$14)*$L130+OFFSET('Dist Factors'!$B$15,$K130-1,Z$14)*$H130</f>
        <v>0</v>
      </c>
      <c r="AA130" s="20"/>
      <c r="AB130" s="20">
        <f ca="1">OFFSET('Dist Factors'!$B$15,$O130-1,AB$14)*$L130+OFFSET('Dist Factors'!$B$15,$K130-1,AB$14)*$H130</f>
        <v>0</v>
      </c>
      <c r="AC130" s="9"/>
      <c r="AD130" s="20">
        <f ca="1">OFFSET('Dist Factors'!$B$15,$O130-1,AD$14)*$L130+OFFSET('Dist Factors'!$B$15,$K130-1,AD$14)*$H130</f>
        <v>0</v>
      </c>
      <c r="AE130" s="9"/>
      <c r="AF130" s="20">
        <f ca="1">OFFSET('Dist Factors'!$B$15,$O130-1,AF$14)*$L130+OFFSET('Dist Factors'!$B$15,$K130-1,AF$14)*$H130</f>
        <v>0</v>
      </c>
      <c r="AG130" s="9"/>
      <c r="AH130" s="20">
        <f ca="1">OFFSET('Dist Factors'!$B$15,$O130-1,AH$14)*$L130+OFFSET('Dist Factors'!$B$15,$K130-1,AH$14)*$H130</f>
        <v>0</v>
      </c>
      <c r="AI130" s="9"/>
      <c r="AJ130" s="9">
        <f t="shared" ca="1" si="156"/>
        <v>0</v>
      </c>
      <c r="AL130" s="25" t="str">
        <f t="shared" ca="1" si="158"/>
        <v/>
      </c>
      <c r="AM130" s="51"/>
      <c r="AO130" s="93">
        <f ca="1">Function!AL130</f>
        <v>0</v>
      </c>
      <c r="AP130" s="100">
        <f t="shared" ca="1" si="160"/>
        <v>0</v>
      </c>
      <c r="AR130" s="50">
        <f t="shared" ca="1" si="144"/>
        <v>0</v>
      </c>
      <c r="AT130" s="50">
        <f t="shared" ca="1" si="145"/>
        <v>0</v>
      </c>
      <c r="AV130" s="50">
        <f t="shared" ca="1" si="146"/>
        <v>0</v>
      </c>
      <c r="AX130" s="50">
        <f t="shared" ca="1" si="147"/>
        <v>0</v>
      </c>
      <c r="AZ130" s="50">
        <f t="shared" ca="1" si="148"/>
        <v>0</v>
      </c>
      <c r="BB130" s="50">
        <f t="shared" ca="1" si="149"/>
        <v>0</v>
      </c>
      <c r="BD130" s="50">
        <f t="shared" ca="1" si="150"/>
        <v>0</v>
      </c>
      <c r="BF130" s="50">
        <f t="shared" ca="1" si="151"/>
        <v>0</v>
      </c>
      <c r="BH130" s="50">
        <f t="shared" ca="1" si="152"/>
        <v>0</v>
      </c>
      <c r="BJ130" s="50">
        <f t="shared" ca="1" si="153"/>
        <v>0</v>
      </c>
      <c r="BL130" s="50">
        <f t="shared" ca="1" si="155"/>
        <v>0</v>
      </c>
    </row>
    <row r="131" spans="2:64" x14ac:dyDescent="0.2">
      <c r="B131" s="18">
        <f t="shared" si="161"/>
        <v>78</v>
      </c>
      <c r="D131" s="36" t="s">
        <v>201</v>
      </c>
      <c r="F131" s="50">
        <f ca="1">Function!V131</f>
        <v>0</v>
      </c>
      <c r="H131" s="79"/>
      <c r="K131" s="73">
        <f>_xlfn.IFNA(MATCH(J131,'Dist Factors'!$B$15:$B$431,0),0)</f>
        <v>0</v>
      </c>
      <c r="L131" s="50">
        <f t="shared" ca="1" si="162"/>
        <v>0</v>
      </c>
      <c r="O131" s="73">
        <f>_xlfn.IFNA(MATCH(N131,'Dist Factors'!$B$15:$B$431,0),0)</f>
        <v>0</v>
      </c>
      <c r="P131" s="20">
        <f ca="1">OFFSET('Dist Factors'!$B$15,$O131-1,P$14)*$L131+OFFSET('Dist Factors'!$B$15,$K131-1,P$14)*$H131</f>
        <v>0</v>
      </c>
      <c r="R131" s="20">
        <f ca="1">OFFSET('Dist Factors'!$B$15,$O131-1,R$14)*$L131+OFFSET('Dist Factors'!$B$15,$K131-1,R$14)*$H131</f>
        <v>0</v>
      </c>
      <c r="S131" s="20"/>
      <c r="T131" s="20">
        <f ca="1">OFFSET('Dist Factors'!$B$15,$O131-1,T$14)*$L131+OFFSET('Dist Factors'!$B$15,$K131-1,T$14)*$H131</f>
        <v>0</v>
      </c>
      <c r="U131" s="20"/>
      <c r="V131" s="20">
        <f ca="1">OFFSET('Dist Factors'!$B$15,$O131-1,V$14)*$L131+OFFSET('Dist Factors'!$B$15,$K131-1,V$14)*$H131</f>
        <v>0</v>
      </c>
      <c r="W131" s="9"/>
      <c r="X131" s="20">
        <f ca="1">OFFSET('Dist Factors'!$B$15,$O131-1,X$14)*$L131+OFFSET('Dist Factors'!$B$15,$K131-1,X$14)*$H131</f>
        <v>0</v>
      </c>
      <c r="Y131" s="9"/>
      <c r="Z131" s="20">
        <f ca="1">OFFSET('Dist Factors'!$B$15,$O131-1,Z$14)*$L131+OFFSET('Dist Factors'!$B$15,$K131-1,Z$14)*$H131</f>
        <v>0</v>
      </c>
      <c r="AA131" s="20"/>
      <c r="AB131" s="20">
        <f ca="1">OFFSET('Dist Factors'!$B$15,$O131-1,AB$14)*$L131+OFFSET('Dist Factors'!$B$15,$K131-1,AB$14)*$H131</f>
        <v>0</v>
      </c>
      <c r="AC131" s="9"/>
      <c r="AD131" s="20">
        <f ca="1">OFFSET('Dist Factors'!$B$15,$O131-1,AD$14)*$L131+OFFSET('Dist Factors'!$B$15,$K131-1,AD$14)*$H131</f>
        <v>0</v>
      </c>
      <c r="AE131" s="9"/>
      <c r="AF131" s="20">
        <f ca="1">OFFSET('Dist Factors'!$B$15,$O131-1,AF$14)*$L131+OFFSET('Dist Factors'!$B$15,$K131-1,AF$14)*$H131</f>
        <v>0</v>
      </c>
      <c r="AG131" s="9"/>
      <c r="AH131" s="20">
        <f ca="1">OFFSET('Dist Factors'!$B$15,$O131-1,AH$14)*$L131+OFFSET('Dist Factors'!$B$15,$K131-1,AH$14)*$H131</f>
        <v>0</v>
      </c>
      <c r="AI131" s="9"/>
      <c r="AJ131" s="9">
        <f t="shared" ca="1" si="156"/>
        <v>0</v>
      </c>
      <c r="AL131" s="25" t="str">
        <f t="shared" ca="1" si="158"/>
        <v/>
      </c>
      <c r="AM131" s="51"/>
      <c r="AO131" s="93">
        <f ca="1">Function!AL131</f>
        <v>0</v>
      </c>
      <c r="AP131" s="100">
        <f t="shared" ca="1" si="160"/>
        <v>0</v>
      </c>
      <c r="AR131" s="50">
        <f t="shared" ca="1" si="144"/>
        <v>0</v>
      </c>
      <c r="AT131" s="50">
        <f t="shared" ca="1" si="145"/>
        <v>0</v>
      </c>
      <c r="AV131" s="50">
        <f t="shared" ca="1" si="146"/>
        <v>0</v>
      </c>
      <c r="AX131" s="50">
        <f t="shared" ca="1" si="147"/>
        <v>0</v>
      </c>
      <c r="AZ131" s="50">
        <f t="shared" ca="1" si="148"/>
        <v>0</v>
      </c>
      <c r="BB131" s="50">
        <f t="shared" ca="1" si="149"/>
        <v>0</v>
      </c>
      <c r="BD131" s="50">
        <f t="shared" ca="1" si="150"/>
        <v>0</v>
      </c>
      <c r="BF131" s="50">
        <f t="shared" ca="1" si="151"/>
        <v>0</v>
      </c>
      <c r="BH131" s="50">
        <f t="shared" ca="1" si="152"/>
        <v>0</v>
      </c>
      <c r="BJ131" s="50">
        <f t="shared" ca="1" si="153"/>
        <v>0</v>
      </c>
      <c r="BL131" s="50">
        <f t="shared" ca="1" si="155"/>
        <v>0</v>
      </c>
    </row>
    <row r="132" spans="2:64" x14ac:dyDescent="0.2">
      <c r="D132" s="1" t="s">
        <v>9</v>
      </c>
      <c r="K132" s="74"/>
      <c r="AD132" s="9"/>
      <c r="AE132" s="9"/>
      <c r="AF132" s="9"/>
      <c r="AG132" s="9"/>
      <c r="AH132" s="9"/>
      <c r="AJ132" s="9">
        <f t="shared" si="156"/>
        <v>0</v>
      </c>
      <c r="AL132" s="25" t="str">
        <f t="shared" si="158"/>
        <v/>
      </c>
      <c r="AM132" s="51"/>
      <c r="AR132" s="50">
        <f t="shared" si="144"/>
        <v>0</v>
      </c>
      <c r="AT132" s="50">
        <f t="shared" si="145"/>
        <v>0</v>
      </c>
      <c r="AV132" s="50">
        <f t="shared" si="146"/>
        <v>0</v>
      </c>
      <c r="AX132" s="50">
        <f t="shared" si="147"/>
        <v>0</v>
      </c>
      <c r="AZ132" s="50">
        <f t="shared" si="148"/>
        <v>0</v>
      </c>
      <c r="BB132" s="50">
        <f t="shared" si="149"/>
        <v>0</v>
      </c>
      <c r="BD132" s="50">
        <f t="shared" si="150"/>
        <v>0</v>
      </c>
      <c r="BF132" s="50">
        <f t="shared" si="151"/>
        <v>0</v>
      </c>
      <c r="BH132" s="50">
        <f t="shared" si="152"/>
        <v>0</v>
      </c>
      <c r="BJ132" s="50">
        <f t="shared" si="153"/>
        <v>0</v>
      </c>
      <c r="BL132" s="50">
        <f t="shared" si="155"/>
        <v>0</v>
      </c>
    </row>
    <row r="133" spans="2:64" x14ac:dyDescent="0.2">
      <c r="B133" s="18">
        <f>B131+1</f>
        <v>79</v>
      </c>
      <c r="D133" s="1" t="s">
        <v>214</v>
      </c>
      <c r="F133" s="50">
        <f ca="1">Function!V133</f>
        <v>0</v>
      </c>
      <c r="K133" s="74"/>
      <c r="AD133" s="9"/>
      <c r="AE133" s="9"/>
      <c r="AF133" s="9"/>
      <c r="AG133" s="9"/>
      <c r="AH133" s="9"/>
      <c r="AJ133" s="9">
        <f t="shared" si="156"/>
        <v>0</v>
      </c>
      <c r="AL133" s="25" t="str">
        <f t="shared" ca="1" si="158"/>
        <v/>
      </c>
      <c r="AM133" s="51"/>
      <c r="AO133" s="93">
        <f ca="1">Function!AL133</f>
        <v>0</v>
      </c>
      <c r="AP133" s="100">
        <f ca="1">IFERROR(AO133/F133,0)</f>
        <v>0</v>
      </c>
      <c r="AR133" s="50">
        <f t="shared" ca="1" si="144"/>
        <v>0</v>
      </c>
      <c r="AT133" s="50">
        <f t="shared" ca="1" si="145"/>
        <v>0</v>
      </c>
      <c r="AV133" s="50">
        <f t="shared" ca="1" si="146"/>
        <v>0</v>
      </c>
      <c r="AX133" s="50">
        <f t="shared" ca="1" si="147"/>
        <v>0</v>
      </c>
      <c r="AZ133" s="50">
        <f t="shared" ca="1" si="148"/>
        <v>0</v>
      </c>
      <c r="BB133" s="50">
        <f t="shared" ca="1" si="149"/>
        <v>0</v>
      </c>
      <c r="BD133" s="50">
        <f t="shared" ca="1" si="150"/>
        <v>0</v>
      </c>
      <c r="BF133" s="50">
        <f t="shared" ca="1" si="151"/>
        <v>0</v>
      </c>
      <c r="BH133" s="50">
        <f t="shared" ca="1" si="152"/>
        <v>0</v>
      </c>
      <c r="BJ133" s="50">
        <f t="shared" ca="1" si="153"/>
        <v>0</v>
      </c>
      <c r="BL133" s="50">
        <f t="shared" ca="1" si="155"/>
        <v>0</v>
      </c>
    </row>
    <row r="134" spans="2:64" x14ac:dyDescent="0.2">
      <c r="B134" s="18">
        <f>B133+1</f>
        <v>80</v>
      </c>
      <c r="D134" s="36" t="s">
        <v>202</v>
      </c>
      <c r="F134" s="50">
        <f ca="1">Function!V134</f>
        <v>0</v>
      </c>
      <c r="H134" s="79"/>
      <c r="K134" s="73">
        <f>_xlfn.IFNA(MATCH(J134,'Dist Factors'!$B$15:$B$431,0),0)</f>
        <v>0</v>
      </c>
      <c r="L134" s="50">
        <f t="shared" ref="L134:L136" ca="1" si="163">F134-H134</f>
        <v>0</v>
      </c>
      <c r="O134" s="73">
        <f>_xlfn.IFNA(MATCH(N134,'Dist Factors'!$B$15:$B$431,0),0)</f>
        <v>0</v>
      </c>
      <c r="P134" s="20">
        <f ca="1">OFFSET('Dist Factors'!$B$15,$O134-1,P$14)*$L134+OFFSET('Dist Factors'!$B$15,$K134-1,P$14)*$H134</f>
        <v>0</v>
      </c>
      <c r="R134" s="20">
        <f ca="1">OFFSET('Dist Factors'!$B$15,$O134-1,R$14)*$L134+OFFSET('Dist Factors'!$B$15,$K134-1,R$14)*$H134</f>
        <v>0</v>
      </c>
      <c r="S134" s="20"/>
      <c r="T134" s="20">
        <f ca="1">OFFSET('Dist Factors'!$B$15,$O134-1,T$14)*$L134+OFFSET('Dist Factors'!$B$15,$K134-1,T$14)*$H134</f>
        <v>0</v>
      </c>
      <c r="U134" s="20"/>
      <c r="V134" s="20">
        <f ca="1">OFFSET('Dist Factors'!$B$15,$O134-1,V$14)*$L134+OFFSET('Dist Factors'!$B$15,$K134-1,V$14)*$H134</f>
        <v>0</v>
      </c>
      <c r="W134" s="9"/>
      <c r="X134" s="20">
        <f ca="1">OFFSET('Dist Factors'!$B$15,$O134-1,X$14)*$L134+OFFSET('Dist Factors'!$B$15,$K134-1,X$14)*$H134</f>
        <v>0</v>
      </c>
      <c r="Y134" s="9"/>
      <c r="Z134" s="20">
        <f ca="1">OFFSET('Dist Factors'!$B$15,$O134-1,Z$14)*$L134+OFFSET('Dist Factors'!$B$15,$K134-1,Z$14)*$H134</f>
        <v>0</v>
      </c>
      <c r="AA134" s="20"/>
      <c r="AB134" s="20">
        <f ca="1">OFFSET('Dist Factors'!$B$15,$O134-1,AB$14)*$L134+OFFSET('Dist Factors'!$B$15,$K134-1,AB$14)*$H134</f>
        <v>0</v>
      </c>
      <c r="AC134" s="9"/>
      <c r="AD134" s="20">
        <f ca="1">OFFSET('Dist Factors'!$B$15,$O134-1,AD$14)*$L134+OFFSET('Dist Factors'!$B$15,$K134-1,AD$14)*$H134</f>
        <v>0</v>
      </c>
      <c r="AE134" s="9"/>
      <c r="AF134" s="20">
        <f ca="1">OFFSET('Dist Factors'!$B$15,$O134-1,AF$14)*$L134+OFFSET('Dist Factors'!$B$15,$K134-1,AF$14)*$H134</f>
        <v>0</v>
      </c>
      <c r="AG134" s="9"/>
      <c r="AH134" s="20">
        <f ca="1">OFFSET('Dist Factors'!$B$15,$O134-1,AH$14)*$L134+OFFSET('Dist Factors'!$B$15,$K134-1,AH$14)*$H134</f>
        <v>0</v>
      </c>
      <c r="AI134" s="9"/>
      <c r="AJ134" s="9">
        <f t="shared" ca="1" si="156"/>
        <v>0</v>
      </c>
      <c r="AL134" s="25" t="str">
        <f t="shared" ca="1" si="158"/>
        <v/>
      </c>
      <c r="AM134" s="51"/>
      <c r="AO134" s="93">
        <f ca="1">Function!AL134</f>
        <v>0</v>
      </c>
      <c r="AP134" s="100">
        <f ca="1">IFERROR(AO134/F134,0)</f>
        <v>0</v>
      </c>
      <c r="AR134" s="50">
        <f t="shared" ca="1" si="144"/>
        <v>0</v>
      </c>
      <c r="AT134" s="50">
        <f t="shared" ca="1" si="145"/>
        <v>0</v>
      </c>
      <c r="AV134" s="50">
        <f t="shared" ca="1" si="146"/>
        <v>0</v>
      </c>
      <c r="AX134" s="50">
        <f t="shared" ca="1" si="147"/>
        <v>0</v>
      </c>
      <c r="AZ134" s="50">
        <f t="shared" ca="1" si="148"/>
        <v>0</v>
      </c>
      <c r="BB134" s="50">
        <f t="shared" ca="1" si="149"/>
        <v>0</v>
      </c>
      <c r="BD134" s="50">
        <f t="shared" ca="1" si="150"/>
        <v>0</v>
      </c>
      <c r="BF134" s="50">
        <f t="shared" ca="1" si="151"/>
        <v>0</v>
      </c>
      <c r="BH134" s="50">
        <f t="shared" ca="1" si="152"/>
        <v>0</v>
      </c>
      <c r="BJ134" s="50">
        <f t="shared" ca="1" si="153"/>
        <v>0</v>
      </c>
      <c r="BL134" s="50">
        <f t="shared" ca="1" si="155"/>
        <v>0</v>
      </c>
    </row>
    <row r="135" spans="2:64" x14ac:dyDescent="0.2">
      <c r="B135" s="18">
        <f t="shared" ref="B135:B136" si="164">B134+1</f>
        <v>81</v>
      </c>
      <c r="D135" s="36" t="s">
        <v>199</v>
      </c>
      <c r="F135" s="50">
        <f ca="1">Function!V135</f>
        <v>0</v>
      </c>
      <c r="H135" s="79"/>
      <c r="K135" s="73">
        <f>_xlfn.IFNA(MATCH(J135,'Dist Factors'!$B$15:$B$431,0),0)</f>
        <v>0</v>
      </c>
      <c r="L135" s="50">
        <f t="shared" ca="1" si="163"/>
        <v>0</v>
      </c>
      <c r="O135" s="73">
        <f>_xlfn.IFNA(MATCH(N135,'Dist Factors'!$B$15:$B$431,0),0)</f>
        <v>0</v>
      </c>
      <c r="P135" s="20">
        <f ca="1">OFFSET('Dist Factors'!$B$15,$O135-1,P$14)*$L135+OFFSET('Dist Factors'!$B$15,$K135-1,P$14)*$H135</f>
        <v>0</v>
      </c>
      <c r="R135" s="20">
        <f ca="1">OFFSET('Dist Factors'!$B$15,$O135-1,R$14)*$L135+OFFSET('Dist Factors'!$B$15,$K135-1,R$14)*$H135</f>
        <v>0</v>
      </c>
      <c r="S135" s="20"/>
      <c r="T135" s="20">
        <f ca="1">OFFSET('Dist Factors'!$B$15,$O135-1,T$14)*$L135+OFFSET('Dist Factors'!$B$15,$K135-1,T$14)*$H135</f>
        <v>0</v>
      </c>
      <c r="U135" s="20"/>
      <c r="V135" s="20">
        <f ca="1">OFFSET('Dist Factors'!$B$15,$O135-1,V$14)*$L135+OFFSET('Dist Factors'!$B$15,$K135-1,V$14)*$H135</f>
        <v>0</v>
      </c>
      <c r="W135" s="9"/>
      <c r="X135" s="20">
        <f ca="1">OFFSET('Dist Factors'!$B$15,$O135-1,X$14)*$L135+OFFSET('Dist Factors'!$B$15,$K135-1,X$14)*$H135</f>
        <v>0</v>
      </c>
      <c r="Y135" s="9"/>
      <c r="Z135" s="20">
        <f ca="1">OFFSET('Dist Factors'!$B$15,$O135-1,Z$14)*$L135+OFFSET('Dist Factors'!$B$15,$K135-1,Z$14)*$H135</f>
        <v>0</v>
      </c>
      <c r="AA135" s="20"/>
      <c r="AB135" s="20">
        <f ca="1">OFFSET('Dist Factors'!$B$15,$O135-1,AB$14)*$L135+OFFSET('Dist Factors'!$B$15,$K135-1,AB$14)*$H135</f>
        <v>0</v>
      </c>
      <c r="AC135" s="9"/>
      <c r="AD135" s="20">
        <f ca="1">OFFSET('Dist Factors'!$B$15,$O135-1,AD$14)*$L135+OFFSET('Dist Factors'!$B$15,$K135-1,AD$14)*$H135</f>
        <v>0</v>
      </c>
      <c r="AE135" s="9"/>
      <c r="AF135" s="20">
        <f ca="1">OFFSET('Dist Factors'!$B$15,$O135-1,AF$14)*$L135+OFFSET('Dist Factors'!$B$15,$K135-1,AF$14)*$H135</f>
        <v>0</v>
      </c>
      <c r="AG135" s="9"/>
      <c r="AH135" s="20">
        <f ca="1">OFFSET('Dist Factors'!$B$15,$O135-1,AH$14)*$L135+OFFSET('Dist Factors'!$B$15,$K135-1,AH$14)*$H135</f>
        <v>0</v>
      </c>
      <c r="AI135" s="9"/>
      <c r="AJ135" s="9">
        <f t="shared" ca="1" si="156"/>
        <v>0</v>
      </c>
      <c r="AL135" s="25" t="str">
        <f t="shared" ca="1" si="158"/>
        <v/>
      </c>
      <c r="AM135" s="51"/>
      <c r="AO135" s="93">
        <f ca="1">Function!AL135</f>
        <v>0</v>
      </c>
      <c r="AP135" s="100">
        <f ca="1">IFERROR(AO135/F135,0)</f>
        <v>0</v>
      </c>
      <c r="AR135" s="50">
        <f t="shared" ca="1" si="144"/>
        <v>0</v>
      </c>
      <c r="AT135" s="50">
        <f t="shared" ca="1" si="145"/>
        <v>0</v>
      </c>
      <c r="AV135" s="50">
        <f t="shared" ca="1" si="146"/>
        <v>0</v>
      </c>
      <c r="AX135" s="50">
        <f t="shared" ca="1" si="147"/>
        <v>0</v>
      </c>
      <c r="AZ135" s="50">
        <f t="shared" ca="1" si="148"/>
        <v>0</v>
      </c>
      <c r="BB135" s="50">
        <f t="shared" ca="1" si="149"/>
        <v>0</v>
      </c>
      <c r="BD135" s="50">
        <f t="shared" ca="1" si="150"/>
        <v>0</v>
      </c>
      <c r="BF135" s="50">
        <f t="shared" ca="1" si="151"/>
        <v>0</v>
      </c>
      <c r="BH135" s="50">
        <f t="shared" ca="1" si="152"/>
        <v>0</v>
      </c>
      <c r="BJ135" s="50">
        <f t="shared" ca="1" si="153"/>
        <v>0</v>
      </c>
      <c r="BL135" s="50">
        <f t="shared" ca="1" si="155"/>
        <v>0</v>
      </c>
    </row>
    <row r="136" spans="2:64" x14ac:dyDescent="0.2">
      <c r="B136" s="18">
        <f t="shared" si="164"/>
        <v>82</v>
      </c>
      <c r="D136" s="36" t="s">
        <v>21</v>
      </c>
      <c r="F136" s="50">
        <f ca="1">Function!V136</f>
        <v>0</v>
      </c>
      <c r="H136" s="79"/>
      <c r="K136" s="73">
        <f>_xlfn.IFNA(MATCH(J136,'Dist Factors'!$B$15:$B$431,0),0)</f>
        <v>0</v>
      </c>
      <c r="L136" s="50">
        <f t="shared" ca="1" si="163"/>
        <v>0</v>
      </c>
      <c r="O136" s="73">
        <f>_xlfn.IFNA(MATCH(N136,'Dist Factors'!$B$15:$B$431,0),0)</f>
        <v>0</v>
      </c>
      <c r="P136" s="20">
        <f ca="1">OFFSET('Dist Factors'!$B$15,$O136-1,P$14)*$L136+OFFSET('Dist Factors'!$B$15,$K136-1,P$14)*$H136</f>
        <v>0</v>
      </c>
      <c r="R136" s="20">
        <f ca="1">OFFSET('Dist Factors'!$B$15,$O136-1,R$14)*$L136+OFFSET('Dist Factors'!$B$15,$K136-1,R$14)*$H136</f>
        <v>0</v>
      </c>
      <c r="S136" s="20"/>
      <c r="T136" s="20">
        <f ca="1">OFFSET('Dist Factors'!$B$15,$O136-1,T$14)*$L136+OFFSET('Dist Factors'!$B$15,$K136-1,T$14)*$H136</f>
        <v>0</v>
      </c>
      <c r="U136" s="20"/>
      <c r="V136" s="20">
        <f ca="1">OFFSET('Dist Factors'!$B$15,$O136-1,V$14)*$L136+OFFSET('Dist Factors'!$B$15,$K136-1,V$14)*$H136</f>
        <v>0</v>
      </c>
      <c r="W136" s="9"/>
      <c r="X136" s="20">
        <f ca="1">OFFSET('Dist Factors'!$B$15,$O136-1,X$14)*$L136+OFFSET('Dist Factors'!$B$15,$K136-1,X$14)*$H136</f>
        <v>0</v>
      </c>
      <c r="Y136" s="9"/>
      <c r="Z136" s="20">
        <f ca="1">OFFSET('Dist Factors'!$B$15,$O136-1,Z$14)*$L136+OFFSET('Dist Factors'!$B$15,$K136-1,Z$14)*$H136</f>
        <v>0</v>
      </c>
      <c r="AA136" s="20"/>
      <c r="AB136" s="20">
        <f ca="1">OFFSET('Dist Factors'!$B$15,$O136-1,AB$14)*$L136+OFFSET('Dist Factors'!$B$15,$K136-1,AB$14)*$H136</f>
        <v>0</v>
      </c>
      <c r="AC136" s="9"/>
      <c r="AD136" s="20">
        <f ca="1">OFFSET('Dist Factors'!$B$15,$O136-1,AD$14)*$L136+OFFSET('Dist Factors'!$B$15,$K136-1,AD$14)*$H136</f>
        <v>0</v>
      </c>
      <c r="AE136" s="9"/>
      <c r="AF136" s="20">
        <f ca="1">OFFSET('Dist Factors'!$B$15,$O136-1,AF$14)*$L136+OFFSET('Dist Factors'!$B$15,$K136-1,AF$14)*$H136</f>
        <v>0</v>
      </c>
      <c r="AG136" s="9"/>
      <c r="AH136" s="20">
        <f ca="1">OFFSET('Dist Factors'!$B$15,$O136-1,AH$14)*$L136+OFFSET('Dist Factors'!$B$15,$K136-1,AH$14)*$H136</f>
        <v>0</v>
      </c>
      <c r="AI136" s="9"/>
      <c r="AJ136" s="9">
        <f t="shared" ca="1" si="156"/>
        <v>0</v>
      </c>
      <c r="AL136" s="25" t="str">
        <f t="shared" ca="1" si="158"/>
        <v/>
      </c>
      <c r="AM136" s="51"/>
      <c r="AO136" s="93">
        <f ca="1">Function!AL136</f>
        <v>0</v>
      </c>
      <c r="AP136" s="100">
        <f ca="1">IFERROR(AO136/F136,0)</f>
        <v>0</v>
      </c>
      <c r="AR136" s="50">
        <f t="shared" ca="1" si="144"/>
        <v>0</v>
      </c>
      <c r="AT136" s="50">
        <f t="shared" ca="1" si="145"/>
        <v>0</v>
      </c>
      <c r="AV136" s="50">
        <f t="shared" ca="1" si="146"/>
        <v>0</v>
      </c>
      <c r="AX136" s="50">
        <f t="shared" ca="1" si="147"/>
        <v>0</v>
      </c>
      <c r="AZ136" s="50">
        <f t="shared" ca="1" si="148"/>
        <v>0</v>
      </c>
      <c r="BB136" s="50">
        <f t="shared" ca="1" si="149"/>
        <v>0</v>
      </c>
      <c r="BD136" s="50">
        <f t="shared" ca="1" si="150"/>
        <v>0</v>
      </c>
      <c r="BF136" s="50">
        <f t="shared" ca="1" si="151"/>
        <v>0</v>
      </c>
      <c r="BH136" s="50">
        <f t="shared" ca="1" si="152"/>
        <v>0</v>
      </c>
      <c r="BJ136" s="50">
        <f t="shared" ca="1" si="153"/>
        <v>0</v>
      </c>
      <c r="BL136" s="50">
        <f t="shared" ca="1" si="155"/>
        <v>0</v>
      </c>
    </row>
    <row r="137" spans="2:64" x14ac:dyDescent="0.2">
      <c r="D137" s="1" t="s">
        <v>10</v>
      </c>
      <c r="K137" s="74"/>
      <c r="AD137" s="9"/>
      <c r="AE137" s="9"/>
      <c r="AF137" s="9"/>
      <c r="AG137" s="9"/>
      <c r="AH137" s="9"/>
      <c r="AJ137" s="9">
        <f t="shared" si="156"/>
        <v>0</v>
      </c>
      <c r="AL137" s="25" t="str">
        <f t="shared" si="158"/>
        <v/>
      </c>
      <c r="AM137" s="51"/>
      <c r="AP137" s="100"/>
      <c r="AR137" s="50">
        <f t="shared" si="144"/>
        <v>0</v>
      </c>
      <c r="AT137" s="50">
        <f t="shared" si="145"/>
        <v>0</v>
      </c>
      <c r="AV137" s="50">
        <f t="shared" si="146"/>
        <v>0</v>
      </c>
      <c r="AX137" s="50">
        <f t="shared" si="147"/>
        <v>0</v>
      </c>
      <c r="AZ137" s="50">
        <f t="shared" si="148"/>
        <v>0</v>
      </c>
      <c r="BB137" s="50">
        <f t="shared" si="149"/>
        <v>0</v>
      </c>
      <c r="BD137" s="50">
        <f t="shared" si="150"/>
        <v>0</v>
      </c>
      <c r="BF137" s="50">
        <f t="shared" si="151"/>
        <v>0</v>
      </c>
      <c r="BH137" s="50">
        <f t="shared" si="152"/>
        <v>0</v>
      </c>
      <c r="BJ137" s="50">
        <f t="shared" si="153"/>
        <v>0</v>
      </c>
      <c r="BL137" s="50">
        <f t="shared" si="155"/>
        <v>0</v>
      </c>
    </row>
    <row r="138" spans="2:64" x14ac:dyDescent="0.2">
      <c r="B138" s="18">
        <f>B136+1</f>
        <v>83</v>
      </c>
      <c r="D138" s="1" t="s">
        <v>217</v>
      </c>
      <c r="F138" s="50">
        <f ca="1">Function!V138</f>
        <v>10616.772187581613</v>
      </c>
      <c r="K138" s="73">
        <f>_xlfn.IFNA(MATCH(J138,'Dist Factors'!$B$15:$B$431,0),0)</f>
        <v>0</v>
      </c>
      <c r="L138" s="50">
        <f t="shared" ref="L138:L143" ca="1" si="165">F138-H138</f>
        <v>10616.772187581613</v>
      </c>
      <c r="N138" s="18" t="s">
        <v>352</v>
      </c>
      <c r="O138" s="73">
        <f>_xlfn.IFNA(MATCH(N138,'Dist Factors'!$B$15:$B$431,0),0)</f>
        <v>51</v>
      </c>
      <c r="P138" s="20">
        <f ca="1">OFFSET('Dist Factors'!$B$15,$O138-1,P$14)*$L138+OFFSET('Dist Factors'!$B$15,$K138-1,P$14)*$H138</f>
        <v>1535.8209489488577</v>
      </c>
      <c r="R138" s="20">
        <f ca="1">OFFSET('Dist Factors'!$B$15,$O138-1,R$14)*$L138+OFFSET('Dist Factors'!$B$15,$K138-1,R$14)*$H138</f>
        <v>293.74811862889078</v>
      </c>
      <c r="S138" s="20"/>
      <c r="T138" s="20">
        <f ca="1">OFFSET('Dist Factors'!$B$15,$O138-1,T$14)*$L138+OFFSET('Dist Factors'!$B$15,$K138-1,T$14)*$H138</f>
        <v>1558.0061506309021</v>
      </c>
      <c r="U138" s="20"/>
      <c r="V138" s="20">
        <f ca="1">OFFSET('Dist Factors'!$B$15,$O138-1,V$14)*$L138+OFFSET('Dist Factors'!$B$15,$K138-1,V$14)*$H138</f>
        <v>0</v>
      </c>
      <c r="W138" s="9"/>
      <c r="X138" s="20">
        <f ca="1">OFFSET('Dist Factors'!$B$15,$O138-1,X$14)*$L138+OFFSET('Dist Factors'!$B$15,$K138-1,X$14)*$H138</f>
        <v>1819.3076087929016</v>
      </c>
      <c r="Y138" s="9"/>
      <c r="Z138" s="20">
        <f ca="1">OFFSET('Dist Factors'!$B$15,$O138-1,Z$14)*$L138+OFFSET('Dist Factors'!$B$15,$K138-1,Z$14)*$H138</f>
        <v>2732.8190337742058</v>
      </c>
      <c r="AA138" s="20"/>
      <c r="AB138" s="20">
        <f ca="1">OFFSET('Dist Factors'!$B$15,$O138-1,AB$14)*$L138+OFFSET('Dist Factors'!$B$15,$K138-1,AB$14)*$H138</f>
        <v>2299.9543136867696</v>
      </c>
      <c r="AC138" s="9"/>
      <c r="AD138" s="20">
        <f ca="1">OFFSET('Dist Factors'!$B$15,$O138-1,AD$14)*$L138+OFFSET('Dist Factors'!$B$15,$K138-1,AD$14)*$H138</f>
        <v>377.11601311908538</v>
      </c>
      <c r="AE138" s="9"/>
      <c r="AF138" s="20">
        <f ca="1">OFFSET('Dist Factors'!$B$15,$O138-1,AF$14)*$L138+OFFSET('Dist Factors'!$B$15,$K138-1,AF$14)*$H138</f>
        <v>0</v>
      </c>
      <c r="AG138" s="9"/>
      <c r="AH138" s="20">
        <f ca="1">OFFSET('Dist Factors'!$B$15,$O138-1,AH$14)*$L138+OFFSET('Dist Factors'!$B$15,$K138-1,AH$14)*$H138</f>
        <v>0</v>
      </c>
      <c r="AI138" s="9"/>
      <c r="AJ138" s="9">
        <f t="shared" ca="1" si="156"/>
        <v>10616.772187581613</v>
      </c>
      <c r="AL138" s="25" t="str">
        <f t="shared" ca="1" si="158"/>
        <v/>
      </c>
      <c r="AM138" s="51"/>
      <c r="AO138" s="93">
        <f ca="1">Function!AL138</f>
        <v>7329.8580613904187</v>
      </c>
      <c r="AP138" s="100">
        <f t="shared" ref="AP138:AP143" ca="1" si="166">IFERROR(AO138/F138,0)</f>
        <v>0.69040363039569763</v>
      </c>
      <c r="AR138" s="50">
        <f t="shared" ca="1" si="144"/>
        <v>1060.3363587920567</v>
      </c>
      <c r="AT138" s="50">
        <f t="shared" ca="1" si="145"/>
        <v>202.80476752329224</v>
      </c>
      <c r="AV138" s="50">
        <f t="shared" ca="1" si="146"/>
        <v>1075.6531025744009</v>
      </c>
      <c r="AX138" s="50">
        <f t="shared" ca="1" si="147"/>
        <v>0</v>
      </c>
      <c r="AZ138" s="50">
        <f t="shared" ca="1" si="148"/>
        <v>1256.056577917135</v>
      </c>
      <c r="BB138" s="50">
        <f t="shared" ca="1" si="149"/>
        <v>1886.7481821321742</v>
      </c>
      <c r="BD138" s="50">
        <f t="shared" ca="1" si="150"/>
        <v>1587.8968079135909</v>
      </c>
      <c r="BF138" s="50">
        <f t="shared" ca="1" si="151"/>
        <v>260.36226453776806</v>
      </c>
      <c r="BH138" s="50">
        <f t="shared" ca="1" si="152"/>
        <v>0</v>
      </c>
      <c r="BJ138" s="50">
        <f t="shared" ca="1" si="153"/>
        <v>0</v>
      </c>
      <c r="BL138" s="50">
        <f t="shared" ca="1" si="155"/>
        <v>7329.8580613904187</v>
      </c>
    </row>
    <row r="139" spans="2:64" x14ac:dyDescent="0.2">
      <c r="B139" s="18">
        <f>B138+1</f>
        <v>84</v>
      </c>
      <c r="D139" s="36" t="s">
        <v>204</v>
      </c>
      <c r="F139" s="50">
        <f ca="1">Function!V139</f>
        <v>22130.98895566666</v>
      </c>
      <c r="H139" s="79">
        <v>2479.1055581980895</v>
      </c>
      <c r="J139" s="31" t="s">
        <v>241</v>
      </c>
      <c r="K139" s="73">
        <f>_xlfn.IFNA(MATCH(J139,'Dist Factors'!$B$15:$B$431,0),0)</f>
        <v>15</v>
      </c>
      <c r="L139" s="50">
        <f t="shared" ca="1" si="165"/>
        <v>19651.883397468569</v>
      </c>
      <c r="N139" s="18" t="s">
        <v>240</v>
      </c>
      <c r="O139" s="73">
        <f>_xlfn.IFNA(MATCH(N139,'Dist Factors'!$B$15:$B$431,0),0)</f>
        <v>6</v>
      </c>
      <c r="P139" s="20">
        <f ca="1">OFFSET('Dist Factors'!$B$15,$O139-1,P$14)*$L139+OFFSET('Dist Factors'!$B$15,$K139-1,P$14)*$H139</f>
        <v>0</v>
      </c>
      <c r="R139" s="20">
        <f ca="1">OFFSET('Dist Factors'!$B$15,$O139-1,R$14)*$L139+OFFSET('Dist Factors'!$B$15,$K139-1,R$14)*$H139</f>
        <v>0</v>
      </c>
      <c r="S139" s="20"/>
      <c r="T139" s="20">
        <f ca="1">OFFSET('Dist Factors'!$B$15,$O139-1,T$14)*$L139+OFFSET('Dist Factors'!$B$15,$K139-1,T$14)*$H139</f>
        <v>0</v>
      </c>
      <c r="U139" s="20"/>
      <c r="V139" s="20">
        <f ca="1">OFFSET('Dist Factors'!$B$15,$O139-1,V$14)*$L139+OFFSET('Dist Factors'!$B$15,$K139-1,V$14)*$H139</f>
        <v>0</v>
      </c>
      <c r="W139" s="9"/>
      <c r="X139" s="20">
        <f ca="1">OFFSET('Dist Factors'!$B$15,$O139-1,X$14)*$L139+OFFSET('Dist Factors'!$B$15,$K139-1,X$14)*$H139</f>
        <v>0</v>
      </c>
      <c r="Y139" s="9"/>
      <c r="Z139" s="20">
        <f ca="1">OFFSET('Dist Factors'!$B$15,$O139-1,Z$14)*$L139+OFFSET('Dist Factors'!$B$15,$K139-1,Z$14)*$H139</f>
        <v>0</v>
      </c>
      <c r="AA139" s="20"/>
      <c r="AB139" s="20">
        <f ca="1">OFFSET('Dist Factors'!$B$15,$O139-1,AB$14)*$L139+OFFSET('Dist Factors'!$B$15,$K139-1,AB$14)*$H139</f>
        <v>19651.883397468569</v>
      </c>
      <c r="AC139" s="9"/>
      <c r="AD139" s="20">
        <f ca="1">OFFSET('Dist Factors'!$B$15,$O139-1,AD$14)*$L139+OFFSET('Dist Factors'!$B$15,$K139-1,AD$14)*$H139</f>
        <v>2479.1055581980895</v>
      </c>
      <c r="AE139" s="9"/>
      <c r="AF139" s="20">
        <f ca="1">OFFSET('Dist Factors'!$B$15,$O139-1,AF$14)*$L139+OFFSET('Dist Factors'!$B$15,$K139-1,AF$14)*$H139</f>
        <v>0</v>
      </c>
      <c r="AG139" s="9"/>
      <c r="AH139" s="20">
        <f ca="1">OFFSET('Dist Factors'!$B$15,$O139-1,AH$14)*$L139+OFFSET('Dist Factors'!$B$15,$K139-1,AH$14)*$H139</f>
        <v>0</v>
      </c>
      <c r="AI139" s="9"/>
      <c r="AJ139" s="9">
        <f t="shared" ca="1" si="156"/>
        <v>22130.98895566666</v>
      </c>
      <c r="AL139" s="25" t="str">
        <f t="shared" ca="1" si="158"/>
        <v/>
      </c>
      <c r="AM139" s="51"/>
      <c r="AO139" s="93">
        <f ca="1">Function!AL139</f>
        <v>5485.71519527688</v>
      </c>
      <c r="AP139" s="100">
        <f t="shared" ca="1" si="166"/>
        <v>0.24787483317017595</v>
      </c>
      <c r="AR139" s="50">
        <f t="shared" ca="1" si="144"/>
        <v>0</v>
      </c>
      <c r="AT139" s="50">
        <f t="shared" ca="1" si="145"/>
        <v>0</v>
      </c>
      <c r="AV139" s="50">
        <f t="shared" ca="1" si="146"/>
        <v>0</v>
      </c>
      <c r="AX139" s="50">
        <f t="shared" ca="1" si="147"/>
        <v>0</v>
      </c>
      <c r="AZ139" s="50">
        <f t="shared" ca="1" si="148"/>
        <v>0</v>
      </c>
      <c r="BB139" s="50">
        <f t="shared" ca="1" si="149"/>
        <v>0</v>
      </c>
      <c r="BD139" s="50">
        <f t="shared" ca="1" si="150"/>
        <v>4871.2073186272719</v>
      </c>
      <c r="BF139" s="50">
        <f t="shared" ca="1" si="151"/>
        <v>614.5078766496074</v>
      </c>
      <c r="BH139" s="50">
        <f t="shared" ca="1" si="152"/>
        <v>0</v>
      </c>
      <c r="BJ139" s="50">
        <f t="shared" ca="1" si="153"/>
        <v>0</v>
      </c>
      <c r="BL139" s="50">
        <f t="shared" ca="1" si="155"/>
        <v>5485.7151952768791</v>
      </c>
    </row>
    <row r="140" spans="2:64" x14ac:dyDescent="0.2">
      <c r="B140" s="18">
        <f t="shared" ref="B140:B143" si="167">B139+1</f>
        <v>85</v>
      </c>
      <c r="D140" s="36" t="s">
        <v>178</v>
      </c>
      <c r="F140" s="50">
        <f ca="1">Function!V140</f>
        <v>0</v>
      </c>
      <c r="H140" s="79"/>
      <c r="K140" s="73">
        <f>_xlfn.IFNA(MATCH(J140,'Dist Factors'!$B$15:$B$431,0),0)</f>
        <v>0</v>
      </c>
      <c r="L140" s="50">
        <f t="shared" ca="1" si="165"/>
        <v>0</v>
      </c>
      <c r="N140" s="18" t="s">
        <v>240</v>
      </c>
      <c r="O140" s="73">
        <f>_xlfn.IFNA(MATCH(N140,'Dist Factors'!$B$15:$B$431,0),0)</f>
        <v>6</v>
      </c>
      <c r="P140" s="20">
        <f ca="1">OFFSET('Dist Factors'!$B$15,$O140-1,P$14)*$L140+OFFSET('Dist Factors'!$B$15,$K140-1,P$14)*$H140</f>
        <v>0</v>
      </c>
      <c r="R140" s="20">
        <f ca="1">OFFSET('Dist Factors'!$B$15,$O140-1,R$14)*$L140+OFFSET('Dist Factors'!$B$15,$K140-1,R$14)*$H140</f>
        <v>0</v>
      </c>
      <c r="S140" s="20"/>
      <c r="T140" s="20">
        <f ca="1">OFFSET('Dist Factors'!$B$15,$O140-1,T$14)*$L140+OFFSET('Dist Factors'!$B$15,$K140-1,T$14)*$H140</f>
        <v>0</v>
      </c>
      <c r="U140" s="20"/>
      <c r="V140" s="20">
        <f ca="1">OFFSET('Dist Factors'!$B$15,$O140-1,V$14)*$L140+OFFSET('Dist Factors'!$B$15,$K140-1,V$14)*$H140</f>
        <v>0</v>
      </c>
      <c r="W140" s="9"/>
      <c r="X140" s="20">
        <f ca="1">OFFSET('Dist Factors'!$B$15,$O140-1,X$14)*$L140+OFFSET('Dist Factors'!$B$15,$K140-1,X$14)*$H140</f>
        <v>0</v>
      </c>
      <c r="Y140" s="9"/>
      <c r="Z140" s="20">
        <f ca="1">OFFSET('Dist Factors'!$B$15,$O140-1,Z$14)*$L140+OFFSET('Dist Factors'!$B$15,$K140-1,Z$14)*$H140</f>
        <v>0</v>
      </c>
      <c r="AA140" s="20"/>
      <c r="AB140" s="20">
        <f ca="1">OFFSET('Dist Factors'!$B$15,$O140-1,AB$14)*$L140+OFFSET('Dist Factors'!$B$15,$K140-1,AB$14)*$H140</f>
        <v>0</v>
      </c>
      <c r="AC140" s="9"/>
      <c r="AD140" s="20">
        <f ca="1">OFFSET('Dist Factors'!$B$15,$O140-1,AD$14)*$L140+OFFSET('Dist Factors'!$B$15,$K140-1,AD$14)*$H140</f>
        <v>0</v>
      </c>
      <c r="AE140" s="9"/>
      <c r="AF140" s="20">
        <f ca="1">OFFSET('Dist Factors'!$B$15,$O140-1,AF$14)*$L140+OFFSET('Dist Factors'!$B$15,$K140-1,AF$14)*$H140</f>
        <v>0</v>
      </c>
      <c r="AG140" s="9"/>
      <c r="AH140" s="20">
        <f ca="1">OFFSET('Dist Factors'!$B$15,$O140-1,AH$14)*$L140+OFFSET('Dist Factors'!$B$15,$K140-1,AH$14)*$H140</f>
        <v>0</v>
      </c>
      <c r="AI140" s="9"/>
      <c r="AJ140" s="9">
        <f t="shared" ca="1" si="156"/>
        <v>0</v>
      </c>
      <c r="AL140" s="25" t="str">
        <f t="shared" ca="1" si="158"/>
        <v/>
      </c>
      <c r="AM140" s="51"/>
      <c r="AO140" s="93">
        <f ca="1">Function!AL140</f>
        <v>0</v>
      </c>
      <c r="AP140" s="100">
        <f t="shared" ca="1" si="166"/>
        <v>0</v>
      </c>
      <c r="AR140" s="50">
        <f t="shared" ca="1" si="144"/>
        <v>0</v>
      </c>
      <c r="AT140" s="50">
        <f t="shared" ca="1" si="145"/>
        <v>0</v>
      </c>
      <c r="AV140" s="50">
        <f t="shared" ca="1" si="146"/>
        <v>0</v>
      </c>
      <c r="AX140" s="50">
        <f t="shared" ca="1" si="147"/>
        <v>0</v>
      </c>
      <c r="AZ140" s="50">
        <f t="shared" ca="1" si="148"/>
        <v>0</v>
      </c>
      <c r="BB140" s="50">
        <f t="shared" ca="1" si="149"/>
        <v>0</v>
      </c>
      <c r="BD140" s="50">
        <f t="shared" ca="1" si="150"/>
        <v>0</v>
      </c>
      <c r="BF140" s="50">
        <f t="shared" ca="1" si="151"/>
        <v>0</v>
      </c>
      <c r="BH140" s="50">
        <f t="shared" ca="1" si="152"/>
        <v>0</v>
      </c>
      <c r="BJ140" s="50">
        <f t="shared" ca="1" si="153"/>
        <v>0</v>
      </c>
      <c r="BL140" s="50">
        <f t="shared" ca="1" si="155"/>
        <v>0</v>
      </c>
    </row>
    <row r="141" spans="2:64" x14ac:dyDescent="0.2">
      <c r="B141" s="18">
        <f t="shared" si="167"/>
        <v>86</v>
      </c>
      <c r="D141" s="36" t="s">
        <v>205</v>
      </c>
      <c r="F141" s="50">
        <f ca="1">Function!V141</f>
        <v>59329.65715247715</v>
      </c>
      <c r="H141" s="79"/>
      <c r="K141" s="73">
        <f>_xlfn.IFNA(MATCH(J141,'Dist Factors'!$B$15:$B$431,0),0)</f>
        <v>0</v>
      </c>
      <c r="L141" s="50">
        <f t="shared" ca="1" si="165"/>
        <v>59329.65715247715</v>
      </c>
      <c r="N141" s="18" t="s">
        <v>538</v>
      </c>
      <c r="O141" s="73">
        <f>_xlfn.IFNA(MATCH(N141,'Dist Factors'!$B$15:$B$431,0),0)</f>
        <v>57</v>
      </c>
      <c r="P141" s="20">
        <f ca="1">OFFSET('Dist Factors'!$B$15,$O141-1,P$14)*$L141+OFFSET('Dist Factors'!$B$15,$K141-1,P$14)*$H141</f>
        <v>9368.445668548602</v>
      </c>
      <c r="R141" s="20">
        <f ca="1">OFFSET('Dist Factors'!$B$15,$O141-1,R$14)*$L141+OFFSET('Dist Factors'!$B$15,$K141-1,R$14)*$H141</f>
        <v>1791.8516422742014</v>
      </c>
      <c r="S141" s="20"/>
      <c r="T141" s="20">
        <f ca="1">OFFSET('Dist Factors'!$B$15,$O141-1,T$14)*$L141+OFFSET('Dist Factors'!$B$15,$K141-1,T$14)*$H141</f>
        <v>9503.7745014742595</v>
      </c>
      <c r="U141" s="20"/>
      <c r="V141" s="20">
        <f ca="1">OFFSET('Dist Factors'!$B$15,$O141-1,V$14)*$L141+OFFSET('Dist Factors'!$B$15,$K141-1,V$14)*$H141</f>
        <v>0</v>
      </c>
      <c r="W141" s="9"/>
      <c r="X141" s="20">
        <f ca="1">OFFSET('Dist Factors'!$B$15,$O141-1,X$14)*$L141+OFFSET('Dist Factors'!$B$15,$K141-1,X$14)*$H141</f>
        <v>15453.127544832776</v>
      </c>
      <c r="Y141" s="9"/>
      <c r="Z141" s="20">
        <f ca="1">OFFSET('Dist Factors'!$B$15,$O141-1,Z$14)*$L141+OFFSET('Dist Factors'!$B$15,$K141-1,Z$14)*$H141</f>
        <v>23212.457795347313</v>
      </c>
      <c r="AA141" s="20"/>
      <c r="AB141" s="20">
        <f ca="1">OFFSET('Dist Factors'!$B$15,$O141-1,AB$14)*$L141+OFFSET('Dist Factors'!$B$15,$K141-1,AB$14)*$H141</f>
        <v>0</v>
      </c>
      <c r="AC141" s="9"/>
      <c r="AD141" s="20">
        <f ca="1">OFFSET('Dist Factors'!$B$15,$O141-1,AD$14)*$L141+OFFSET('Dist Factors'!$B$15,$K141-1,AD$14)*$H141</f>
        <v>0</v>
      </c>
      <c r="AE141" s="9"/>
      <c r="AF141" s="20">
        <f ca="1">OFFSET('Dist Factors'!$B$15,$O141-1,AF$14)*$L141+OFFSET('Dist Factors'!$B$15,$K141-1,AF$14)*$H141</f>
        <v>0</v>
      </c>
      <c r="AG141" s="9"/>
      <c r="AH141" s="20">
        <f ca="1">OFFSET('Dist Factors'!$B$15,$O141-1,AH$14)*$L141+OFFSET('Dist Factors'!$B$15,$K141-1,AH$14)*$H141</f>
        <v>0</v>
      </c>
      <c r="AI141" s="9"/>
      <c r="AJ141" s="9">
        <f t="shared" ca="1" si="156"/>
        <v>59329.65715247715</v>
      </c>
      <c r="AL141" s="25" t="str">
        <f t="shared" ca="1" si="158"/>
        <v/>
      </c>
      <c r="AM141" s="51"/>
      <c r="AO141" s="93">
        <f ca="1">Function!AL141</f>
        <v>20405.421374016114</v>
      </c>
      <c r="AP141" s="100">
        <f t="shared" ca="1" si="166"/>
        <v>0.34393290562212764</v>
      </c>
      <c r="AR141" s="50">
        <f t="shared" ca="1" si="144"/>
        <v>3222.1167399469568</v>
      </c>
      <c r="AT141" s="50">
        <f t="shared" ca="1" si="145"/>
        <v>616.27674177114727</v>
      </c>
      <c r="AV141" s="50">
        <f t="shared" ca="1" si="146"/>
        <v>3268.6607786695295</v>
      </c>
      <c r="AX141" s="50">
        <f t="shared" ca="1" si="147"/>
        <v>0</v>
      </c>
      <c r="AZ141" s="50">
        <f t="shared" ca="1" si="148"/>
        <v>5314.8390574436726</v>
      </c>
      <c r="BB141" s="50">
        <f t="shared" ca="1" si="149"/>
        <v>7983.5280561848085</v>
      </c>
      <c r="BD141" s="50">
        <f t="shared" ca="1" si="150"/>
        <v>0</v>
      </c>
      <c r="BF141" s="50">
        <f t="shared" ca="1" si="151"/>
        <v>0</v>
      </c>
      <c r="BH141" s="50">
        <f t="shared" ca="1" si="152"/>
        <v>0</v>
      </c>
      <c r="BJ141" s="50">
        <f t="shared" ca="1" si="153"/>
        <v>0</v>
      </c>
      <c r="BL141" s="50">
        <f t="shared" ca="1" si="155"/>
        <v>20405.421374016114</v>
      </c>
    </row>
    <row r="142" spans="2:64" x14ac:dyDescent="0.2">
      <c r="B142" s="18">
        <f t="shared" si="167"/>
        <v>87</v>
      </c>
      <c r="D142" s="36" t="s">
        <v>21</v>
      </c>
      <c r="F142" s="50">
        <f ca="1">Function!V142</f>
        <v>8901.2312001131213</v>
      </c>
      <c r="H142" s="79">
        <v>743.14971575767004</v>
      </c>
      <c r="J142" s="31" t="s">
        <v>241</v>
      </c>
      <c r="K142" s="73">
        <f>_xlfn.IFNA(MATCH(J142,'Dist Factors'!$B$15:$B$431,0),0)</f>
        <v>15</v>
      </c>
      <c r="L142" s="50">
        <f t="shared" ca="1" si="165"/>
        <v>8158.0814843554508</v>
      </c>
      <c r="N142" s="18" t="s">
        <v>79</v>
      </c>
      <c r="O142" s="73">
        <f>_xlfn.IFNA(MATCH(N142,'Dist Factors'!$B$15:$B$431,0),0)</f>
        <v>54</v>
      </c>
      <c r="P142" s="20">
        <f ca="1">OFFSET('Dist Factors'!$B$15,$O142-1,P$14)*$L142+OFFSET('Dist Factors'!$B$15,$K142-1,P$14)*$H142</f>
        <v>3698.6197028358279</v>
      </c>
      <c r="R142" s="20">
        <f ca="1">OFFSET('Dist Factors'!$B$15,$O142-1,R$14)*$L142+OFFSET('Dist Factors'!$B$15,$K142-1,R$14)*$H142</f>
        <v>707.41487148965211</v>
      </c>
      <c r="S142" s="20"/>
      <c r="T142" s="20">
        <f ca="1">OFFSET('Dist Factors'!$B$15,$O142-1,T$14)*$L142+OFFSET('Dist Factors'!$B$15,$K142-1,T$14)*$H142</f>
        <v>3752.0469100299711</v>
      </c>
      <c r="U142" s="20"/>
      <c r="V142" s="20">
        <f ca="1">OFFSET('Dist Factors'!$B$15,$O142-1,V$14)*$L142+OFFSET('Dist Factors'!$B$15,$K142-1,V$14)*$H142</f>
        <v>0</v>
      </c>
      <c r="W142" s="9"/>
      <c r="X142" s="20">
        <f ca="1">OFFSET('Dist Factors'!$B$15,$O142-1,X$14)*$L142+OFFSET('Dist Factors'!$B$15,$K142-1,X$14)*$H142</f>
        <v>0</v>
      </c>
      <c r="Y142" s="9"/>
      <c r="Z142" s="20">
        <f ca="1">OFFSET('Dist Factors'!$B$15,$O142-1,Z$14)*$L142+OFFSET('Dist Factors'!$B$15,$K142-1,Z$14)*$H142</f>
        <v>0</v>
      </c>
      <c r="AA142" s="20"/>
      <c r="AB142" s="20">
        <f ca="1">OFFSET('Dist Factors'!$B$15,$O142-1,AB$14)*$L142+OFFSET('Dist Factors'!$B$15,$K142-1,AB$14)*$H142</f>
        <v>0</v>
      </c>
      <c r="AC142" s="9"/>
      <c r="AD142" s="20">
        <f ca="1">OFFSET('Dist Factors'!$B$15,$O142-1,AD$14)*$L142+OFFSET('Dist Factors'!$B$15,$K142-1,AD$14)*$H142</f>
        <v>743.14971575767004</v>
      </c>
      <c r="AE142" s="9"/>
      <c r="AF142" s="20">
        <f ca="1">OFFSET('Dist Factors'!$B$15,$O142-1,AF$14)*$L142+OFFSET('Dist Factors'!$B$15,$K142-1,AF$14)*$H142</f>
        <v>0</v>
      </c>
      <c r="AG142" s="9"/>
      <c r="AH142" s="20">
        <f ca="1">OFFSET('Dist Factors'!$B$15,$O142-1,AH$14)*$L142+OFFSET('Dist Factors'!$B$15,$K142-1,AH$14)*$H142</f>
        <v>0</v>
      </c>
      <c r="AI142" s="9"/>
      <c r="AJ142" s="9">
        <f t="shared" ca="1" si="156"/>
        <v>8901.2312001131213</v>
      </c>
      <c r="AL142" s="25" t="str">
        <f t="shared" ca="1" si="158"/>
        <v/>
      </c>
      <c r="AM142" s="51"/>
      <c r="AO142" s="93">
        <f ca="1">Function!AL142</f>
        <v>4222.653922803057</v>
      </c>
      <c r="AP142" s="100">
        <f t="shared" ca="1" si="166"/>
        <v>0.47438987122920628</v>
      </c>
      <c r="AR142" s="50">
        <f t="shared" ca="1" si="144"/>
        <v>1754.5877245540935</v>
      </c>
      <c r="AT142" s="50">
        <f t="shared" ca="1" si="145"/>
        <v>335.5904497916016</v>
      </c>
      <c r="AV142" s="50">
        <f t="shared" ca="1" si="146"/>
        <v>1779.9330504950592</v>
      </c>
      <c r="AX142" s="50">
        <f t="shared" ca="1" si="147"/>
        <v>0</v>
      </c>
      <c r="AZ142" s="50">
        <f t="shared" ca="1" si="148"/>
        <v>0</v>
      </c>
      <c r="BB142" s="50">
        <f t="shared" ca="1" si="149"/>
        <v>0</v>
      </c>
      <c r="BD142" s="50">
        <f t="shared" ca="1" si="150"/>
        <v>0</v>
      </c>
      <c r="BF142" s="50">
        <f t="shared" ca="1" si="151"/>
        <v>352.54269796230233</v>
      </c>
      <c r="BH142" s="50">
        <f t="shared" ca="1" si="152"/>
        <v>0</v>
      </c>
      <c r="BJ142" s="50">
        <f t="shared" ca="1" si="153"/>
        <v>0</v>
      </c>
      <c r="BL142" s="50">
        <f t="shared" ca="1" si="155"/>
        <v>4222.653922803057</v>
      </c>
    </row>
    <row r="143" spans="2:64" x14ac:dyDescent="0.2">
      <c r="B143" s="18">
        <f t="shared" si="167"/>
        <v>88</v>
      </c>
      <c r="D143" s="36" t="s">
        <v>206</v>
      </c>
      <c r="F143" s="50">
        <f ca="1">Function!V143</f>
        <v>352.78073788360939</v>
      </c>
      <c r="H143" s="79"/>
      <c r="K143" s="73">
        <f>_xlfn.IFNA(MATCH(J143,'Dist Factors'!$B$15:$B$431,0),0)</f>
        <v>0</v>
      </c>
      <c r="L143" s="50">
        <f t="shared" ca="1" si="165"/>
        <v>352.78073788360939</v>
      </c>
      <c r="N143" s="2" t="s">
        <v>538</v>
      </c>
      <c r="O143" s="73">
        <f>_xlfn.IFNA(MATCH(N143,'Dist Factors'!$B$15:$B$431,0),0)</f>
        <v>57</v>
      </c>
      <c r="P143" s="20">
        <f ca="1">OFFSET('Dist Factors'!$B$15,$O143-1,P$14)*$L143+OFFSET('Dist Factors'!$B$15,$K143-1,P$14)*$H143</f>
        <v>55.705819557986246</v>
      </c>
      <c r="R143" s="20">
        <f ca="1">OFFSET('Dist Factors'!$B$15,$O143-1,R$14)*$L143+OFFSET('Dist Factors'!$B$15,$K143-1,R$14)*$H143</f>
        <v>10.654549088575967</v>
      </c>
      <c r="S143" s="20"/>
      <c r="T143" s="20">
        <f ca="1">OFFSET('Dist Factors'!$B$15,$O143-1,T$14)*$L143+OFFSET('Dist Factors'!$B$15,$K143-1,T$14)*$H143</f>
        <v>56.510499844840858</v>
      </c>
      <c r="U143" s="20"/>
      <c r="V143" s="20">
        <f ca="1">OFFSET('Dist Factors'!$B$15,$O143-1,V$14)*$L143+OFFSET('Dist Factors'!$B$15,$K143-1,V$14)*$H143</f>
        <v>0</v>
      </c>
      <c r="W143" s="9"/>
      <c r="X143" s="20">
        <f ca="1">OFFSET('Dist Factors'!$B$15,$O143-1,X$14)*$L143+OFFSET('Dist Factors'!$B$15,$K143-1,X$14)*$H143</f>
        <v>91.886014508142495</v>
      </c>
      <c r="Y143" s="9"/>
      <c r="Z143" s="20">
        <f ca="1">OFFSET('Dist Factors'!$B$15,$O143-1,Z$14)*$L143+OFFSET('Dist Factors'!$B$15,$K143-1,Z$14)*$H143</f>
        <v>138.02385488406384</v>
      </c>
      <c r="AA143" s="20"/>
      <c r="AB143" s="20">
        <f ca="1">OFFSET('Dist Factors'!$B$15,$O143-1,AB$14)*$L143+OFFSET('Dist Factors'!$B$15,$K143-1,AB$14)*$H143</f>
        <v>0</v>
      </c>
      <c r="AC143" s="9"/>
      <c r="AD143" s="20">
        <f ca="1">OFFSET('Dist Factors'!$B$15,$O143-1,AD$14)*$L143+OFFSET('Dist Factors'!$B$15,$K143-1,AD$14)*$H143</f>
        <v>0</v>
      </c>
      <c r="AE143" s="9"/>
      <c r="AF143" s="20">
        <f ca="1">OFFSET('Dist Factors'!$B$15,$O143-1,AF$14)*$L143+OFFSET('Dist Factors'!$B$15,$K143-1,AF$14)*$H143</f>
        <v>0</v>
      </c>
      <c r="AG143" s="9"/>
      <c r="AH143" s="20">
        <f ca="1">OFFSET('Dist Factors'!$B$15,$O143-1,AH$14)*$L143+OFFSET('Dist Factors'!$B$15,$K143-1,AH$14)*$H143</f>
        <v>0</v>
      </c>
      <c r="AI143" s="9"/>
      <c r="AJ143" s="9">
        <f t="shared" ca="1" si="156"/>
        <v>352.78073788360939</v>
      </c>
      <c r="AL143" s="25" t="str">
        <f t="shared" ca="1" si="158"/>
        <v/>
      </c>
      <c r="AM143" s="51"/>
      <c r="AO143" s="93">
        <f ca="1">Function!AL143</f>
        <v>165.61362128320948</v>
      </c>
      <c r="AP143" s="100">
        <f t="shared" ca="1" si="166"/>
        <v>0.46945199524427916</v>
      </c>
      <c r="AR143" s="50">
        <f t="shared" ca="1" si="144"/>
        <v>26.151208138214432</v>
      </c>
      <c r="AT143" s="50">
        <f t="shared" ca="1" si="145"/>
        <v>5.0017993280601036</v>
      </c>
      <c r="AV143" s="50">
        <f t="shared" ca="1" si="146"/>
        <v>26.528966904412069</v>
      </c>
      <c r="AX143" s="50">
        <f t="shared" ca="1" si="147"/>
        <v>0</v>
      </c>
      <c r="AZ143" s="50">
        <f t="shared" ca="1" si="148"/>
        <v>43.136072845892279</v>
      </c>
      <c r="BB143" s="50">
        <f t="shared" ca="1" si="149"/>
        <v>64.795574066630607</v>
      </c>
      <c r="BD143" s="50">
        <f t="shared" ca="1" si="150"/>
        <v>0</v>
      </c>
      <c r="BF143" s="50">
        <f t="shared" ca="1" si="151"/>
        <v>0</v>
      </c>
      <c r="BH143" s="50">
        <f t="shared" ca="1" si="152"/>
        <v>0</v>
      </c>
      <c r="BJ143" s="50">
        <f t="shared" ca="1" si="153"/>
        <v>0</v>
      </c>
      <c r="BL143" s="50">
        <f t="shared" ca="1" si="155"/>
        <v>165.61362128320951</v>
      </c>
    </row>
    <row r="144" spans="2:64" x14ac:dyDescent="0.2">
      <c r="D144" s="1" t="s">
        <v>207</v>
      </c>
      <c r="F144" s="50"/>
      <c r="K144" s="73"/>
      <c r="O144" s="73"/>
      <c r="P144" s="20"/>
      <c r="R144" s="20"/>
      <c r="S144" s="20"/>
      <c r="T144" s="20"/>
      <c r="U144" s="20"/>
      <c r="V144" s="20"/>
      <c r="W144" s="9"/>
      <c r="X144" s="20"/>
      <c r="Y144" s="9"/>
      <c r="Z144" s="20"/>
      <c r="AA144" s="20"/>
      <c r="AB144" s="20"/>
      <c r="AC144" s="9"/>
      <c r="AD144" s="20"/>
      <c r="AE144" s="9"/>
      <c r="AF144" s="20"/>
      <c r="AG144" s="9"/>
      <c r="AH144" s="20"/>
      <c r="AJ144" s="9"/>
      <c r="AL144" s="25" t="str">
        <f t="shared" si="158"/>
        <v/>
      </c>
      <c r="AM144" s="51"/>
      <c r="AR144" s="50">
        <f t="shared" si="144"/>
        <v>0</v>
      </c>
      <c r="AT144" s="50">
        <f t="shared" si="145"/>
        <v>0</v>
      </c>
      <c r="AV144" s="50">
        <f t="shared" si="146"/>
        <v>0</v>
      </c>
      <c r="AX144" s="50">
        <f t="shared" si="147"/>
        <v>0</v>
      </c>
      <c r="AZ144" s="50">
        <f t="shared" si="148"/>
        <v>0</v>
      </c>
      <c r="BB144" s="50">
        <f t="shared" si="149"/>
        <v>0</v>
      </c>
      <c r="BD144" s="50">
        <f t="shared" si="150"/>
        <v>0</v>
      </c>
      <c r="BF144" s="50">
        <f t="shared" si="151"/>
        <v>0</v>
      </c>
      <c r="BH144" s="50">
        <f t="shared" si="152"/>
        <v>0</v>
      </c>
      <c r="BJ144" s="50">
        <f t="shared" si="153"/>
        <v>0</v>
      </c>
      <c r="BL144" s="50">
        <f t="shared" si="155"/>
        <v>0</v>
      </c>
    </row>
    <row r="145" spans="2:64" x14ac:dyDescent="0.2">
      <c r="B145" s="18">
        <f>B143+1</f>
        <v>89</v>
      </c>
      <c r="D145" s="36" t="s">
        <v>208</v>
      </c>
      <c r="F145" s="50">
        <f ca="1">Function!V145</f>
        <v>169987.47758188492</v>
      </c>
      <c r="H145" s="79">
        <f>'Function Factors'!L22</f>
        <v>394.23107506524224</v>
      </c>
      <c r="J145" s="31" t="s">
        <v>182</v>
      </c>
      <c r="K145" s="73">
        <f>_xlfn.IFNA(MATCH(J145,'Dist Factors'!$B$15:$B$431,0),0)</f>
        <v>12</v>
      </c>
      <c r="L145" s="50">
        <f t="shared" ref="L145" ca="1" si="168">F145-H145</f>
        <v>169593.24650681968</v>
      </c>
      <c r="N145" s="18" t="s">
        <v>238</v>
      </c>
      <c r="O145" s="73">
        <f>_xlfn.IFNA(MATCH(N145,'Dist Factors'!$B$15:$B$431,0),0)</f>
        <v>39</v>
      </c>
      <c r="P145" s="20">
        <f ca="1">OFFSET('Dist Factors'!$B$15,$O145-1,P$14)*$L145+OFFSET('Dist Factors'!$B$15,$K145-1,P$14)*$H145</f>
        <v>27644.439097483159</v>
      </c>
      <c r="R145" s="20">
        <f ca="1">OFFSET('Dist Factors'!$B$15,$O145-1,R$14)*$L145+OFFSET('Dist Factors'!$B$15,$K145-1,R$14)*$H145</f>
        <v>5287.4014910360747</v>
      </c>
      <c r="S145" s="20"/>
      <c r="T145" s="20">
        <f ca="1">OFFSET('Dist Factors'!$B$15,$O145-1,T$14)*$L145+OFFSET('Dist Factors'!$B$15,$K145-1,T$14)*$H145</f>
        <v>28043.76784552792</v>
      </c>
      <c r="U145" s="20"/>
      <c r="V145" s="20">
        <f ca="1">OFFSET('Dist Factors'!$B$15,$O145-1,V$14)*$L145+OFFSET('Dist Factors'!$B$15,$K145-1,V$14)*$H145</f>
        <v>0</v>
      </c>
      <c r="W145" s="9"/>
      <c r="X145" s="20">
        <f ca="1">OFFSET('Dist Factors'!$B$15,$O145-1,X$14)*$L145+OFFSET('Dist Factors'!$B$15,$K145-1,X$14)*$H145</f>
        <v>37741.006640536689</v>
      </c>
      <c r="Y145" s="9"/>
      <c r="Z145" s="20">
        <f ca="1">OFFSET('Dist Factors'!$B$15,$O145-1,Z$14)*$L145+OFFSET('Dist Factors'!$B$15,$K145-1,Z$14)*$H145</f>
        <v>51517.656163927757</v>
      </c>
      <c r="AA145" s="20"/>
      <c r="AB145" s="20">
        <f ca="1">OFFSET('Dist Factors'!$B$15,$O145-1,AB$14)*$L145+OFFSET('Dist Factors'!$B$15,$K145-1,AB$14)*$H145</f>
        <v>15170.781156644638</v>
      </c>
      <c r="AC145" s="9"/>
      <c r="AD145" s="20">
        <f ca="1">OFFSET('Dist Factors'!$B$15,$O145-1,AD$14)*$L145+OFFSET('Dist Factors'!$B$15,$K145-1,AD$14)*$H145</f>
        <v>4188.1941116634362</v>
      </c>
      <c r="AE145" s="9"/>
      <c r="AF145" s="20">
        <f ca="1">OFFSET('Dist Factors'!$B$15,$O145-1,AF$14)*$L145+OFFSET('Dist Factors'!$B$15,$K145-1,AF$14)*$H145</f>
        <v>394.23107506524224</v>
      </c>
      <c r="AG145" s="9"/>
      <c r="AH145" s="20">
        <f ca="1">OFFSET('Dist Factors'!$B$15,$O145-1,AH$14)*$L145+OFFSET('Dist Factors'!$B$15,$K145-1,AH$14)*$H145</f>
        <v>0</v>
      </c>
      <c r="AI145" s="9"/>
      <c r="AJ145" s="9">
        <f t="shared" ca="1" si="156"/>
        <v>169987.47758188492</v>
      </c>
      <c r="AL145" s="25" t="str">
        <f t="shared" ca="1" si="158"/>
        <v/>
      </c>
      <c r="AM145" s="51"/>
      <c r="AO145" s="93">
        <f>Function!AL145</f>
        <v>71166.732872573702</v>
      </c>
      <c r="AP145" s="100">
        <f ca="1">IFERROR(AO145/L145,0)</f>
        <v>0.41963188003309998</v>
      </c>
      <c r="AR145" s="50">
        <f t="shared" ca="1" si="144"/>
        <v>11600.487950937391</v>
      </c>
      <c r="AT145" s="50">
        <f t="shared" ca="1" si="145"/>
        <v>2218.7622281732843</v>
      </c>
      <c r="AV145" s="50">
        <f t="shared" ca="1" si="146"/>
        <v>11768.059024230679</v>
      </c>
      <c r="AX145" s="50">
        <f t="shared" ca="1" si="147"/>
        <v>0</v>
      </c>
      <c r="AZ145" s="50">
        <f t="shared" ca="1" si="148"/>
        <v>15837.329570910122</v>
      </c>
      <c r="BB145" s="50">
        <f t="shared" ca="1" si="149"/>
        <v>21618.450910967826</v>
      </c>
      <c r="BD145" s="50">
        <f t="shared" ca="1" si="150"/>
        <v>6366.1434183335168</v>
      </c>
      <c r="BF145" s="50">
        <f t="shared" ca="1" si="151"/>
        <v>1757.4997690208868</v>
      </c>
      <c r="BH145" s="50">
        <f ca="1">$AP145*(AF145-H145)</f>
        <v>0</v>
      </c>
      <c r="BJ145" s="50">
        <f t="shared" ca="1" si="153"/>
        <v>0</v>
      </c>
      <c r="BL145" s="50">
        <f t="shared" ca="1" si="155"/>
        <v>71166.732872573702</v>
      </c>
    </row>
    <row r="146" spans="2:64" x14ac:dyDescent="0.2">
      <c r="D146" s="1" t="s">
        <v>209</v>
      </c>
      <c r="K146" s="74"/>
      <c r="AD146" s="9"/>
      <c r="AE146" s="9"/>
      <c r="AF146" s="9"/>
      <c r="AG146" s="9"/>
      <c r="AH146" s="9"/>
      <c r="AJ146" s="9">
        <f t="shared" si="156"/>
        <v>0</v>
      </c>
      <c r="AL146" s="25" t="str">
        <f t="shared" si="158"/>
        <v/>
      </c>
      <c r="AM146" s="51"/>
      <c r="AR146" s="50">
        <f t="shared" si="144"/>
        <v>0</v>
      </c>
      <c r="AT146" s="50">
        <f t="shared" si="145"/>
        <v>0</v>
      </c>
      <c r="AV146" s="50">
        <f t="shared" si="146"/>
        <v>0</v>
      </c>
      <c r="AX146" s="50">
        <f t="shared" si="147"/>
        <v>0</v>
      </c>
      <c r="AZ146" s="50">
        <f t="shared" si="148"/>
        <v>0</v>
      </c>
      <c r="BB146" s="50">
        <f t="shared" si="149"/>
        <v>0</v>
      </c>
      <c r="BD146" s="50">
        <f t="shared" si="150"/>
        <v>0</v>
      </c>
      <c r="BF146" s="50">
        <f t="shared" si="151"/>
        <v>0</v>
      </c>
      <c r="BH146" s="50">
        <f t="shared" si="152"/>
        <v>0</v>
      </c>
      <c r="BJ146" s="50">
        <f t="shared" si="153"/>
        <v>0</v>
      </c>
      <c r="BL146" s="50">
        <f t="shared" si="155"/>
        <v>0</v>
      </c>
    </row>
    <row r="147" spans="2:64" x14ac:dyDescent="0.2">
      <c r="B147" s="18">
        <f>B145+1</f>
        <v>90</v>
      </c>
      <c r="D147" s="36" t="s">
        <v>177</v>
      </c>
      <c r="F147" s="50">
        <f ca="1">Function!V147</f>
        <v>10182.521136802581</v>
      </c>
      <c r="H147" s="79"/>
      <c r="K147" s="73">
        <f>_xlfn.IFNA(MATCH(J147,'Dist Factors'!$B$15:$B$431,0),0)</f>
        <v>0</v>
      </c>
      <c r="L147" s="50">
        <f t="shared" ref="L147:L149" ca="1" si="169">F147-H147</f>
        <v>10182.521136802581</v>
      </c>
      <c r="N147" s="18" t="s">
        <v>182</v>
      </c>
      <c r="O147" s="73">
        <f>_xlfn.IFNA(MATCH(N147,'Dist Factors'!$B$15:$B$431,0),0)</f>
        <v>12</v>
      </c>
      <c r="P147" s="20">
        <f ca="1">OFFSET('Dist Factors'!$B$15,$O147-1,P$14)*$L147+OFFSET('Dist Factors'!$B$15,$K147-1,P$14)*$H147</f>
        <v>0</v>
      </c>
      <c r="R147" s="20">
        <f ca="1">OFFSET('Dist Factors'!$B$15,$O147-1,R$14)*$L147+OFFSET('Dist Factors'!$B$15,$K147-1,R$14)*$H147</f>
        <v>0</v>
      </c>
      <c r="S147" s="20"/>
      <c r="T147" s="20">
        <f ca="1">OFFSET('Dist Factors'!$B$15,$O147-1,T$14)*$L147+OFFSET('Dist Factors'!$B$15,$K147-1,T$14)*$H147</f>
        <v>0</v>
      </c>
      <c r="U147" s="20"/>
      <c r="V147" s="20">
        <f ca="1">OFFSET('Dist Factors'!$B$15,$O147-1,V$14)*$L147+OFFSET('Dist Factors'!$B$15,$K147-1,V$14)*$H147</f>
        <v>0</v>
      </c>
      <c r="W147" s="9"/>
      <c r="X147" s="20">
        <f ca="1">OFFSET('Dist Factors'!$B$15,$O147-1,X$14)*$L147+OFFSET('Dist Factors'!$B$15,$K147-1,X$14)*$H147</f>
        <v>0</v>
      </c>
      <c r="Y147" s="9"/>
      <c r="Z147" s="20">
        <f ca="1">OFFSET('Dist Factors'!$B$15,$O147-1,Z$14)*$L147+OFFSET('Dist Factors'!$B$15,$K147-1,Z$14)*$H147</f>
        <v>0</v>
      </c>
      <c r="AA147" s="20"/>
      <c r="AB147" s="20">
        <f ca="1">OFFSET('Dist Factors'!$B$15,$O147-1,AB$14)*$L147+OFFSET('Dist Factors'!$B$15,$K147-1,AB$14)*$H147</f>
        <v>0</v>
      </c>
      <c r="AC147" s="9"/>
      <c r="AD147" s="20">
        <f ca="1">OFFSET('Dist Factors'!$B$15,$O147-1,AD$14)*$L147+OFFSET('Dist Factors'!$B$15,$K147-1,AD$14)*$H147</f>
        <v>0</v>
      </c>
      <c r="AE147" s="9"/>
      <c r="AF147" s="20">
        <f ca="1">OFFSET('Dist Factors'!$B$15,$O147-1,AF$14)*$L147+OFFSET('Dist Factors'!$B$15,$K147-1,AF$14)*$H147</f>
        <v>10182.521136802581</v>
      </c>
      <c r="AG147" s="9"/>
      <c r="AH147" s="20">
        <f ca="1">OFFSET('Dist Factors'!$B$15,$O147-1,AH$14)*$L147+OFFSET('Dist Factors'!$B$15,$K147-1,AH$14)*$H147</f>
        <v>0</v>
      </c>
      <c r="AI147" s="9"/>
      <c r="AJ147" s="9">
        <f t="shared" ca="1" si="156"/>
        <v>10182.521136802581</v>
      </c>
      <c r="AL147" s="25" t="str">
        <f t="shared" ca="1" si="158"/>
        <v/>
      </c>
      <c r="AM147" s="51"/>
      <c r="AO147" s="93">
        <f ca="1">Function!AL147</f>
        <v>6545.1150972226396</v>
      </c>
      <c r="AP147" s="100">
        <f ca="1">IFERROR(AO147/F147,0)</f>
        <v>0.64277942655740705</v>
      </c>
      <c r="AR147" s="50">
        <f t="shared" ca="1" si="144"/>
        <v>0</v>
      </c>
      <c r="AT147" s="50">
        <f t="shared" ca="1" si="145"/>
        <v>0</v>
      </c>
      <c r="AV147" s="50">
        <f t="shared" ca="1" si="146"/>
        <v>0</v>
      </c>
      <c r="AX147" s="50">
        <f t="shared" ca="1" si="147"/>
        <v>0</v>
      </c>
      <c r="AZ147" s="50">
        <f t="shared" ca="1" si="148"/>
        <v>0</v>
      </c>
      <c r="BB147" s="50">
        <f t="shared" ca="1" si="149"/>
        <v>0</v>
      </c>
      <c r="BD147" s="50">
        <f t="shared" ca="1" si="150"/>
        <v>0</v>
      </c>
      <c r="BF147" s="50">
        <f t="shared" ca="1" si="151"/>
        <v>0</v>
      </c>
      <c r="BH147" s="50">
        <f t="shared" ca="1" si="152"/>
        <v>6545.1150972226396</v>
      </c>
      <c r="BJ147" s="50">
        <f t="shared" ca="1" si="153"/>
        <v>0</v>
      </c>
      <c r="BL147" s="50">
        <f t="shared" ca="1" si="155"/>
        <v>6545.1150972226396</v>
      </c>
    </row>
    <row r="148" spans="2:64" x14ac:dyDescent="0.2">
      <c r="B148" s="18">
        <f>B147+1</f>
        <v>91</v>
      </c>
      <c r="D148" s="36" t="s">
        <v>122</v>
      </c>
      <c r="F148" s="50">
        <f ca="1">Function!V148</f>
        <v>150927.52203758305</v>
      </c>
      <c r="H148" s="79"/>
      <c r="K148" s="73">
        <f>_xlfn.IFNA(MATCH(J148,'Dist Factors'!$B$15:$B$431,0),0)</f>
        <v>0</v>
      </c>
      <c r="L148" s="50">
        <f t="shared" ca="1" si="169"/>
        <v>150927.52203758305</v>
      </c>
      <c r="N148" s="18" t="s">
        <v>219</v>
      </c>
      <c r="O148" s="73">
        <f>_xlfn.IFNA(MATCH(N148,'Dist Factors'!$B$15:$B$431,0),0)</f>
        <v>18</v>
      </c>
      <c r="P148" s="20">
        <f ca="1">OFFSET('Dist Factors'!$B$15,$O148-1,P$14)*$L148+OFFSET('Dist Factors'!$B$15,$K148-1,P$14)*$H148</f>
        <v>0</v>
      </c>
      <c r="R148" s="20">
        <f ca="1">OFFSET('Dist Factors'!$B$15,$O148-1,R$14)*$L148+OFFSET('Dist Factors'!$B$15,$K148-1,R$14)*$H148</f>
        <v>0</v>
      </c>
      <c r="S148" s="20"/>
      <c r="T148" s="20">
        <f ca="1">OFFSET('Dist Factors'!$B$15,$O148-1,T$14)*$L148+OFFSET('Dist Factors'!$B$15,$K148-1,T$14)*$H148</f>
        <v>0</v>
      </c>
      <c r="U148" s="20"/>
      <c r="V148" s="20">
        <f ca="1">OFFSET('Dist Factors'!$B$15,$O148-1,V$14)*$L148+OFFSET('Dist Factors'!$B$15,$K148-1,V$14)*$H148</f>
        <v>150927.52203758305</v>
      </c>
      <c r="W148" s="9"/>
      <c r="X148" s="20">
        <f ca="1">OFFSET('Dist Factors'!$B$15,$O148-1,X$14)*$L148+OFFSET('Dist Factors'!$B$15,$K148-1,X$14)*$H148</f>
        <v>0</v>
      </c>
      <c r="Y148" s="9"/>
      <c r="Z148" s="20">
        <f ca="1">OFFSET('Dist Factors'!$B$15,$O148-1,Z$14)*$L148+OFFSET('Dist Factors'!$B$15,$K148-1,Z$14)*$H148</f>
        <v>0</v>
      </c>
      <c r="AA148" s="20"/>
      <c r="AB148" s="20">
        <f ca="1">OFFSET('Dist Factors'!$B$15,$O148-1,AB$14)*$L148+OFFSET('Dist Factors'!$B$15,$K148-1,AB$14)*$H148</f>
        <v>0</v>
      </c>
      <c r="AC148" s="9"/>
      <c r="AD148" s="20">
        <f ca="1">OFFSET('Dist Factors'!$B$15,$O148-1,AD$14)*$L148+OFFSET('Dist Factors'!$B$15,$K148-1,AD$14)*$H148</f>
        <v>0</v>
      </c>
      <c r="AE148" s="9"/>
      <c r="AF148" s="20">
        <f ca="1">OFFSET('Dist Factors'!$B$15,$O148-1,AF$14)*$L148+OFFSET('Dist Factors'!$B$15,$K148-1,AF$14)*$H148</f>
        <v>0</v>
      </c>
      <c r="AG148" s="9"/>
      <c r="AH148" s="20">
        <f ca="1">OFFSET('Dist Factors'!$B$15,$O148-1,AH$14)*$L148+OFFSET('Dist Factors'!$B$15,$K148-1,AH$14)*$H148</f>
        <v>0</v>
      </c>
      <c r="AI148" s="9"/>
      <c r="AJ148" s="9">
        <f t="shared" ca="1" si="156"/>
        <v>150927.52203758305</v>
      </c>
      <c r="AL148" s="25" t="str">
        <f t="shared" ca="1" si="158"/>
        <v/>
      </c>
      <c r="AM148" s="51"/>
      <c r="AO148" s="93">
        <f ca="1">Function!AL148</f>
        <v>0</v>
      </c>
      <c r="AP148" s="100">
        <f ca="1">IFERROR(AO148/F148,0)</f>
        <v>0</v>
      </c>
      <c r="AR148" s="50">
        <f t="shared" ca="1" si="144"/>
        <v>0</v>
      </c>
      <c r="AT148" s="50">
        <f t="shared" ca="1" si="145"/>
        <v>0</v>
      </c>
      <c r="AV148" s="50">
        <f t="shared" ca="1" si="146"/>
        <v>0</v>
      </c>
      <c r="AX148" s="50">
        <f t="shared" ca="1" si="147"/>
        <v>0</v>
      </c>
      <c r="AZ148" s="50">
        <f t="shared" ca="1" si="148"/>
        <v>0</v>
      </c>
      <c r="BB148" s="50">
        <f t="shared" ca="1" si="149"/>
        <v>0</v>
      </c>
      <c r="BD148" s="50">
        <f t="shared" ca="1" si="150"/>
        <v>0</v>
      </c>
      <c r="BF148" s="50">
        <f t="shared" ca="1" si="151"/>
        <v>0</v>
      </c>
      <c r="BH148" s="50">
        <f t="shared" ca="1" si="152"/>
        <v>0</v>
      </c>
      <c r="BJ148" s="50">
        <f t="shared" ca="1" si="153"/>
        <v>0</v>
      </c>
      <c r="BL148" s="50">
        <f t="shared" ca="1" si="155"/>
        <v>0</v>
      </c>
    </row>
    <row r="149" spans="2:64" x14ac:dyDescent="0.2">
      <c r="B149" s="18">
        <f t="shared" ref="B149" si="170">B148+1</f>
        <v>92</v>
      </c>
      <c r="D149" s="36" t="s">
        <v>210</v>
      </c>
      <c r="F149" s="50">
        <f ca="1">Function!V149</f>
        <v>32154.405162180323</v>
      </c>
      <c r="H149" s="79"/>
      <c r="K149" s="73">
        <f>_xlfn.IFNA(MATCH(J149,'Dist Factors'!$B$15:$B$431,0),0)</f>
        <v>0</v>
      </c>
      <c r="L149" s="50">
        <f t="shared" ca="1" si="169"/>
        <v>32154.405162180323</v>
      </c>
      <c r="N149" s="18" t="s">
        <v>219</v>
      </c>
      <c r="O149" s="73">
        <f>_xlfn.IFNA(MATCH(N149,'Dist Factors'!$B$15:$B$431,0),0)</f>
        <v>18</v>
      </c>
      <c r="P149" s="20">
        <f ca="1">OFFSET('Dist Factors'!$B$15,$O149-1,P$14)*$L149+OFFSET('Dist Factors'!$B$15,$K149-1,P$14)*$H149</f>
        <v>0</v>
      </c>
      <c r="R149" s="20">
        <f ca="1">OFFSET('Dist Factors'!$B$15,$O149-1,R$14)*$L149+OFFSET('Dist Factors'!$B$15,$K149-1,R$14)*$H149</f>
        <v>0</v>
      </c>
      <c r="S149" s="20"/>
      <c r="T149" s="20">
        <f ca="1">OFFSET('Dist Factors'!$B$15,$O149-1,T$14)*$L149+OFFSET('Dist Factors'!$B$15,$K149-1,T$14)*$H149</f>
        <v>0</v>
      </c>
      <c r="U149" s="20"/>
      <c r="V149" s="20">
        <f ca="1">OFFSET('Dist Factors'!$B$15,$O149-1,V$14)*$L149+OFFSET('Dist Factors'!$B$15,$K149-1,V$14)*$H149</f>
        <v>32154.405162180323</v>
      </c>
      <c r="W149" s="9"/>
      <c r="X149" s="20">
        <f ca="1">OFFSET('Dist Factors'!$B$15,$O149-1,X$14)*$L149+OFFSET('Dist Factors'!$B$15,$K149-1,X$14)*$H149</f>
        <v>0</v>
      </c>
      <c r="Y149" s="9"/>
      <c r="Z149" s="20">
        <f ca="1">OFFSET('Dist Factors'!$B$15,$O149-1,Z$14)*$L149+OFFSET('Dist Factors'!$B$15,$K149-1,Z$14)*$H149</f>
        <v>0</v>
      </c>
      <c r="AA149" s="20"/>
      <c r="AB149" s="20">
        <f ca="1">OFFSET('Dist Factors'!$B$15,$O149-1,AB$14)*$L149+OFFSET('Dist Factors'!$B$15,$K149-1,AB$14)*$H149</f>
        <v>0</v>
      </c>
      <c r="AC149" s="9"/>
      <c r="AD149" s="20">
        <f ca="1">OFFSET('Dist Factors'!$B$15,$O149-1,AD$14)*$L149+OFFSET('Dist Factors'!$B$15,$K149-1,AD$14)*$H149</f>
        <v>0</v>
      </c>
      <c r="AE149" s="9"/>
      <c r="AF149" s="20">
        <f ca="1">OFFSET('Dist Factors'!$B$15,$O149-1,AF$14)*$L149+OFFSET('Dist Factors'!$B$15,$K149-1,AF$14)*$H149</f>
        <v>0</v>
      </c>
      <c r="AG149" s="9"/>
      <c r="AH149" s="20">
        <f ca="1">OFFSET('Dist Factors'!$B$15,$O149-1,AH$14)*$L149+OFFSET('Dist Factors'!$B$15,$K149-1,AH$14)*$H149</f>
        <v>0</v>
      </c>
      <c r="AI149" s="9"/>
      <c r="AJ149" s="9">
        <f t="shared" ca="1" si="156"/>
        <v>32154.405162180323</v>
      </c>
      <c r="AL149" s="25" t="str">
        <f t="shared" ca="1" si="158"/>
        <v/>
      </c>
      <c r="AM149" s="51"/>
      <c r="AO149" s="93">
        <f ca="1">Function!AL149</f>
        <v>18121.6757442331</v>
      </c>
      <c r="AP149" s="100">
        <f ca="1">IFERROR(AO149/F149,0)</f>
        <v>0.56358298817319208</v>
      </c>
      <c r="AR149" s="50">
        <f t="shared" ca="1" si="144"/>
        <v>0</v>
      </c>
      <c r="AT149" s="50">
        <f t="shared" ca="1" si="145"/>
        <v>0</v>
      </c>
      <c r="AV149" s="50">
        <f t="shared" ca="1" si="146"/>
        <v>0</v>
      </c>
      <c r="AX149" s="50">
        <f t="shared" ca="1" si="147"/>
        <v>18121.6757442331</v>
      </c>
      <c r="AZ149" s="50">
        <f t="shared" ca="1" si="148"/>
        <v>0</v>
      </c>
      <c r="BB149" s="50">
        <f t="shared" ca="1" si="149"/>
        <v>0</v>
      </c>
      <c r="BD149" s="50">
        <f t="shared" ca="1" si="150"/>
        <v>0</v>
      </c>
      <c r="BF149" s="50">
        <f t="shared" ca="1" si="151"/>
        <v>0</v>
      </c>
      <c r="BH149" s="50">
        <f t="shared" ca="1" si="152"/>
        <v>0</v>
      </c>
      <c r="BJ149" s="50">
        <f t="shared" ca="1" si="153"/>
        <v>0</v>
      </c>
      <c r="BL149" s="50">
        <f t="shared" ca="1" si="155"/>
        <v>18121.6757442331</v>
      </c>
    </row>
    <row r="150" spans="2:64" x14ac:dyDescent="0.2">
      <c r="D150" s="1" t="s">
        <v>72</v>
      </c>
      <c r="K150" s="74"/>
      <c r="AD150" s="9"/>
      <c r="AE150" s="9"/>
      <c r="AF150" s="9"/>
      <c r="AG150" s="9"/>
      <c r="AH150" s="9"/>
      <c r="AJ150" s="9">
        <f t="shared" si="156"/>
        <v>0</v>
      </c>
      <c r="AL150" s="25" t="str">
        <f t="shared" si="158"/>
        <v/>
      </c>
      <c r="AM150" s="51"/>
      <c r="AR150" s="50">
        <f t="shared" si="144"/>
        <v>0</v>
      </c>
      <c r="AT150" s="50">
        <f t="shared" si="145"/>
        <v>0</v>
      </c>
      <c r="AV150" s="50">
        <f t="shared" si="146"/>
        <v>0</v>
      </c>
      <c r="AX150" s="50">
        <f t="shared" si="147"/>
        <v>0</v>
      </c>
      <c r="AZ150" s="50">
        <f t="shared" si="148"/>
        <v>0</v>
      </c>
      <c r="BB150" s="50">
        <f t="shared" si="149"/>
        <v>0</v>
      </c>
      <c r="BD150" s="50">
        <f t="shared" si="150"/>
        <v>0</v>
      </c>
      <c r="BF150" s="50">
        <f t="shared" si="151"/>
        <v>0</v>
      </c>
      <c r="BH150" s="50">
        <f t="shared" si="152"/>
        <v>0</v>
      </c>
      <c r="BJ150" s="50">
        <f t="shared" si="153"/>
        <v>0</v>
      </c>
      <c r="BL150" s="50">
        <f t="shared" si="155"/>
        <v>0</v>
      </c>
    </row>
    <row r="151" spans="2:64" x14ac:dyDescent="0.2">
      <c r="B151" s="18">
        <f>B149+1</f>
        <v>93</v>
      </c>
      <c r="D151" s="36" t="s">
        <v>171</v>
      </c>
      <c r="F151" s="50">
        <f ca="1">Function!V151</f>
        <v>2999.0388448958947</v>
      </c>
      <c r="H151" s="79">
        <f>'Function Factors'!L16</f>
        <v>412.91835995474958</v>
      </c>
      <c r="J151" s="31" t="s">
        <v>182</v>
      </c>
      <c r="K151" s="73">
        <f>_xlfn.IFNA(MATCH(J151,'Dist Factors'!$B$15:$B$431,0),0)</f>
        <v>12</v>
      </c>
      <c r="L151" s="50">
        <f t="shared" ref="L151:L157" ca="1" si="171">F151-H151</f>
        <v>2586.1204849411452</v>
      </c>
      <c r="N151" s="18" t="s">
        <v>182</v>
      </c>
      <c r="O151" s="73">
        <f>_xlfn.IFNA(MATCH(N151,'Dist Factors'!$B$15:$B$431,0),0)</f>
        <v>12</v>
      </c>
      <c r="P151" s="20">
        <f ca="1">OFFSET('Dist Factors'!$B$15,$O151-1,P$14)*$L151+OFFSET('Dist Factors'!$B$15,$K151-1,P$14)*$H151</f>
        <v>0</v>
      </c>
      <c r="R151" s="20">
        <f ca="1">OFFSET('Dist Factors'!$B$15,$O151-1,R$14)*$L151+OFFSET('Dist Factors'!$B$15,$K151-1,R$14)*$H151</f>
        <v>0</v>
      </c>
      <c r="S151" s="20"/>
      <c r="T151" s="20">
        <f ca="1">OFFSET('Dist Factors'!$B$15,$O151-1,T$14)*$L151+OFFSET('Dist Factors'!$B$15,$K151-1,T$14)*$H151</f>
        <v>0</v>
      </c>
      <c r="U151" s="20"/>
      <c r="V151" s="20">
        <f ca="1">OFFSET('Dist Factors'!$B$15,$O151-1,V$14)*$L151+OFFSET('Dist Factors'!$B$15,$K151-1,V$14)*$H151</f>
        <v>0</v>
      </c>
      <c r="W151" s="9"/>
      <c r="X151" s="20">
        <f ca="1">OFFSET('Dist Factors'!$B$15,$O151-1,X$14)*$L151+OFFSET('Dist Factors'!$B$15,$K151-1,X$14)*$H151</f>
        <v>0</v>
      </c>
      <c r="Y151" s="9"/>
      <c r="Z151" s="20">
        <f ca="1">OFFSET('Dist Factors'!$B$15,$O151-1,Z$14)*$L151+OFFSET('Dist Factors'!$B$15,$K151-1,Z$14)*$H151</f>
        <v>0</v>
      </c>
      <c r="AA151" s="20"/>
      <c r="AB151" s="20">
        <f ca="1">OFFSET('Dist Factors'!$B$15,$O151-1,AB$14)*$L151+OFFSET('Dist Factors'!$B$15,$K151-1,AB$14)*$H151</f>
        <v>0</v>
      </c>
      <c r="AC151" s="9"/>
      <c r="AD151" s="20">
        <f ca="1">OFFSET('Dist Factors'!$B$15,$O151-1,AD$14)*$L151+OFFSET('Dist Factors'!$B$15,$K151-1,AD$14)*$H151</f>
        <v>0</v>
      </c>
      <c r="AE151" s="9"/>
      <c r="AF151" s="20">
        <f ca="1">OFFSET('Dist Factors'!$B$15,$O151-1,AF$14)*$L151+OFFSET('Dist Factors'!$B$15,$K151-1,AF$14)*$H151</f>
        <v>2999.0388448958947</v>
      </c>
      <c r="AG151" s="9"/>
      <c r="AH151" s="20">
        <f ca="1">OFFSET('Dist Factors'!$B$15,$O151-1,AH$14)*$L151+OFFSET('Dist Factors'!$B$15,$K151-1,AH$14)*$H151</f>
        <v>0</v>
      </c>
      <c r="AI151" s="9"/>
      <c r="AJ151" s="9">
        <f t="shared" ca="1" si="156"/>
        <v>2999.0388448958947</v>
      </c>
      <c r="AL151" s="25" t="str">
        <f t="shared" ca="1" si="158"/>
        <v/>
      </c>
      <c r="AM151" s="51"/>
      <c r="AO151" s="93">
        <f>Function!AL151</f>
        <v>4273.2481020128562</v>
      </c>
      <c r="AP151" s="100">
        <f ca="1">IFERROR(AO151/L151,0)</f>
        <v>1.6523778095010553</v>
      </c>
      <c r="AR151" s="50">
        <f t="shared" ca="1" si="144"/>
        <v>0</v>
      </c>
      <c r="AT151" s="50">
        <f t="shared" ca="1" si="145"/>
        <v>0</v>
      </c>
      <c r="AV151" s="50">
        <f t="shared" ca="1" si="146"/>
        <v>0</v>
      </c>
      <c r="AX151" s="50">
        <f t="shared" ca="1" si="147"/>
        <v>0</v>
      </c>
      <c r="AZ151" s="50">
        <f t="shared" ca="1" si="148"/>
        <v>0</v>
      </c>
      <c r="BB151" s="50">
        <f t="shared" ca="1" si="149"/>
        <v>0</v>
      </c>
      <c r="BD151" s="50">
        <f t="shared" ca="1" si="150"/>
        <v>0</v>
      </c>
      <c r="BF151" s="50">
        <f t="shared" ca="1" si="151"/>
        <v>0</v>
      </c>
      <c r="BH151" s="50">
        <f ca="1">$AP151*(AF151-H151)</f>
        <v>4273.2481020128562</v>
      </c>
      <c r="BJ151" s="50">
        <f t="shared" ca="1" si="153"/>
        <v>0</v>
      </c>
      <c r="BL151" s="50">
        <f t="shared" ca="1" si="155"/>
        <v>4273.2481020128562</v>
      </c>
    </row>
    <row r="152" spans="2:64" x14ac:dyDescent="0.2">
      <c r="B152" s="18">
        <f>B151+1</f>
        <v>94</v>
      </c>
      <c r="D152" s="36" t="s">
        <v>211</v>
      </c>
      <c r="F152" s="50">
        <f ca="1">Function!V152</f>
        <v>19535.319138357758</v>
      </c>
      <c r="H152" s="79"/>
      <c r="K152" s="73">
        <f>_xlfn.IFNA(MATCH(J152,'Dist Factors'!$B$15:$B$431,0),0)</f>
        <v>0</v>
      </c>
      <c r="L152" s="50">
        <f t="shared" ca="1" si="171"/>
        <v>19535.319138357758</v>
      </c>
      <c r="N152" s="18" t="s">
        <v>182</v>
      </c>
      <c r="O152" s="73">
        <f>_xlfn.IFNA(MATCH(N152,'Dist Factors'!$B$15:$B$431,0),0)</f>
        <v>12</v>
      </c>
      <c r="P152" s="20">
        <f ca="1">OFFSET('Dist Factors'!$B$15,$O152-1,P$14)*$L152+OFFSET('Dist Factors'!$B$15,$K152-1,P$14)*$H152</f>
        <v>0</v>
      </c>
      <c r="R152" s="20">
        <f ca="1">OFFSET('Dist Factors'!$B$15,$O152-1,R$14)*$L152+OFFSET('Dist Factors'!$B$15,$K152-1,R$14)*$H152</f>
        <v>0</v>
      </c>
      <c r="S152" s="20"/>
      <c r="T152" s="20">
        <f ca="1">OFFSET('Dist Factors'!$B$15,$O152-1,T$14)*$L152+OFFSET('Dist Factors'!$B$15,$K152-1,T$14)*$H152</f>
        <v>0</v>
      </c>
      <c r="U152" s="20"/>
      <c r="V152" s="20">
        <f ca="1">OFFSET('Dist Factors'!$B$15,$O152-1,V$14)*$L152+OFFSET('Dist Factors'!$B$15,$K152-1,V$14)*$H152</f>
        <v>0</v>
      </c>
      <c r="W152" s="9"/>
      <c r="X152" s="20">
        <f ca="1">OFFSET('Dist Factors'!$B$15,$O152-1,X$14)*$L152+OFFSET('Dist Factors'!$B$15,$K152-1,X$14)*$H152</f>
        <v>0</v>
      </c>
      <c r="Y152" s="9"/>
      <c r="Z152" s="20">
        <f ca="1">OFFSET('Dist Factors'!$B$15,$O152-1,Z$14)*$L152+OFFSET('Dist Factors'!$B$15,$K152-1,Z$14)*$H152</f>
        <v>0</v>
      </c>
      <c r="AA152" s="20"/>
      <c r="AB152" s="20">
        <f ca="1">OFFSET('Dist Factors'!$B$15,$O152-1,AB$14)*$L152+OFFSET('Dist Factors'!$B$15,$K152-1,AB$14)*$H152</f>
        <v>0</v>
      </c>
      <c r="AC152" s="9"/>
      <c r="AD152" s="20">
        <f ca="1">OFFSET('Dist Factors'!$B$15,$O152-1,AD$14)*$L152+OFFSET('Dist Factors'!$B$15,$K152-1,AD$14)*$H152</f>
        <v>0</v>
      </c>
      <c r="AE152" s="9"/>
      <c r="AF152" s="20">
        <f ca="1">OFFSET('Dist Factors'!$B$15,$O152-1,AF$14)*$L152+OFFSET('Dist Factors'!$B$15,$K152-1,AF$14)*$H152</f>
        <v>19535.319138357758</v>
      </c>
      <c r="AG152" s="9"/>
      <c r="AH152" s="20">
        <f ca="1">OFFSET('Dist Factors'!$B$15,$O152-1,AH$14)*$L152+OFFSET('Dist Factors'!$B$15,$K152-1,AH$14)*$H152</f>
        <v>0</v>
      </c>
      <c r="AI152" s="9"/>
      <c r="AJ152" s="9">
        <f t="shared" ca="1" si="156"/>
        <v>19535.319138357758</v>
      </c>
      <c r="AL152" s="25" t="str">
        <f t="shared" ca="1" si="158"/>
        <v/>
      </c>
      <c r="AM152" s="51"/>
      <c r="AO152" s="93">
        <f ca="1">Function!AL152</f>
        <v>8208.9423951896006</v>
      </c>
      <c r="AP152" s="100">
        <f t="shared" ref="AP152:AP157" ca="1" si="172">IFERROR(AO152/F152,0)</f>
        <v>0.42021030406773724</v>
      </c>
      <c r="AR152" s="50">
        <f t="shared" ca="1" si="144"/>
        <v>0</v>
      </c>
      <c r="AT152" s="50">
        <f t="shared" ca="1" si="145"/>
        <v>0</v>
      </c>
      <c r="AV152" s="50">
        <f t="shared" ca="1" si="146"/>
        <v>0</v>
      </c>
      <c r="AX152" s="50">
        <f t="shared" ca="1" si="147"/>
        <v>0</v>
      </c>
      <c r="AZ152" s="50">
        <f t="shared" ca="1" si="148"/>
        <v>0</v>
      </c>
      <c r="BB152" s="50">
        <f t="shared" ca="1" si="149"/>
        <v>0</v>
      </c>
      <c r="BD152" s="50">
        <f t="shared" ca="1" si="150"/>
        <v>0</v>
      </c>
      <c r="BF152" s="50">
        <f t="shared" ca="1" si="151"/>
        <v>0</v>
      </c>
      <c r="BH152" s="50">
        <f t="shared" ca="1" si="152"/>
        <v>8208.9423951896006</v>
      </c>
      <c r="BJ152" s="50">
        <f t="shared" ca="1" si="153"/>
        <v>0</v>
      </c>
      <c r="BL152" s="50">
        <f t="shared" ca="1" si="155"/>
        <v>8208.9423951896006</v>
      </c>
    </row>
    <row r="153" spans="2:64" x14ac:dyDescent="0.2">
      <c r="B153" s="18">
        <f>B152+1</f>
        <v>95</v>
      </c>
      <c r="D153" s="36" t="s">
        <v>172</v>
      </c>
      <c r="F153" s="50">
        <f ca="1">Function!V153</f>
        <v>23437.232127810334</v>
      </c>
      <c r="H153" s="79"/>
      <c r="K153" s="73">
        <f>_xlfn.IFNA(MATCH(J153,'Dist Factors'!$B$15:$B$431,0),0)</f>
        <v>0</v>
      </c>
      <c r="L153" s="50">
        <f t="shared" ca="1" si="171"/>
        <v>23437.232127810334</v>
      </c>
      <c r="N153" s="18" t="s">
        <v>182</v>
      </c>
      <c r="O153" s="73">
        <f>_xlfn.IFNA(MATCH(N153,'Dist Factors'!$B$15:$B$431,0),0)</f>
        <v>12</v>
      </c>
      <c r="P153" s="20">
        <f ca="1">OFFSET('Dist Factors'!$B$15,$O153-1,P$14)*$L153+OFFSET('Dist Factors'!$B$15,$K153-1,P$14)*$H153</f>
        <v>0</v>
      </c>
      <c r="R153" s="20">
        <f ca="1">OFFSET('Dist Factors'!$B$15,$O153-1,R$14)*$L153+OFFSET('Dist Factors'!$B$15,$K153-1,R$14)*$H153</f>
        <v>0</v>
      </c>
      <c r="S153" s="20"/>
      <c r="T153" s="20">
        <f ca="1">OFFSET('Dist Factors'!$B$15,$O153-1,T$14)*$L153+OFFSET('Dist Factors'!$B$15,$K153-1,T$14)*$H153</f>
        <v>0</v>
      </c>
      <c r="U153" s="20"/>
      <c r="V153" s="20">
        <f ca="1">OFFSET('Dist Factors'!$B$15,$O153-1,V$14)*$L153+OFFSET('Dist Factors'!$B$15,$K153-1,V$14)*$H153</f>
        <v>0</v>
      </c>
      <c r="W153" s="9"/>
      <c r="X153" s="20">
        <f ca="1">OFFSET('Dist Factors'!$B$15,$O153-1,X$14)*$L153+OFFSET('Dist Factors'!$B$15,$K153-1,X$14)*$H153</f>
        <v>0</v>
      </c>
      <c r="Y153" s="9"/>
      <c r="Z153" s="20">
        <f ca="1">OFFSET('Dist Factors'!$B$15,$O153-1,Z$14)*$L153+OFFSET('Dist Factors'!$B$15,$K153-1,Z$14)*$H153</f>
        <v>0</v>
      </c>
      <c r="AA153" s="20"/>
      <c r="AB153" s="20">
        <f ca="1">OFFSET('Dist Factors'!$B$15,$O153-1,AB$14)*$L153+OFFSET('Dist Factors'!$B$15,$K153-1,AB$14)*$H153</f>
        <v>0</v>
      </c>
      <c r="AC153" s="9"/>
      <c r="AD153" s="20">
        <f ca="1">OFFSET('Dist Factors'!$B$15,$O153-1,AD$14)*$L153+OFFSET('Dist Factors'!$B$15,$K153-1,AD$14)*$H153</f>
        <v>0</v>
      </c>
      <c r="AE153" s="9"/>
      <c r="AF153" s="20">
        <f ca="1">OFFSET('Dist Factors'!$B$15,$O153-1,AF$14)*$L153+OFFSET('Dist Factors'!$B$15,$K153-1,AF$14)*$H153</f>
        <v>23437.232127810334</v>
      </c>
      <c r="AG153" s="9"/>
      <c r="AH153" s="20">
        <f ca="1">OFFSET('Dist Factors'!$B$15,$O153-1,AH$14)*$L153+OFFSET('Dist Factors'!$B$15,$K153-1,AH$14)*$H153</f>
        <v>0</v>
      </c>
      <c r="AI153" s="9"/>
      <c r="AJ153" s="9">
        <f t="shared" ca="1" si="156"/>
        <v>23437.232127810334</v>
      </c>
      <c r="AL153" s="25" t="str">
        <f t="shared" ca="1" si="158"/>
        <v/>
      </c>
      <c r="AM153" s="51"/>
      <c r="AO153" s="93">
        <f ca="1">Function!AL153</f>
        <v>430.97034567832998</v>
      </c>
      <c r="AP153" s="100">
        <f t="shared" ca="1" si="172"/>
        <v>1.8388278245832015E-2</v>
      </c>
      <c r="AR153" s="50">
        <f t="shared" ca="1" si="144"/>
        <v>0</v>
      </c>
      <c r="AT153" s="50">
        <f t="shared" ca="1" si="145"/>
        <v>0</v>
      </c>
      <c r="AV153" s="50">
        <f t="shared" ca="1" si="146"/>
        <v>0</v>
      </c>
      <c r="AX153" s="50">
        <f t="shared" ca="1" si="147"/>
        <v>0</v>
      </c>
      <c r="AZ153" s="50">
        <f t="shared" ca="1" si="148"/>
        <v>0</v>
      </c>
      <c r="BB153" s="50">
        <f t="shared" ca="1" si="149"/>
        <v>0</v>
      </c>
      <c r="BD153" s="50">
        <f t="shared" ca="1" si="150"/>
        <v>0</v>
      </c>
      <c r="BF153" s="50">
        <f t="shared" ca="1" si="151"/>
        <v>0</v>
      </c>
      <c r="BH153" s="50">
        <f t="shared" ca="1" si="152"/>
        <v>430.97034567832998</v>
      </c>
      <c r="BJ153" s="50">
        <f t="shared" ca="1" si="153"/>
        <v>0</v>
      </c>
      <c r="BL153" s="50">
        <f t="shared" ca="1" si="155"/>
        <v>430.97034567832998</v>
      </c>
    </row>
    <row r="154" spans="2:64" x14ac:dyDescent="0.2">
      <c r="B154" s="18">
        <f t="shared" ref="B154:B157" si="173">B153+1</f>
        <v>96</v>
      </c>
      <c r="D154" s="36" t="s">
        <v>173</v>
      </c>
      <c r="F154" s="50">
        <f ca="1">Function!V154</f>
        <v>47499.389818864729</v>
      </c>
      <c r="H154" s="79"/>
      <c r="K154" s="73">
        <f>_xlfn.IFNA(MATCH(J154,'Dist Factors'!$B$15:$B$431,0),0)</f>
        <v>0</v>
      </c>
      <c r="L154" s="50">
        <f t="shared" ca="1" si="171"/>
        <v>47499.389818864729</v>
      </c>
      <c r="N154" s="18" t="s">
        <v>182</v>
      </c>
      <c r="O154" s="73">
        <f>_xlfn.IFNA(MATCH(N154,'Dist Factors'!$B$15:$B$431,0),0)</f>
        <v>12</v>
      </c>
      <c r="P154" s="20">
        <f ca="1">OFFSET('Dist Factors'!$B$15,$O154-1,P$14)*$L154+OFFSET('Dist Factors'!$B$15,$K154-1,P$14)*$H154</f>
        <v>0</v>
      </c>
      <c r="R154" s="20">
        <f ca="1">OFFSET('Dist Factors'!$B$15,$O154-1,R$14)*$L154+OFFSET('Dist Factors'!$B$15,$K154-1,R$14)*$H154</f>
        <v>0</v>
      </c>
      <c r="S154" s="20"/>
      <c r="T154" s="20">
        <f ca="1">OFFSET('Dist Factors'!$B$15,$O154-1,T$14)*$L154+OFFSET('Dist Factors'!$B$15,$K154-1,T$14)*$H154</f>
        <v>0</v>
      </c>
      <c r="U154" s="20"/>
      <c r="V154" s="20">
        <f ca="1">OFFSET('Dist Factors'!$B$15,$O154-1,V$14)*$L154+OFFSET('Dist Factors'!$B$15,$K154-1,V$14)*$H154</f>
        <v>0</v>
      </c>
      <c r="W154" s="9"/>
      <c r="X154" s="20">
        <f ca="1">OFFSET('Dist Factors'!$B$15,$O154-1,X$14)*$L154+OFFSET('Dist Factors'!$B$15,$K154-1,X$14)*$H154</f>
        <v>0</v>
      </c>
      <c r="Y154" s="9"/>
      <c r="Z154" s="20">
        <f ca="1">OFFSET('Dist Factors'!$B$15,$O154-1,Z$14)*$L154+OFFSET('Dist Factors'!$B$15,$K154-1,Z$14)*$H154</f>
        <v>0</v>
      </c>
      <c r="AA154" s="20"/>
      <c r="AB154" s="20">
        <f ca="1">OFFSET('Dist Factors'!$B$15,$O154-1,AB$14)*$L154+OFFSET('Dist Factors'!$B$15,$K154-1,AB$14)*$H154</f>
        <v>0</v>
      </c>
      <c r="AC154" s="9"/>
      <c r="AD154" s="20">
        <f ca="1">OFFSET('Dist Factors'!$B$15,$O154-1,AD$14)*$L154+OFFSET('Dist Factors'!$B$15,$K154-1,AD$14)*$H154</f>
        <v>0</v>
      </c>
      <c r="AE154" s="9"/>
      <c r="AF154" s="20">
        <f ca="1">OFFSET('Dist Factors'!$B$15,$O154-1,AF$14)*$L154+OFFSET('Dist Factors'!$B$15,$K154-1,AF$14)*$H154</f>
        <v>47499.389818864729</v>
      </c>
      <c r="AG154" s="9"/>
      <c r="AH154" s="20">
        <f ca="1">OFFSET('Dist Factors'!$B$15,$O154-1,AH$14)*$L154+OFFSET('Dist Factors'!$B$15,$K154-1,AH$14)*$H154</f>
        <v>0</v>
      </c>
      <c r="AI154" s="9"/>
      <c r="AJ154" s="9">
        <f t="shared" ca="1" si="156"/>
        <v>47499.389818864729</v>
      </c>
      <c r="AL154" s="25" t="str">
        <f t="shared" ca="1" si="158"/>
        <v/>
      </c>
      <c r="AM154" s="51"/>
      <c r="AO154" s="93">
        <f ca="1">Function!AL154</f>
        <v>4988.9291576484293</v>
      </c>
      <c r="AP154" s="100">
        <f t="shared" ca="1" si="172"/>
        <v>0.10503143675473152</v>
      </c>
      <c r="AR154" s="50">
        <f t="shared" ca="1" si="144"/>
        <v>0</v>
      </c>
      <c r="AT154" s="50">
        <f t="shared" ca="1" si="145"/>
        <v>0</v>
      </c>
      <c r="AV154" s="50">
        <f t="shared" ca="1" si="146"/>
        <v>0</v>
      </c>
      <c r="AX154" s="50">
        <f t="shared" ca="1" si="147"/>
        <v>0</v>
      </c>
      <c r="AZ154" s="50">
        <f t="shared" ca="1" si="148"/>
        <v>0</v>
      </c>
      <c r="BB154" s="50">
        <f t="shared" ca="1" si="149"/>
        <v>0</v>
      </c>
      <c r="BD154" s="50">
        <f t="shared" ca="1" si="150"/>
        <v>0</v>
      </c>
      <c r="BF154" s="50">
        <f t="shared" ca="1" si="151"/>
        <v>0</v>
      </c>
      <c r="BH154" s="50">
        <f t="shared" ca="1" si="152"/>
        <v>4988.9291576484293</v>
      </c>
      <c r="BJ154" s="50">
        <f t="shared" ca="1" si="153"/>
        <v>0</v>
      </c>
      <c r="BL154" s="50">
        <f t="shared" ca="1" si="155"/>
        <v>4988.9291576484293</v>
      </c>
    </row>
    <row r="155" spans="2:64" x14ac:dyDescent="0.2">
      <c r="B155" s="18">
        <f t="shared" si="173"/>
        <v>97</v>
      </c>
      <c r="D155" s="36" t="s">
        <v>174</v>
      </c>
      <c r="F155" s="50">
        <f ca="1">Function!V155</f>
        <v>6052.9452734375218</v>
      </c>
      <c r="H155" s="79"/>
      <c r="K155" s="73">
        <f>_xlfn.IFNA(MATCH(J155,'Dist Factors'!$B$15:$B$431,0),0)</f>
        <v>0</v>
      </c>
      <c r="L155" s="50">
        <f t="shared" ca="1" si="171"/>
        <v>6052.9452734375218</v>
      </c>
      <c r="N155" s="18" t="s">
        <v>182</v>
      </c>
      <c r="O155" s="73">
        <f>_xlfn.IFNA(MATCH(N155,'Dist Factors'!$B$15:$B$431,0),0)</f>
        <v>12</v>
      </c>
      <c r="P155" s="20">
        <f ca="1">OFFSET('Dist Factors'!$B$15,$O155-1,P$14)*$L155+OFFSET('Dist Factors'!$B$15,$K155-1,P$14)*$H155</f>
        <v>0</v>
      </c>
      <c r="R155" s="20">
        <f ca="1">OFFSET('Dist Factors'!$B$15,$O155-1,R$14)*$L155+OFFSET('Dist Factors'!$B$15,$K155-1,R$14)*$H155</f>
        <v>0</v>
      </c>
      <c r="S155" s="20"/>
      <c r="T155" s="20">
        <f ca="1">OFFSET('Dist Factors'!$B$15,$O155-1,T$14)*$L155+OFFSET('Dist Factors'!$B$15,$K155-1,T$14)*$H155</f>
        <v>0</v>
      </c>
      <c r="U155" s="20"/>
      <c r="V155" s="20">
        <f ca="1">OFFSET('Dist Factors'!$B$15,$O155-1,V$14)*$L155+OFFSET('Dist Factors'!$B$15,$K155-1,V$14)*$H155</f>
        <v>0</v>
      </c>
      <c r="W155" s="9"/>
      <c r="X155" s="20">
        <f ca="1">OFFSET('Dist Factors'!$B$15,$O155-1,X$14)*$L155+OFFSET('Dist Factors'!$B$15,$K155-1,X$14)*$H155</f>
        <v>0</v>
      </c>
      <c r="Y155" s="9"/>
      <c r="Z155" s="20">
        <f ca="1">OFFSET('Dist Factors'!$B$15,$O155-1,Z$14)*$L155+OFFSET('Dist Factors'!$B$15,$K155-1,Z$14)*$H155</f>
        <v>0</v>
      </c>
      <c r="AA155" s="20"/>
      <c r="AB155" s="20">
        <f ca="1">OFFSET('Dist Factors'!$B$15,$O155-1,AB$14)*$L155+OFFSET('Dist Factors'!$B$15,$K155-1,AB$14)*$H155</f>
        <v>0</v>
      </c>
      <c r="AC155" s="9"/>
      <c r="AD155" s="20">
        <f ca="1">OFFSET('Dist Factors'!$B$15,$O155-1,AD$14)*$L155+OFFSET('Dist Factors'!$B$15,$K155-1,AD$14)*$H155</f>
        <v>0</v>
      </c>
      <c r="AE155" s="9"/>
      <c r="AF155" s="20">
        <f ca="1">OFFSET('Dist Factors'!$B$15,$O155-1,AF$14)*$L155+OFFSET('Dist Factors'!$B$15,$K155-1,AF$14)*$H155</f>
        <v>6052.9452734375218</v>
      </c>
      <c r="AG155" s="9"/>
      <c r="AH155" s="20">
        <f ca="1">OFFSET('Dist Factors'!$B$15,$O155-1,AH$14)*$L155+OFFSET('Dist Factors'!$B$15,$K155-1,AH$14)*$H155</f>
        <v>0</v>
      </c>
      <c r="AI155" s="9"/>
      <c r="AJ155" s="9">
        <f t="shared" ca="1" si="156"/>
        <v>6052.9452734375218</v>
      </c>
      <c r="AL155" s="25" t="str">
        <f t="shared" ca="1" si="158"/>
        <v/>
      </c>
      <c r="AM155" s="51"/>
      <c r="AO155" s="93">
        <f ca="1">Function!AL155</f>
        <v>5323.0427163833365</v>
      </c>
      <c r="AP155" s="100">
        <f t="shared" ca="1" si="172"/>
        <v>0.87941365334042298</v>
      </c>
      <c r="AR155" s="50">
        <f t="shared" ca="1" si="144"/>
        <v>0</v>
      </c>
      <c r="AT155" s="50">
        <f t="shared" ca="1" si="145"/>
        <v>0</v>
      </c>
      <c r="AV155" s="50">
        <f t="shared" ca="1" si="146"/>
        <v>0</v>
      </c>
      <c r="AX155" s="50">
        <f t="shared" ca="1" si="147"/>
        <v>0</v>
      </c>
      <c r="AZ155" s="50">
        <f t="shared" ca="1" si="148"/>
        <v>0</v>
      </c>
      <c r="BB155" s="50">
        <f t="shared" ca="1" si="149"/>
        <v>0</v>
      </c>
      <c r="BD155" s="50">
        <f t="shared" ca="1" si="150"/>
        <v>0</v>
      </c>
      <c r="BF155" s="50">
        <f t="shared" ca="1" si="151"/>
        <v>0</v>
      </c>
      <c r="BH155" s="50">
        <f t="shared" ca="1" si="152"/>
        <v>5323.0427163833365</v>
      </c>
      <c r="BJ155" s="50">
        <f t="shared" ca="1" si="153"/>
        <v>0</v>
      </c>
      <c r="BL155" s="50">
        <f t="shared" ca="1" si="155"/>
        <v>5323.0427163833365</v>
      </c>
    </row>
    <row r="156" spans="2:64" x14ac:dyDescent="0.2">
      <c r="B156" s="18">
        <f t="shared" si="173"/>
        <v>98</v>
      </c>
      <c r="D156" s="36" t="s">
        <v>175</v>
      </c>
      <c r="F156" s="50">
        <f ca="1">Function!V156</f>
        <v>6258.7532042938401</v>
      </c>
      <c r="H156" s="79"/>
      <c r="K156" s="73">
        <f>_xlfn.IFNA(MATCH(J156,'Dist Factors'!$B$15:$B$431,0),0)</f>
        <v>0</v>
      </c>
      <c r="L156" s="50">
        <f t="shared" ca="1" si="171"/>
        <v>6258.7532042938401</v>
      </c>
      <c r="N156" s="18" t="s">
        <v>182</v>
      </c>
      <c r="O156" s="73">
        <f>_xlfn.IFNA(MATCH(N156,'Dist Factors'!$B$15:$B$431,0),0)</f>
        <v>12</v>
      </c>
      <c r="P156" s="20">
        <f ca="1">OFFSET('Dist Factors'!$B$15,$O156-1,P$14)*$L156+OFFSET('Dist Factors'!$B$15,$K156-1,P$14)*$H156</f>
        <v>0</v>
      </c>
      <c r="R156" s="20">
        <f ca="1">OFFSET('Dist Factors'!$B$15,$O156-1,R$14)*$L156+OFFSET('Dist Factors'!$B$15,$K156-1,R$14)*$H156</f>
        <v>0</v>
      </c>
      <c r="S156" s="20"/>
      <c r="T156" s="20">
        <f ca="1">OFFSET('Dist Factors'!$B$15,$O156-1,T$14)*$L156+OFFSET('Dist Factors'!$B$15,$K156-1,T$14)*$H156</f>
        <v>0</v>
      </c>
      <c r="U156" s="20"/>
      <c r="V156" s="20">
        <f ca="1">OFFSET('Dist Factors'!$B$15,$O156-1,V$14)*$L156+OFFSET('Dist Factors'!$B$15,$K156-1,V$14)*$H156</f>
        <v>0</v>
      </c>
      <c r="W156" s="9"/>
      <c r="X156" s="20">
        <f ca="1">OFFSET('Dist Factors'!$B$15,$O156-1,X$14)*$L156+OFFSET('Dist Factors'!$B$15,$K156-1,X$14)*$H156</f>
        <v>0</v>
      </c>
      <c r="Y156" s="9"/>
      <c r="Z156" s="20">
        <f ca="1">OFFSET('Dist Factors'!$B$15,$O156-1,Z$14)*$L156+OFFSET('Dist Factors'!$B$15,$K156-1,Z$14)*$H156</f>
        <v>0</v>
      </c>
      <c r="AA156" s="20"/>
      <c r="AB156" s="20">
        <f ca="1">OFFSET('Dist Factors'!$B$15,$O156-1,AB$14)*$L156+OFFSET('Dist Factors'!$B$15,$K156-1,AB$14)*$H156</f>
        <v>0</v>
      </c>
      <c r="AC156" s="9"/>
      <c r="AD156" s="20">
        <f ca="1">OFFSET('Dist Factors'!$B$15,$O156-1,AD$14)*$L156+OFFSET('Dist Factors'!$B$15,$K156-1,AD$14)*$H156</f>
        <v>0</v>
      </c>
      <c r="AE156" s="9"/>
      <c r="AF156" s="20">
        <f ca="1">OFFSET('Dist Factors'!$B$15,$O156-1,AF$14)*$L156+OFFSET('Dist Factors'!$B$15,$K156-1,AF$14)*$H156</f>
        <v>6258.7532042938401</v>
      </c>
      <c r="AG156" s="9"/>
      <c r="AH156" s="20">
        <f ca="1">OFFSET('Dist Factors'!$B$15,$O156-1,AH$14)*$L156+OFFSET('Dist Factors'!$B$15,$K156-1,AH$14)*$H156</f>
        <v>0</v>
      </c>
      <c r="AI156" s="9"/>
      <c r="AJ156" s="9">
        <f t="shared" ca="1" si="156"/>
        <v>6258.7532042938401</v>
      </c>
      <c r="AL156" s="25" t="str">
        <f t="shared" ca="1" si="158"/>
        <v/>
      </c>
      <c r="AM156" s="51"/>
      <c r="AO156" s="93">
        <f ca="1">Function!AL156</f>
        <v>1248.1922043138802</v>
      </c>
      <c r="AP156" s="100">
        <f t="shared" ca="1" si="172"/>
        <v>0.19943144641932095</v>
      </c>
      <c r="AR156" s="50">
        <f t="shared" ca="1" si="144"/>
        <v>0</v>
      </c>
      <c r="AT156" s="50">
        <f t="shared" ca="1" si="145"/>
        <v>0</v>
      </c>
      <c r="AV156" s="50">
        <f t="shared" ca="1" si="146"/>
        <v>0</v>
      </c>
      <c r="AX156" s="50">
        <f t="shared" ca="1" si="147"/>
        <v>0</v>
      </c>
      <c r="AZ156" s="50">
        <f t="shared" ca="1" si="148"/>
        <v>0</v>
      </c>
      <c r="BB156" s="50">
        <f t="shared" ca="1" si="149"/>
        <v>0</v>
      </c>
      <c r="BD156" s="50">
        <f t="shared" ca="1" si="150"/>
        <v>0</v>
      </c>
      <c r="BF156" s="50">
        <f t="shared" ca="1" si="151"/>
        <v>0</v>
      </c>
      <c r="BH156" s="50">
        <f t="shared" ca="1" si="152"/>
        <v>1248.1922043138802</v>
      </c>
      <c r="BJ156" s="50">
        <f t="shared" ca="1" si="153"/>
        <v>0</v>
      </c>
      <c r="BL156" s="50">
        <f t="shared" ca="1" si="155"/>
        <v>1248.1922043138802</v>
      </c>
    </row>
    <row r="157" spans="2:64" x14ac:dyDescent="0.2">
      <c r="B157" s="18">
        <f t="shared" si="173"/>
        <v>99</v>
      </c>
      <c r="D157" s="36" t="s">
        <v>176</v>
      </c>
      <c r="F157" s="50">
        <f ca="1">Function!V157</f>
        <v>11814.781536038916</v>
      </c>
      <c r="H157" s="79"/>
      <c r="K157" s="73">
        <f>_xlfn.IFNA(MATCH(J157,'Dist Factors'!$B$15:$B$431,0),0)</f>
        <v>0</v>
      </c>
      <c r="L157" s="50">
        <f t="shared" ca="1" si="171"/>
        <v>11814.781536038916</v>
      </c>
      <c r="N157" s="18" t="s">
        <v>182</v>
      </c>
      <c r="O157" s="73">
        <f>_xlfn.IFNA(MATCH(N157,'Dist Factors'!$B$15:$B$431,0),0)</f>
        <v>12</v>
      </c>
      <c r="P157" s="20">
        <f ca="1">OFFSET('Dist Factors'!$B$15,$O157-1,P$14)*$L157+OFFSET('Dist Factors'!$B$15,$K157-1,P$14)*$H157</f>
        <v>0</v>
      </c>
      <c r="R157" s="20">
        <f ca="1">OFFSET('Dist Factors'!$B$15,$O157-1,R$14)*$L157+OFFSET('Dist Factors'!$B$15,$K157-1,R$14)*$H157</f>
        <v>0</v>
      </c>
      <c r="S157" s="20"/>
      <c r="T157" s="20">
        <f ca="1">OFFSET('Dist Factors'!$B$15,$O157-1,T$14)*$L157+OFFSET('Dist Factors'!$B$15,$K157-1,T$14)*$H157</f>
        <v>0</v>
      </c>
      <c r="U157" s="20"/>
      <c r="V157" s="20">
        <f ca="1">OFFSET('Dist Factors'!$B$15,$O157-1,V$14)*$L157+OFFSET('Dist Factors'!$B$15,$K157-1,V$14)*$H157</f>
        <v>0</v>
      </c>
      <c r="W157" s="9"/>
      <c r="X157" s="20">
        <f ca="1">OFFSET('Dist Factors'!$B$15,$O157-1,X$14)*$L157+OFFSET('Dist Factors'!$B$15,$K157-1,X$14)*$H157</f>
        <v>0</v>
      </c>
      <c r="Y157" s="9"/>
      <c r="Z157" s="20">
        <f ca="1">OFFSET('Dist Factors'!$B$15,$O157-1,Z$14)*$L157+OFFSET('Dist Factors'!$B$15,$K157-1,Z$14)*$H157</f>
        <v>0</v>
      </c>
      <c r="AA157" s="20"/>
      <c r="AB157" s="20">
        <f ca="1">OFFSET('Dist Factors'!$B$15,$O157-1,AB$14)*$L157+OFFSET('Dist Factors'!$B$15,$K157-1,AB$14)*$H157</f>
        <v>0</v>
      </c>
      <c r="AC157" s="9"/>
      <c r="AD157" s="20">
        <f ca="1">OFFSET('Dist Factors'!$B$15,$O157-1,AD$14)*$L157+OFFSET('Dist Factors'!$B$15,$K157-1,AD$14)*$H157</f>
        <v>0</v>
      </c>
      <c r="AE157" s="9"/>
      <c r="AF157" s="20">
        <f ca="1">OFFSET('Dist Factors'!$B$15,$O157-1,AF$14)*$L157+OFFSET('Dist Factors'!$B$15,$K157-1,AF$14)*$H157</f>
        <v>11814.781536038916</v>
      </c>
      <c r="AG157" s="9"/>
      <c r="AH157" s="20">
        <f ca="1">OFFSET('Dist Factors'!$B$15,$O157-1,AH$14)*$L157+OFFSET('Dist Factors'!$B$15,$K157-1,AH$14)*$H157</f>
        <v>0</v>
      </c>
      <c r="AI157" s="9"/>
      <c r="AJ157" s="9">
        <f t="shared" ca="1" si="156"/>
        <v>11814.781536038916</v>
      </c>
      <c r="AL157" s="25" t="str">
        <f t="shared" ca="1" si="158"/>
        <v/>
      </c>
      <c r="AM157" s="51"/>
      <c r="AO157" s="93">
        <f ca="1">Function!AL157</f>
        <v>0</v>
      </c>
      <c r="AP157" s="100">
        <f t="shared" ca="1" si="172"/>
        <v>0</v>
      </c>
      <c r="AR157" s="50">
        <f t="shared" ca="1" si="144"/>
        <v>0</v>
      </c>
      <c r="AT157" s="50">
        <f t="shared" ca="1" si="145"/>
        <v>0</v>
      </c>
      <c r="AV157" s="50">
        <f t="shared" ca="1" si="146"/>
        <v>0</v>
      </c>
      <c r="AX157" s="50">
        <f t="shared" ca="1" si="147"/>
        <v>0</v>
      </c>
      <c r="AZ157" s="50">
        <f t="shared" ca="1" si="148"/>
        <v>0</v>
      </c>
      <c r="BB157" s="50">
        <f t="shared" ca="1" si="149"/>
        <v>0</v>
      </c>
      <c r="BD157" s="50">
        <f t="shared" ca="1" si="150"/>
        <v>0</v>
      </c>
      <c r="BF157" s="50">
        <f t="shared" ca="1" si="151"/>
        <v>0</v>
      </c>
      <c r="BH157" s="50">
        <f t="shared" ca="1" si="152"/>
        <v>0</v>
      </c>
      <c r="BJ157" s="50">
        <f t="shared" ca="1" si="153"/>
        <v>0</v>
      </c>
      <c r="BL157" s="50">
        <f t="shared" ca="1" si="155"/>
        <v>0</v>
      </c>
    </row>
    <row r="158" spans="2:64" x14ac:dyDescent="0.2">
      <c r="D158" s="1" t="s">
        <v>212</v>
      </c>
      <c r="K158" s="74"/>
      <c r="AD158" s="9">
        <f>IF($L158&lt;&gt;0,VLOOKUP($N158,'Dist Factors'!$B$1:$X$541,19,FALSE)*$L158,0)+IF($H158&lt;&gt;0,VLOOKUP($J158,'Dist Factors'!$B$1:$X$541,19,FALSE)*$H158,0)</f>
        <v>0</v>
      </c>
      <c r="AE158" s="9"/>
      <c r="AF158" s="9">
        <f>IF($L158&lt;&gt;0,VLOOKUP($N158,'Dist Factors'!$B$1:$X$541,21,FALSE)*$L158,0)+IF($H158&lt;&gt;0,VLOOKUP($J158,'Dist Factors'!$B$1:$X$541,21,FALSE)*$H158,0)</f>
        <v>0</v>
      </c>
      <c r="AG158" s="9"/>
      <c r="AH158" s="9">
        <f>IF($L158&lt;&gt;0,VLOOKUP($N158,'Dist Factors'!$B$1:$X$541,23,FALSE)*$L158,0)+IF($H158&lt;&gt;0,VLOOKUP($J158,'Dist Factors'!$B$1:$X$541,23,FALSE)*$H158,0)</f>
        <v>0</v>
      </c>
      <c r="AJ158" s="9">
        <f t="shared" si="156"/>
        <v>0</v>
      </c>
      <c r="AL158" s="25" t="str">
        <f t="shared" si="158"/>
        <v/>
      </c>
      <c r="AM158" s="51"/>
      <c r="AR158" s="50">
        <f t="shared" si="144"/>
        <v>0</v>
      </c>
      <c r="AT158" s="50">
        <f t="shared" si="145"/>
        <v>0</v>
      </c>
      <c r="AV158" s="50">
        <f t="shared" si="146"/>
        <v>0</v>
      </c>
      <c r="AX158" s="50">
        <f t="shared" si="147"/>
        <v>0</v>
      </c>
      <c r="AZ158" s="50">
        <f t="shared" si="148"/>
        <v>0</v>
      </c>
      <c r="BB158" s="50">
        <f t="shared" si="149"/>
        <v>0</v>
      </c>
      <c r="BD158" s="50">
        <f t="shared" si="150"/>
        <v>0</v>
      </c>
      <c r="BF158" s="50">
        <f t="shared" si="151"/>
        <v>0</v>
      </c>
      <c r="BH158" s="50">
        <f t="shared" si="152"/>
        <v>0</v>
      </c>
      <c r="BJ158" s="50">
        <f t="shared" si="153"/>
        <v>0</v>
      </c>
      <c r="BL158" s="50">
        <f t="shared" si="155"/>
        <v>0</v>
      </c>
    </row>
    <row r="159" spans="2:64" x14ac:dyDescent="0.2">
      <c r="B159" s="18">
        <f>B157+1</f>
        <v>100</v>
      </c>
      <c r="D159" s="36" t="s">
        <v>87</v>
      </c>
      <c r="F159" s="50">
        <f ca="1">Function!V159</f>
        <v>151458.62512828552</v>
      </c>
      <c r="H159" s="79">
        <f>'Function Factors'!L19</f>
        <v>427.13051271001717</v>
      </c>
      <c r="J159" s="31" t="s">
        <v>182</v>
      </c>
      <c r="K159" s="73">
        <f>_xlfn.IFNA(MATCH(J159,'Dist Factors'!$B$15:$B$431,0),0)</f>
        <v>12</v>
      </c>
      <c r="L159" s="50">
        <f t="shared" ref="L159:L160" ca="1" si="174">F159-H159</f>
        <v>151031.4946155755</v>
      </c>
      <c r="N159" s="18" t="s">
        <v>227</v>
      </c>
      <c r="O159" s="73">
        <f>_xlfn.IFNA(MATCH(N159,'Dist Factors'!$B$15:$B$431,0),0)</f>
        <v>30</v>
      </c>
      <c r="P159" s="20">
        <f ca="1">OFFSET('Dist Factors'!$B$15,$O159-1,P$14)*$L159+OFFSET('Dist Factors'!$B$15,$K159-1,P$14)*$H159</f>
        <v>16292.997331938646</v>
      </c>
      <c r="R159" s="20">
        <f ca="1">OFFSET('Dist Factors'!$B$15,$O159-1,R$14)*$L159+OFFSET('Dist Factors'!$B$15,$K159-1,R$14)*$H159</f>
        <v>3116.2729720272164</v>
      </c>
      <c r="S159" s="20"/>
      <c r="T159" s="20">
        <f ca="1">OFFSET('Dist Factors'!$B$15,$O159-1,T$14)*$L159+OFFSET('Dist Factors'!$B$15,$K159-1,T$14)*$H159</f>
        <v>16528.352522308636</v>
      </c>
      <c r="U159" s="20"/>
      <c r="V159" s="20">
        <f ca="1">OFFSET('Dist Factors'!$B$15,$O159-1,V$14)*$L159+OFFSET('Dist Factors'!$B$15,$K159-1,V$14)*$H159</f>
        <v>15430.909257762387</v>
      </c>
      <c r="W159" s="9"/>
      <c r="X159" s="20">
        <f ca="1">OFFSET('Dist Factors'!$B$15,$O159-1,X$14)*$L159+OFFSET('Dist Factors'!$B$15,$K159-1,X$14)*$H159</f>
        <v>20842.423886509205</v>
      </c>
      <c r="Y159" s="9"/>
      <c r="Z159" s="20">
        <f ca="1">OFFSET('Dist Factors'!$B$15,$O159-1,Z$14)*$L159+OFFSET('Dist Factors'!$B$15,$K159-1,Z$14)*$H159</f>
        <v>29235.202948785598</v>
      </c>
      <c r="AA159" s="20"/>
      <c r="AB159" s="20">
        <f ca="1">OFFSET('Dist Factors'!$B$15,$O159-1,AB$14)*$L159+OFFSET('Dist Factors'!$B$15,$K159-1,AB$14)*$H159</f>
        <v>12617.894275920631</v>
      </c>
      <c r="AC159" s="9"/>
      <c r="AD159" s="20">
        <f ca="1">OFFSET('Dist Factors'!$B$15,$O159-1,AD$14)*$L159+OFFSET('Dist Factors'!$B$15,$K159-1,AD$14)*$H159</f>
        <v>2826.8325750886092</v>
      </c>
      <c r="AE159" s="9"/>
      <c r="AF159" s="20">
        <f ca="1">OFFSET('Dist Factors'!$B$15,$O159-1,AF$14)*$L159+OFFSET('Dist Factors'!$B$15,$K159-1,AF$14)*$H159</f>
        <v>34567.739357944592</v>
      </c>
      <c r="AG159" s="9"/>
      <c r="AH159" s="20">
        <f ca="1">OFFSET('Dist Factors'!$B$15,$O159-1,AH$14)*$L159+OFFSET('Dist Factors'!$B$15,$K159-1,AH$14)*$H159</f>
        <v>0</v>
      </c>
      <c r="AI159" s="9"/>
      <c r="AJ159" s="9">
        <f t="shared" ca="1" si="156"/>
        <v>151458.62512828549</v>
      </c>
      <c r="AL159" s="25" t="str">
        <f t="shared" ca="1" si="158"/>
        <v/>
      </c>
      <c r="AM159" s="51"/>
      <c r="AO159" s="93"/>
      <c r="AP159" s="100"/>
      <c r="AR159" s="50"/>
      <c r="AT159" s="50"/>
      <c r="AV159" s="50"/>
      <c r="AX159" s="50"/>
      <c r="AZ159" s="50"/>
      <c r="BB159" s="50"/>
      <c r="BD159" s="50"/>
      <c r="BF159" s="50"/>
      <c r="BH159" s="50"/>
      <c r="BJ159" s="50"/>
      <c r="BL159" s="50"/>
    </row>
    <row r="160" spans="2:64" x14ac:dyDescent="0.2">
      <c r="B160" s="18">
        <f>B159+1</f>
        <v>101</v>
      </c>
      <c r="D160" s="36" t="s">
        <v>213</v>
      </c>
      <c r="F160" s="50">
        <f ca="1">Function!V160</f>
        <v>184250.05767693275</v>
      </c>
      <c r="H160" s="38">
        <f>'Function Factors'!L13</f>
        <v>1107.36012997326</v>
      </c>
      <c r="J160" s="31" t="s">
        <v>182</v>
      </c>
      <c r="K160" s="73">
        <f>_xlfn.IFNA(MATCH(J160,'Dist Factors'!$B$15:$B$431,0),0)</f>
        <v>12</v>
      </c>
      <c r="L160" s="50">
        <f t="shared" ca="1" si="174"/>
        <v>183142.69754695948</v>
      </c>
      <c r="N160" s="18" t="s">
        <v>254</v>
      </c>
      <c r="O160" s="73">
        <f>_xlfn.IFNA(MATCH(N160,'Dist Factors'!$B$15:$B$431,0),0)</f>
        <v>42</v>
      </c>
      <c r="P160" s="22">
        <f ca="1">OFFSET('Dist Factors'!$B$15,$O160-1,P$14)*$L160+OFFSET('Dist Factors'!$B$15,$K160-1,P$14)*$H160</f>
        <v>18821.462762028819</v>
      </c>
      <c r="R160" s="22">
        <f ca="1">OFFSET('Dist Factors'!$B$15,$O160-1,R$14)*$L160+OFFSET('Dist Factors'!$B$15,$K160-1,R$14)*$H160</f>
        <v>3599.8788009589775</v>
      </c>
      <c r="S160" s="22"/>
      <c r="T160" s="22">
        <f ca="1">OFFSET('Dist Factors'!$B$15,$O160-1,T$14)*$L160+OFFSET('Dist Factors'!$B$15,$K160-1,T$14)*$H160</f>
        <v>19093.342076875047</v>
      </c>
      <c r="U160" s="22"/>
      <c r="V160" s="22">
        <f ca="1">OFFSET('Dist Factors'!$B$15,$O160-1,V$14)*$L160+OFFSET('Dist Factors'!$B$15,$K160-1,V$14)*$H160</f>
        <v>15337.094089753189</v>
      </c>
      <c r="W160" s="13"/>
      <c r="X160" s="22">
        <f ca="1">OFFSET('Dist Factors'!$B$15,$O160-1,X$14)*$L160+OFFSET('Dist Factors'!$B$15,$K160-1,X$14)*$H160</f>
        <v>24334.906708899645</v>
      </c>
      <c r="Y160" s="9"/>
      <c r="Z160" s="20">
        <f ca="1">OFFSET('Dist Factors'!$B$15,$O160-1,Z$14)*$L160+OFFSET('Dist Factors'!$B$15,$K160-1,Z$14)*$H160</f>
        <v>34023.671336515727</v>
      </c>
      <c r="AA160" s="20"/>
      <c r="AB160" s="20">
        <f ca="1">OFFSET('Dist Factors'!$B$15,$O160-1,AB$14)*$L160+OFFSET('Dist Factors'!$B$15,$K160-1,AB$14)*$H160</f>
        <v>16064.180020722126</v>
      </c>
      <c r="AC160" s="9"/>
      <c r="AD160" s="20">
        <f ca="1">OFFSET('Dist Factors'!$B$15,$O160-1,AD$14)*$L160+OFFSET('Dist Factors'!$B$15,$K160-1,AD$14)*$H160</f>
        <v>3404.5167172154856</v>
      </c>
      <c r="AE160" s="9"/>
      <c r="AF160" s="20">
        <f ca="1">OFFSET('Dist Factors'!$B$15,$O160-1,AF$14)*$L160+OFFSET('Dist Factors'!$B$15,$K160-1,AF$14)*$H160</f>
        <v>49571.005163963717</v>
      </c>
      <c r="AG160" s="9"/>
      <c r="AH160" s="20">
        <f ca="1">OFFSET('Dist Factors'!$B$15,$O160-1,AH$14)*$L160+OFFSET('Dist Factors'!$B$15,$K160-1,AH$14)*$H160</f>
        <v>0</v>
      </c>
      <c r="AI160" s="9"/>
      <c r="AJ160" s="9">
        <f t="shared" ca="1" si="156"/>
        <v>184250.05767693272</v>
      </c>
      <c r="AL160" s="25" t="str">
        <f t="shared" ca="1" si="158"/>
        <v/>
      </c>
      <c r="AM160" s="51"/>
      <c r="AO160" s="93">
        <f>Function!AL160</f>
        <v>104984.30387066457</v>
      </c>
      <c r="AP160" s="100">
        <f ca="1">IFERROR(AO160/L160,0)</f>
        <v>0.57323772815864327</v>
      </c>
      <c r="AR160" s="50">
        <f ca="1">$AP160*P160</f>
        <v>10789.172554327903</v>
      </c>
      <c r="AT160" s="50">
        <f ca="1">$AP160*R160</f>
        <v>2063.5863455081849</v>
      </c>
      <c r="AV160" s="50">
        <f ca="1">$AP160*T160</f>
        <v>10945.024035103685</v>
      </c>
      <c r="AX160" s="50">
        <f ca="1">$AP160*V160</f>
        <v>8791.8009725654738</v>
      </c>
      <c r="AZ160" s="50">
        <f ca="1">$AP160*X160</f>
        <v>13949.686636762159</v>
      </c>
      <c r="BB160" s="50">
        <f ca="1">$AP160*Z160</f>
        <v>19503.652060560624</v>
      </c>
      <c r="BD160" s="50">
        <f ca="1">$AP160*AB160</f>
        <v>9208.5940598102188</v>
      </c>
      <c r="BF160" s="50">
        <f ca="1">$AP160*AD160</f>
        <v>1951.5974284547272</v>
      </c>
      <c r="BH160" s="50">
        <f ca="1">$AP160*(AF160-H160)</f>
        <v>27781.189777571602</v>
      </c>
      <c r="BJ160" s="50">
        <f ca="1">$AP160*AH160</f>
        <v>0</v>
      </c>
      <c r="BL160" s="50">
        <f t="shared" ca="1" si="155"/>
        <v>104984.30387066457</v>
      </c>
    </row>
    <row r="161" spans="2:64" x14ac:dyDescent="0.2">
      <c r="K161" s="74"/>
      <c r="AJ161" s="1">
        <f t="shared" si="156"/>
        <v>0</v>
      </c>
      <c r="AL161" s="25" t="str">
        <f t="shared" si="158"/>
        <v/>
      </c>
      <c r="AM161" s="51"/>
    </row>
    <row r="162" spans="2:64" x14ac:dyDescent="0.2">
      <c r="B162" s="18">
        <f>B160+1</f>
        <v>102</v>
      </c>
      <c r="D162" s="1" t="s">
        <v>399</v>
      </c>
      <c r="F162" s="81">
        <f ca="1">SUM(F115:F160)</f>
        <v>946939.3723735325</v>
      </c>
      <c r="H162" s="81">
        <f>SUM(H115:H160)</f>
        <v>5563.8953516590282</v>
      </c>
      <c r="K162" s="74"/>
      <c r="L162" s="81">
        <f ca="1">SUM(L115:L160)</f>
        <v>941375.47702187358</v>
      </c>
      <c r="P162" s="11">
        <f ca="1">SUM(P115:P160)</f>
        <v>88127.481417608273</v>
      </c>
      <c r="R162" s="11">
        <f ca="1">SUM(R115:R160)</f>
        <v>14807.222445503588</v>
      </c>
      <c r="S162" s="20"/>
      <c r="T162" s="11">
        <f ca="1">SUM(T115:T160)</f>
        <v>78535.800506691579</v>
      </c>
      <c r="U162" s="20"/>
      <c r="V162" s="11">
        <f ca="1">SUM(V115:V160)</f>
        <v>213849.93054727896</v>
      </c>
      <c r="X162" s="11">
        <f ca="1">SUM(X115:X160)</f>
        <v>100282.65840407935</v>
      </c>
      <c r="Z162" s="11">
        <f ca="1">SUM(Z115:Z160)</f>
        <v>140859.83113323466</v>
      </c>
      <c r="AB162" s="11">
        <f ca="1">SUM(AB115:AB160)</f>
        <v>65804.693164442739</v>
      </c>
      <c r="AD162" s="11">
        <f ca="1">SUM(AD115:AD160)</f>
        <v>14018.914691042375</v>
      </c>
      <c r="AF162" s="11">
        <f ca="1">SUM(AF115:AF160)</f>
        <v>212312.95667747513</v>
      </c>
      <c r="AH162" s="11">
        <f ca="1">SUM(AH115:AH160)</f>
        <v>18339.883386175716</v>
      </c>
      <c r="AJ162" s="11">
        <f ca="1">P162+R162+T162+V162+X162+Z162+AB162+AH162+AF162+AD162</f>
        <v>946939.3723735325</v>
      </c>
      <c r="AL162" s="25" t="str">
        <f ca="1">IF(ROUND(F162,4)=ROUND(AJ162,4), "", "check")</f>
        <v/>
      </c>
      <c r="AM162" s="51"/>
      <c r="AO162" s="94">
        <f ca="1">SUM(AO116:AO161)</f>
        <v>262900.4146806901</v>
      </c>
      <c r="AR162" s="94">
        <f ca="1">SUM(AR116:AR161)</f>
        <v>28452.852536696613</v>
      </c>
      <c r="AT162" s="94">
        <f ca="1">SUM(AT116:AT161)</f>
        <v>5442.0223320955702</v>
      </c>
      <c r="AV162" s="94">
        <f ca="1">SUM(AV116:AV161)</f>
        <v>28863.858957977765</v>
      </c>
      <c r="AX162" s="94">
        <f ca="1">SUM(AX116:AX161)</f>
        <v>26913.476716798574</v>
      </c>
      <c r="AZ162" s="94">
        <f ca="1">SUM(AZ116:AZ161)</f>
        <v>36401.047915878982</v>
      </c>
      <c r="BB162" s="94">
        <f ca="1">SUM(BB116:BB161)</f>
        <v>51057.174783912065</v>
      </c>
      <c r="BD162" s="94">
        <f ca="1">SUM(BD116:BD161)</f>
        <v>22033.841604684596</v>
      </c>
      <c r="BF162" s="94">
        <f ca="1">SUM(BF116:BF161)</f>
        <v>4936.5100366252918</v>
      </c>
      <c r="BH162" s="94">
        <f ca="1">SUM(BH116:BH161)</f>
        <v>58799.629796020672</v>
      </c>
      <c r="BJ162" s="94">
        <f ca="1">SUM(BJ116:BJ161)</f>
        <v>0</v>
      </c>
      <c r="BL162" s="94">
        <f ca="1">SUM(BL116:BL161)</f>
        <v>262900.4146806901</v>
      </c>
    </row>
    <row r="163" spans="2:64" x14ac:dyDescent="0.2">
      <c r="K163" s="74"/>
      <c r="S163" s="20"/>
      <c r="U163" s="20"/>
      <c r="AL163" s="25" t="str">
        <f t="shared" si="158"/>
        <v/>
      </c>
      <c r="AM163" s="51"/>
    </row>
    <row r="164" spans="2:64" ht="13.5" thickBot="1" x14ac:dyDescent="0.25">
      <c r="B164" s="18">
        <f>B162+1</f>
        <v>103</v>
      </c>
      <c r="D164" s="1" t="s">
        <v>400</v>
      </c>
      <c r="F164" s="83">
        <f ca="1">F162+F104+F109+F108+F97</f>
        <v>2464291.6658636788</v>
      </c>
      <c r="H164" s="83">
        <f>H162+H104+H109+H108+H97</f>
        <v>5563.8953516590282</v>
      </c>
      <c r="K164" s="74"/>
      <c r="L164" s="83">
        <f ca="1">L162+L104+L109+L108+L97</f>
        <v>2458727.7705120197</v>
      </c>
      <c r="P164" s="34">
        <f ca="1">P162+P104+P109+P108+P97</f>
        <v>311340.54218884726</v>
      </c>
      <c r="R164" s="34">
        <f ca="1">R162+R104+R109+R108+R97</f>
        <v>57499.970385830791</v>
      </c>
      <c r="S164" s="20"/>
      <c r="T164" s="34">
        <f ca="1">T162+T104+T109+T108+T97</f>
        <v>306175.94520357554</v>
      </c>
      <c r="U164" s="20"/>
      <c r="V164" s="34">
        <f ca="1">V162+V104+V109+V108+V97</f>
        <v>216731.79528524552</v>
      </c>
      <c r="X164" s="34">
        <f ca="1">X162+X104+X109+X108+X97</f>
        <v>407482.10501641379</v>
      </c>
      <c r="Z164" s="34">
        <f ca="1">Z162+Z104+Z109+Z108+Z97</f>
        <v>582976.36952399625</v>
      </c>
      <c r="AB164" s="34">
        <f ca="1">AB162+AB104+AB109+AB108+AB97</f>
        <v>293251.91935591295</v>
      </c>
      <c r="AD164" s="34">
        <f ca="1">AD162+AD104+AD109+AD108+AD97</f>
        <v>48424.439400079995</v>
      </c>
      <c r="AF164" s="34">
        <f ca="1">AF162+AF104+AF109+AF108+AF97</f>
        <v>222068.69611760083</v>
      </c>
      <c r="AH164" s="34">
        <f ca="1">AH162+AH104+AH109+AH108+AH97</f>
        <v>18339.883386175716</v>
      </c>
      <c r="AJ164" s="34">
        <f ca="1">AJ162+AJ104+AJ109+AJ108+AJ97</f>
        <v>2464291.6658636788</v>
      </c>
      <c r="AL164" s="25" t="str">
        <f t="shared" ca="1" si="158"/>
        <v/>
      </c>
      <c r="AM164" s="51"/>
    </row>
    <row r="165" spans="2:64" ht="13.5" thickTop="1" x14ac:dyDescent="0.2">
      <c r="F165" s="50"/>
      <c r="H165" s="50"/>
      <c r="K165" s="74"/>
      <c r="L165" s="50"/>
      <c r="AL165" s="25" t="str">
        <f t="shared" si="158"/>
        <v/>
      </c>
      <c r="AM165" s="51"/>
    </row>
    <row r="166" spans="2:64" x14ac:dyDescent="0.2">
      <c r="F166" s="50"/>
      <c r="H166" s="50"/>
      <c r="K166" s="74"/>
      <c r="L166" s="50"/>
      <c r="AL166" s="25" t="str">
        <f t="shared" si="158"/>
        <v/>
      </c>
      <c r="AM166" s="51"/>
    </row>
    <row r="167" spans="2:64" x14ac:dyDescent="0.2">
      <c r="F167" s="50"/>
      <c r="H167" s="50"/>
      <c r="K167" s="74"/>
      <c r="L167" s="50"/>
      <c r="AL167" s="25" t="str">
        <f t="shared" si="158"/>
        <v/>
      </c>
      <c r="AM167" s="51"/>
    </row>
    <row r="168" spans="2:64" x14ac:dyDescent="0.2">
      <c r="D168" s="6" t="s">
        <v>109</v>
      </c>
      <c r="K168" s="74"/>
      <c r="AL168" s="25" t="str">
        <f t="shared" si="158"/>
        <v/>
      </c>
      <c r="AM168" s="51"/>
    </row>
    <row r="169" spans="2:64" x14ac:dyDescent="0.2">
      <c r="D169" s="6"/>
      <c r="F169" s="50"/>
      <c r="H169" s="79"/>
      <c r="K169" s="73"/>
      <c r="L169" s="50"/>
      <c r="O169" s="73"/>
      <c r="P169" s="20"/>
      <c r="R169" s="20"/>
      <c r="S169" s="20"/>
      <c r="T169" s="20"/>
      <c r="U169" s="20"/>
      <c r="V169" s="20"/>
      <c r="W169" s="9"/>
      <c r="X169" s="20"/>
      <c r="Y169" s="9"/>
      <c r="Z169" s="20"/>
      <c r="AA169" s="20"/>
      <c r="AB169" s="20"/>
      <c r="AC169" s="9"/>
      <c r="AD169" s="20"/>
      <c r="AE169" s="9"/>
      <c r="AF169" s="20"/>
      <c r="AG169" s="9"/>
      <c r="AH169" s="20"/>
      <c r="AI169" s="9"/>
      <c r="AJ169" s="20"/>
      <c r="AL169" s="25" t="str">
        <f t="shared" si="158"/>
        <v/>
      </c>
      <c r="AM169" s="51"/>
    </row>
    <row r="170" spans="2:64" x14ac:dyDescent="0.2">
      <c r="B170" s="18">
        <f>B164+1</f>
        <v>104</v>
      </c>
      <c r="D170" s="1" t="s">
        <v>123</v>
      </c>
      <c r="F170" s="50">
        <f ca="1">Function!V170</f>
        <v>0</v>
      </c>
      <c r="H170" s="79"/>
      <c r="K170" s="73">
        <f>_xlfn.IFNA(MATCH(J170,'Dist Factors'!$B$15:$B$431,0),0)</f>
        <v>0</v>
      </c>
      <c r="L170" s="50">
        <f t="shared" ref="L170:L176" ca="1" si="175">F170-H170</f>
        <v>0</v>
      </c>
      <c r="O170" s="73">
        <f>_xlfn.IFNA(MATCH(N170,'Dist Factors'!$B$15:$B$431,0),0)</f>
        <v>0</v>
      </c>
      <c r="P170" s="20">
        <f ca="1">OFFSET('Dist Factors'!$B$15,$O170-1,P$14)*$L170+OFFSET('Dist Factors'!$B$15,$K170-1,P$14)*$H170</f>
        <v>0</v>
      </c>
      <c r="R170" s="20">
        <f ca="1">OFFSET('Dist Factors'!$B$15,$O170-1,R$14)*$L170+OFFSET('Dist Factors'!$B$15,$K170-1,R$14)*$H170</f>
        <v>0</v>
      </c>
      <c r="S170" s="20"/>
      <c r="T170" s="20">
        <f ca="1">OFFSET('Dist Factors'!$B$15,$O170-1,T$14)*$L170+OFFSET('Dist Factors'!$B$15,$K170-1,T$14)*$H170</f>
        <v>0</v>
      </c>
      <c r="U170" s="20"/>
      <c r="V170" s="20">
        <f ca="1">OFFSET('Dist Factors'!$B$15,$O170-1,V$14)*$L170+OFFSET('Dist Factors'!$B$15,$K170-1,V$14)*$H170</f>
        <v>0</v>
      </c>
      <c r="W170" s="9"/>
      <c r="X170" s="20">
        <f ca="1">OFFSET('Dist Factors'!$B$15,$O170-1,X$14)*$L170+OFFSET('Dist Factors'!$B$15,$K170-1,X$14)*$H170</f>
        <v>0</v>
      </c>
      <c r="Y170" s="9"/>
      <c r="Z170" s="20">
        <f ca="1">OFFSET('Dist Factors'!$B$15,$O170-1,Z$14)*$L170+OFFSET('Dist Factors'!$B$15,$K170-1,Z$14)*$H170</f>
        <v>0</v>
      </c>
      <c r="AA170" s="20"/>
      <c r="AB170" s="20">
        <f ca="1">OFFSET('Dist Factors'!$B$15,$O170-1,AB$14)*$L170+OFFSET('Dist Factors'!$B$15,$K170-1,AB$14)*$H170</f>
        <v>0</v>
      </c>
      <c r="AC170" s="9"/>
      <c r="AD170" s="20">
        <f ca="1">OFFSET('Dist Factors'!$B$15,$O170-1,AD$14)*$L170+OFFSET('Dist Factors'!$B$15,$K170-1,AD$14)*$H170</f>
        <v>0</v>
      </c>
      <c r="AE170" s="9"/>
      <c r="AF170" s="20">
        <f ca="1">OFFSET('Dist Factors'!$B$15,$O170-1,AF$14)*$L170+OFFSET('Dist Factors'!$B$15,$K170-1,AF$14)*$H170</f>
        <v>0</v>
      </c>
      <c r="AG170" s="9"/>
      <c r="AH170" s="20">
        <f ca="1">OFFSET('Dist Factors'!$B$15,$O170-1,AH$14)*$L170+OFFSET('Dist Factors'!$B$15,$K170-1,AH$14)*$H170</f>
        <v>0</v>
      </c>
      <c r="AI170" s="9"/>
      <c r="AJ170" s="20">
        <f t="shared" ref="AJ170:AJ177" ca="1" si="176">P170+R170+T170+V170+X170+Z170+AB170+AD170+AF170+AH170</f>
        <v>0</v>
      </c>
      <c r="AL170" s="25" t="str">
        <f t="shared" ca="1" si="158"/>
        <v/>
      </c>
      <c r="AM170" s="51"/>
    </row>
    <row r="171" spans="2:64" x14ac:dyDescent="0.2">
      <c r="B171" s="18">
        <f t="shared" ref="B171:B176" si="177">B170+1</f>
        <v>105</v>
      </c>
      <c r="D171" s="1" t="s">
        <v>134</v>
      </c>
      <c r="F171" s="50">
        <f ca="1">Function!V171</f>
        <v>0</v>
      </c>
      <c r="H171" s="79"/>
      <c r="J171" s="2"/>
      <c r="K171" s="73">
        <f>_xlfn.IFNA(MATCH(J171,'Dist Factors'!$B$15:$B$431,0),0)</f>
        <v>0</v>
      </c>
      <c r="L171" s="50">
        <f t="shared" ca="1" si="175"/>
        <v>0</v>
      </c>
      <c r="O171" s="73">
        <f>_xlfn.IFNA(MATCH(N171,'Dist Factors'!$B$15:$B$431,0),0)</f>
        <v>0</v>
      </c>
      <c r="P171" s="20">
        <f ca="1">OFFSET('Dist Factors'!$B$15,$O171-1,P$14)*$L171+OFFSET('Dist Factors'!$B$15,$K171-1,P$14)*$H171</f>
        <v>0</v>
      </c>
      <c r="R171" s="20">
        <f ca="1">OFFSET('Dist Factors'!$B$15,$O171-1,R$14)*$L171+OFFSET('Dist Factors'!$B$15,$K171-1,R$14)*$H171</f>
        <v>0</v>
      </c>
      <c r="S171" s="20"/>
      <c r="T171" s="20">
        <f ca="1">OFFSET('Dist Factors'!$B$15,$O171-1,T$14)*$L171+OFFSET('Dist Factors'!$B$15,$K171-1,T$14)*$H171</f>
        <v>0</v>
      </c>
      <c r="U171" s="20"/>
      <c r="V171" s="20">
        <f ca="1">OFFSET('Dist Factors'!$B$15,$O171-1,V$14)*$L171+OFFSET('Dist Factors'!$B$15,$K171-1,V$14)*$H171</f>
        <v>0</v>
      </c>
      <c r="W171" s="9"/>
      <c r="X171" s="20">
        <f ca="1">OFFSET('Dist Factors'!$B$15,$O171-1,X$14)*$L171+OFFSET('Dist Factors'!$B$15,$K171-1,X$14)*$H171</f>
        <v>0</v>
      </c>
      <c r="Y171" s="9"/>
      <c r="Z171" s="20">
        <f ca="1">OFFSET('Dist Factors'!$B$15,$O171-1,Z$14)*$L171+OFFSET('Dist Factors'!$B$15,$K171-1,Z$14)*$H171</f>
        <v>0</v>
      </c>
      <c r="AA171" s="20"/>
      <c r="AB171" s="20">
        <f ca="1">OFFSET('Dist Factors'!$B$15,$O171-1,AB$14)*$L171+OFFSET('Dist Factors'!$B$15,$K171-1,AB$14)*$H171</f>
        <v>0</v>
      </c>
      <c r="AC171" s="9"/>
      <c r="AD171" s="20">
        <f ca="1">OFFSET('Dist Factors'!$B$15,$O171-1,AD$14)*$L171+OFFSET('Dist Factors'!$B$15,$K171-1,AD$14)*$H171</f>
        <v>0</v>
      </c>
      <c r="AE171" s="9"/>
      <c r="AF171" s="20">
        <f ca="1">OFFSET('Dist Factors'!$B$15,$O171-1,AF$14)*$L171+OFFSET('Dist Factors'!$B$15,$K171-1,AF$14)*$H171</f>
        <v>0</v>
      </c>
      <c r="AG171" s="9"/>
      <c r="AH171" s="20">
        <f ca="1">OFFSET('Dist Factors'!$B$15,$O171-1,AH$14)*$L171+OFFSET('Dist Factors'!$B$15,$K171-1,AH$14)*$H171</f>
        <v>0</v>
      </c>
      <c r="AI171" s="9"/>
      <c r="AJ171" s="20">
        <f t="shared" ca="1" si="176"/>
        <v>0</v>
      </c>
      <c r="AL171" s="25" t="str">
        <f t="shared" ca="1" si="158"/>
        <v/>
      </c>
      <c r="AM171" s="51"/>
    </row>
    <row r="172" spans="2:64" x14ac:dyDescent="0.2">
      <c r="B172" s="18">
        <f t="shared" si="177"/>
        <v>106</v>
      </c>
      <c r="D172" s="1" t="s">
        <v>110</v>
      </c>
      <c r="F172" s="50">
        <f ca="1">Function!V172</f>
        <v>0</v>
      </c>
      <c r="H172" s="79"/>
      <c r="J172" s="2"/>
      <c r="K172" s="73">
        <f>_xlfn.IFNA(MATCH(J172,'Dist Factors'!$B$15:$B$431,0),0)</f>
        <v>0</v>
      </c>
      <c r="L172" s="50">
        <f t="shared" ca="1" si="175"/>
        <v>0</v>
      </c>
      <c r="O172" s="73">
        <f>_xlfn.IFNA(MATCH(N172,'Dist Factors'!$B$15:$B$431,0),0)</f>
        <v>0</v>
      </c>
      <c r="P172" s="20">
        <f ca="1">OFFSET('Dist Factors'!$B$15,$O172-1,P$14)*$L172+OFFSET('Dist Factors'!$B$15,$K172-1,P$14)*$H172</f>
        <v>0</v>
      </c>
      <c r="R172" s="20">
        <f ca="1">OFFSET('Dist Factors'!$B$15,$O172-1,R$14)*$L172+OFFSET('Dist Factors'!$B$15,$K172-1,R$14)*$H172</f>
        <v>0</v>
      </c>
      <c r="S172" s="20"/>
      <c r="T172" s="20">
        <f ca="1">OFFSET('Dist Factors'!$B$15,$O172-1,T$14)*$L172+OFFSET('Dist Factors'!$B$15,$K172-1,T$14)*$H172</f>
        <v>0</v>
      </c>
      <c r="U172" s="20"/>
      <c r="V172" s="20">
        <f ca="1">OFFSET('Dist Factors'!$B$15,$O172-1,V$14)*$L172+OFFSET('Dist Factors'!$B$15,$K172-1,V$14)*$H172</f>
        <v>0</v>
      </c>
      <c r="W172" s="9"/>
      <c r="X172" s="20">
        <f ca="1">OFFSET('Dist Factors'!$B$15,$O172-1,X$14)*$L172+OFFSET('Dist Factors'!$B$15,$K172-1,X$14)*$H172</f>
        <v>0</v>
      </c>
      <c r="Y172" s="9"/>
      <c r="Z172" s="20">
        <f ca="1">OFFSET('Dist Factors'!$B$15,$O172-1,Z$14)*$L172+OFFSET('Dist Factors'!$B$15,$K172-1,Z$14)*$H172</f>
        <v>0</v>
      </c>
      <c r="AA172" s="20"/>
      <c r="AB172" s="20">
        <f ca="1">OFFSET('Dist Factors'!$B$15,$O172-1,AB$14)*$L172+OFFSET('Dist Factors'!$B$15,$K172-1,AB$14)*$H172</f>
        <v>0</v>
      </c>
      <c r="AC172" s="9"/>
      <c r="AD172" s="20">
        <f ca="1">OFFSET('Dist Factors'!$B$15,$O172-1,AD$14)*$L172+OFFSET('Dist Factors'!$B$15,$K172-1,AD$14)*$H172</f>
        <v>0</v>
      </c>
      <c r="AE172" s="9"/>
      <c r="AF172" s="20">
        <f ca="1">OFFSET('Dist Factors'!$B$15,$O172-1,AF$14)*$L172+OFFSET('Dist Factors'!$B$15,$K172-1,AF$14)*$H172</f>
        <v>0</v>
      </c>
      <c r="AG172" s="9"/>
      <c r="AH172" s="20">
        <f ca="1">OFFSET('Dist Factors'!$B$15,$O172-1,AH$14)*$L172+OFFSET('Dist Factors'!$B$15,$K172-1,AH$14)*$H172</f>
        <v>0</v>
      </c>
      <c r="AI172" s="9"/>
      <c r="AJ172" s="20">
        <f t="shared" ca="1" si="176"/>
        <v>0</v>
      </c>
      <c r="AL172" s="25" t="str">
        <f t="shared" ca="1" si="158"/>
        <v/>
      </c>
      <c r="AM172" s="51"/>
    </row>
    <row r="173" spans="2:64" x14ac:dyDescent="0.2">
      <c r="B173" s="18">
        <f t="shared" si="177"/>
        <v>107</v>
      </c>
      <c r="D173" s="1" t="s">
        <v>125</v>
      </c>
      <c r="F173" s="50">
        <f ca="1">Function!V173</f>
        <v>26870.623617239937</v>
      </c>
      <c r="H173" s="79"/>
      <c r="J173" s="2"/>
      <c r="K173" s="73">
        <f>_xlfn.IFNA(MATCH(J173,'Dist Factors'!$B$15:$B$431,0),0)</f>
        <v>0</v>
      </c>
      <c r="L173" s="50">
        <f t="shared" ca="1" si="175"/>
        <v>26870.623617239937</v>
      </c>
      <c r="N173" s="18" t="s">
        <v>182</v>
      </c>
      <c r="O173" s="73">
        <f>_xlfn.IFNA(MATCH(N173,'Dist Factors'!$B$15:$B$431,0),0)</f>
        <v>12</v>
      </c>
      <c r="P173" s="20">
        <f ca="1">OFFSET('Dist Factors'!$B$15,$O173-1,P$14)*$L173+OFFSET('Dist Factors'!$B$15,$K173-1,P$14)*$H173</f>
        <v>0</v>
      </c>
      <c r="R173" s="20">
        <f ca="1">OFFSET('Dist Factors'!$B$15,$O173-1,R$14)*$L173+OFFSET('Dist Factors'!$B$15,$K173-1,R$14)*$H173</f>
        <v>0</v>
      </c>
      <c r="S173" s="20"/>
      <c r="T173" s="20">
        <f ca="1">OFFSET('Dist Factors'!$B$15,$O173-1,T$14)*$L173+OFFSET('Dist Factors'!$B$15,$K173-1,T$14)*$H173</f>
        <v>0</v>
      </c>
      <c r="U173" s="20"/>
      <c r="V173" s="20">
        <f ca="1">OFFSET('Dist Factors'!$B$15,$O173-1,V$14)*$L173+OFFSET('Dist Factors'!$B$15,$K173-1,V$14)*$H173</f>
        <v>0</v>
      </c>
      <c r="W173" s="9"/>
      <c r="X173" s="20">
        <f ca="1">OFFSET('Dist Factors'!$B$15,$O173-1,X$14)*$L173+OFFSET('Dist Factors'!$B$15,$K173-1,X$14)*$H173</f>
        <v>0</v>
      </c>
      <c r="Y173" s="9"/>
      <c r="Z173" s="20">
        <f ca="1">OFFSET('Dist Factors'!$B$15,$O173-1,Z$14)*$L173+OFFSET('Dist Factors'!$B$15,$K173-1,Z$14)*$H173</f>
        <v>0</v>
      </c>
      <c r="AA173" s="20"/>
      <c r="AB173" s="20">
        <f ca="1">OFFSET('Dist Factors'!$B$15,$O173-1,AB$14)*$L173+OFFSET('Dist Factors'!$B$15,$K173-1,AB$14)*$H173</f>
        <v>0</v>
      </c>
      <c r="AC173" s="9"/>
      <c r="AD173" s="20">
        <f ca="1">OFFSET('Dist Factors'!$B$15,$O173-1,AD$14)*$L173+OFFSET('Dist Factors'!$B$15,$K173-1,AD$14)*$H173</f>
        <v>0</v>
      </c>
      <c r="AE173" s="9"/>
      <c r="AF173" s="20">
        <f ca="1">OFFSET('Dist Factors'!$B$15,$O173-1,AF$14)*$L173+OFFSET('Dist Factors'!$B$15,$K173-1,AF$14)*$H173</f>
        <v>26870.623617239937</v>
      </c>
      <c r="AG173" s="9"/>
      <c r="AH173" s="20">
        <f ca="1">OFFSET('Dist Factors'!$B$15,$O173-1,AH$14)*$L173+OFFSET('Dist Factors'!$B$15,$K173-1,AH$14)*$H173</f>
        <v>0</v>
      </c>
      <c r="AI173" s="9"/>
      <c r="AJ173" s="20">
        <f t="shared" ca="1" si="176"/>
        <v>26870.623617239937</v>
      </c>
      <c r="AL173" s="25" t="str">
        <f ca="1">IF(ROUND(F173,4)=ROUND(AJ173,4), "", "check")</f>
        <v/>
      </c>
      <c r="AM173" s="51"/>
    </row>
    <row r="174" spans="2:64" x14ac:dyDescent="0.2">
      <c r="B174" s="18">
        <f t="shared" si="177"/>
        <v>108</v>
      </c>
      <c r="D174" s="1" t="s">
        <v>126</v>
      </c>
      <c r="F174" s="50">
        <f ca="1">Function!V174</f>
        <v>14283.139384300001</v>
      </c>
      <c r="H174" s="79"/>
      <c r="J174" s="2"/>
      <c r="K174" s="73">
        <f>_xlfn.IFNA(MATCH(J174,'Dist Factors'!$B$15:$B$431,0),0)</f>
        <v>0</v>
      </c>
      <c r="L174" s="50">
        <f t="shared" ca="1" si="175"/>
        <v>14283.139384300001</v>
      </c>
      <c r="N174" s="18" t="s">
        <v>182</v>
      </c>
      <c r="O174" s="73">
        <f>_xlfn.IFNA(MATCH(N174,'Dist Factors'!$B$15:$B$431,0),0)</f>
        <v>12</v>
      </c>
      <c r="P174" s="20">
        <f ca="1">OFFSET('Dist Factors'!$B$15,$O174-1,P$14)*$L174+OFFSET('Dist Factors'!$B$15,$K174-1,P$14)*$H174</f>
        <v>0</v>
      </c>
      <c r="R174" s="20">
        <f ca="1">OFFSET('Dist Factors'!$B$15,$O174-1,R$14)*$L174+OFFSET('Dist Factors'!$B$15,$K174-1,R$14)*$H174</f>
        <v>0</v>
      </c>
      <c r="S174" s="20"/>
      <c r="T174" s="20">
        <f ca="1">OFFSET('Dist Factors'!$B$15,$O174-1,T$14)*$L174+OFFSET('Dist Factors'!$B$15,$K174-1,T$14)*$H174</f>
        <v>0</v>
      </c>
      <c r="U174" s="20"/>
      <c r="V174" s="20">
        <f ca="1">OFFSET('Dist Factors'!$B$15,$O174-1,V$14)*$L174+OFFSET('Dist Factors'!$B$15,$K174-1,V$14)*$H174</f>
        <v>0</v>
      </c>
      <c r="W174" s="9"/>
      <c r="X174" s="20">
        <f ca="1">OFFSET('Dist Factors'!$B$15,$O174-1,X$14)*$L174+OFFSET('Dist Factors'!$B$15,$K174-1,X$14)*$H174</f>
        <v>0</v>
      </c>
      <c r="Y174" s="9"/>
      <c r="Z174" s="20">
        <f ca="1">OFFSET('Dist Factors'!$B$15,$O174-1,Z$14)*$L174+OFFSET('Dist Factors'!$B$15,$K174-1,Z$14)*$H174</f>
        <v>0</v>
      </c>
      <c r="AA174" s="20"/>
      <c r="AB174" s="20">
        <f ca="1">OFFSET('Dist Factors'!$B$15,$O174-1,AB$14)*$L174+OFFSET('Dist Factors'!$B$15,$K174-1,AB$14)*$H174</f>
        <v>0</v>
      </c>
      <c r="AC174" s="9"/>
      <c r="AD174" s="20">
        <f ca="1">OFFSET('Dist Factors'!$B$15,$O174-1,AD$14)*$L174+OFFSET('Dist Factors'!$B$15,$K174-1,AD$14)*$H174</f>
        <v>0</v>
      </c>
      <c r="AE174" s="9"/>
      <c r="AF174" s="20">
        <f ca="1">OFFSET('Dist Factors'!$B$15,$O174-1,AF$14)*$L174+OFFSET('Dist Factors'!$B$15,$K174-1,AF$14)*$H174</f>
        <v>14283.139384300001</v>
      </c>
      <c r="AG174" s="9"/>
      <c r="AH174" s="20">
        <f ca="1">OFFSET('Dist Factors'!$B$15,$O174-1,AH$14)*$L174+OFFSET('Dist Factors'!$B$15,$K174-1,AH$14)*$H174</f>
        <v>0</v>
      </c>
      <c r="AI174" s="9"/>
      <c r="AJ174" s="20">
        <f t="shared" ca="1" si="176"/>
        <v>14283.139384300001</v>
      </c>
      <c r="AL174" s="25" t="str">
        <f t="shared" ca="1" si="158"/>
        <v/>
      </c>
      <c r="AM174" s="51"/>
    </row>
    <row r="175" spans="2:64" x14ac:dyDescent="0.2">
      <c r="B175" s="18">
        <f t="shared" si="177"/>
        <v>109</v>
      </c>
      <c r="D175" s="1" t="s">
        <v>127</v>
      </c>
      <c r="F175" s="50">
        <f ca="1">Function!V175</f>
        <v>17761.652743977927</v>
      </c>
      <c r="H175" s="79"/>
      <c r="J175" s="2"/>
      <c r="K175" s="73">
        <f>_xlfn.IFNA(MATCH(J175,'Dist Factors'!$B$15:$B$431,0),0)</f>
        <v>0</v>
      </c>
      <c r="L175" s="50">
        <f t="shared" ca="1" si="175"/>
        <v>17761.652743977927</v>
      </c>
      <c r="N175" s="18" t="s">
        <v>182</v>
      </c>
      <c r="O175" s="73">
        <f>_xlfn.IFNA(MATCH(N175,'Dist Factors'!$B$15:$B$431,0),0)</f>
        <v>12</v>
      </c>
      <c r="P175" s="20">
        <f ca="1">OFFSET('Dist Factors'!$B$15,$O175-1,P$14)*$L175+OFFSET('Dist Factors'!$B$15,$K175-1,P$14)*$H175</f>
        <v>0</v>
      </c>
      <c r="R175" s="20">
        <f ca="1">OFFSET('Dist Factors'!$B$15,$O175-1,R$14)*$L175+OFFSET('Dist Factors'!$B$15,$K175-1,R$14)*$H175</f>
        <v>0</v>
      </c>
      <c r="S175" s="20"/>
      <c r="T175" s="20">
        <f ca="1">OFFSET('Dist Factors'!$B$15,$O175-1,T$14)*$L175+OFFSET('Dist Factors'!$B$15,$K175-1,T$14)*$H175</f>
        <v>0</v>
      </c>
      <c r="U175" s="20"/>
      <c r="V175" s="20">
        <f ca="1">OFFSET('Dist Factors'!$B$15,$O175-1,V$14)*$L175+OFFSET('Dist Factors'!$B$15,$K175-1,V$14)*$H175</f>
        <v>0</v>
      </c>
      <c r="W175" s="9"/>
      <c r="X175" s="20">
        <f ca="1">OFFSET('Dist Factors'!$B$15,$O175-1,X$14)*$L175+OFFSET('Dist Factors'!$B$15,$K175-1,X$14)*$H175</f>
        <v>0</v>
      </c>
      <c r="Y175" s="9"/>
      <c r="Z175" s="20">
        <f ca="1">OFFSET('Dist Factors'!$B$15,$O175-1,Z$14)*$L175+OFFSET('Dist Factors'!$B$15,$K175-1,Z$14)*$H175</f>
        <v>0</v>
      </c>
      <c r="AA175" s="20"/>
      <c r="AB175" s="20">
        <f ca="1">OFFSET('Dist Factors'!$B$15,$O175-1,AB$14)*$L175+OFFSET('Dist Factors'!$B$15,$K175-1,AB$14)*$H175</f>
        <v>0</v>
      </c>
      <c r="AC175" s="9"/>
      <c r="AD175" s="20">
        <f ca="1">OFFSET('Dist Factors'!$B$15,$O175-1,AD$14)*$L175+OFFSET('Dist Factors'!$B$15,$K175-1,AD$14)*$H175</f>
        <v>0</v>
      </c>
      <c r="AE175" s="9"/>
      <c r="AF175" s="20">
        <f ca="1">OFFSET('Dist Factors'!$B$15,$O175-1,AF$14)*$L175+OFFSET('Dist Factors'!$B$15,$K175-1,AF$14)*$H175</f>
        <v>17761.652743977927</v>
      </c>
      <c r="AG175" s="9"/>
      <c r="AH175" s="20">
        <f ca="1">OFFSET('Dist Factors'!$B$15,$O175-1,AH$14)*$L175+OFFSET('Dist Factors'!$B$15,$K175-1,AH$14)*$H175</f>
        <v>0</v>
      </c>
      <c r="AI175" s="9"/>
      <c r="AJ175" s="20">
        <f t="shared" ca="1" si="176"/>
        <v>17761.652743977927</v>
      </c>
      <c r="AL175" s="25" t="str">
        <f t="shared" ca="1" si="158"/>
        <v/>
      </c>
      <c r="AM175" s="51"/>
    </row>
    <row r="176" spans="2:64" x14ac:dyDescent="0.2">
      <c r="B176" s="18">
        <f t="shared" si="177"/>
        <v>110</v>
      </c>
      <c r="D176" s="1" t="s">
        <v>387</v>
      </c>
      <c r="F176" s="50">
        <f ca="1">Function!V176</f>
        <v>6017.1693334783249</v>
      </c>
      <c r="H176" s="79">
        <v>3019.5891666666666</v>
      </c>
      <c r="J176" s="31" t="s">
        <v>241</v>
      </c>
      <c r="K176" s="73">
        <f>_xlfn.IFNA(MATCH(J176,'Dist Factors'!$B$15:$B$431,0),0)</f>
        <v>15</v>
      </c>
      <c r="L176" s="50">
        <f t="shared" ca="1" si="175"/>
        <v>2997.5801668116583</v>
      </c>
      <c r="N176" s="18" t="s">
        <v>248</v>
      </c>
      <c r="O176" s="73">
        <f>_xlfn.IFNA(MATCH(N176,'Dist Factors'!$B$15:$B$431,0),0)</f>
        <v>3</v>
      </c>
      <c r="P176" s="20">
        <f ca="1">OFFSET('Dist Factors'!$B$15,$O176-1,P$14)*$L176+OFFSET('Dist Factors'!$B$15,$K176-1,P$14)*$H176</f>
        <v>0</v>
      </c>
      <c r="R176" s="20">
        <f ca="1">OFFSET('Dist Factors'!$B$15,$O176-1,R$14)*$L176+OFFSET('Dist Factors'!$B$15,$K176-1,R$14)*$H176</f>
        <v>0</v>
      </c>
      <c r="S176" s="20"/>
      <c r="T176" s="20">
        <f ca="1">OFFSET('Dist Factors'!$B$15,$O176-1,T$14)*$L176+OFFSET('Dist Factors'!$B$15,$K176-1,T$14)*$H176</f>
        <v>555.13564532871283</v>
      </c>
      <c r="U176" s="20"/>
      <c r="V176" s="20">
        <f ca="1">OFFSET('Dist Factors'!$B$15,$O176-1,V$14)*$L176+OFFSET('Dist Factors'!$B$15,$K176-1,V$14)*$H176</f>
        <v>0</v>
      </c>
      <c r="W176" s="9"/>
      <c r="X176" s="20">
        <f ca="1">OFFSET('Dist Factors'!$B$15,$O176-1,X$14)*$L176+OFFSET('Dist Factors'!$B$15,$K176-1,X$14)*$H176</f>
        <v>743.31836001507816</v>
      </c>
      <c r="Y176" s="9"/>
      <c r="Z176" s="20">
        <f ca="1">OFFSET('Dist Factors'!$B$15,$O176-1,Z$14)*$L176+OFFSET('Dist Factors'!$B$15,$K176-1,Z$14)*$H176</f>
        <v>1075.1892896787631</v>
      </c>
      <c r="AA176" s="20"/>
      <c r="AB176" s="20">
        <f ca="1">OFFSET('Dist Factors'!$B$15,$O176-1,AB$14)*$L176+OFFSET('Dist Factors'!$B$15,$K176-1,AB$14)*$H176</f>
        <v>535.5538085921487</v>
      </c>
      <c r="AC176" s="9"/>
      <c r="AD176" s="20">
        <f ca="1">OFFSET('Dist Factors'!$B$15,$O176-1,AD$14)*$L176+OFFSET('Dist Factors'!$B$15,$K176-1,AD$14)*$H176</f>
        <v>3107.9722298636225</v>
      </c>
      <c r="AE176" s="9"/>
      <c r="AF176" s="20">
        <f ca="1">OFFSET('Dist Factors'!$B$15,$O176-1,AF$14)*$L176+OFFSET('Dist Factors'!$B$15,$K176-1,AF$14)*$H176</f>
        <v>0</v>
      </c>
      <c r="AG176" s="9"/>
      <c r="AH176" s="20">
        <f ca="1">OFFSET('Dist Factors'!$B$15,$O176-1,AH$14)*$L176+OFFSET('Dist Factors'!$B$15,$K176-1,AH$14)*$H176</f>
        <v>0</v>
      </c>
      <c r="AI176" s="9"/>
      <c r="AJ176" s="20">
        <f t="shared" ca="1" si="176"/>
        <v>6017.1693334783249</v>
      </c>
      <c r="AL176" s="25" t="str">
        <f t="shared" ca="1" si="158"/>
        <v/>
      </c>
      <c r="AM176" s="51"/>
    </row>
    <row r="177" spans="2:39" x14ac:dyDescent="0.2">
      <c r="K177" s="74"/>
      <c r="AE177" s="9"/>
      <c r="AG177" s="9"/>
      <c r="AJ177" s="1">
        <f t="shared" si="176"/>
        <v>0</v>
      </c>
      <c r="AL177" s="25" t="str">
        <f t="shared" si="158"/>
        <v/>
      </c>
      <c r="AM177" s="51"/>
    </row>
    <row r="178" spans="2:39" x14ac:dyDescent="0.2">
      <c r="B178" s="18">
        <f>B176+1</f>
        <v>111</v>
      </c>
      <c r="D178" s="1" t="s">
        <v>401</v>
      </c>
      <c r="F178" s="41">
        <f ca="1">SUM(F170:F176)</f>
        <v>64932.585078996191</v>
      </c>
      <c r="H178" s="41">
        <f>SUM(H170:H176)</f>
        <v>3019.5891666666666</v>
      </c>
      <c r="J178" s="2"/>
      <c r="K178" s="74"/>
      <c r="L178" s="41">
        <f ca="1">SUM(L170:L176)</f>
        <v>61912.995912329527</v>
      </c>
      <c r="P178" s="10">
        <f ca="1">SUM(P170:P176)</f>
        <v>0</v>
      </c>
      <c r="R178" s="10">
        <f ca="1">SUM(R170:R176)</f>
        <v>0</v>
      </c>
      <c r="S178" s="20"/>
      <c r="T178" s="10">
        <f ca="1">SUM(T170:T176)</f>
        <v>555.13564532871283</v>
      </c>
      <c r="U178" s="20"/>
      <c r="V178" s="10">
        <f ca="1">SUM(V170:V176)</f>
        <v>0</v>
      </c>
      <c r="X178" s="10">
        <f ca="1">SUM(X170:X176)</f>
        <v>743.31836001507816</v>
      </c>
      <c r="Z178" s="10">
        <f ca="1">SUM(Z170:Z176)</f>
        <v>1075.1892896787631</v>
      </c>
      <c r="AB178" s="10">
        <f ca="1">SUM(AB170:AB176)</f>
        <v>535.5538085921487</v>
      </c>
      <c r="AD178" s="10">
        <f ca="1">SUM(AD170:AD176)</f>
        <v>3107.9722298636225</v>
      </c>
      <c r="AE178" s="9"/>
      <c r="AF178" s="10">
        <f ca="1">SUM(AF170:AF176)</f>
        <v>58915.415745517865</v>
      </c>
      <c r="AG178" s="9"/>
      <c r="AH178" s="10">
        <f ca="1">SUM(AH170:AH176)</f>
        <v>0</v>
      </c>
      <c r="AJ178" s="10">
        <f ca="1">SUM(AJ170:AJ176)</f>
        <v>64932.585078996191</v>
      </c>
      <c r="AL178" s="25" t="str">
        <f t="shared" ca="1" si="158"/>
        <v/>
      </c>
      <c r="AM178" s="51"/>
    </row>
    <row r="179" spans="2:39" x14ac:dyDescent="0.2">
      <c r="K179" s="74"/>
      <c r="S179" s="20"/>
      <c r="U179" s="20"/>
      <c r="AL179" s="25" t="str">
        <f t="shared" si="158"/>
        <v/>
      </c>
      <c r="AM179" s="51"/>
    </row>
    <row r="180" spans="2:39" ht="13.5" thickBot="1" x14ac:dyDescent="0.25">
      <c r="B180" s="18">
        <f>B178+1</f>
        <v>112</v>
      </c>
      <c r="D180" s="1" t="s">
        <v>148</v>
      </c>
      <c r="F180" s="83">
        <f ca="1">F164-F178</f>
        <v>2399359.0807846827</v>
      </c>
      <c r="H180" s="83">
        <f>H164-H178</f>
        <v>2544.3061849923615</v>
      </c>
      <c r="K180" s="74"/>
      <c r="L180" s="83">
        <f ca="1">L164-L178</f>
        <v>2396814.77459969</v>
      </c>
      <c r="P180" s="34">
        <f ca="1">P164-P178</f>
        <v>311340.54218884726</v>
      </c>
      <c r="R180" s="34">
        <f ca="1">R164-R178</f>
        <v>57499.970385830791</v>
      </c>
      <c r="S180" s="20"/>
      <c r="T180" s="34">
        <f ca="1">T164-T178</f>
        <v>305620.80955824681</v>
      </c>
      <c r="U180" s="20"/>
      <c r="V180" s="34">
        <f ca="1">V164-V178</f>
        <v>216731.79528524552</v>
      </c>
      <c r="X180" s="34">
        <f ca="1">X164-X178</f>
        <v>406738.78665639873</v>
      </c>
      <c r="Z180" s="34">
        <f ca="1">Z164-Z178</f>
        <v>581901.18023431743</v>
      </c>
      <c r="AB180" s="34">
        <f ca="1">AB164-AB178</f>
        <v>292716.36554732081</v>
      </c>
      <c r="AD180" s="34">
        <f ca="1">AD164-AD178</f>
        <v>45316.467170216376</v>
      </c>
      <c r="AF180" s="34">
        <f ca="1">AF164-AF178</f>
        <v>163153.28037208295</v>
      </c>
      <c r="AH180" s="34">
        <f ca="1">AH164-AH178</f>
        <v>18339.883386175716</v>
      </c>
      <c r="AJ180" s="34">
        <f ca="1">AJ164-AJ178</f>
        <v>2399359.0807846827</v>
      </c>
      <c r="AL180" s="25" t="str">
        <f t="shared" ca="1" si="158"/>
        <v/>
      </c>
      <c r="AM180" s="51"/>
    </row>
    <row r="181" spans="2:39" ht="13.5" thickTop="1" x14ac:dyDescent="0.2">
      <c r="D181" s="1" t="s">
        <v>404</v>
      </c>
    </row>
    <row r="182" spans="2:39" x14ac:dyDescent="0.2">
      <c r="V182" s="8"/>
    </row>
  </sheetData>
  <mergeCells count="5">
    <mergeCell ref="B5:AJ5"/>
    <mergeCell ref="B6:AJ6"/>
    <mergeCell ref="B7:AJ7"/>
    <mergeCell ref="P9:V9"/>
    <mergeCell ref="X9:AF9"/>
  </mergeCells>
  <phoneticPr fontId="12" type="noConversion"/>
  <pageMargins left="0.7" right="0.7" top="0.75" bottom="0.75" header="0.3" footer="0.3"/>
  <pageSetup scale="36" fitToHeight="4" orientation="landscape" r:id="rId1"/>
  <ignoredErrors>
    <ignoredError sqref="AD158:AH158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8CE5ABBD-0506-45DC-AAFF-0DD1365220C0}"/>
</file>

<file path=customXml/itemProps2.xml><?xml version="1.0" encoding="utf-8"?>
<ds:datastoreItem xmlns:ds="http://schemas.openxmlformats.org/officeDocument/2006/customXml" ds:itemID="{C3E48B62-58B5-4A3B-8C0B-794BC2E815A3}"/>
</file>

<file path=customXml/itemProps3.xml><?xml version="1.0" encoding="utf-8"?>
<ds:datastoreItem xmlns:ds="http://schemas.openxmlformats.org/officeDocument/2006/customXml" ds:itemID="{DFC9D696-E8FE-4B97-B504-E1C9E558C3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12</vt:i4>
      </vt:variant>
    </vt:vector>
  </HeadingPairs>
  <TitlesOfParts>
    <vt:vector size="45" baseType="lpstr">
      <vt:lpstr>Function</vt:lpstr>
      <vt:lpstr>Function Factors</vt:lpstr>
      <vt:lpstr>Gas Supply Class</vt:lpstr>
      <vt:lpstr>Gas Supply Factors</vt:lpstr>
      <vt:lpstr>Storage Class</vt:lpstr>
      <vt:lpstr>Stor Factors</vt:lpstr>
      <vt:lpstr>Transmission Class</vt:lpstr>
      <vt:lpstr>Trans Factors</vt:lpstr>
      <vt:lpstr>Distribution Class</vt:lpstr>
      <vt:lpstr>Dist Factors</vt:lpstr>
      <vt:lpstr>Dist Cust Class</vt:lpstr>
      <vt:lpstr>Dist Cust Factors</vt:lpstr>
      <vt:lpstr>Total Allocation Current RZ</vt:lpstr>
      <vt:lpstr>Total Allocation RZ - Dist</vt:lpstr>
      <vt:lpstr>Total Allocation RZ - Gas</vt:lpstr>
      <vt:lpstr>RZ Factors</vt:lpstr>
      <vt:lpstr>Dist RZ Factors</vt:lpstr>
      <vt:lpstr>Total Allocation - EGD</vt:lpstr>
      <vt:lpstr>Total Allocation - Dist EGD</vt:lpstr>
      <vt:lpstr>Total Allocation - Gas EGD</vt:lpstr>
      <vt:lpstr>Allocation Factors - EGD</vt:lpstr>
      <vt:lpstr>Total Allocation - North</vt:lpstr>
      <vt:lpstr>Total Allo - Dist Union North</vt:lpstr>
      <vt:lpstr>Total Allo - Gas Union North</vt:lpstr>
      <vt:lpstr>Allocation Factors-Union North</vt:lpstr>
      <vt:lpstr>Total Allocation - Union South</vt:lpstr>
      <vt:lpstr>Total Allo - Dist Union South</vt:lpstr>
      <vt:lpstr>Total Allo -  Gas Union South</vt:lpstr>
      <vt:lpstr>Allocation Factors-Union South</vt:lpstr>
      <vt:lpstr>Total Allocation - Ex Fran</vt:lpstr>
      <vt:lpstr>Total Allocation - Dist Ex Fran</vt:lpstr>
      <vt:lpstr>Total Allocation - Gas Ex Fran</vt:lpstr>
      <vt:lpstr>Allocation Factors - Ex Fran</vt:lpstr>
      <vt:lpstr>'Dist Cust Class'!Print_Area</vt:lpstr>
      <vt:lpstr>'Dist Factors'!Print_Area</vt:lpstr>
      <vt:lpstr>'Distribution Class'!Print_Area</vt:lpstr>
      <vt:lpstr>Function!Print_Area</vt:lpstr>
      <vt:lpstr>'Function Factors'!Print_Area</vt:lpstr>
      <vt:lpstr>'Gas Supply Class'!Print_Area</vt:lpstr>
      <vt:lpstr>'Gas Supply Factors'!Print_Area</vt:lpstr>
      <vt:lpstr>'Stor Factors'!Print_Area</vt:lpstr>
      <vt:lpstr>'Storage Class'!Print_Area</vt:lpstr>
      <vt:lpstr>'Trans Factors'!Print_Area</vt:lpstr>
      <vt:lpstr>'Transmission Class'!Print_Area</vt:lpstr>
      <vt:lpstr>Function!Print_Titles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2025-02-28T15:31:39Z</dcterms:created>
  <dcterms:modified xsi:type="dcterms:W3CDTF">2025-02-28T15:31:50Z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