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13" documentId="13_ncr:1_{B4D175A7-EBF6-4C83-BB12-2988C1705022}" xr6:coauthVersionLast="47" xr6:coauthVersionMax="47" xr10:uidLastSave="{43207D57-61F3-46C8-AEA1-A3A8A631D9C5}"/>
  <bookViews>
    <workbookView xWindow="-120" yWindow="-120" windowWidth="29040" windowHeight="15225" xr2:uid="{A5382E2A-BDC0-41AA-BFE1-D122961D54C2}"/>
  </bookViews>
  <sheets>
    <sheet name="8.2.9.2 p.1-4" sheetId="1" r:id="rId1"/>
    <sheet name="8.2.9.2 p.5-6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hidden="1">{#N/A,#N/A,FALSE,"H3 Tab 1"}</definedName>
    <definedName name="_xlnm.Print_Area" localSheetId="0">'8.2.9.2 p.1-4'!$A$1:$AA$231</definedName>
    <definedName name="_xlnm.Print_Area" localSheetId="1">'8.2.9.2 p.5-6'!$A$1:$Z$119</definedName>
    <definedName name="_xlnm.Print_Titles" localSheetId="0">'8.2.9.2 p.1-4'!$1:$14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3" i="2" l="1"/>
  <c r="T105" i="2"/>
  <c r="R105" i="2"/>
  <c r="P105" i="2"/>
  <c r="D105" i="2"/>
  <c r="H105" i="2"/>
  <c r="X102" i="2"/>
  <c r="D100" i="2"/>
  <c r="T97" i="2"/>
  <c r="X97" i="2" s="1"/>
  <c r="T95" i="2"/>
  <c r="P100" i="2"/>
  <c r="T93" i="2"/>
  <c r="R93" i="2" s="1"/>
  <c r="D89" i="2"/>
  <c r="X87" i="2"/>
  <c r="X86" i="2"/>
  <c r="R86" i="2"/>
  <c r="R83" i="2"/>
  <c r="R81" i="2"/>
  <c r="T80" i="2"/>
  <c r="R80" i="2" s="1"/>
  <c r="T78" i="2"/>
  <c r="X78" i="2" s="1"/>
  <c r="T77" i="2"/>
  <c r="T74" i="2"/>
  <c r="T73" i="2"/>
  <c r="D57" i="2"/>
  <c r="D55" i="2"/>
  <c r="X53" i="2"/>
  <c r="R53" i="2"/>
  <c r="X51" i="2"/>
  <c r="P55" i="2"/>
  <c r="R50" i="2"/>
  <c r="D47" i="2"/>
  <c r="R45" i="2"/>
  <c r="X44" i="2"/>
  <c r="X43" i="2"/>
  <c r="T42" i="2"/>
  <c r="T41" i="2"/>
  <c r="X41" i="2" s="1"/>
  <c r="T39" i="2"/>
  <c r="T35" i="2"/>
  <c r="R35" i="2" s="1"/>
  <c r="T32" i="2"/>
  <c r="X32" i="2" s="1"/>
  <c r="T28" i="2"/>
  <c r="X28" i="2" s="1"/>
  <c r="T27" i="2"/>
  <c r="X26" i="2"/>
  <c r="T26" i="2"/>
  <c r="R26" i="2" s="1"/>
  <c r="T25" i="2"/>
  <c r="T24" i="2"/>
  <c r="R24" i="2" s="1"/>
  <c r="D19" i="2"/>
  <c r="B19" i="2"/>
  <c r="H19" i="2"/>
  <c r="B17" i="2"/>
  <c r="T15" i="2"/>
  <c r="H224" i="1"/>
  <c r="P220" i="1"/>
  <c r="T219" i="1"/>
  <c r="T217" i="1"/>
  <c r="R217" i="1" s="1"/>
  <c r="T216" i="1"/>
  <c r="T214" i="1"/>
  <c r="T209" i="1"/>
  <c r="X209" i="1" s="1"/>
  <c r="P208" i="1"/>
  <c r="X208" i="1" s="1"/>
  <c r="T206" i="1"/>
  <c r="X206" i="1" s="1"/>
  <c r="T198" i="1"/>
  <c r="P198" i="1" s="1"/>
  <c r="X198" i="1" s="1"/>
  <c r="P190" i="1"/>
  <c r="H190" i="1"/>
  <c r="T180" i="1"/>
  <c r="T179" i="1"/>
  <c r="R179" i="1" s="1"/>
  <c r="P177" i="1"/>
  <c r="T175" i="1"/>
  <c r="R175" i="1" s="1"/>
  <c r="T174" i="1"/>
  <c r="R174" i="1"/>
  <c r="T171" i="1"/>
  <c r="R171" i="1" s="1"/>
  <c r="H161" i="1"/>
  <c r="P161" i="1"/>
  <c r="T159" i="1"/>
  <c r="T155" i="1"/>
  <c r="H156" i="1"/>
  <c r="P156" i="1"/>
  <c r="T153" i="1"/>
  <c r="T146" i="1"/>
  <c r="T143" i="1"/>
  <c r="R143" i="1" s="1"/>
  <c r="P139" i="1"/>
  <c r="H139" i="1"/>
  <c r="T137" i="1"/>
  <c r="T136" i="1"/>
  <c r="R136" i="1" s="1"/>
  <c r="H148" i="1"/>
  <c r="T134" i="1"/>
  <c r="V114" i="1"/>
  <c r="P128" i="1"/>
  <c r="X128" i="1" s="1"/>
  <c r="V113" i="1"/>
  <c r="T113" i="1" s="1"/>
  <c r="T126" i="1"/>
  <c r="R126" i="1" s="1"/>
  <c r="T125" i="1"/>
  <c r="R125" i="1" s="1"/>
  <c r="P123" i="1"/>
  <c r="T121" i="1"/>
  <c r="R121" i="1" s="1"/>
  <c r="R114" i="1"/>
  <c r="P114" i="1"/>
  <c r="T112" i="1"/>
  <c r="T111" i="1"/>
  <c r="P109" i="1"/>
  <c r="P105" i="1"/>
  <c r="X105" i="1" s="1"/>
  <c r="H116" i="1"/>
  <c r="T104" i="1"/>
  <c r="T89" i="1"/>
  <c r="T84" i="1"/>
  <c r="R84" i="1" s="1"/>
  <c r="T83" i="1"/>
  <c r="R83" i="1" s="1"/>
  <c r="T73" i="1"/>
  <c r="X73" i="1" s="1"/>
  <c r="T65" i="1"/>
  <c r="P63" i="1"/>
  <c r="T61" i="1"/>
  <c r="H58" i="1"/>
  <c r="H67" i="1" s="1"/>
  <c r="P56" i="1"/>
  <c r="T55" i="1"/>
  <c r="R55" i="1" s="1"/>
  <c r="T54" i="1"/>
  <c r="R54" i="1" s="1"/>
  <c r="R56" i="1" s="1"/>
  <c r="T52" i="1"/>
  <c r="X52" i="1" s="1"/>
  <c r="T44" i="1"/>
  <c r="P42" i="1"/>
  <c r="T40" i="1"/>
  <c r="R40" i="1" s="1"/>
  <c r="P37" i="1"/>
  <c r="T36" i="1"/>
  <c r="R36" i="1" s="1"/>
  <c r="T34" i="1"/>
  <c r="X34" i="1" s="1"/>
  <c r="T27" i="1"/>
  <c r="T24" i="1"/>
  <c r="T19" i="1"/>
  <c r="H20" i="1"/>
  <c r="H29" i="1" s="1"/>
  <c r="B18" i="1"/>
  <c r="P20" i="1"/>
  <c r="T17" i="1"/>
  <c r="X125" i="1" l="1"/>
  <c r="R155" i="1"/>
  <c r="X155" i="1"/>
  <c r="R15" i="2"/>
  <c r="X15" i="2"/>
  <c r="R39" i="2"/>
  <c r="X39" i="2"/>
  <c r="R42" i="2"/>
  <c r="X42" i="2"/>
  <c r="X27" i="2"/>
  <c r="R27" i="2"/>
  <c r="T163" i="1"/>
  <c r="T38" i="2"/>
  <c r="R38" i="2" s="1"/>
  <c r="H100" i="2"/>
  <c r="V105" i="2"/>
  <c r="T18" i="1"/>
  <c r="X18" i="1" s="1"/>
  <c r="P25" i="1"/>
  <c r="P58" i="1"/>
  <c r="T82" i="1"/>
  <c r="R82" i="1" s="1"/>
  <c r="T92" i="1"/>
  <c r="T94" i="1"/>
  <c r="T124" i="1"/>
  <c r="H144" i="1"/>
  <c r="T160" i="1"/>
  <c r="R160" i="1" s="1"/>
  <c r="T188" i="1"/>
  <c r="T193" i="1"/>
  <c r="P19" i="2"/>
  <c r="T33" i="2"/>
  <c r="R33" i="2" s="1"/>
  <c r="T76" i="2"/>
  <c r="X76" i="2" s="1"/>
  <c r="X93" i="2"/>
  <c r="T98" i="2"/>
  <c r="X98" i="2" s="1"/>
  <c r="X105" i="2"/>
  <c r="P130" i="1"/>
  <c r="P65" i="1"/>
  <c r="X136" i="1"/>
  <c r="T40" i="2"/>
  <c r="X40" i="2" s="1"/>
  <c r="T62" i="1"/>
  <c r="R62" i="1" s="1"/>
  <c r="T127" i="1"/>
  <c r="X127" i="1" s="1"/>
  <c r="T154" i="1"/>
  <c r="T156" i="1" s="1"/>
  <c r="H165" i="1"/>
  <c r="T173" i="1"/>
  <c r="R173" i="1" s="1"/>
  <c r="P196" i="1"/>
  <c r="T218" i="1"/>
  <c r="T222" i="1" s="1"/>
  <c r="T29" i="2"/>
  <c r="R44" i="2"/>
  <c r="H55" i="2"/>
  <c r="P89" i="2"/>
  <c r="H89" i="2"/>
  <c r="T94" i="2"/>
  <c r="T96" i="2"/>
  <c r="R96" i="2" s="1"/>
  <c r="H42" i="1"/>
  <c r="T77" i="1"/>
  <c r="R77" i="1" s="1"/>
  <c r="R51" i="2"/>
  <c r="R55" i="2" s="1"/>
  <c r="X17" i="1"/>
  <c r="R24" i="1"/>
  <c r="T91" i="1"/>
  <c r="R91" i="1" s="1"/>
  <c r="X104" i="1"/>
  <c r="T135" i="1"/>
  <c r="T187" i="1"/>
  <c r="T189" i="1"/>
  <c r="X189" i="1" s="1"/>
  <c r="T195" i="1"/>
  <c r="R195" i="1" s="1"/>
  <c r="R209" i="1"/>
  <c r="H47" i="2"/>
  <c r="T79" i="2"/>
  <c r="T35" i="1"/>
  <c r="T79" i="1"/>
  <c r="R79" i="1" s="1"/>
  <c r="T138" i="1"/>
  <c r="R138" i="1" s="1"/>
  <c r="P144" i="1"/>
  <c r="T194" i="1"/>
  <c r="R194" i="1" s="1"/>
  <c r="H200" i="1"/>
  <c r="P47" i="2"/>
  <c r="P57" i="2" s="1"/>
  <c r="P80" i="1"/>
  <c r="T93" i="1"/>
  <c r="T107" i="1"/>
  <c r="R107" i="1" s="1"/>
  <c r="X134" i="1"/>
  <c r="X50" i="2"/>
  <c r="X33" i="2"/>
  <c r="R29" i="2"/>
  <c r="X29" i="2"/>
  <c r="X95" i="2"/>
  <c r="R95" i="2"/>
  <c r="X73" i="2"/>
  <c r="R73" i="2"/>
  <c r="R84" i="2"/>
  <c r="X84" i="2"/>
  <c r="X74" i="2"/>
  <c r="R74" i="2"/>
  <c r="X82" i="2"/>
  <c r="R82" i="2"/>
  <c r="X94" i="2"/>
  <c r="R94" i="2"/>
  <c r="R77" i="2"/>
  <c r="X77" i="2"/>
  <c r="R25" i="2"/>
  <c r="X25" i="2"/>
  <c r="R40" i="2"/>
  <c r="R32" i="2"/>
  <c r="T55" i="2"/>
  <c r="R78" i="2"/>
  <c r="R97" i="2"/>
  <c r="X24" i="2"/>
  <c r="R28" i="2"/>
  <c r="R41" i="2"/>
  <c r="R87" i="2"/>
  <c r="X35" i="2"/>
  <c r="X45" i="2"/>
  <c r="T17" i="2"/>
  <c r="X83" i="2"/>
  <c r="B24" i="2"/>
  <c r="X80" i="2"/>
  <c r="X19" i="1"/>
  <c r="R19" i="1"/>
  <c r="P27" i="1"/>
  <c r="P44" i="1"/>
  <c r="X44" i="1" s="1"/>
  <c r="R61" i="1"/>
  <c r="T108" i="1"/>
  <c r="R108" i="1" s="1"/>
  <c r="R109" i="1" s="1"/>
  <c r="X111" i="1"/>
  <c r="R111" i="1"/>
  <c r="X188" i="1"/>
  <c r="R188" i="1"/>
  <c r="H196" i="1"/>
  <c r="T56" i="1"/>
  <c r="R93" i="1"/>
  <c r="R105" i="1"/>
  <c r="R128" i="1"/>
  <c r="T142" i="1"/>
  <c r="X153" i="1"/>
  <c r="H211" i="1"/>
  <c r="H222" i="1" s="1"/>
  <c r="T207" i="1"/>
  <c r="R216" i="1"/>
  <c r="R218" i="1"/>
  <c r="H86" i="1"/>
  <c r="T74" i="1"/>
  <c r="R74" i="1" s="1"/>
  <c r="P95" i="1"/>
  <c r="P97" i="1" s="1"/>
  <c r="R220" i="1"/>
  <c r="B19" i="1"/>
  <c r="B20" i="1" s="1"/>
  <c r="B23" i="1" s="1"/>
  <c r="P222" i="1"/>
  <c r="P163" i="1"/>
  <c r="R163" i="1" s="1"/>
  <c r="X163" i="1"/>
  <c r="H109" i="1"/>
  <c r="R177" i="1"/>
  <c r="R189" i="1"/>
  <c r="T51" i="1"/>
  <c r="H56" i="1"/>
  <c r="R104" i="1"/>
  <c r="X121" i="1"/>
  <c r="X123" i="1"/>
  <c r="R134" i="1"/>
  <c r="P180" i="1"/>
  <c r="R180" i="1" s="1"/>
  <c r="R206" i="1"/>
  <c r="R214" i="1"/>
  <c r="X137" i="1"/>
  <c r="R137" i="1"/>
  <c r="R52" i="1"/>
  <c r="P116" i="1"/>
  <c r="H130" i="1"/>
  <c r="T122" i="1"/>
  <c r="R193" i="1"/>
  <c r="R198" i="1"/>
  <c r="P211" i="1"/>
  <c r="R208" i="1"/>
  <c r="H25" i="1"/>
  <c r="T23" i="1"/>
  <c r="R34" i="1"/>
  <c r="T37" i="1"/>
  <c r="R17" i="1"/>
  <c r="R159" i="1"/>
  <c r="X36" i="1"/>
  <c r="X35" i="1"/>
  <c r="R35" i="1"/>
  <c r="H37" i="1"/>
  <c r="H46" i="1" s="1"/>
  <c r="T139" i="1"/>
  <c r="R73" i="1"/>
  <c r="H80" i="1"/>
  <c r="H63" i="1"/>
  <c r="P75" i="1"/>
  <c r="P86" i="1" s="1"/>
  <c r="T78" i="1"/>
  <c r="R78" i="1" s="1"/>
  <c r="R80" i="1" s="1"/>
  <c r="R89" i="1"/>
  <c r="P146" i="1"/>
  <c r="R153" i="1"/>
  <c r="H182" i="1"/>
  <c r="T176" i="1"/>
  <c r="R176" i="1" s="1"/>
  <c r="T190" i="1"/>
  <c r="R219" i="1"/>
  <c r="T41" i="1"/>
  <c r="R41" i="1" s="1"/>
  <c r="R42" i="1" s="1"/>
  <c r="T89" i="2" l="1"/>
  <c r="T47" i="2"/>
  <c r="T57" i="2" s="1"/>
  <c r="X79" i="2"/>
  <c r="R76" i="2"/>
  <c r="R79" i="2"/>
  <c r="R89" i="2" s="1"/>
  <c r="H57" i="2"/>
  <c r="R98" i="2"/>
  <c r="R100" i="2" s="1"/>
  <c r="B25" i="2"/>
  <c r="B26" i="2" s="1"/>
  <c r="B27" i="2" s="1"/>
  <c r="X38" i="2"/>
  <c r="X95" i="1"/>
  <c r="T63" i="1"/>
  <c r="T20" i="1"/>
  <c r="P165" i="1"/>
  <c r="T161" i="1"/>
  <c r="T165" i="1" s="1"/>
  <c r="B24" i="1"/>
  <c r="B25" i="1" s="1"/>
  <c r="T109" i="1"/>
  <c r="T116" i="1" s="1"/>
  <c r="T130" i="1"/>
  <c r="X130" i="1" s="1"/>
  <c r="T196" i="1"/>
  <c r="R182" i="1"/>
  <c r="R127" i="1"/>
  <c r="R63" i="1"/>
  <c r="R196" i="1"/>
  <c r="R95" i="1"/>
  <c r="T97" i="1"/>
  <c r="X97" i="1" s="1"/>
  <c r="X154" i="1"/>
  <c r="R154" i="1"/>
  <c r="R156" i="1" s="1"/>
  <c r="R161" i="1"/>
  <c r="R65" i="1"/>
  <c r="T42" i="1"/>
  <c r="V42" i="1" s="1"/>
  <c r="T182" i="1"/>
  <c r="T100" i="2"/>
  <c r="V100" i="2" s="1"/>
  <c r="P182" i="1"/>
  <c r="X96" i="2"/>
  <c r="X124" i="1"/>
  <c r="R124" i="1"/>
  <c r="P200" i="1"/>
  <c r="X187" i="1"/>
  <c r="R187" i="1"/>
  <c r="R190" i="1" s="1"/>
  <c r="R94" i="1"/>
  <c r="P46" i="1"/>
  <c r="P148" i="1"/>
  <c r="X135" i="1"/>
  <c r="R135" i="1"/>
  <c r="R92" i="1"/>
  <c r="X65" i="1"/>
  <c r="R18" i="1"/>
  <c r="R20" i="1" s="1"/>
  <c r="P67" i="1"/>
  <c r="R116" i="1"/>
  <c r="V222" i="1"/>
  <c r="R47" i="2"/>
  <c r="R57" i="2" s="1"/>
  <c r="V89" i="2"/>
  <c r="X89" i="2"/>
  <c r="P109" i="2"/>
  <c r="X100" i="2"/>
  <c r="X47" i="2"/>
  <c r="V55" i="2"/>
  <c r="X55" i="2"/>
  <c r="X17" i="2"/>
  <c r="R17" i="2"/>
  <c r="R19" i="2" s="1"/>
  <c r="T19" i="2"/>
  <c r="V116" i="1"/>
  <c r="X116" i="1"/>
  <c r="R146" i="1"/>
  <c r="X75" i="1"/>
  <c r="H99" i="1"/>
  <c r="H97" i="1"/>
  <c r="R75" i="1"/>
  <c r="R27" i="1"/>
  <c r="P224" i="1"/>
  <c r="P99" i="1"/>
  <c r="R37" i="1"/>
  <c r="R222" i="1"/>
  <c r="X20" i="1"/>
  <c r="V20" i="1"/>
  <c r="R44" i="1"/>
  <c r="X63" i="1"/>
  <c r="V63" i="1"/>
  <c r="X37" i="1"/>
  <c r="V37" i="1"/>
  <c r="T25" i="1"/>
  <c r="R23" i="1"/>
  <c r="R25" i="1" s="1"/>
  <c r="T80" i="1"/>
  <c r="X146" i="1"/>
  <c r="X139" i="1"/>
  <c r="V139" i="1"/>
  <c r="X156" i="1"/>
  <c r="V156" i="1"/>
  <c r="X122" i="1"/>
  <c r="R122" i="1"/>
  <c r="X27" i="1"/>
  <c r="R139" i="1"/>
  <c r="T211" i="1"/>
  <c r="R207" i="1"/>
  <c r="R211" i="1" s="1"/>
  <c r="R142" i="1"/>
  <c r="R144" i="1" s="1"/>
  <c r="T144" i="1"/>
  <c r="T148" i="1" s="1"/>
  <c r="X222" i="1"/>
  <c r="V182" i="1"/>
  <c r="R200" i="1"/>
  <c r="V190" i="1"/>
  <c r="T200" i="1"/>
  <c r="X190" i="1"/>
  <c r="V109" i="1"/>
  <c r="R86" i="1"/>
  <c r="V161" i="1"/>
  <c r="X161" i="1"/>
  <c r="X51" i="1"/>
  <c r="R51" i="1"/>
  <c r="R58" i="1" s="1"/>
  <c r="T58" i="1"/>
  <c r="X196" i="1"/>
  <c r="V196" i="1"/>
  <c r="X56" i="1"/>
  <c r="V56" i="1"/>
  <c r="P29" i="1"/>
  <c r="V47" i="2" l="1"/>
  <c r="B28" i="2"/>
  <c r="T109" i="2"/>
  <c r="B29" i="2"/>
  <c r="X182" i="1"/>
  <c r="R97" i="1"/>
  <c r="X109" i="1"/>
  <c r="V97" i="1"/>
  <c r="T46" i="1"/>
  <c r="V130" i="1"/>
  <c r="R165" i="1"/>
  <c r="X42" i="1"/>
  <c r="R67" i="1"/>
  <c r="R99" i="1"/>
  <c r="R224" i="1"/>
  <c r="R148" i="1"/>
  <c r="R130" i="1"/>
  <c r="R109" i="2"/>
  <c r="X57" i="2"/>
  <c r="V57" i="2"/>
  <c r="X19" i="2"/>
  <c r="V19" i="2"/>
  <c r="P226" i="1"/>
  <c r="X148" i="1"/>
  <c r="V148" i="1"/>
  <c r="X80" i="1"/>
  <c r="V80" i="1"/>
  <c r="X144" i="1"/>
  <c r="V144" i="1"/>
  <c r="X46" i="1"/>
  <c r="V46" i="1"/>
  <c r="V200" i="1"/>
  <c r="X200" i="1"/>
  <c r="B27" i="1"/>
  <c r="X165" i="1"/>
  <c r="V165" i="1"/>
  <c r="V25" i="1"/>
  <c r="X25" i="1"/>
  <c r="T29" i="1"/>
  <c r="R29" i="1"/>
  <c r="X58" i="1"/>
  <c r="V58" i="1"/>
  <c r="T67" i="1"/>
  <c r="V211" i="1"/>
  <c r="T224" i="1"/>
  <c r="X211" i="1"/>
  <c r="T86" i="1"/>
  <c r="R46" i="1"/>
  <c r="B32" i="2" l="1"/>
  <c r="B33" i="2" s="1"/>
  <c r="B35" i="2" s="1"/>
  <c r="R226" i="1"/>
  <c r="X67" i="1"/>
  <c r="V67" i="1"/>
  <c r="V29" i="1"/>
  <c r="X29" i="1"/>
  <c r="B29" i="1"/>
  <c r="V86" i="1"/>
  <c r="T99" i="1"/>
  <c r="T226" i="1" s="1"/>
  <c r="X86" i="1"/>
  <c r="V224" i="1"/>
  <c r="X224" i="1"/>
  <c r="B38" i="2" l="1"/>
  <c r="B34" i="1"/>
  <c r="X99" i="1"/>
  <c r="V99" i="1"/>
  <c r="B39" i="2" l="1"/>
  <c r="B40" i="2" s="1"/>
  <c r="B35" i="1"/>
  <c r="B41" i="2" l="1"/>
  <c r="B42" i="2" s="1"/>
  <c r="B36" i="1"/>
  <c r="B43" i="2" l="1"/>
  <c r="B44" i="2" s="1"/>
  <c r="B45" i="2" s="1"/>
  <c r="B47" i="2" s="1"/>
  <c r="B50" i="2" s="1"/>
  <c r="B51" i="2" s="1"/>
  <c r="B53" i="2" s="1"/>
  <c r="B55" i="2" s="1"/>
  <c r="B57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6" i="2" s="1"/>
  <c r="B87" i="2" s="1"/>
  <c r="B89" i="2" s="1"/>
  <c r="B93" i="2" s="1"/>
  <c r="B94" i="2" s="1"/>
  <c r="B95" i="2" s="1"/>
  <c r="B96" i="2" s="1"/>
  <c r="B97" i="2" s="1"/>
  <c r="B98" i="2" s="1"/>
  <c r="B100" i="2" s="1"/>
  <c r="B103" i="2" s="1"/>
  <c r="B105" i="2" s="1"/>
  <c r="B107" i="2" s="1"/>
  <c r="B109" i="2" s="1"/>
  <c r="B111" i="2" s="1"/>
  <c r="B37" i="1"/>
  <c r="B40" i="1" l="1"/>
  <c r="B41" i="1" l="1"/>
  <c r="B42" i="1" s="1"/>
  <c r="B44" i="1" s="1"/>
  <c r="B46" i="1" s="1"/>
  <c r="B51" i="1" s="1"/>
  <c r="B52" i="1" s="1"/>
  <c r="B54" i="1" s="1"/>
  <c r="B55" i="1" s="1"/>
  <c r="B56" i="1" s="1"/>
  <c r="B58" i="1" s="1"/>
  <c r="B61" i="1" s="1"/>
  <c r="B62" i="1" s="1"/>
  <c r="B63" i="1" s="1"/>
  <c r="B65" i="1" s="1"/>
  <c r="B67" i="1" s="1"/>
  <c r="B73" i="1" s="1"/>
  <c r="B74" i="1" s="1"/>
  <c r="B75" i="1" s="1"/>
  <c r="B77" i="1" s="1"/>
  <c r="B78" i="1" s="1"/>
  <c r="B79" i="1" s="1"/>
  <c r="B80" i="1" s="1"/>
  <c r="B82" i="1" s="1"/>
  <c r="B83" i="1" s="1"/>
  <c r="B84" i="1" s="1"/>
  <c r="B86" i="1" s="1"/>
  <c r="B89" i="1" s="1"/>
  <c r="B91" i="1" s="1"/>
  <c r="B92" i="1" s="1"/>
  <c r="B93" i="1" s="1"/>
  <c r="B94" i="1" s="1"/>
  <c r="B95" i="1" s="1"/>
  <c r="B97" i="1" s="1"/>
  <c r="B99" i="1" s="1"/>
  <c r="B104" i="1" s="1"/>
  <c r="B105" i="1" s="1"/>
  <c r="B107" i="1" s="1"/>
  <c r="B108" i="1" s="1"/>
  <c r="B109" i="1" s="1"/>
  <c r="B111" i="1" s="1"/>
  <c r="B112" i="1" s="1"/>
  <c r="B113" i="1" s="1"/>
  <c r="B114" i="1" s="1"/>
  <c r="B116" i="1" s="1"/>
  <c r="B121" i="1" s="1"/>
  <c r="B122" i="1" s="1"/>
  <c r="B123" i="1" s="1"/>
  <c r="B124" i="1" s="1"/>
  <c r="B125" i="1" s="1"/>
  <c r="B126" i="1" s="1"/>
  <c r="B127" i="1" s="1"/>
  <c r="B128" i="1" s="1"/>
  <c r="B130" i="1" s="1"/>
  <c r="B134" i="1" s="1"/>
  <c r="B135" i="1" s="1"/>
  <c r="B136" i="1" s="1"/>
  <c r="B137" i="1" s="1"/>
  <c r="B138" i="1" l="1"/>
  <c r="B139" i="1" s="1"/>
  <c r="B142" i="1"/>
  <c r="B143" i="1" l="1"/>
  <c r="B144" i="1" s="1"/>
  <c r="B146" i="1" s="1"/>
  <c r="B148" i="1" s="1"/>
  <c r="B153" i="1" s="1"/>
  <c r="B154" i="1" s="1"/>
  <c r="B155" i="1" s="1"/>
  <c r="B156" i="1" l="1"/>
  <c r="B159" i="1"/>
  <c r="B160" i="1"/>
  <c r="B161" i="1" s="1"/>
  <c r="B163" i="1" s="1"/>
  <c r="B165" i="1" s="1"/>
  <c r="B171" i="1" s="1"/>
  <c r="B173" i="1" s="1"/>
  <c r="B174" i="1" s="1"/>
  <c r="B175" i="1" s="1"/>
  <c r="B176" i="1" s="1"/>
  <c r="B177" i="1" s="1"/>
  <c r="B179" i="1" s="1"/>
  <c r="B180" i="1" s="1"/>
  <c r="B182" i="1" s="1"/>
  <c r="B187" i="1" s="1"/>
  <c r="B188" i="1" s="1"/>
  <c r="B189" i="1" s="1"/>
  <c r="B190" i="1" s="1"/>
  <c r="B193" i="1" s="1"/>
  <c r="B194" i="1" s="1"/>
  <c r="B195" i="1" s="1"/>
  <c r="B196" i="1" s="1"/>
  <c r="B198" i="1" s="1"/>
  <c r="B200" i="1" s="1"/>
  <c r="B206" i="1" s="1"/>
  <c r="B207" i="1" s="1"/>
  <c r="B208" i="1" s="1"/>
  <c r="B209" i="1" s="1"/>
  <c r="B211" i="1" s="1"/>
  <c r="B214" i="1" s="1"/>
  <c r="B215" i="1" s="1"/>
  <c r="B216" i="1" s="1"/>
  <c r="B217" i="1" s="1"/>
  <c r="B218" i="1" s="1"/>
  <c r="B219" i="1" s="1"/>
  <c r="B220" i="1" s="1"/>
  <c r="B222" i="1" s="1"/>
  <c r="B224" i="1" s="1"/>
  <c r="B226" i="1" s="1"/>
  <c r="L148" i="1" l="1"/>
  <c r="Z148" i="1" s="1"/>
  <c r="N148" i="1"/>
  <c r="L46" i="1"/>
  <c r="Z46" i="1" s="1"/>
  <c r="N46" i="1"/>
  <c r="L200" i="1"/>
  <c r="Z200" i="1" s="1"/>
  <c r="N200" i="1"/>
  <c r="L165" i="1"/>
  <c r="Z165" i="1" s="1"/>
  <c r="N165" i="1"/>
  <c r="J226" i="1"/>
  <c r="L224" i="1"/>
  <c r="Z224" i="1" s="1"/>
  <c r="N224" i="1"/>
  <c r="N182" i="1"/>
  <c r="L182" i="1"/>
  <c r="Z182" i="1" s="1"/>
  <c r="L67" i="1"/>
  <c r="Z67" i="1" s="1"/>
  <c r="N67" i="1"/>
  <c r="N99" i="1"/>
  <c r="L99" i="1"/>
  <c r="Z99" i="1" s="1"/>
  <c r="L29" i="1"/>
  <c r="Z29" i="1" s="1"/>
  <c r="N29" i="1"/>
  <c r="L116" i="1"/>
  <c r="Z116" i="1" s="1"/>
  <c r="N116" i="1"/>
  <c r="N130" i="1"/>
  <c r="L130" i="1"/>
  <c r="Z130" i="1" s="1"/>
  <c r="N226" i="1" l="1"/>
  <c r="N105" i="2" l="1"/>
  <c r="L105" i="2"/>
  <c r="Z105" i="2" s="1"/>
  <c r="N19" i="2" l="1"/>
  <c r="L19" i="2"/>
  <c r="Z19" i="2" s="1"/>
  <c r="L55" i="2" l="1"/>
  <c r="Z55" i="2" s="1"/>
  <c r="N55" i="2"/>
  <c r="L89" i="2" l="1"/>
  <c r="Z89" i="2" s="1"/>
  <c r="N89" i="2"/>
  <c r="N100" i="2" l="1"/>
  <c r="L100" i="2"/>
  <c r="Z100" i="2" s="1"/>
  <c r="L47" i="2" l="1"/>
  <c r="Z47" i="2" s="1"/>
  <c r="J57" i="2"/>
  <c r="N47" i="2"/>
  <c r="L57" i="2" l="1"/>
  <c r="Z57" i="2" s="1"/>
  <c r="N57" i="2"/>
  <c r="N109" i="2" s="1"/>
  <c r="J109" i="2"/>
</calcChain>
</file>

<file path=xl/sharedStrings.xml><?xml version="1.0" encoding="utf-8"?>
<sst xmlns="http://schemas.openxmlformats.org/spreadsheetml/2006/main" count="463" uniqueCount="170">
  <si>
    <t>Derivation of Proposed Rates and Revenue by Rate Class</t>
  </si>
  <si>
    <t>In-franchise</t>
  </si>
  <si>
    <t>Current Approved</t>
  </si>
  <si>
    <t>Proposed 2024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</si>
  <si>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</si>
  <si>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</si>
  <si>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</si>
  <si>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</si>
  <si>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</si>
  <si>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</si>
  <si>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</si>
  <si>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</si>
  <si>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</si>
  <si>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</si>
  <si>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</si>
  <si>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</si>
  <si>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</si>
  <si>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</si>
  <si>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</si>
  <si>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</si>
  <si>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</si>
  <si>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</si>
  <si>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</si>
  <si>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</si>
  <si>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</si>
  <si>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</si>
  <si>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</si>
  <si>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</si>
  <si>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</si>
  <si>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</si>
  <si>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</si>
  <si>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</si>
  <si>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</si>
  <si>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</si>
  <si>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bills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</si>
  <si>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</si>
  <si>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</si>
  <si>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</si>
  <si>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</si>
  <si>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</si>
  <si>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</si>
  <si>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</si>
  <si>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</si>
  <si>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>Gas Supply Commodity Charge</t>
  </si>
  <si>
    <t>Total Rate E01</t>
  </si>
  <si>
    <t>Rate E02</t>
  </si>
  <si>
    <t>Total Rate E02</t>
  </si>
  <si>
    <t>Rate E10</t>
  </si>
  <si>
    <t>Delivery Contract Demand Charge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</si>
  <si>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</si>
  <si>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</si>
  <si>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Total Rate E10</t>
  </si>
  <si>
    <t>Rate E20</t>
  </si>
  <si>
    <t>Transportation Commodity</t>
  </si>
  <si>
    <t>Customer Supplied Fuel - Transportation</t>
  </si>
  <si>
    <t>%</t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</si>
  <si>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</si>
  <si>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</si>
  <si>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</si>
  <si>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</si>
  <si>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- IT</t>
  </si>
  <si>
    <t>Pre-authorized Interruptible</t>
  </si>
  <si>
    <t>Central Transportation Charge</t>
  </si>
  <si>
    <t>Total Transportation</t>
  </si>
  <si>
    <t>Storage</t>
  </si>
  <si>
    <t>Space Demand</t>
  </si>
  <si>
    <t>GJ/d/mth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</si>
  <si>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</si>
  <si>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</si>
  <si>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</si>
  <si>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</si>
  <si>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</si>
  <si>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</si>
  <si>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</si>
  <si>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</si>
  <si>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</si>
  <si>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E22 - Unbundled</t>
  </si>
  <si>
    <r>
      <t>over 30,000 m</t>
    </r>
    <r>
      <rPr>
        <vertAlign val="superscript"/>
        <sz val="10"/>
        <rFont val="Arial"/>
        <family val="2"/>
      </rPr>
      <t>3</t>
    </r>
  </si>
  <si>
    <t>South Transportation Demand</t>
  </si>
  <si>
    <t>South Transportation - Customer Supplied Fuel</t>
  </si>
  <si>
    <t>Total Rate E22</t>
  </si>
  <si>
    <t>Rate E24</t>
  </si>
  <si>
    <t>Total Rate E24</t>
  </si>
  <si>
    <t>Rate E30</t>
  </si>
  <si>
    <t>Delivery Commodity</t>
  </si>
  <si>
    <t>Delivery Demand Charge - IT</t>
  </si>
  <si>
    <t>Delivery Demand Charge - Firm</t>
  </si>
  <si>
    <t>Total Rate E30</t>
  </si>
  <si>
    <t>Rate E34</t>
  </si>
  <si>
    <t>Delivery Demand</t>
  </si>
  <si>
    <t>Total Rate E34</t>
  </si>
  <si>
    <t>Rate E38</t>
  </si>
  <si>
    <t>($/GJ)</t>
  </si>
  <si>
    <t>Transportation Demand</t>
  </si>
  <si>
    <t>Total Rate E38</t>
  </si>
  <si>
    <t>Rate E62</t>
  </si>
  <si>
    <t>Transportation - East</t>
  </si>
  <si>
    <t>Transportation - South</t>
  </si>
  <si>
    <t>Transportation Western - East</t>
  </si>
  <si>
    <t>Total Rate E62</t>
  </si>
  <si>
    <t>Rate E64</t>
  </si>
  <si>
    <t>Total Rate E64</t>
  </si>
  <si>
    <t>Total In-franchise</t>
  </si>
  <si>
    <t>Notes:</t>
  </si>
  <si>
    <t xml:space="preserve">(1) </t>
  </si>
  <si>
    <t>Revenue requirement by rate component for each rate class provided at Phase 3 Exhibit 7, Tab 3, Schedule 1, Attachment 13.</t>
  </si>
  <si>
    <t>(2)</t>
  </si>
  <si>
    <t>Allocation of S&amp;T Margin and other rate design adjustments.</t>
  </si>
  <si>
    <t>Ex-franchise</t>
  </si>
  <si>
    <t xml:space="preserve">Usage </t>
  </si>
  <si>
    <t xml:space="preserve">(f) </t>
  </si>
  <si>
    <t>(i) = (g/e)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</si>
  <si>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</si>
  <si>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</si>
  <si>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</si>
  <si>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</si>
  <si>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</si>
  <si>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</si>
  <si>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</si>
  <si>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</si>
  <si>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</si>
  <si>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</si>
  <si>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</si>
  <si>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</si>
  <si>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</si>
  <si>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</si>
  <si>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</si>
  <si>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</si>
  <si>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</si>
  <si>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</si>
  <si>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</si>
  <si>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</si>
  <si>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</si>
  <si>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</si>
  <si>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</si>
  <si>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</si>
  <si>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</si>
  <si>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</si>
  <si>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</si>
  <si>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>Detailed Current &amp; Proposed Revenue Calculation by Rate Class</t>
  </si>
  <si>
    <t xml:space="preserve">2024 Forecast 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</si>
  <si>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</si>
  <si>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</si>
  <si>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</si>
  <si>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</si>
  <si>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</si>
  <si>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</si>
  <si>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</si>
  <si>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</si>
  <si>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</si>
  <si>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</si>
  <si>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</si>
  <si>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</si>
  <si>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</si>
  <si>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</si>
  <si>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</si>
  <si>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Producer Station</t>
  </si>
  <si>
    <t>Monthly Fixed Charge - Producer RTU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</si>
  <si>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</si>
  <si>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</si>
  <si>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</si>
  <si>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</si>
  <si>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</si>
  <si>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</si>
  <si>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</si>
  <si>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</si>
  <si>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>Total Enbridge Gas</t>
  </si>
  <si>
    <t>(1)</t>
  </si>
  <si>
    <t>Revenue requirement by rate class provided at Phase 3 Exhibit 7, Tab 3, Schedule 1, Attachment 2, line 21.</t>
  </si>
  <si>
    <t>Attachment 11, column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</si>
</sst>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.0%"/>
    <numFmt numFmtId="169" formatCode="#,##0.0000_);\(#,##0.0000\);\-"/>
    <numFmt numFmtId="170" formatCode="0%_)\ ;\ \(0%\)"/>
    <numFmt numFmtId="171" formatCode="0.000%"/>
    <numFmt numFmtId="172" formatCode="###0%;\(###0%\)\ "/>
    <numFmt numFmtId="173" formatCode="#,##0.000_);\(#,##0.000\);\-"/>
    <numFmt numFmtId="17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05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164" fontId="6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2"/>
    </xf>
    <xf numFmtId="165" fontId="3" fillId="0" borderId="0" xfId="6" applyNumberFormat="1" applyFont="1" applyFill="1" applyBorder="1" applyAlignment="1">
      <alignment horizontal="center"/>
    </xf>
    <xf numFmtId="165" fontId="3" fillId="0" borderId="0" xfId="6" applyNumberFormat="1" applyFont="1" applyFill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1"/>
    </xf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right"/>
    </xf>
    <xf numFmtId="0" fontId="3" fillId="0" borderId="0" xfId="4" applyFont="1" applyAlignment="1">
      <alignment horizontal="left"/>
    </xf>
    <xf numFmtId="169" fontId="3" fillId="0" borderId="3" xfId="6" applyNumberFormat="1" applyFont="1" applyFill="1" applyBorder="1" applyAlignment="1">
      <alignment horizontal="right"/>
    </xf>
    <xf numFmtId="170" fontId="3" fillId="0" borderId="3" xfId="3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0" fontId="4" fillId="0" borderId="0" xfId="4" applyFont="1" applyAlignment="1">
      <alignment horizontal="left" indent="1"/>
    </xf>
    <xf numFmtId="172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5" fontId="3" fillId="0" borderId="0" xfId="4" applyNumberFormat="1" applyFont="1"/>
    <xf numFmtId="169" fontId="3" fillId="0" borderId="0" xfId="4" applyNumberFormat="1" applyFont="1" applyAlignment="1">
      <alignment horizontal="right"/>
    </xf>
    <xf numFmtId="169" fontId="3" fillId="0" borderId="0" xfId="6" applyNumberFormat="1" applyFont="1" applyFill="1" applyBorder="1" applyAlignment="1">
      <alignment horizontal="right"/>
    </xf>
    <xf numFmtId="171" fontId="3" fillId="0" borderId="0" xfId="3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0" fontId="3" fillId="0" borderId="0" xfId="0" applyFont="1" applyAlignment="1">
      <alignment horizontal="left" indent="1"/>
    </xf>
    <xf numFmtId="165" fontId="7" fillId="0" borderId="0" xfId="5" applyNumberFormat="1" applyFont="1" applyAlignment="1">
      <alignment horizontal="center"/>
    </xf>
    <xf numFmtId="9" fontId="3" fillId="0" borderId="0" xfId="3" applyFont="1" applyFill="1" applyBorder="1" applyAlignment="1">
      <alignment horizontal="right"/>
    </xf>
    <xf numFmtId="173" fontId="3" fillId="0" borderId="3" xfId="6" applyNumberFormat="1" applyFont="1" applyFill="1" applyBorder="1" applyAlignment="1">
      <alignment horizontal="right"/>
    </xf>
    <xf numFmtId="169" fontId="3" fillId="0" borderId="0" xfId="4" applyNumberFormat="1" applyFont="1"/>
    <xf numFmtId="173" fontId="3" fillId="0" borderId="0" xfId="4" applyNumberFormat="1" applyFont="1" applyAlignment="1">
      <alignment horizontal="right"/>
    </xf>
    <xf numFmtId="0" fontId="4" fillId="0" borderId="0" xfId="7" applyFont="1"/>
    <xf numFmtId="0" fontId="3" fillId="0" borderId="0" xfId="4" quotePrefix="1" applyFont="1"/>
    <xf numFmtId="0" fontId="4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167" fontId="3" fillId="0" borderId="0" xfId="6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172" fontId="3" fillId="0" borderId="0" xfId="4" applyNumberFormat="1" applyFont="1"/>
    <xf numFmtId="172" fontId="4" fillId="0" borderId="0" xfId="4" applyNumberFormat="1" applyFont="1" applyAlignment="1">
      <alignment horizontal="centerContinuous"/>
    </xf>
    <xf numFmtId="172" fontId="3" fillId="0" borderId="0" xfId="4" applyNumberFormat="1" applyFont="1" applyAlignment="1">
      <alignment horizontal="centerContinuous"/>
    </xf>
    <xf numFmtId="172" fontId="3" fillId="0" borderId="1" xfId="4" applyNumberFormat="1" applyFont="1" applyBorder="1" applyAlignment="1">
      <alignment horizontal="centerContinuous"/>
    </xf>
    <xf numFmtId="172" fontId="3" fillId="0" borderId="3" xfId="3" applyNumberFormat="1" applyFont="1" applyFill="1" applyBorder="1" applyAlignment="1">
      <alignment horizontal="right"/>
    </xf>
    <xf numFmtId="172" fontId="3" fillId="0" borderId="2" xfId="3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3" fillId="0" borderId="0" xfId="5" applyAlignment="1">
      <alignment horizontal="right"/>
    </xf>
    <xf numFmtId="165" fontId="3" fillId="0" borderId="0" xfId="5" applyNumberFormat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5" fontId="3" fillId="0" borderId="2" xfId="5" applyNumberFormat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165" fontId="3" fillId="0" borderId="0" xfId="5" applyNumberFormat="1" applyAlignment="1">
      <alignment horizontal="center"/>
    </xf>
    <xf numFmtId="165" fontId="3" fillId="0" borderId="3" xfId="5" applyNumberFormat="1" applyBorder="1" applyAlignment="1">
      <alignment horizontal="right"/>
    </xf>
    <xf numFmtId="167" fontId="3" fillId="0" borderId="3" xfId="5" applyNumberFormat="1" applyBorder="1" applyAlignment="1">
      <alignment horizontal="right"/>
    </xf>
    <xf numFmtId="167" fontId="3" fillId="0" borderId="0" xfId="5" applyNumberFormat="1" applyAlignment="1">
      <alignment horizontal="center"/>
    </xf>
    <xf numFmtId="167" fontId="3" fillId="0" borderId="0" xfId="5" applyNumberFormat="1" applyAlignment="1">
      <alignment horizontal="right"/>
    </xf>
    <xf numFmtId="164" fontId="3" fillId="0" borderId="0" xfId="5" applyNumberFormat="1" applyAlignment="1">
      <alignment horizontal="center"/>
    </xf>
    <xf numFmtId="0" fontId="7" fillId="0" borderId="0" xfId="0" applyFont="1" applyAlignment="1">
      <alignment horizontal="center"/>
    </xf>
    <xf numFmtId="173" fontId="3" fillId="0" borderId="0" xfId="6" applyNumberFormat="1" applyFont="1" applyFill="1" applyBorder="1" applyAlignment="1">
      <alignment horizontal="right"/>
    </xf>
    <xf numFmtId="0" fontId="3" fillId="0" borderId="0" xfId="7" quotePrefix="1" applyAlignment="1">
      <alignment horizontal="center" vertical="top"/>
    </xf>
    <xf numFmtId="0" fontId="7" fillId="0" borderId="0" xfId="0" applyFont="1"/>
    <xf numFmtId="0" fontId="7" fillId="0" borderId="0" xfId="0" quotePrefix="1" applyFont="1" applyAlignment="1">
      <alignment horizontal="left" indent="2"/>
    </xf>
    <xf numFmtId="0" fontId="8" fillId="0" borderId="0" xfId="0" applyFont="1"/>
    <xf numFmtId="0" fontId="9" fillId="0" borderId="0" xfId="0" applyFont="1"/>
    <xf numFmtId="172" fontId="3" fillId="0" borderId="0" xfId="5" applyNumberFormat="1" applyAlignment="1">
      <alignment horizontal="center" wrapText="1"/>
    </xf>
    <xf numFmtId="172" fontId="3" fillId="0" borderId="1" xfId="5" applyNumberFormat="1" applyBorder="1" applyAlignment="1">
      <alignment horizontal="center"/>
    </xf>
    <xf numFmtId="172" fontId="3" fillId="0" borderId="0" xfId="5" quotePrefix="1" applyNumberFormat="1" applyAlignment="1">
      <alignment horizontal="center"/>
    </xf>
    <xf numFmtId="0" fontId="4" fillId="0" borderId="0" xfId="0" applyFont="1"/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0" fontId="3" fillId="0" borderId="0" xfId="8" applyFont="1"/>
    <xf numFmtId="0" fontId="8" fillId="0" borderId="0" xfId="0" applyFont="1" applyAlignment="1">
      <alignment horizontal="right"/>
    </xf>
    <xf numFmtId="172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8" applyFont="1" applyAlignment="1">
      <alignment horizontal="left" indent="4"/>
    </xf>
    <xf numFmtId="172" fontId="8" fillId="0" borderId="0" xfId="0" applyNumberFormat="1" applyFont="1"/>
    <xf numFmtId="172" fontId="9" fillId="0" borderId="0" xfId="0" applyNumberFormat="1" applyFont="1"/>
    <xf numFmtId="172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74" fontId="3" fillId="0" borderId="0" xfId="1" applyNumberFormat="1" applyFont="1" applyFill="1"/>
    <xf numFmtId="0" fontId="9" fillId="0" borderId="0" xfId="0" quotePrefix="1" applyFont="1" applyAlignment="1">
      <alignment horizontal="center"/>
    </xf>
  </cellXfs>
  <cellStyles count="9">
    <cellStyle name="Comma" xfId="1" builtinId="3"/>
    <cellStyle name="Comma 10" xfId="6" xr:uid="{5186C978-6B96-48A8-A31B-C768E6E41ED5}"/>
    <cellStyle name="Currency" xfId="2" builtinId="4"/>
    <cellStyle name="Normal" xfId="0" builtinId="0"/>
    <cellStyle name="Normal 10" xfId="7" xr:uid="{E325CE51-5207-4894-B314-9A05FEC9DEC4}"/>
    <cellStyle name="Normal 4 3" xfId="4" xr:uid="{A200A084-1351-4F97-86DA-657CC27CAEA8}"/>
    <cellStyle name="Normal 59" xfId="8" xr:uid="{1E317E35-55EE-4525-8EC8-2856E1C93210}"/>
    <cellStyle name="Normal 60" xfId="5" xr:uid="{8B4FABE8-E70E-49C0-9E6B-D15600EF632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2CC6-3042-44DD-B4C9-544026E10E11}">
  <dimension ref="B1:AA234"/>
  <sheetViews>
    <sheetView tabSelected="1" view="pageBreakPreview" zoomScale="70" zoomScaleNormal="90" zoomScaleSheetLayoutView="70" workbookViewId="0">
      <selection activeCell="D3" sqref="D3"/>
    </sheetView>
  </sheetViews>
  <sheetFormatPr defaultRowHeight="12.75" x14ac:dyDescent="0.2"/>
  <cols>
    <col min="1" max="1" width="1.5703125" style="2" customWidth="1"/>
    <col min="2" max="2" width="4.5703125" style="1" customWidth="1"/>
    <col min="3" max="3" width="1.5703125" style="2" customWidth="1"/>
    <col min="4" max="4" width="44.85546875" style="2" customWidth="1"/>
    <col min="5" max="5" width="1.5703125" style="2" customWidth="1"/>
    <col min="6" max="6" width="10.5703125" style="2" customWidth="1"/>
    <col min="7" max="7" width="1.5703125" style="2" customWidth="1"/>
    <col min="8" max="8" width="14.42578125" style="2" customWidth="1"/>
    <col min="9" max="9" width="1.5703125" style="2" customWidth="1"/>
    <col min="10" max="10" width="14.42578125" style="2" customWidth="1"/>
    <col min="11" max="11" width="1.5703125" style="2" customWidth="1"/>
    <col min="12" max="12" width="14.42578125" style="2" customWidth="1"/>
    <col min="13" max="13" width="1.5703125" style="2" customWidth="1"/>
    <col min="14" max="14" width="14.42578125" style="2" customWidth="1"/>
    <col min="15" max="15" width="1.5703125" style="2" customWidth="1"/>
    <col min="16" max="16" width="15.42578125" style="2" customWidth="1"/>
    <col min="17" max="17" width="1.5703125" style="2" customWidth="1"/>
    <col min="18" max="18" width="14.42578125" style="2" customWidth="1"/>
    <col min="19" max="19" width="1.5703125" style="2" customWidth="1"/>
    <col min="20" max="20" width="14.42578125" style="2" customWidth="1"/>
    <col min="21" max="21" width="1.5703125" style="2" customWidth="1"/>
    <col min="22" max="22" width="14.42578125" style="2" customWidth="1"/>
    <col min="23" max="23" width="1.5703125" style="2" customWidth="1"/>
    <col min="24" max="24" width="14.5703125" style="2" customWidth="1"/>
    <col min="25" max="25" width="1.5703125" style="2" customWidth="1"/>
    <col min="26" max="26" width="14.42578125" style="2" customWidth="1"/>
    <col min="27" max="27" width="1.5703125" style="2" customWidth="1"/>
    <col min="28" max="229" width="9.140625" style="2"/>
    <col min="230" max="230" width="4.5703125" style="2" customWidth="1"/>
    <col min="231" max="231" width="1" style="2" customWidth="1"/>
    <col min="232" max="232" width="18" style="2" customWidth="1"/>
    <col min="233" max="233" width="1.85546875" style="2" customWidth="1"/>
    <col min="234" max="234" width="12.5703125" style="2" customWidth="1"/>
    <col min="235" max="235" width="1.5703125" style="2" customWidth="1"/>
    <col min="236" max="236" width="9.5703125" style="2" customWidth="1"/>
    <col min="237" max="237" width="1.85546875" style="2" customWidth="1"/>
    <col min="238" max="238" width="11.85546875" style="2" customWidth="1"/>
    <col min="239" max="239" width="1.5703125" style="2" customWidth="1"/>
    <col min="240" max="240" width="10.140625" style="2" customWidth="1"/>
    <col min="241" max="241" width="2" style="2" customWidth="1"/>
    <col min="242" max="242" width="9.5703125" style="2" customWidth="1"/>
    <col min="243" max="485" width="9.140625" style="2"/>
    <col min="486" max="486" width="4.5703125" style="2" customWidth="1"/>
    <col min="487" max="487" width="1" style="2" customWidth="1"/>
    <col min="488" max="488" width="18" style="2" customWidth="1"/>
    <col min="489" max="489" width="1.85546875" style="2" customWidth="1"/>
    <col min="490" max="490" width="12.5703125" style="2" customWidth="1"/>
    <col min="491" max="491" width="1.5703125" style="2" customWidth="1"/>
    <col min="492" max="492" width="9.5703125" style="2" customWidth="1"/>
    <col min="493" max="493" width="1.85546875" style="2" customWidth="1"/>
    <col min="494" max="494" width="11.85546875" style="2" customWidth="1"/>
    <col min="495" max="495" width="1.5703125" style="2" customWidth="1"/>
    <col min="496" max="496" width="10.140625" style="2" customWidth="1"/>
    <col min="497" max="497" width="2" style="2" customWidth="1"/>
    <col min="498" max="498" width="9.5703125" style="2" customWidth="1"/>
    <col min="499" max="741" width="9.140625" style="2"/>
    <col min="742" max="742" width="4.5703125" style="2" customWidth="1"/>
    <col min="743" max="743" width="1" style="2" customWidth="1"/>
    <col min="744" max="744" width="18" style="2" customWidth="1"/>
    <col min="745" max="745" width="1.85546875" style="2" customWidth="1"/>
    <col min="746" max="746" width="12.5703125" style="2" customWidth="1"/>
    <col min="747" max="747" width="1.5703125" style="2" customWidth="1"/>
    <col min="748" max="748" width="9.5703125" style="2" customWidth="1"/>
    <col min="749" max="749" width="1.85546875" style="2" customWidth="1"/>
    <col min="750" max="750" width="11.85546875" style="2" customWidth="1"/>
    <col min="751" max="751" width="1.5703125" style="2" customWidth="1"/>
    <col min="752" max="752" width="10.140625" style="2" customWidth="1"/>
    <col min="753" max="753" width="2" style="2" customWidth="1"/>
    <col min="754" max="754" width="9.5703125" style="2" customWidth="1"/>
    <col min="755" max="997" width="9.140625" style="2"/>
    <col min="998" max="998" width="4.5703125" style="2" customWidth="1"/>
    <col min="999" max="999" width="1" style="2" customWidth="1"/>
    <col min="1000" max="1000" width="18" style="2" customWidth="1"/>
    <col min="1001" max="1001" width="1.85546875" style="2" customWidth="1"/>
    <col min="1002" max="1002" width="12.5703125" style="2" customWidth="1"/>
    <col min="1003" max="1003" width="1.5703125" style="2" customWidth="1"/>
    <col min="1004" max="1004" width="9.5703125" style="2" customWidth="1"/>
    <col min="1005" max="1005" width="1.85546875" style="2" customWidth="1"/>
    <col min="1006" max="1006" width="11.85546875" style="2" customWidth="1"/>
    <col min="1007" max="1007" width="1.5703125" style="2" customWidth="1"/>
    <col min="1008" max="1008" width="10.140625" style="2" customWidth="1"/>
    <col min="1009" max="1009" width="2" style="2" customWidth="1"/>
    <col min="1010" max="1010" width="9.5703125" style="2" customWidth="1"/>
    <col min="1011" max="1253" width="9.140625" style="2"/>
    <col min="1254" max="1254" width="4.5703125" style="2" customWidth="1"/>
    <col min="1255" max="1255" width="1" style="2" customWidth="1"/>
    <col min="1256" max="1256" width="18" style="2" customWidth="1"/>
    <col min="1257" max="1257" width="1.85546875" style="2" customWidth="1"/>
    <col min="1258" max="1258" width="12.5703125" style="2" customWidth="1"/>
    <col min="1259" max="1259" width="1.5703125" style="2" customWidth="1"/>
    <col min="1260" max="1260" width="9.5703125" style="2" customWidth="1"/>
    <col min="1261" max="1261" width="1.85546875" style="2" customWidth="1"/>
    <col min="1262" max="1262" width="11.85546875" style="2" customWidth="1"/>
    <col min="1263" max="1263" width="1.5703125" style="2" customWidth="1"/>
    <col min="1264" max="1264" width="10.140625" style="2" customWidth="1"/>
    <col min="1265" max="1265" width="2" style="2" customWidth="1"/>
    <col min="1266" max="1266" width="9.5703125" style="2" customWidth="1"/>
    <col min="1267" max="1509" width="9.140625" style="2"/>
    <col min="1510" max="1510" width="4.5703125" style="2" customWidth="1"/>
    <col min="1511" max="1511" width="1" style="2" customWidth="1"/>
    <col min="1512" max="1512" width="18" style="2" customWidth="1"/>
    <col min="1513" max="1513" width="1.85546875" style="2" customWidth="1"/>
    <col min="1514" max="1514" width="12.5703125" style="2" customWidth="1"/>
    <col min="1515" max="1515" width="1.5703125" style="2" customWidth="1"/>
    <col min="1516" max="1516" width="9.5703125" style="2" customWidth="1"/>
    <col min="1517" max="1517" width="1.85546875" style="2" customWidth="1"/>
    <col min="1518" max="1518" width="11.85546875" style="2" customWidth="1"/>
    <col min="1519" max="1519" width="1.5703125" style="2" customWidth="1"/>
    <col min="1520" max="1520" width="10.140625" style="2" customWidth="1"/>
    <col min="1521" max="1521" width="2" style="2" customWidth="1"/>
    <col min="1522" max="1522" width="9.5703125" style="2" customWidth="1"/>
    <col min="1523" max="1765" width="9.140625" style="2"/>
    <col min="1766" max="1766" width="4.5703125" style="2" customWidth="1"/>
    <col min="1767" max="1767" width="1" style="2" customWidth="1"/>
    <col min="1768" max="1768" width="18" style="2" customWidth="1"/>
    <col min="1769" max="1769" width="1.85546875" style="2" customWidth="1"/>
    <col min="1770" max="1770" width="12.5703125" style="2" customWidth="1"/>
    <col min="1771" max="1771" width="1.5703125" style="2" customWidth="1"/>
    <col min="1772" max="1772" width="9.5703125" style="2" customWidth="1"/>
    <col min="1773" max="1773" width="1.85546875" style="2" customWidth="1"/>
    <col min="1774" max="1774" width="11.85546875" style="2" customWidth="1"/>
    <col min="1775" max="1775" width="1.5703125" style="2" customWidth="1"/>
    <col min="1776" max="1776" width="10.140625" style="2" customWidth="1"/>
    <col min="1777" max="1777" width="2" style="2" customWidth="1"/>
    <col min="1778" max="1778" width="9.5703125" style="2" customWidth="1"/>
    <col min="1779" max="2021" width="9.140625" style="2"/>
    <col min="2022" max="2022" width="4.5703125" style="2" customWidth="1"/>
    <col min="2023" max="2023" width="1" style="2" customWidth="1"/>
    <col min="2024" max="2024" width="18" style="2" customWidth="1"/>
    <col min="2025" max="2025" width="1.85546875" style="2" customWidth="1"/>
    <col min="2026" max="2026" width="12.5703125" style="2" customWidth="1"/>
    <col min="2027" max="2027" width="1.5703125" style="2" customWidth="1"/>
    <col min="2028" max="2028" width="9.5703125" style="2" customWidth="1"/>
    <col min="2029" max="2029" width="1.85546875" style="2" customWidth="1"/>
    <col min="2030" max="2030" width="11.85546875" style="2" customWidth="1"/>
    <col min="2031" max="2031" width="1.5703125" style="2" customWidth="1"/>
    <col min="2032" max="2032" width="10.140625" style="2" customWidth="1"/>
    <col min="2033" max="2033" width="2" style="2" customWidth="1"/>
    <col min="2034" max="2034" width="9.5703125" style="2" customWidth="1"/>
    <col min="2035" max="2277" width="9.140625" style="2"/>
    <col min="2278" max="2278" width="4.5703125" style="2" customWidth="1"/>
    <col min="2279" max="2279" width="1" style="2" customWidth="1"/>
    <col min="2280" max="2280" width="18" style="2" customWidth="1"/>
    <col min="2281" max="2281" width="1.85546875" style="2" customWidth="1"/>
    <col min="2282" max="2282" width="12.5703125" style="2" customWidth="1"/>
    <col min="2283" max="2283" width="1.5703125" style="2" customWidth="1"/>
    <col min="2284" max="2284" width="9.5703125" style="2" customWidth="1"/>
    <col min="2285" max="2285" width="1.85546875" style="2" customWidth="1"/>
    <col min="2286" max="2286" width="11.85546875" style="2" customWidth="1"/>
    <col min="2287" max="2287" width="1.5703125" style="2" customWidth="1"/>
    <col min="2288" max="2288" width="10.140625" style="2" customWidth="1"/>
    <col min="2289" max="2289" width="2" style="2" customWidth="1"/>
    <col min="2290" max="2290" width="9.5703125" style="2" customWidth="1"/>
    <col min="2291" max="2533" width="9.140625" style="2"/>
    <col min="2534" max="2534" width="4.5703125" style="2" customWidth="1"/>
    <col min="2535" max="2535" width="1" style="2" customWidth="1"/>
    <col min="2536" max="2536" width="18" style="2" customWidth="1"/>
    <col min="2537" max="2537" width="1.85546875" style="2" customWidth="1"/>
    <col min="2538" max="2538" width="12.5703125" style="2" customWidth="1"/>
    <col min="2539" max="2539" width="1.5703125" style="2" customWidth="1"/>
    <col min="2540" max="2540" width="9.5703125" style="2" customWidth="1"/>
    <col min="2541" max="2541" width="1.85546875" style="2" customWidth="1"/>
    <col min="2542" max="2542" width="11.85546875" style="2" customWidth="1"/>
    <col min="2543" max="2543" width="1.5703125" style="2" customWidth="1"/>
    <col min="2544" max="2544" width="10.140625" style="2" customWidth="1"/>
    <col min="2545" max="2545" width="2" style="2" customWidth="1"/>
    <col min="2546" max="2546" width="9.5703125" style="2" customWidth="1"/>
    <col min="2547" max="2789" width="9.140625" style="2"/>
    <col min="2790" max="2790" width="4.5703125" style="2" customWidth="1"/>
    <col min="2791" max="2791" width="1" style="2" customWidth="1"/>
    <col min="2792" max="2792" width="18" style="2" customWidth="1"/>
    <col min="2793" max="2793" width="1.85546875" style="2" customWidth="1"/>
    <col min="2794" max="2794" width="12.5703125" style="2" customWidth="1"/>
    <col min="2795" max="2795" width="1.5703125" style="2" customWidth="1"/>
    <col min="2796" max="2796" width="9.5703125" style="2" customWidth="1"/>
    <col min="2797" max="2797" width="1.85546875" style="2" customWidth="1"/>
    <col min="2798" max="2798" width="11.85546875" style="2" customWidth="1"/>
    <col min="2799" max="2799" width="1.5703125" style="2" customWidth="1"/>
    <col min="2800" max="2800" width="10.140625" style="2" customWidth="1"/>
    <col min="2801" max="2801" width="2" style="2" customWidth="1"/>
    <col min="2802" max="2802" width="9.5703125" style="2" customWidth="1"/>
    <col min="2803" max="3045" width="9.140625" style="2"/>
    <col min="3046" max="3046" width="4.5703125" style="2" customWidth="1"/>
    <col min="3047" max="3047" width="1" style="2" customWidth="1"/>
    <col min="3048" max="3048" width="18" style="2" customWidth="1"/>
    <col min="3049" max="3049" width="1.85546875" style="2" customWidth="1"/>
    <col min="3050" max="3050" width="12.5703125" style="2" customWidth="1"/>
    <col min="3051" max="3051" width="1.5703125" style="2" customWidth="1"/>
    <col min="3052" max="3052" width="9.5703125" style="2" customWidth="1"/>
    <col min="3053" max="3053" width="1.85546875" style="2" customWidth="1"/>
    <col min="3054" max="3054" width="11.85546875" style="2" customWidth="1"/>
    <col min="3055" max="3055" width="1.5703125" style="2" customWidth="1"/>
    <col min="3056" max="3056" width="10.140625" style="2" customWidth="1"/>
    <col min="3057" max="3057" width="2" style="2" customWidth="1"/>
    <col min="3058" max="3058" width="9.5703125" style="2" customWidth="1"/>
    <col min="3059" max="3301" width="9.140625" style="2"/>
    <col min="3302" max="3302" width="4.5703125" style="2" customWidth="1"/>
    <col min="3303" max="3303" width="1" style="2" customWidth="1"/>
    <col min="3304" max="3304" width="18" style="2" customWidth="1"/>
    <col min="3305" max="3305" width="1.85546875" style="2" customWidth="1"/>
    <col min="3306" max="3306" width="12.5703125" style="2" customWidth="1"/>
    <col min="3307" max="3307" width="1.5703125" style="2" customWidth="1"/>
    <col min="3308" max="3308" width="9.5703125" style="2" customWidth="1"/>
    <col min="3309" max="3309" width="1.85546875" style="2" customWidth="1"/>
    <col min="3310" max="3310" width="11.85546875" style="2" customWidth="1"/>
    <col min="3311" max="3311" width="1.5703125" style="2" customWidth="1"/>
    <col min="3312" max="3312" width="10.140625" style="2" customWidth="1"/>
    <col min="3313" max="3313" width="2" style="2" customWidth="1"/>
    <col min="3314" max="3314" width="9.5703125" style="2" customWidth="1"/>
    <col min="3315" max="3557" width="9.140625" style="2"/>
    <col min="3558" max="3558" width="4.5703125" style="2" customWidth="1"/>
    <col min="3559" max="3559" width="1" style="2" customWidth="1"/>
    <col min="3560" max="3560" width="18" style="2" customWidth="1"/>
    <col min="3561" max="3561" width="1.85546875" style="2" customWidth="1"/>
    <col min="3562" max="3562" width="12.5703125" style="2" customWidth="1"/>
    <col min="3563" max="3563" width="1.5703125" style="2" customWidth="1"/>
    <col min="3564" max="3564" width="9.5703125" style="2" customWidth="1"/>
    <col min="3565" max="3565" width="1.85546875" style="2" customWidth="1"/>
    <col min="3566" max="3566" width="11.85546875" style="2" customWidth="1"/>
    <col min="3567" max="3567" width="1.5703125" style="2" customWidth="1"/>
    <col min="3568" max="3568" width="10.140625" style="2" customWidth="1"/>
    <col min="3569" max="3569" width="2" style="2" customWidth="1"/>
    <col min="3570" max="3570" width="9.5703125" style="2" customWidth="1"/>
    <col min="3571" max="3813" width="9.140625" style="2"/>
    <col min="3814" max="3814" width="4.5703125" style="2" customWidth="1"/>
    <col min="3815" max="3815" width="1" style="2" customWidth="1"/>
    <col min="3816" max="3816" width="18" style="2" customWidth="1"/>
    <col min="3817" max="3817" width="1.85546875" style="2" customWidth="1"/>
    <col min="3818" max="3818" width="12.5703125" style="2" customWidth="1"/>
    <col min="3819" max="3819" width="1.5703125" style="2" customWidth="1"/>
    <col min="3820" max="3820" width="9.5703125" style="2" customWidth="1"/>
    <col min="3821" max="3821" width="1.85546875" style="2" customWidth="1"/>
    <col min="3822" max="3822" width="11.85546875" style="2" customWidth="1"/>
    <col min="3823" max="3823" width="1.5703125" style="2" customWidth="1"/>
    <col min="3824" max="3824" width="10.140625" style="2" customWidth="1"/>
    <col min="3825" max="3825" width="2" style="2" customWidth="1"/>
    <col min="3826" max="3826" width="9.5703125" style="2" customWidth="1"/>
    <col min="3827" max="4069" width="9.140625" style="2"/>
    <col min="4070" max="4070" width="4.5703125" style="2" customWidth="1"/>
    <col min="4071" max="4071" width="1" style="2" customWidth="1"/>
    <col min="4072" max="4072" width="18" style="2" customWidth="1"/>
    <col min="4073" max="4073" width="1.85546875" style="2" customWidth="1"/>
    <col min="4074" max="4074" width="12.5703125" style="2" customWidth="1"/>
    <col min="4075" max="4075" width="1.5703125" style="2" customWidth="1"/>
    <col min="4076" max="4076" width="9.5703125" style="2" customWidth="1"/>
    <col min="4077" max="4077" width="1.85546875" style="2" customWidth="1"/>
    <col min="4078" max="4078" width="11.85546875" style="2" customWidth="1"/>
    <col min="4079" max="4079" width="1.5703125" style="2" customWidth="1"/>
    <col min="4080" max="4080" width="10.140625" style="2" customWidth="1"/>
    <col min="4081" max="4081" width="2" style="2" customWidth="1"/>
    <col min="4082" max="4082" width="9.5703125" style="2" customWidth="1"/>
    <col min="4083" max="4325" width="9.140625" style="2"/>
    <col min="4326" max="4326" width="4.5703125" style="2" customWidth="1"/>
    <col min="4327" max="4327" width="1" style="2" customWidth="1"/>
    <col min="4328" max="4328" width="18" style="2" customWidth="1"/>
    <col min="4329" max="4329" width="1.85546875" style="2" customWidth="1"/>
    <col min="4330" max="4330" width="12.5703125" style="2" customWidth="1"/>
    <col min="4331" max="4331" width="1.5703125" style="2" customWidth="1"/>
    <col min="4332" max="4332" width="9.5703125" style="2" customWidth="1"/>
    <col min="4333" max="4333" width="1.85546875" style="2" customWidth="1"/>
    <col min="4334" max="4334" width="11.85546875" style="2" customWidth="1"/>
    <col min="4335" max="4335" width="1.5703125" style="2" customWidth="1"/>
    <col min="4336" max="4336" width="10.140625" style="2" customWidth="1"/>
    <col min="4337" max="4337" width="2" style="2" customWidth="1"/>
    <col min="4338" max="4338" width="9.5703125" style="2" customWidth="1"/>
    <col min="4339" max="4581" width="9.140625" style="2"/>
    <col min="4582" max="4582" width="4.5703125" style="2" customWidth="1"/>
    <col min="4583" max="4583" width="1" style="2" customWidth="1"/>
    <col min="4584" max="4584" width="18" style="2" customWidth="1"/>
    <col min="4585" max="4585" width="1.85546875" style="2" customWidth="1"/>
    <col min="4586" max="4586" width="12.5703125" style="2" customWidth="1"/>
    <col min="4587" max="4587" width="1.5703125" style="2" customWidth="1"/>
    <col min="4588" max="4588" width="9.5703125" style="2" customWidth="1"/>
    <col min="4589" max="4589" width="1.85546875" style="2" customWidth="1"/>
    <col min="4590" max="4590" width="11.85546875" style="2" customWidth="1"/>
    <col min="4591" max="4591" width="1.5703125" style="2" customWidth="1"/>
    <col min="4592" max="4592" width="10.140625" style="2" customWidth="1"/>
    <col min="4593" max="4593" width="2" style="2" customWidth="1"/>
    <col min="4594" max="4594" width="9.5703125" style="2" customWidth="1"/>
    <col min="4595" max="4837" width="9.140625" style="2"/>
    <col min="4838" max="4838" width="4.5703125" style="2" customWidth="1"/>
    <col min="4839" max="4839" width="1" style="2" customWidth="1"/>
    <col min="4840" max="4840" width="18" style="2" customWidth="1"/>
    <col min="4841" max="4841" width="1.85546875" style="2" customWidth="1"/>
    <col min="4842" max="4842" width="12.5703125" style="2" customWidth="1"/>
    <col min="4843" max="4843" width="1.5703125" style="2" customWidth="1"/>
    <col min="4844" max="4844" width="9.5703125" style="2" customWidth="1"/>
    <col min="4845" max="4845" width="1.85546875" style="2" customWidth="1"/>
    <col min="4846" max="4846" width="11.85546875" style="2" customWidth="1"/>
    <col min="4847" max="4847" width="1.5703125" style="2" customWidth="1"/>
    <col min="4848" max="4848" width="10.140625" style="2" customWidth="1"/>
    <col min="4849" max="4849" width="2" style="2" customWidth="1"/>
    <col min="4850" max="4850" width="9.5703125" style="2" customWidth="1"/>
    <col min="4851" max="5093" width="9.140625" style="2"/>
    <col min="5094" max="5094" width="4.5703125" style="2" customWidth="1"/>
    <col min="5095" max="5095" width="1" style="2" customWidth="1"/>
    <col min="5096" max="5096" width="18" style="2" customWidth="1"/>
    <col min="5097" max="5097" width="1.85546875" style="2" customWidth="1"/>
    <col min="5098" max="5098" width="12.5703125" style="2" customWidth="1"/>
    <col min="5099" max="5099" width="1.5703125" style="2" customWidth="1"/>
    <col min="5100" max="5100" width="9.5703125" style="2" customWidth="1"/>
    <col min="5101" max="5101" width="1.85546875" style="2" customWidth="1"/>
    <col min="5102" max="5102" width="11.85546875" style="2" customWidth="1"/>
    <col min="5103" max="5103" width="1.5703125" style="2" customWidth="1"/>
    <col min="5104" max="5104" width="10.140625" style="2" customWidth="1"/>
    <col min="5105" max="5105" width="2" style="2" customWidth="1"/>
    <col min="5106" max="5106" width="9.5703125" style="2" customWidth="1"/>
    <col min="5107" max="5349" width="9.140625" style="2"/>
    <col min="5350" max="5350" width="4.5703125" style="2" customWidth="1"/>
    <col min="5351" max="5351" width="1" style="2" customWidth="1"/>
    <col min="5352" max="5352" width="18" style="2" customWidth="1"/>
    <col min="5353" max="5353" width="1.85546875" style="2" customWidth="1"/>
    <col min="5354" max="5354" width="12.5703125" style="2" customWidth="1"/>
    <col min="5355" max="5355" width="1.5703125" style="2" customWidth="1"/>
    <col min="5356" max="5356" width="9.5703125" style="2" customWidth="1"/>
    <col min="5357" max="5357" width="1.85546875" style="2" customWidth="1"/>
    <col min="5358" max="5358" width="11.85546875" style="2" customWidth="1"/>
    <col min="5359" max="5359" width="1.5703125" style="2" customWidth="1"/>
    <col min="5360" max="5360" width="10.140625" style="2" customWidth="1"/>
    <col min="5361" max="5361" width="2" style="2" customWidth="1"/>
    <col min="5362" max="5362" width="9.5703125" style="2" customWidth="1"/>
    <col min="5363" max="5605" width="9.140625" style="2"/>
    <col min="5606" max="5606" width="4.5703125" style="2" customWidth="1"/>
    <col min="5607" max="5607" width="1" style="2" customWidth="1"/>
    <col min="5608" max="5608" width="18" style="2" customWidth="1"/>
    <col min="5609" max="5609" width="1.85546875" style="2" customWidth="1"/>
    <col min="5610" max="5610" width="12.5703125" style="2" customWidth="1"/>
    <col min="5611" max="5611" width="1.5703125" style="2" customWidth="1"/>
    <col min="5612" max="5612" width="9.5703125" style="2" customWidth="1"/>
    <col min="5613" max="5613" width="1.85546875" style="2" customWidth="1"/>
    <col min="5614" max="5614" width="11.85546875" style="2" customWidth="1"/>
    <col min="5615" max="5615" width="1.5703125" style="2" customWidth="1"/>
    <col min="5616" max="5616" width="10.140625" style="2" customWidth="1"/>
    <col min="5617" max="5617" width="2" style="2" customWidth="1"/>
    <col min="5618" max="5618" width="9.5703125" style="2" customWidth="1"/>
    <col min="5619" max="5861" width="9.140625" style="2"/>
    <col min="5862" max="5862" width="4.5703125" style="2" customWidth="1"/>
    <col min="5863" max="5863" width="1" style="2" customWidth="1"/>
    <col min="5864" max="5864" width="18" style="2" customWidth="1"/>
    <col min="5865" max="5865" width="1.85546875" style="2" customWidth="1"/>
    <col min="5866" max="5866" width="12.5703125" style="2" customWidth="1"/>
    <col min="5867" max="5867" width="1.5703125" style="2" customWidth="1"/>
    <col min="5868" max="5868" width="9.5703125" style="2" customWidth="1"/>
    <col min="5869" max="5869" width="1.85546875" style="2" customWidth="1"/>
    <col min="5870" max="5870" width="11.85546875" style="2" customWidth="1"/>
    <col min="5871" max="5871" width="1.5703125" style="2" customWidth="1"/>
    <col min="5872" max="5872" width="10.140625" style="2" customWidth="1"/>
    <col min="5873" max="5873" width="2" style="2" customWidth="1"/>
    <col min="5874" max="5874" width="9.5703125" style="2" customWidth="1"/>
    <col min="5875" max="6117" width="9.140625" style="2"/>
    <col min="6118" max="6118" width="4.5703125" style="2" customWidth="1"/>
    <col min="6119" max="6119" width="1" style="2" customWidth="1"/>
    <col min="6120" max="6120" width="18" style="2" customWidth="1"/>
    <col min="6121" max="6121" width="1.85546875" style="2" customWidth="1"/>
    <col min="6122" max="6122" width="12.5703125" style="2" customWidth="1"/>
    <col min="6123" max="6123" width="1.5703125" style="2" customWidth="1"/>
    <col min="6124" max="6124" width="9.5703125" style="2" customWidth="1"/>
    <col min="6125" max="6125" width="1.85546875" style="2" customWidth="1"/>
    <col min="6126" max="6126" width="11.85546875" style="2" customWidth="1"/>
    <col min="6127" max="6127" width="1.5703125" style="2" customWidth="1"/>
    <col min="6128" max="6128" width="10.140625" style="2" customWidth="1"/>
    <col min="6129" max="6129" width="2" style="2" customWidth="1"/>
    <col min="6130" max="6130" width="9.5703125" style="2" customWidth="1"/>
    <col min="6131" max="6373" width="9.140625" style="2"/>
    <col min="6374" max="6374" width="4.5703125" style="2" customWidth="1"/>
    <col min="6375" max="6375" width="1" style="2" customWidth="1"/>
    <col min="6376" max="6376" width="18" style="2" customWidth="1"/>
    <col min="6377" max="6377" width="1.85546875" style="2" customWidth="1"/>
    <col min="6378" max="6378" width="12.5703125" style="2" customWidth="1"/>
    <col min="6379" max="6379" width="1.5703125" style="2" customWidth="1"/>
    <col min="6380" max="6380" width="9.5703125" style="2" customWidth="1"/>
    <col min="6381" max="6381" width="1.85546875" style="2" customWidth="1"/>
    <col min="6382" max="6382" width="11.85546875" style="2" customWidth="1"/>
    <col min="6383" max="6383" width="1.5703125" style="2" customWidth="1"/>
    <col min="6384" max="6384" width="10.140625" style="2" customWidth="1"/>
    <col min="6385" max="6385" width="2" style="2" customWidth="1"/>
    <col min="6386" max="6386" width="9.5703125" style="2" customWidth="1"/>
    <col min="6387" max="6629" width="9.140625" style="2"/>
    <col min="6630" max="6630" width="4.5703125" style="2" customWidth="1"/>
    <col min="6631" max="6631" width="1" style="2" customWidth="1"/>
    <col min="6632" max="6632" width="18" style="2" customWidth="1"/>
    <col min="6633" max="6633" width="1.85546875" style="2" customWidth="1"/>
    <col min="6634" max="6634" width="12.5703125" style="2" customWidth="1"/>
    <col min="6635" max="6635" width="1.5703125" style="2" customWidth="1"/>
    <col min="6636" max="6636" width="9.5703125" style="2" customWidth="1"/>
    <col min="6637" max="6637" width="1.85546875" style="2" customWidth="1"/>
    <col min="6638" max="6638" width="11.85546875" style="2" customWidth="1"/>
    <col min="6639" max="6639" width="1.5703125" style="2" customWidth="1"/>
    <col min="6640" max="6640" width="10.140625" style="2" customWidth="1"/>
    <col min="6641" max="6641" width="2" style="2" customWidth="1"/>
    <col min="6642" max="6642" width="9.5703125" style="2" customWidth="1"/>
    <col min="6643" max="6885" width="9.140625" style="2"/>
    <col min="6886" max="6886" width="4.5703125" style="2" customWidth="1"/>
    <col min="6887" max="6887" width="1" style="2" customWidth="1"/>
    <col min="6888" max="6888" width="18" style="2" customWidth="1"/>
    <col min="6889" max="6889" width="1.85546875" style="2" customWidth="1"/>
    <col min="6890" max="6890" width="12.5703125" style="2" customWidth="1"/>
    <col min="6891" max="6891" width="1.5703125" style="2" customWidth="1"/>
    <col min="6892" max="6892" width="9.5703125" style="2" customWidth="1"/>
    <col min="6893" max="6893" width="1.85546875" style="2" customWidth="1"/>
    <col min="6894" max="6894" width="11.85546875" style="2" customWidth="1"/>
    <col min="6895" max="6895" width="1.5703125" style="2" customWidth="1"/>
    <col min="6896" max="6896" width="10.140625" style="2" customWidth="1"/>
    <col min="6897" max="6897" width="2" style="2" customWidth="1"/>
    <col min="6898" max="6898" width="9.5703125" style="2" customWidth="1"/>
    <col min="6899" max="7141" width="9.140625" style="2"/>
    <col min="7142" max="7142" width="4.5703125" style="2" customWidth="1"/>
    <col min="7143" max="7143" width="1" style="2" customWidth="1"/>
    <col min="7144" max="7144" width="18" style="2" customWidth="1"/>
    <col min="7145" max="7145" width="1.85546875" style="2" customWidth="1"/>
    <col min="7146" max="7146" width="12.5703125" style="2" customWidth="1"/>
    <col min="7147" max="7147" width="1.5703125" style="2" customWidth="1"/>
    <col min="7148" max="7148" width="9.5703125" style="2" customWidth="1"/>
    <col min="7149" max="7149" width="1.85546875" style="2" customWidth="1"/>
    <col min="7150" max="7150" width="11.85546875" style="2" customWidth="1"/>
    <col min="7151" max="7151" width="1.5703125" style="2" customWidth="1"/>
    <col min="7152" max="7152" width="10.140625" style="2" customWidth="1"/>
    <col min="7153" max="7153" width="2" style="2" customWidth="1"/>
    <col min="7154" max="7154" width="9.5703125" style="2" customWidth="1"/>
    <col min="7155" max="7397" width="9.140625" style="2"/>
    <col min="7398" max="7398" width="4.5703125" style="2" customWidth="1"/>
    <col min="7399" max="7399" width="1" style="2" customWidth="1"/>
    <col min="7400" max="7400" width="18" style="2" customWidth="1"/>
    <col min="7401" max="7401" width="1.85546875" style="2" customWidth="1"/>
    <col min="7402" max="7402" width="12.5703125" style="2" customWidth="1"/>
    <col min="7403" max="7403" width="1.5703125" style="2" customWidth="1"/>
    <col min="7404" max="7404" width="9.5703125" style="2" customWidth="1"/>
    <col min="7405" max="7405" width="1.85546875" style="2" customWidth="1"/>
    <col min="7406" max="7406" width="11.85546875" style="2" customWidth="1"/>
    <col min="7407" max="7407" width="1.5703125" style="2" customWidth="1"/>
    <col min="7408" max="7408" width="10.140625" style="2" customWidth="1"/>
    <col min="7409" max="7409" width="2" style="2" customWidth="1"/>
    <col min="7410" max="7410" width="9.5703125" style="2" customWidth="1"/>
    <col min="7411" max="7653" width="9.140625" style="2"/>
    <col min="7654" max="7654" width="4.5703125" style="2" customWidth="1"/>
    <col min="7655" max="7655" width="1" style="2" customWidth="1"/>
    <col min="7656" max="7656" width="18" style="2" customWidth="1"/>
    <col min="7657" max="7657" width="1.85546875" style="2" customWidth="1"/>
    <col min="7658" max="7658" width="12.5703125" style="2" customWidth="1"/>
    <col min="7659" max="7659" width="1.5703125" style="2" customWidth="1"/>
    <col min="7660" max="7660" width="9.5703125" style="2" customWidth="1"/>
    <col min="7661" max="7661" width="1.85546875" style="2" customWidth="1"/>
    <col min="7662" max="7662" width="11.85546875" style="2" customWidth="1"/>
    <col min="7663" max="7663" width="1.5703125" style="2" customWidth="1"/>
    <col min="7664" max="7664" width="10.140625" style="2" customWidth="1"/>
    <col min="7665" max="7665" width="2" style="2" customWidth="1"/>
    <col min="7666" max="7666" width="9.5703125" style="2" customWidth="1"/>
    <col min="7667" max="7909" width="9.140625" style="2"/>
    <col min="7910" max="7910" width="4.5703125" style="2" customWidth="1"/>
    <col min="7911" max="7911" width="1" style="2" customWidth="1"/>
    <col min="7912" max="7912" width="18" style="2" customWidth="1"/>
    <col min="7913" max="7913" width="1.85546875" style="2" customWidth="1"/>
    <col min="7914" max="7914" width="12.5703125" style="2" customWidth="1"/>
    <col min="7915" max="7915" width="1.5703125" style="2" customWidth="1"/>
    <col min="7916" max="7916" width="9.5703125" style="2" customWidth="1"/>
    <col min="7917" max="7917" width="1.85546875" style="2" customWidth="1"/>
    <col min="7918" max="7918" width="11.85546875" style="2" customWidth="1"/>
    <col min="7919" max="7919" width="1.5703125" style="2" customWidth="1"/>
    <col min="7920" max="7920" width="10.140625" style="2" customWidth="1"/>
    <col min="7921" max="7921" width="2" style="2" customWidth="1"/>
    <col min="7922" max="7922" width="9.5703125" style="2" customWidth="1"/>
    <col min="7923" max="8165" width="9.140625" style="2"/>
    <col min="8166" max="8166" width="4.5703125" style="2" customWidth="1"/>
    <col min="8167" max="8167" width="1" style="2" customWidth="1"/>
    <col min="8168" max="8168" width="18" style="2" customWidth="1"/>
    <col min="8169" max="8169" width="1.85546875" style="2" customWidth="1"/>
    <col min="8170" max="8170" width="12.5703125" style="2" customWidth="1"/>
    <col min="8171" max="8171" width="1.5703125" style="2" customWidth="1"/>
    <col min="8172" max="8172" width="9.5703125" style="2" customWidth="1"/>
    <col min="8173" max="8173" width="1.85546875" style="2" customWidth="1"/>
    <col min="8174" max="8174" width="11.85546875" style="2" customWidth="1"/>
    <col min="8175" max="8175" width="1.5703125" style="2" customWidth="1"/>
    <col min="8176" max="8176" width="10.140625" style="2" customWidth="1"/>
    <col min="8177" max="8177" width="2" style="2" customWidth="1"/>
    <col min="8178" max="8178" width="9.5703125" style="2" customWidth="1"/>
    <col min="8179" max="8421" width="9.140625" style="2"/>
    <col min="8422" max="8422" width="4.5703125" style="2" customWidth="1"/>
    <col min="8423" max="8423" width="1" style="2" customWidth="1"/>
    <col min="8424" max="8424" width="18" style="2" customWidth="1"/>
    <col min="8425" max="8425" width="1.85546875" style="2" customWidth="1"/>
    <col min="8426" max="8426" width="12.5703125" style="2" customWidth="1"/>
    <col min="8427" max="8427" width="1.5703125" style="2" customWidth="1"/>
    <col min="8428" max="8428" width="9.5703125" style="2" customWidth="1"/>
    <col min="8429" max="8429" width="1.85546875" style="2" customWidth="1"/>
    <col min="8430" max="8430" width="11.85546875" style="2" customWidth="1"/>
    <col min="8431" max="8431" width="1.5703125" style="2" customWidth="1"/>
    <col min="8432" max="8432" width="10.140625" style="2" customWidth="1"/>
    <col min="8433" max="8433" width="2" style="2" customWidth="1"/>
    <col min="8434" max="8434" width="9.5703125" style="2" customWidth="1"/>
    <col min="8435" max="8677" width="9.140625" style="2"/>
    <col min="8678" max="8678" width="4.5703125" style="2" customWidth="1"/>
    <col min="8679" max="8679" width="1" style="2" customWidth="1"/>
    <col min="8680" max="8680" width="18" style="2" customWidth="1"/>
    <col min="8681" max="8681" width="1.85546875" style="2" customWidth="1"/>
    <col min="8682" max="8682" width="12.5703125" style="2" customWidth="1"/>
    <col min="8683" max="8683" width="1.5703125" style="2" customWidth="1"/>
    <col min="8684" max="8684" width="9.5703125" style="2" customWidth="1"/>
    <col min="8685" max="8685" width="1.85546875" style="2" customWidth="1"/>
    <col min="8686" max="8686" width="11.85546875" style="2" customWidth="1"/>
    <col min="8687" max="8687" width="1.5703125" style="2" customWidth="1"/>
    <col min="8688" max="8688" width="10.140625" style="2" customWidth="1"/>
    <col min="8689" max="8689" width="2" style="2" customWidth="1"/>
    <col min="8690" max="8690" width="9.5703125" style="2" customWidth="1"/>
    <col min="8691" max="8933" width="9.140625" style="2"/>
    <col min="8934" max="8934" width="4.5703125" style="2" customWidth="1"/>
    <col min="8935" max="8935" width="1" style="2" customWidth="1"/>
    <col min="8936" max="8936" width="18" style="2" customWidth="1"/>
    <col min="8937" max="8937" width="1.85546875" style="2" customWidth="1"/>
    <col min="8938" max="8938" width="12.5703125" style="2" customWidth="1"/>
    <col min="8939" max="8939" width="1.5703125" style="2" customWidth="1"/>
    <col min="8940" max="8940" width="9.5703125" style="2" customWidth="1"/>
    <col min="8941" max="8941" width="1.85546875" style="2" customWidth="1"/>
    <col min="8942" max="8942" width="11.85546875" style="2" customWidth="1"/>
    <col min="8943" max="8943" width="1.5703125" style="2" customWidth="1"/>
    <col min="8944" max="8944" width="10.140625" style="2" customWidth="1"/>
    <col min="8945" max="8945" width="2" style="2" customWidth="1"/>
    <col min="8946" max="8946" width="9.5703125" style="2" customWidth="1"/>
    <col min="8947" max="9189" width="9.140625" style="2"/>
    <col min="9190" max="9190" width="4.5703125" style="2" customWidth="1"/>
    <col min="9191" max="9191" width="1" style="2" customWidth="1"/>
    <col min="9192" max="9192" width="18" style="2" customWidth="1"/>
    <col min="9193" max="9193" width="1.85546875" style="2" customWidth="1"/>
    <col min="9194" max="9194" width="12.5703125" style="2" customWidth="1"/>
    <col min="9195" max="9195" width="1.5703125" style="2" customWidth="1"/>
    <col min="9196" max="9196" width="9.5703125" style="2" customWidth="1"/>
    <col min="9197" max="9197" width="1.85546875" style="2" customWidth="1"/>
    <col min="9198" max="9198" width="11.85546875" style="2" customWidth="1"/>
    <col min="9199" max="9199" width="1.5703125" style="2" customWidth="1"/>
    <col min="9200" max="9200" width="10.140625" style="2" customWidth="1"/>
    <col min="9201" max="9201" width="2" style="2" customWidth="1"/>
    <col min="9202" max="9202" width="9.5703125" style="2" customWidth="1"/>
    <col min="9203" max="9445" width="9.140625" style="2"/>
    <col min="9446" max="9446" width="4.5703125" style="2" customWidth="1"/>
    <col min="9447" max="9447" width="1" style="2" customWidth="1"/>
    <col min="9448" max="9448" width="18" style="2" customWidth="1"/>
    <col min="9449" max="9449" width="1.85546875" style="2" customWidth="1"/>
    <col min="9450" max="9450" width="12.5703125" style="2" customWidth="1"/>
    <col min="9451" max="9451" width="1.5703125" style="2" customWidth="1"/>
    <col min="9452" max="9452" width="9.5703125" style="2" customWidth="1"/>
    <col min="9453" max="9453" width="1.85546875" style="2" customWidth="1"/>
    <col min="9454" max="9454" width="11.85546875" style="2" customWidth="1"/>
    <col min="9455" max="9455" width="1.5703125" style="2" customWidth="1"/>
    <col min="9456" max="9456" width="10.140625" style="2" customWidth="1"/>
    <col min="9457" max="9457" width="2" style="2" customWidth="1"/>
    <col min="9458" max="9458" width="9.5703125" style="2" customWidth="1"/>
    <col min="9459" max="9701" width="9.140625" style="2"/>
    <col min="9702" max="9702" width="4.5703125" style="2" customWidth="1"/>
    <col min="9703" max="9703" width="1" style="2" customWidth="1"/>
    <col min="9704" max="9704" width="18" style="2" customWidth="1"/>
    <col min="9705" max="9705" width="1.85546875" style="2" customWidth="1"/>
    <col min="9706" max="9706" width="12.5703125" style="2" customWidth="1"/>
    <col min="9707" max="9707" width="1.5703125" style="2" customWidth="1"/>
    <col min="9708" max="9708" width="9.5703125" style="2" customWidth="1"/>
    <col min="9709" max="9709" width="1.85546875" style="2" customWidth="1"/>
    <col min="9710" max="9710" width="11.85546875" style="2" customWidth="1"/>
    <col min="9711" max="9711" width="1.5703125" style="2" customWidth="1"/>
    <col min="9712" max="9712" width="10.140625" style="2" customWidth="1"/>
    <col min="9713" max="9713" width="2" style="2" customWidth="1"/>
    <col min="9714" max="9714" width="9.5703125" style="2" customWidth="1"/>
    <col min="9715" max="9957" width="9.140625" style="2"/>
    <col min="9958" max="9958" width="4.5703125" style="2" customWidth="1"/>
    <col min="9959" max="9959" width="1" style="2" customWidth="1"/>
    <col min="9960" max="9960" width="18" style="2" customWidth="1"/>
    <col min="9961" max="9961" width="1.85546875" style="2" customWidth="1"/>
    <col min="9962" max="9962" width="12.5703125" style="2" customWidth="1"/>
    <col min="9963" max="9963" width="1.5703125" style="2" customWidth="1"/>
    <col min="9964" max="9964" width="9.5703125" style="2" customWidth="1"/>
    <col min="9965" max="9965" width="1.85546875" style="2" customWidth="1"/>
    <col min="9966" max="9966" width="11.85546875" style="2" customWidth="1"/>
    <col min="9967" max="9967" width="1.5703125" style="2" customWidth="1"/>
    <col min="9968" max="9968" width="10.140625" style="2" customWidth="1"/>
    <col min="9969" max="9969" width="2" style="2" customWidth="1"/>
    <col min="9970" max="9970" width="9.5703125" style="2" customWidth="1"/>
    <col min="9971" max="10213" width="9.140625" style="2"/>
    <col min="10214" max="10214" width="4.5703125" style="2" customWidth="1"/>
    <col min="10215" max="10215" width="1" style="2" customWidth="1"/>
    <col min="10216" max="10216" width="18" style="2" customWidth="1"/>
    <col min="10217" max="10217" width="1.85546875" style="2" customWidth="1"/>
    <col min="10218" max="10218" width="12.5703125" style="2" customWidth="1"/>
    <col min="10219" max="10219" width="1.5703125" style="2" customWidth="1"/>
    <col min="10220" max="10220" width="9.5703125" style="2" customWidth="1"/>
    <col min="10221" max="10221" width="1.85546875" style="2" customWidth="1"/>
    <col min="10222" max="10222" width="11.85546875" style="2" customWidth="1"/>
    <col min="10223" max="10223" width="1.5703125" style="2" customWidth="1"/>
    <col min="10224" max="10224" width="10.140625" style="2" customWidth="1"/>
    <col min="10225" max="10225" width="2" style="2" customWidth="1"/>
    <col min="10226" max="10226" width="9.5703125" style="2" customWidth="1"/>
    <col min="10227" max="10469" width="9.140625" style="2"/>
    <col min="10470" max="10470" width="4.5703125" style="2" customWidth="1"/>
    <col min="10471" max="10471" width="1" style="2" customWidth="1"/>
    <col min="10472" max="10472" width="18" style="2" customWidth="1"/>
    <col min="10473" max="10473" width="1.85546875" style="2" customWidth="1"/>
    <col min="10474" max="10474" width="12.5703125" style="2" customWidth="1"/>
    <col min="10475" max="10475" width="1.5703125" style="2" customWidth="1"/>
    <col min="10476" max="10476" width="9.5703125" style="2" customWidth="1"/>
    <col min="10477" max="10477" width="1.85546875" style="2" customWidth="1"/>
    <col min="10478" max="10478" width="11.85546875" style="2" customWidth="1"/>
    <col min="10479" max="10479" width="1.5703125" style="2" customWidth="1"/>
    <col min="10480" max="10480" width="10.140625" style="2" customWidth="1"/>
    <col min="10481" max="10481" width="2" style="2" customWidth="1"/>
    <col min="10482" max="10482" width="9.5703125" style="2" customWidth="1"/>
    <col min="10483" max="10725" width="9.140625" style="2"/>
    <col min="10726" max="10726" width="4.5703125" style="2" customWidth="1"/>
    <col min="10727" max="10727" width="1" style="2" customWidth="1"/>
    <col min="10728" max="10728" width="18" style="2" customWidth="1"/>
    <col min="10729" max="10729" width="1.85546875" style="2" customWidth="1"/>
    <col min="10730" max="10730" width="12.5703125" style="2" customWidth="1"/>
    <col min="10731" max="10731" width="1.5703125" style="2" customWidth="1"/>
    <col min="10732" max="10732" width="9.5703125" style="2" customWidth="1"/>
    <col min="10733" max="10733" width="1.85546875" style="2" customWidth="1"/>
    <col min="10734" max="10734" width="11.85546875" style="2" customWidth="1"/>
    <col min="10735" max="10735" width="1.5703125" style="2" customWidth="1"/>
    <col min="10736" max="10736" width="10.140625" style="2" customWidth="1"/>
    <col min="10737" max="10737" width="2" style="2" customWidth="1"/>
    <col min="10738" max="10738" width="9.5703125" style="2" customWidth="1"/>
    <col min="10739" max="10981" width="9.140625" style="2"/>
    <col min="10982" max="10982" width="4.5703125" style="2" customWidth="1"/>
    <col min="10983" max="10983" width="1" style="2" customWidth="1"/>
    <col min="10984" max="10984" width="18" style="2" customWidth="1"/>
    <col min="10985" max="10985" width="1.85546875" style="2" customWidth="1"/>
    <col min="10986" max="10986" width="12.5703125" style="2" customWidth="1"/>
    <col min="10987" max="10987" width="1.5703125" style="2" customWidth="1"/>
    <col min="10988" max="10988" width="9.5703125" style="2" customWidth="1"/>
    <col min="10989" max="10989" width="1.85546875" style="2" customWidth="1"/>
    <col min="10990" max="10990" width="11.85546875" style="2" customWidth="1"/>
    <col min="10991" max="10991" width="1.5703125" style="2" customWidth="1"/>
    <col min="10992" max="10992" width="10.140625" style="2" customWidth="1"/>
    <col min="10993" max="10993" width="2" style="2" customWidth="1"/>
    <col min="10994" max="10994" width="9.5703125" style="2" customWidth="1"/>
    <col min="10995" max="11237" width="9.140625" style="2"/>
    <col min="11238" max="11238" width="4.5703125" style="2" customWidth="1"/>
    <col min="11239" max="11239" width="1" style="2" customWidth="1"/>
    <col min="11240" max="11240" width="18" style="2" customWidth="1"/>
    <col min="11241" max="11241" width="1.85546875" style="2" customWidth="1"/>
    <col min="11242" max="11242" width="12.5703125" style="2" customWidth="1"/>
    <col min="11243" max="11243" width="1.5703125" style="2" customWidth="1"/>
    <col min="11244" max="11244" width="9.5703125" style="2" customWidth="1"/>
    <col min="11245" max="11245" width="1.85546875" style="2" customWidth="1"/>
    <col min="11246" max="11246" width="11.85546875" style="2" customWidth="1"/>
    <col min="11247" max="11247" width="1.5703125" style="2" customWidth="1"/>
    <col min="11248" max="11248" width="10.140625" style="2" customWidth="1"/>
    <col min="11249" max="11249" width="2" style="2" customWidth="1"/>
    <col min="11250" max="11250" width="9.5703125" style="2" customWidth="1"/>
    <col min="11251" max="11493" width="9.140625" style="2"/>
    <col min="11494" max="11494" width="4.5703125" style="2" customWidth="1"/>
    <col min="11495" max="11495" width="1" style="2" customWidth="1"/>
    <col min="11496" max="11496" width="18" style="2" customWidth="1"/>
    <col min="11497" max="11497" width="1.85546875" style="2" customWidth="1"/>
    <col min="11498" max="11498" width="12.5703125" style="2" customWidth="1"/>
    <col min="11499" max="11499" width="1.5703125" style="2" customWidth="1"/>
    <col min="11500" max="11500" width="9.5703125" style="2" customWidth="1"/>
    <col min="11501" max="11501" width="1.85546875" style="2" customWidth="1"/>
    <col min="11502" max="11502" width="11.85546875" style="2" customWidth="1"/>
    <col min="11503" max="11503" width="1.5703125" style="2" customWidth="1"/>
    <col min="11504" max="11504" width="10.140625" style="2" customWidth="1"/>
    <col min="11505" max="11505" width="2" style="2" customWidth="1"/>
    <col min="11506" max="11506" width="9.5703125" style="2" customWidth="1"/>
    <col min="11507" max="11749" width="9.140625" style="2"/>
    <col min="11750" max="11750" width="4.5703125" style="2" customWidth="1"/>
    <col min="11751" max="11751" width="1" style="2" customWidth="1"/>
    <col min="11752" max="11752" width="18" style="2" customWidth="1"/>
    <col min="11753" max="11753" width="1.85546875" style="2" customWidth="1"/>
    <col min="11754" max="11754" width="12.5703125" style="2" customWidth="1"/>
    <col min="11755" max="11755" width="1.5703125" style="2" customWidth="1"/>
    <col min="11756" max="11756" width="9.5703125" style="2" customWidth="1"/>
    <col min="11757" max="11757" width="1.85546875" style="2" customWidth="1"/>
    <col min="11758" max="11758" width="11.85546875" style="2" customWidth="1"/>
    <col min="11759" max="11759" width="1.5703125" style="2" customWidth="1"/>
    <col min="11760" max="11760" width="10.140625" style="2" customWidth="1"/>
    <col min="11761" max="11761" width="2" style="2" customWidth="1"/>
    <col min="11762" max="11762" width="9.5703125" style="2" customWidth="1"/>
    <col min="11763" max="12005" width="9.140625" style="2"/>
    <col min="12006" max="12006" width="4.5703125" style="2" customWidth="1"/>
    <col min="12007" max="12007" width="1" style="2" customWidth="1"/>
    <col min="12008" max="12008" width="18" style="2" customWidth="1"/>
    <col min="12009" max="12009" width="1.85546875" style="2" customWidth="1"/>
    <col min="12010" max="12010" width="12.5703125" style="2" customWidth="1"/>
    <col min="12011" max="12011" width="1.5703125" style="2" customWidth="1"/>
    <col min="12012" max="12012" width="9.5703125" style="2" customWidth="1"/>
    <col min="12013" max="12013" width="1.85546875" style="2" customWidth="1"/>
    <col min="12014" max="12014" width="11.85546875" style="2" customWidth="1"/>
    <col min="12015" max="12015" width="1.5703125" style="2" customWidth="1"/>
    <col min="12016" max="12016" width="10.140625" style="2" customWidth="1"/>
    <col min="12017" max="12017" width="2" style="2" customWidth="1"/>
    <col min="12018" max="12018" width="9.5703125" style="2" customWidth="1"/>
    <col min="12019" max="12261" width="9.140625" style="2"/>
    <col min="12262" max="12262" width="4.5703125" style="2" customWidth="1"/>
    <col min="12263" max="12263" width="1" style="2" customWidth="1"/>
    <col min="12264" max="12264" width="18" style="2" customWidth="1"/>
    <col min="12265" max="12265" width="1.85546875" style="2" customWidth="1"/>
    <col min="12266" max="12266" width="12.5703125" style="2" customWidth="1"/>
    <col min="12267" max="12267" width="1.5703125" style="2" customWidth="1"/>
    <col min="12268" max="12268" width="9.5703125" style="2" customWidth="1"/>
    <col min="12269" max="12269" width="1.85546875" style="2" customWidth="1"/>
    <col min="12270" max="12270" width="11.85546875" style="2" customWidth="1"/>
    <col min="12271" max="12271" width="1.5703125" style="2" customWidth="1"/>
    <col min="12272" max="12272" width="10.140625" style="2" customWidth="1"/>
    <col min="12273" max="12273" width="2" style="2" customWidth="1"/>
    <col min="12274" max="12274" width="9.5703125" style="2" customWidth="1"/>
    <col min="12275" max="12517" width="9.140625" style="2"/>
    <col min="12518" max="12518" width="4.5703125" style="2" customWidth="1"/>
    <col min="12519" max="12519" width="1" style="2" customWidth="1"/>
    <col min="12520" max="12520" width="18" style="2" customWidth="1"/>
    <col min="12521" max="12521" width="1.85546875" style="2" customWidth="1"/>
    <col min="12522" max="12522" width="12.5703125" style="2" customWidth="1"/>
    <col min="12523" max="12523" width="1.5703125" style="2" customWidth="1"/>
    <col min="12524" max="12524" width="9.5703125" style="2" customWidth="1"/>
    <col min="12525" max="12525" width="1.85546875" style="2" customWidth="1"/>
    <col min="12526" max="12526" width="11.85546875" style="2" customWidth="1"/>
    <col min="12527" max="12527" width="1.5703125" style="2" customWidth="1"/>
    <col min="12528" max="12528" width="10.140625" style="2" customWidth="1"/>
    <col min="12529" max="12529" width="2" style="2" customWidth="1"/>
    <col min="12530" max="12530" width="9.5703125" style="2" customWidth="1"/>
    <col min="12531" max="12773" width="9.140625" style="2"/>
    <col min="12774" max="12774" width="4.5703125" style="2" customWidth="1"/>
    <col min="12775" max="12775" width="1" style="2" customWidth="1"/>
    <col min="12776" max="12776" width="18" style="2" customWidth="1"/>
    <col min="12777" max="12777" width="1.85546875" style="2" customWidth="1"/>
    <col min="12778" max="12778" width="12.5703125" style="2" customWidth="1"/>
    <col min="12779" max="12779" width="1.5703125" style="2" customWidth="1"/>
    <col min="12780" max="12780" width="9.5703125" style="2" customWidth="1"/>
    <col min="12781" max="12781" width="1.85546875" style="2" customWidth="1"/>
    <col min="12782" max="12782" width="11.85546875" style="2" customWidth="1"/>
    <col min="12783" max="12783" width="1.5703125" style="2" customWidth="1"/>
    <col min="12784" max="12784" width="10.140625" style="2" customWidth="1"/>
    <col min="12785" max="12785" width="2" style="2" customWidth="1"/>
    <col min="12786" max="12786" width="9.5703125" style="2" customWidth="1"/>
    <col min="12787" max="13029" width="9.140625" style="2"/>
    <col min="13030" max="13030" width="4.5703125" style="2" customWidth="1"/>
    <col min="13031" max="13031" width="1" style="2" customWidth="1"/>
    <col min="13032" max="13032" width="18" style="2" customWidth="1"/>
    <col min="13033" max="13033" width="1.85546875" style="2" customWidth="1"/>
    <col min="13034" max="13034" width="12.5703125" style="2" customWidth="1"/>
    <col min="13035" max="13035" width="1.5703125" style="2" customWidth="1"/>
    <col min="13036" max="13036" width="9.5703125" style="2" customWidth="1"/>
    <col min="13037" max="13037" width="1.85546875" style="2" customWidth="1"/>
    <col min="13038" max="13038" width="11.85546875" style="2" customWidth="1"/>
    <col min="13039" max="13039" width="1.5703125" style="2" customWidth="1"/>
    <col min="13040" max="13040" width="10.140625" style="2" customWidth="1"/>
    <col min="13041" max="13041" width="2" style="2" customWidth="1"/>
    <col min="13042" max="13042" width="9.5703125" style="2" customWidth="1"/>
    <col min="13043" max="13285" width="9.140625" style="2"/>
    <col min="13286" max="13286" width="4.5703125" style="2" customWidth="1"/>
    <col min="13287" max="13287" width="1" style="2" customWidth="1"/>
    <col min="13288" max="13288" width="18" style="2" customWidth="1"/>
    <col min="13289" max="13289" width="1.85546875" style="2" customWidth="1"/>
    <col min="13290" max="13290" width="12.5703125" style="2" customWidth="1"/>
    <col min="13291" max="13291" width="1.5703125" style="2" customWidth="1"/>
    <col min="13292" max="13292" width="9.5703125" style="2" customWidth="1"/>
    <col min="13293" max="13293" width="1.85546875" style="2" customWidth="1"/>
    <col min="13294" max="13294" width="11.85546875" style="2" customWidth="1"/>
    <col min="13295" max="13295" width="1.5703125" style="2" customWidth="1"/>
    <col min="13296" max="13296" width="10.140625" style="2" customWidth="1"/>
    <col min="13297" max="13297" width="2" style="2" customWidth="1"/>
    <col min="13298" max="13298" width="9.5703125" style="2" customWidth="1"/>
    <col min="13299" max="13541" width="9.140625" style="2"/>
    <col min="13542" max="13542" width="4.5703125" style="2" customWidth="1"/>
    <col min="13543" max="13543" width="1" style="2" customWidth="1"/>
    <col min="13544" max="13544" width="18" style="2" customWidth="1"/>
    <col min="13545" max="13545" width="1.85546875" style="2" customWidth="1"/>
    <col min="13546" max="13546" width="12.5703125" style="2" customWidth="1"/>
    <col min="13547" max="13547" width="1.5703125" style="2" customWidth="1"/>
    <col min="13548" max="13548" width="9.5703125" style="2" customWidth="1"/>
    <col min="13549" max="13549" width="1.85546875" style="2" customWidth="1"/>
    <col min="13550" max="13550" width="11.85546875" style="2" customWidth="1"/>
    <col min="13551" max="13551" width="1.5703125" style="2" customWidth="1"/>
    <col min="13552" max="13552" width="10.140625" style="2" customWidth="1"/>
    <col min="13553" max="13553" width="2" style="2" customWidth="1"/>
    <col min="13554" max="13554" width="9.5703125" style="2" customWidth="1"/>
    <col min="13555" max="13797" width="9.140625" style="2"/>
    <col min="13798" max="13798" width="4.5703125" style="2" customWidth="1"/>
    <col min="13799" max="13799" width="1" style="2" customWidth="1"/>
    <col min="13800" max="13800" width="18" style="2" customWidth="1"/>
    <col min="13801" max="13801" width="1.85546875" style="2" customWidth="1"/>
    <col min="13802" max="13802" width="12.5703125" style="2" customWidth="1"/>
    <col min="13803" max="13803" width="1.5703125" style="2" customWidth="1"/>
    <col min="13804" max="13804" width="9.5703125" style="2" customWidth="1"/>
    <col min="13805" max="13805" width="1.85546875" style="2" customWidth="1"/>
    <col min="13806" max="13806" width="11.85546875" style="2" customWidth="1"/>
    <col min="13807" max="13807" width="1.5703125" style="2" customWidth="1"/>
    <col min="13808" max="13808" width="10.140625" style="2" customWidth="1"/>
    <col min="13809" max="13809" width="2" style="2" customWidth="1"/>
    <col min="13810" max="13810" width="9.5703125" style="2" customWidth="1"/>
    <col min="13811" max="14053" width="9.140625" style="2"/>
    <col min="14054" max="14054" width="4.5703125" style="2" customWidth="1"/>
    <col min="14055" max="14055" width="1" style="2" customWidth="1"/>
    <col min="14056" max="14056" width="18" style="2" customWidth="1"/>
    <col min="14057" max="14057" width="1.85546875" style="2" customWidth="1"/>
    <col min="14058" max="14058" width="12.5703125" style="2" customWidth="1"/>
    <col min="14059" max="14059" width="1.5703125" style="2" customWidth="1"/>
    <col min="14060" max="14060" width="9.5703125" style="2" customWidth="1"/>
    <col min="14061" max="14061" width="1.85546875" style="2" customWidth="1"/>
    <col min="14062" max="14062" width="11.85546875" style="2" customWidth="1"/>
    <col min="14063" max="14063" width="1.5703125" style="2" customWidth="1"/>
    <col min="14064" max="14064" width="10.140625" style="2" customWidth="1"/>
    <col min="14065" max="14065" width="2" style="2" customWidth="1"/>
    <col min="14066" max="14066" width="9.5703125" style="2" customWidth="1"/>
    <col min="14067" max="14309" width="9.140625" style="2"/>
    <col min="14310" max="14310" width="4.5703125" style="2" customWidth="1"/>
    <col min="14311" max="14311" width="1" style="2" customWidth="1"/>
    <col min="14312" max="14312" width="18" style="2" customWidth="1"/>
    <col min="14313" max="14313" width="1.85546875" style="2" customWidth="1"/>
    <col min="14314" max="14314" width="12.5703125" style="2" customWidth="1"/>
    <col min="14315" max="14315" width="1.5703125" style="2" customWidth="1"/>
    <col min="14316" max="14316" width="9.5703125" style="2" customWidth="1"/>
    <col min="14317" max="14317" width="1.85546875" style="2" customWidth="1"/>
    <col min="14318" max="14318" width="11.85546875" style="2" customWidth="1"/>
    <col min="14319" max="14319" width="1.5703125" style="2" customWidth="1"/>
    <col min="14320" max="14320" width="10.140625" style="2" customWidth="1"/>
    <col min="14321" max="14321" width="2" style="2" customWidth="1"/>
    <col min="14322" max="14322" width="9.5703125" style="2" customWidth="1"/>
    <col min="14323" max="14565" width="9.140625" style="2"/>
    <col min="14566" max="14566" width="4.5703125" style="2" customWidth="1"/>
    <col min="14567" max="14567" width="1" style="2" customWidth="1"/>
    <col min="14568" max="14568" width="18" style="2" customWidth="1"/>
    <col min="14569" max="14569" width="1.85546875" style="2" customWidth="1"/>
    <col min="14570" max="14570" width="12.5703125" style="2" customWidth="1"/>
    <col min="14571" max="14571" width="1.5703125" style="2" customWidth="1"/>
    <col min="14572" max="14572" width="9.5703125" style="2" customWidth="1"/>
    <col min="14573" max="14573" width="1.85546875" style="2" customWidth="1"/>
    <col min="14574" max="14574" width="11.85546875" style="2" customWidth="1"/>
    <col min="14575" max="14575" width="1.5703125" style="2" customWidth="1"/>
    <col min="14576" max="14576" width="10.140625" style="2" customWidth="1"/>
    <col min="14577" max="14577" width="2" style="2" customWidth="1"/>
    <col min="14578" max="14578" width="9.5703125" style="2" customWidth="1"/>
    <col min="14579" max="14821" width="9.140625" style="2"/>
    <col min="14822" max="14822" width="4.5703125" style="2" customWidth="1"/>
    <col min="14823" max="14823" width="1" style="2" customWidth="1"/>
    <col min="14824" max="14824" width="18" style="2" customWidth="1"/>
    <col min="14825" max="14825" width="1.85546875" style="2" customWidth="1"/>
    <col min="14826" max="14826" width="12.5703125" style="2" customWidth="1"/>
    <col min="14827" max="14827" width="1.5703125" style="2" customWidth="1"/>
    <col min="14828" max="14828" width="9.5703125" style="2" customWidth="1"/>
    <col min="14829" max="14829" width="1.85546875" style="2" customWidth="1"/>
    <col min="14830" max="14830" width="11.85546875" style="2" customWidth="1"/>
    <col min="14831" max="14831" width="1.5703125" style="2" customWidth="1"/>
    <col min="14832" max="14832" width="10.140625" style="2" customWidth="1"/>
    <col min="14833" max="14833" width="2" style="2" customWidth="1"/>
    <col min="14834" max="14834" width="9.5703125" style="2" customWidth="1"/>
    <col min="14835" max="15077" width="9.140625" style="2"/>
    <col min="15078" max="15078" width="4.5703125" style="2" customWidth="1"/>
    <col min="15079" max="15079" width="1" style="2" customWidth="1"/>
    <col min="15080" max="15080" width="18" style="2" customWidth="1"/>
    <col min="15081" max="15081" width="1.85546875" style="2" customWidth="1"/>
    <col min="15082" max="15082" width="12.5703125" style="2" customWidth="1"/>
    <col min="15083" max="15083" width="1.5703125" style="2" customWidth="1"/>
    <col min="15084" max="15084" width="9.5703125" style="2" customWidth="1"/>
    <col min="15085" max="15085" width="1.85546875" style="2" customWidth="1"/>
    <col min="15086" max="15086" width="11.85546875" style="2" customWidth="1"/>
    <col min="15087" max="15087" width="1.5703125" style="2" customWidth="1"/>
    <col min="15088" max="15088" width="10.140625" style="2" customWidth="1"/>
    <col min="15089" max="15089" width="2" style="2" customWidth="1"/>
    <col min="15090" max="15090" width="9.5703125" style="2" customWidth="1"/>
    <col min="15091" max="15333" width="9.140625" style="2"/>
    <col min="15334" max="15334" width="4.5703125" style="2" customWidth="1"/>
    <col min="15335" max="15335" width="1" style="2" customWidth="1"/>
    <col min="15336" max="15336" width="18" style="2" customWidth="1"/>
    <col min="15337" max="15337" width="1.85546875" style="2" customWidth="1"/>
    <col min="15338" max="15338" width="12.5703125" style="2" customWidth="1"/>
    <col min="15339" max="15339" width="1.5703125" style="2" customWidth="1"/>
    <col min="15340" max="15340" width="9.5703125" style="2" customWidth="1"/>
    <col min="15341" max="15341" width="1.85546875" style="2" customWidth="1"/>
    <col min="15342" max="15342" width="11.85546875" style="2" customWidth="1"/>
    <col min="15343" max="15343" width="1.5703125" style="2" customWidth="1"/>
    <col min="15344" max="15344" width="10.140625" style="2" customWidth="1"/>
    <col min="15345" max="15345" width="2" style="2" customWidth="1"/>
    <col min="15346" max="15346" width="9.5703125" style="2" customWidth="1"/>
    <col min="15347" max="15589" width="9.140625" style="2"/>
    <col min="15590" max="15590" width="4.5703125" style="2" customWidth="1"/>
    <col min="15591" max="15591" width="1" style="2" customWidth="1"/>
    <col min="15592" max="15592" width="18" style="2" customWidth="1"/>
    <col min="15593" max="15593" width="1.85546875" style="2" customWidth="1"/>
    <col min="15594" max="15594" width="12.5703125" style="2" customWidth="1"/>
    <col min="15595" max="15595" width="1.5703125" style="2" customWidth="1"/>
    <col min="15596" max="15596" width="9.5703125" style="2" customWidth="1"/>
    <col min="15597" max="15597" width="1.85546875" style="2" customWidth="1"/>
    <col min="15598" max="15598" width="11.85546875" style="2" customWidth="1"/>
    <col min="15599" max="15599" width="1.5703125" style="2" customWidth="1"/>
    <col min="15600" max="15600" width="10.140625" style="2" customWidth="1"/>
    <col min="15601" max="15601" width="2" style="2" customWidth="1"/>
    <col min="15602" max="15602" width="9.5703125" style="2" customWidth="1"/>
    <col min="15603" max="15845" width="9.140625" style="2"/>
    <col min="15846" max="15846" width="4.5703125" style="2" customWidth="1"/>
    <col min="15847" max="15847" width="1" style="2" customWidth="1"/>
    <col min="15848" max="15848" width="18" style="2" customWidth="1"/>
    <col min="15849" max="15849" width="1.85546875" style="2" customWidth="1"/>
    <col min="15850" max="15850" width="12.5703125" style="2" customWidth="1"/>
    <col min="15851" max="15851" width="1.5703125" style="2" customWidth="1"/>
    <col min="15852" max="15852" width="9.5703125" style="2" customWidth="1"/>
    <col min="15853" max="15853" width="1.85546875" style="2" customWidth="1"/>
    <col min="15854" max="15854" width="11.85546875" style="2" customWidth="1"/>
    <col min="15855" max="15855" width="1.5703125" style="2" customWidth="1"/>
    <col min="15856" max="15856" width="10.140625" style="2" customWidth="1"/>
    <col min="15857" max="15857" width="2" style="2" customWidth="1"/>
    <col min="15858" max="15858" width="9.5703125" style="2" customWidth="1"/>
    <col min="15859" max="16101" width="9.140625" style="2"/>
    <col min="16102" max="16102" width="4.5703125" style="2" customWidth="1"/>
    <col min="16103" max="16103" width="1" style="2" customWidth="1"/>
    <col min="16104" max="16104" width="18" style="2" customWidth="1"/>
    <col min="16105" max="16105" width="1.85546875" style="2" customWidth="1"/>
    <col min="16106" max="16106" width="12.5703125" style="2" customWidth="1"/>
    <col min="16107" max="16107" width="1.5703125" style="2" customWidth="1"/>
    <col min="16108" max="16108" width="9.5703125" style="2" customWidth="1"/>
    <col min="16109" max="16109" width="1.85546875" style="2" customWidth="1"/>
    <col min="16110" max="16110" width="11.85546875" style="2" customWidth="1"/>
    <col min="16111" max="16111" width="1.5703125" style="2" customWidth="1"/>
    <col min="16112" max="16112" width="10.140625" style="2" customWidth="1"/>
    <col min="16113" max="16113" width="2" style="2" customWidth="1"/>
    <col min="16114" max="16114" width="9.5703125" style="2" customWidth="1"/>
    <col min="16115" max="16372" width="9.140625" style="2"/>
    <col min="16373" max="16384" width="9.140625" style="2" customWidth="1"/>
  </cols>
  <sheetData>
    <row r="1" spans="2:27" x14ac:dyDescent="0.2">
      <c r="Z1" s="60"/>
    </row>
    <row r="2" spans="2:27" x14ac:dyDescent="0.2">
      <c r="Z2" s="60"/>
    </row>
    <row r="3" spans="2:27" x14ac:dyDescent="0.2">
      <c r="Z3" s="60"/>
    </row>
    <row r="4" spans="2:27" x14ac:dyDescent="0.2">
      <c r="Z4" s="60"/>
    </row>
    <row r="5" spans="2:27" x14ac:dyDescent="0.2">
      <c r="Z5" s="60"/>
    </row>
    <row r="6" spans="2:27" x14ac:dyDescent="0.2">
      <c r="Z6" s="60"/>
    </row>
    <row r="7" spans="2:27" x14ac:dyDescent="0.2"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60"/>
      <c r="AA7" s="4"/>
    </row>
    <row r="8" spans="2:27" x14ac:dyDescent="0.2">
      <c r="B8" s="3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Z8" s="5"/>
    </row>
    <row r="9" spans="2:27" x14ac:dyDescent="0.2">
      <c r="B9" s="61"/>
      <c r="C9" s="61"/>
      <c r="D9" s="61"/>
      <c r="E9" s="61"/>
      <c r="F9" s="62"/>
      <c r="G9" s="61"/>
      <c r="H9" s="62"/>
      <c r="I9" s="61"/>
      <c r="J9" s="62"/>
      <c r="K9" s="62"/>
      <c r="L9" s="62"/>
      <c r="M9" s="62"/>
      <c r="N9" s="62"/>
      <c r="O9" s="61"/>
      <c r="P9" s="61"/>
      <c r="Q9" s="61"/>
      <c r="R9" s="61"/>
      <c r="S9" s="61"/>
      <c r="T9" s="61"/>
      <c r="U9" s="61"/>
      <c r="V9" s="61"/>
      <c r="W9" s="61"/>
      <c r="X9" s="5"/>
      <c r="Z9" s="5"/>
    </row>
    <row r="10" spans="2:27" x14ac:dyDescent="0.2">
      <c r="B10" s="62"/>
      <c r="C10" s="62"/>
      <c r="D10" s="62"/>
      <c r="E10" s="62"/>
      <c r="F10" s="61"/>
      <c r="G10" s="62"/>
      <c r="H10" s="61"/>
      <c r="I10" s="62"/>
      <c r="J10" s="63" t="s">
        <v>2</v>
      </c>
      <c r="K10" s="63"/>
      <c r="L10" s="63"/>
      <c r="M10" s="62"/>
      <c r="N10" s="62"/>
      <c r="O10" s="62"/>
      <c r="P10" s="63" t="s">
        <v>3</v>
      </c>
      <c r="Q10" s="63"/>
      <c r="R10" s="63"/>
      <c r="S10" s="63"/>
      <c r="T10" s="63"/>
      <c r="U10" s="63"/>
      <c r="V10" s="63"/>
      <c r="W10" s="63"/>
      <c r="X10" s="6"/>
      <c r="Y10" s="6"/>
      <c r="Z10" s="6"/>
    </row>
    <row r="11" spans="2:27" x14ac:dyDescent="0.2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5"/>
      <c r="Z11" s="5"/>
    </row>
    <row r="12" spans="2:27" s="7" customFormat="1" ht="38.25" x14ac:dyDescent="0.2">
      <c r="B12" s="64" t="s">
        <v>4</v>
      </c>
      <c r="C12" s="64"/>
      <c r="D12" s="64"/>
      <c r="E12" s="64"/>
      <c r="F12" s="65" t="s">
        <v>5</v>
      </c>
      <c r="G12" s="64"/>
      <c r="H12" s="7" t="s">
        <v>6</v>
      </c>
      <c r="I12" s="64"/>
      <c r="J12" s="7" t="s">
        <v>7</v>
      </c>
      <c r="L12" s="7" t="s">
        <v>8</v>
      </c>
      <c r="M12" s="64"/>
      <c r="N12" s="7" t="s">
        <v>9</v>
      </c>
      <c r="O12" s="64"/>
      <c r="P12" s="64" t="s">
        <v>10</v>
      </c>
      <c r="Q12" s="64"/>
      <c r="R12" s="7" t="s">
        <v>11</v>
      </c>
      <c r="S12" s="64"/>
      <c r="T12" s="7" t="s">
        <v>7</v>
      </c>
      <c r="U12" s="64"/>
      <c r="V12" s="7" t="s">
        <v>8</v>
      </c>
      <c r="W12" s="64"/>
      <c r="X12" s="64" t="s">
        <v>12</v>
      </c>
      <c r="Y12" s="64"/>
      <c r="Z12" s="64" t="s">
        <v>13</v>
      </c>
      <c r="AA12" s="64"/>
    </row>
    <row r="13" spans="2:27" ht="14.25" x14ac:dyDescent="0.2">
      <c r="B13" s="66" t="s">
        <v>14</v>
      </c>
      <c r="C13" s="67"/>
      <c r="D13" s="68" t="s">
        <v>15</v>
      </c>
      <c r="E13" s="65"/>
      <c r="F13" s="66" t="s">
        <v>16</v>
      </c>
      <c r="G13" s="65"/>
      <c r="H13" s="66" t="s">
        <v>17</v>
      </c>
      <c r="I13" s="65"/>
      <c r="J13" s="66" t="s">
        <v>18</v>
      </c>
      <c r="L13" s="66" t="s">
        <v>19</v>
      </c>
      <c r="M13" s="65"/>
      <c r="N13" s="66" t="s">
        <v>18</v>
      </c>
      <c r="O13" s="65"/>
      <c r="P13" s="66" t="s">
        <v>18</v>
      </c>
      <c r="Q13" s="65"/>
      <c r="R13" s="66" t="s">
        <v>18</v>
      </c>
      <c r="S13" s="65"/>
      <c r="T13" s="66" t="s">
        <v>18</v>
      </c>
      <c r="U13" s="65"/>
      <c r="V13" s="66" t="s">
        <v>19</v>
      </c>
      <c r="W13" s="65"/>
      <c r="X13" s="66" t="s">
        <v>20</v>
      </c>
      <c r="Y13" s="65"/>
      <c r="Z13" s="66" t="s">
        <v>21</v>
      </c>
      <c r="AA13" s="65"/>
    </row>
    <row r="14" spans="2:27" x14ac:dyDescent="0.2">
      <c r="B14" s="65"/>
      <c r="C14" s="67"/>
      <c r="D14" s="67"/>
      <c r="E14" s="65"/>
      <c r="F14" s="65"/>
      <c r="G14" s="65"/>
      <c r="H14" s="65" t="s">
        <v>22</v>
      </c>
      <c r="I14" s="65"/>
      <c r="J14" s="65" t="s">
        <v>23</v>
      </c>
      <c r="K14" s="65"/>
      <c r="L14" s="65" t="s">
        <v>24</v>
      </c>
      <c r="M14" s="65"/>
      <c r="N14" s="65" t="s">
        <v>25</v>
      </c>
      <c r="O14" s="65"/>
      <c r="P14" s="65" t="s">
        <v>26</v>
      </c>
      <c r="Q14" s="65"/>
      <c r="R14" s="65" t="s">
        <v>27</v>
      </c>
      <c r="S14" s="65"/>
      <c r="T14" s="69" t="s">
        <v>28</v>
      </c>
      <c r="U14" s="65"/>
      <c r="V14" s="69" t="s">
        <v>29</v>
      </c>
      <c r="W14" s="65"/>
      <c r="X14" s="69" t="s">
        <v>30</v>
      </c>
      <c r="Y14" s="65"/>
      <c r="Z14" s="69" t="s">
        <v>31</v>
      </c>
      <c r="AA14" s="65"/>
    </row>
    <row r="15" spans="2:27" x14ac:dyDescent="0.2">
      <c r="B15" s="65"/>
      <c r="C15" s="67"/>
      <c r="D15" s="67"/>
      <c r="E15" s="65"/>
      <c r="F15" s="8"/>
      <c r="G15" s="65"/>
      <c r="H15" s="8"/>
      <c r="I15" s="65"/>
      <c r="J15" s="8"/>
      <c r="K15" s="65"/>
      <c r="L15" s="65"/>
      <c r="M15" s="65"/>
      <c r="N15" s="8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2:27" x14ac:dyDescent="0.2">
      <c r="B16" s="65"/>
      <c r="C16" s="67"/>
      <c r="D16" s="4" t="s">
        <v>32</v>
      </c>
      <c r="E16" s="65"/>
      <c r="F16" s="8"/>
      <c r="G16" s="65"/>
      <c r="H16" s="8"/>
      <c r="I16" s="65"/>
      <c r="J16" s="8"/>
      <c r="K16" s="65"/>
      <c r="L16" s="65"/>
      <c r="M16" s="65"/>
      <c r="N16" s="9"/>
      <c r="O16" s="65"/>
      <c r="P16" s="10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2:27" x14ac:dyDescent="0.2">
      <c r="B17" s="65">
        <v>1</v>
      </c>
      <c r="C17" s="67"/>
      <c r="D17" s="11" t="s">
        <v>33</v>
      </c>
      <c r="E17" s="65"/>
      <c r="F17" s="12" t="s">
        <v>34</v>
      </c>
      <c r="G17" s="65"/>
      <c r="H17" s="13">
        <v>46035670.889527544</v>
      </c>
      <c r="I17" s="70"/>
      <c r="J17" s="13"/>
      <c r="K17" s="71"/>
      <c r="L17" s="13"/>
      <c r="M17" s="71"/>
      <c r="N17" s="13"/>
      <c r="O17" s="14"/>
      <c r="P17" s="13">
        <v>1339528.0048541937</v>
      </c>
      <c r="Q17" s="14"/>
      <c r="R17" s="13">
        <f>T17-P17</f>
        <v>0</v>
      </c>
      <c r="S17" s="71"/>
      <c r="T17" s="13">
        <f>$H17*V17/1000</f>
        <v>1339528.0048541937</v>
      </c>
      <c r="U17" s="71"/>
      <c r="V17" s="72">
        <v>29.097610156886343</v>
      </c>
      <c r="W17" s="71"/>
      <c r="X17" s="15">
        <f>T17/P17</f>
        <v>1</v>
      </c>
      <c r="Y17" s="16"/>
      <c r="Z17" s="17"/>
    </row>
    <row r="18" spans="2:27" x14ac:dyDescent="0.2">
      <c r="B18" s="65">
        <f>MAX(B$17:B17)+1</f>
        <v>2</v>
      </c>
      <c r="C18" s="67"/>
      <c r="D18" s="11" t="s">
        <v>35</v>
      </c>
      <c r="E18" s="65"/>
      <c r="F18" s="12" t="s">
        <v>36</v>
      </c>
      <c r="G18" s="65"/>
      <c r="H18" s="13">
        <v>9140146.3467059378</v>
      </c>
      <c r="I18" s="70"/>
      <c r="J18" s="13"/>
      <c r="K18" s="71"/>
      <c r="L18" s="13"/>
      <c r="M18" s="71"/>
      <c r="N18" s="13"/>
      <c r="O18" s="14"/>
      <c r="P18" s="13">
        <v>35815.294009169564</v>
      </c>
      <c r="Q18" s="14"/>
      <c r="R18" s="13">
        <f>T18-P18</f>
        <v>0</v>
      </c>
      <c r="S18" s="71"/>
      <c r="T18" s="13">
        <f>$H18*V18/100</f>
        <v>35815.294009169556</v>
      </c>
      <c r="U18" s="71"/>
      <c r="V18" s="34">
        <v>0.39184595793783117</v>
      </c>
      <c r="W18" s="71"/>
      <c r="X18" s="15">
        <f t="shared" ref="X18:X20" si="0">T18/P18</f>
        <v>0.99999999999999978</v>
      </c>
      <c r="Y18" s="16"/>
      <c r="Z18" s="17"/>
    </row>
    <row r="19" spans="2:27" x14ac:dyDescent="0.2">
      <c r="B19" s="65">
        <f>MAX(B$17:B18)+1</f>
        <v>3</v>
      </c>
      <c r="C19" s="67"/>
      <c r="D19" s="11" t="s">
        <v>37</v>
      </c>
      <c r="E19" s="65"/>
      <c r="F19" s="12" t="s">
        <v>38</v>
      </c>
      <c r="G19" s="65"/>
      <c r="H19" s="13">
        <v>1087127.4672765208</v>
      </c>
      <c r="I19" s="70"/>
      <c r="J19" s="13"/>
      <c r="K19" s="71"/>
      <c r="L19" s="13"/>
      <c r="M19" s="71"/>
      <c r="N19" s="13"/>
      <c r="O19" s="14"/>
      <c r="P19" s="13">
        <v>677342.89471074136</v>
      </c>
      <c r="Q19" s="14"/>
      <c r="R19" s="13">
        <f t="shared" ref="R19" si="1">T19-P19</f>
        <v>-9575.1116992718307</v>
      </c>
      <c r="S19" s="71"/>
      <c r="T19" s="13">
        <f>$H19*V19/100</f>
        <v>667767.78301146952</v>
      </c>
      <c r="U19" s="71"/>
      <c r="V19" s="34">
        <v>61.424975737607475</v>
      </c>
      <c r="W19" s="71"/>
      <c r="X19" s="15">
        <f t="shared" si="0"/>
        <v>0.98586371574273191</v>
      </c>
      <c r="Y19" s="16"/>
      <c r="Z19" s="17"/>
    </row>
    <row r="20" spans="2:27" x14ac:dyDescent="0.2">
      <c r="B20" s="65">
        <f>MAX(B$17:B19)+1</f>
        <v>4</v>
      </c>
      <c r="C20" s="67"/>
      <c r="D20" s="18" t="s">
        <v>39</v>
      </c>
      <c r="E20" s="65"/>
      <c r="F20" s="12"/>
      <c r="G20" s="65"/>
      <c r="H20" s="73">
        <f>H18</f>
        <v>9140146.3467059378</v>
      </c>
      <c r="I20" s="70"/>
      <c r="J20" s="19"/>
      <c r="K20" s="71"/>
      <c r="L20" s="70"/>
      <c r="M20" s="71"/>
      <c r="N20" s="20"/>
      <c r="O20" s="14"/>
      <c r="P20" s="73">
        <f>SUM(P17:P19)</f>
        <v>2052686.1935741045</v>
      </c>
      <c r="Q20" s="14"/>
      <c r="R20" s="73">
        <f>SUM(R17:R19)</f>
        <v>-9575.1116992718307</v>
      </c>
      <c r="S20" s="71"/>
      <c r="T20" s="73">
        <f>SUM(T17:T19)</f>
        <v>2043111.0818748327</v>
      </c>
      <c r="U20" s="71"/>
      <c r="V20" s="21">
        <f>T20/$H20*100</f>
        <v>22.353155019352176</v>
      </c>
      <c r="W20" s="71"/>
      <c r="X20" s="74">
        <f t="shared" si="0"/>
        <v>0.99533532610622777</v>
      </c>
      <c r="Y20" s="16"/>
      <c r="Z20" s="17"/>
    </row>
    <row r="21" spans="2:27" x14ac:dyDescent="0.2">
      <c r="E21" s="65"/>
      <c r="F21" s="12"/>
      <c r="G21" s="65"/>
      <c r="H21" s="13"/>
      <c r="I21" s="70"/>
      <c r="J21" s="19"/>
      <c r="K21" s="71"/>
      <c r="L21" s="70"/>
      <c r="M21" s="71"/>
      <c r="N21" s="20"/>
      <c r="O21" s="14"/>
      <c r="P21" s="13"/>
      <c r="Q21" s="14"/>
      <c r="R21" s="13"/>
      <c r="S21" s="71"/>
      <c r="T21" s="13"/>
      <c r="U21" s="71"/>
      <c r="V21" s="34"/>
      <c r="W21" s="71"/>
      <c r="X21" s="15"/>
      <c r="Y21" s="16"/>
      <c r="Z21" s="17"/>
    </row>
    <row r="22" spans="2:27" x14ac:dyDescent="0.2">
      <c r="B22" s="65"/>
      <c r="C22" s="67"/>
      <c r="D22" s="18" t="s">
        <v>40</v>
      </c>
      <c r="E22" s="65"/>
      <c r="F22" s="75"/>
      <c r="G22" s="65"/>
      <c r="H22" s="13"/>
      <c r="I22" s="70"/>
      <c r="J22" s="19"/>
      <c r="K22" s="71"/>
      <c r="L22" s="70"/>
      <c r="M22" s="71"/>
      <c r="N22" s="20"/>
      <c r="O22" s="14"/>
      <c r="P22" s="13"/>
      <c r="Q22" s="14"/>
      <c r="R22" s="13"/>
      <c r="S22" s="71"/>
      <c r="T22" s="13"/>
      <c r="U22" s="71"/>
      <c r="V22" s="22"/>
      <c r="W22" s="71"/>
      <c r="X22" s="15"/>
      <c r="Y22" s="16"/>
      <c r="Z22" s="17"/>
    </row>
    <row r="23" spans="2:27" x14ac:dyDescent="0.2">
      <c r="B23" s="65">
        <f>MAX(B$17:B22)+1</f>
        <v>5</v>
      </c>
      <c r="C23" s="67"/>
      <c r="D23" s="11" t="s">
        <v>41</v>
      </c>
      <c r="E23" s="65"/>
      <c r="F23" s="75" t="s">
        <v>36</v>
      </c>
      <c r="G23" s="65"/>
      <c r="H23" s="13">
        <v>9095333.4394018371</v>
      </c>
      <c r="I23" s="70"/>
      <c r="J23" s="13"/>
      <c r="K23" s="71"/>
      <c r="L23" s="13"/>
      <c r="M23" s="71"/>
      <c r="N23" s="13"/>
      <c r="O23" s="71"/>
      <c r="P23" s="13">
        <v>159931.16672763607</v>
      </c>
      <c r="Q23" s="71"/>
      <c r="R23" s="13">
        <f t="shared" ref="R23:R24" si="2">T23-P23</f>
        <v>4078.9792086405796</v>
      </c>
      <c r="S23" s="71"/>
      <c r="T23" s="13">
        <f t="shared" ref="T23:T24" si="3">$H23*V23/100</f>
        <v>164010.14593627665</v>
      </c>
      <c r="U23" s="71"/>
      <c r="V23" s="34">
        <v>1.8032340103746973</v>
      </c>
      <c r="W23" s="71"/>
      <c r="X23" s="13"/>
      <c r="Y23" s="71"/>
      <c r="Z23" s="13"/>
      <c r="AA23" s="65"/>
    </row>
    <row r="24" spans="2:27" x14ac:dyDescent="0.2">
      <c r="B24" s="65">
        <f>MAX(B$17:B23)+1</f>
        <v>6</v>
      </c>
      <c r="C24" s="67"/>
      <c r="D24" s="11" t="s">
        <v>42</v>
      </c>
      <c r="E24" s="65"/>
      <c r="F24" s="75" t="s">
        <v>36</v>
      </c>
      <c r="G24" s="65"/>
      <c r="H24" s="13">
        <v>44812.907304100831</v>
      </c>
      <c r="I24" s="70"/>
      <c r="J24" s="13"/>
      <c r="K24" s="71"/>
      <c r="L24" s="13"/>
      <c r="M24" s="71"/>
      <c r="N24" s="13"/>
      <c r="O24" s="71"/>
      <c r="P24" s="13">
        <v>1949.4925715284367</v>
      </c>
      <c r="Q24" s="71"/>
      <c r="R24" s="13">
        <f t="shared" si="2"/>
        <v>20.09722000738293</v>
      </c>
      <c r="S24" s="71"/>
      <c r="T24" s="13">
        <f t="shared" si="3"/>
        <v>1969.5897915358196</v>
      </c>
      <c r="U24" s="71"/>
      <c r="V24" s="34">
        <v>4.3951395033804967</v>
      </c>
      <c r="W24" s="71"/>
      <c r="X24" s="13"/>
      <c r="Y24" s="71"/>
      <c r="Z24" s="13"/>
      <c r="AA24" s="65"/>
    </row>
    <row r="25" spans="2:27" x14ac:dyDescent="0.2">
      <c r="B25" s="65">
        <f>MAX(B$17:B24)+1</f>
        <v>7</v>
      </c>
      <c r="C25" s="67"/>
      <c r="D25" s="18" t="s">
        <v>40</v>
      </c>
      <c r="E25" s="65"/>
      <c r="F25" s="12"/>
      <c r="G25" s="65"/>
      <c r="H25" s="73">
        <f>SUM(H23:H24)</f>
        <v>9140146.3467059378</v>
      </c>
      <c r="I25" s="70"/>
      <c r="J25" s="19"/>
      <c r="K25" s="71"/>
      <c r="L25" s="70"/>
      <c r="M25" s="71"/>
      <c r="N25" s="20"/>
      <c r="O25" s="14"/>
      <c r="P25" s="73">
        <f>SUM(P23:P24)</f>
        <v>161880.65929916452</v>
      </c>
      <c r="Q25" s="14"/>
      <c r="R25" s="73">
        <f>SUM(R23:R24)</f>
        <v>4099.0764286479625</v>
      </c>
      <c r="S25" s="71"/>
      <c r="T25" s="73">
        <f>SUM(T23:T24)</f>
        <v>165979.73572781245</v>
      </c>
      <c r="U25" s="71"/>
      <c r="V25" s="21">
        <f>T25/$H25*100</f>
        <v>1.8159417741449042</v>
      </c>
      <c r="W25" s="71"/>
      <c r="X25" s="74">
        <f t="shared" ref="X25" si="4">T25/P25</f>
        <v>1.0253215946018148</v>
      </c>
      <c r="Y25" s="16"/>
      <c r="Z25" s="17"/>
    </row>
    <row r="26" spans="2:27" x14ac:dyDescent="0.2">
      <c r="H26" s="16"/>
      <c r="I26" s="16"/>
      <c r="J26" s="19"/>
      <c r="K26" s="16"/>
      <c r="L26" s="70"/>
      <c r="M26" s="16"/>
      <c r="N26" s="20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</row>
    <row r="27" spans="2:27" x14ac:dyDescent="0.2">
      <c r="B27" s="65">
        <f>MAX(B$17:B26)+1</f>
        <v>8</v>
      </c>
      <c r="C27" s="67"/>
      <c r="D27" s="18" t="s">
        <v>43</v>
      </c>
      <c r="E27" s="65"/>
      <c r="F27" s="12" t="s">
        <v>36</v>
      </c>
      <c r="G27" s="65"/>
      <c r="H27" s="13">
        <v>8653116.5745153055</v>
      </c>
      <c r="I27" s="70"/>
      <c r="J27" s="19"/>
      <c r="K27" s="71"/>
      <c r="L27" s="70"/>
      <c r="M27" s="71"/>
      <c r="N27" s="20"/>
      <c r="O27" s="14"/>
      <c r="P27" s="13">
        <f>T27</f>
        <v>1246209.4982578156</v>
      </c>
      <c r="Q27" s="14"/>
      <c r="R27" s="13">
        <f>T27-P27</f>
        <v>0</v>
      </c>
      <c r="S27" s="71"/>
      <c r="T27" s="13">
        <f>$H27*V27/100</f>
        <v>1246209.4982578156</v>
      </c>
      <c r="U27" s="71"/>
      <c r="V27" s="34">
        <v>14.401857267566289</v>
      </c>
      <c r="W27" s="71"/>
      <c r="X27" s="15">
        <f>T27/P27</f>
        <v>1</v>
      </c>
      <c r="Y27" s="16"/>
      <c r="Z27" s="17"/>
    </row>
    <row r="28" spans="2:27" x14ac:dyDescent="0.2">
      <c r="B28" s="65"/>
      <c r="C28" s="67"/>
      <c r="D28" s="18"/>
      <c r="E28" s="65"/>
      <c r="F28" s="12"/>
      <c r="G28" s="65"/>
      <c r="H28" s="13"/>
      <c r="I28" s="70"/>
      <c r="J28" s="13"/>
      <c r="K28" s="71"/>
      <c r="L28" s="34"/>
      <c r="M28" s="71"/>
      <c r="N28" s="20"/>
      <c r="O28" s="14"/>
      <c r="P28" s="13"/>
      <c r="Q28" s="14"/>
      <c r="R28" s="13"/>
      <c r="S28" s="71"/>
      <c r="T28" s="13"/>
      <c r="U28" s="71"/>
      <c r="V28" s="34"/>
      <c r="W28" s="71"/>
      <c r="X28" s="15"/>
      <c r="Y28" s="16"/>
      <c r="Z28" s="17"/>
    </row>
    <row r="29" spans="2:27" ht="13.5" thickBot="1" x14ac:dyDescent="0.25">
      <c r="B29" s="65">
        <f>MAX(B$17:B28)+1</f>
        <v>9</v>
      </c>
      <c r="C29" s="67"/>
      <c r="D29" s="23" t="s">
        <v>44</v>
      </c>
      <c r="E29" s="65"/>
      <c r="F29" s="12"/>
      <c r="G29" s="65"/>
      <c r="H29" s="76">
        <f>H20</f>
        <v>9140146.3467059378</v>
      </c>
      <c r="I29" s="70"/>
      <c r="J29" s="76">
        <v>3492378.9351526839</v>
      </c>
      <c r="K29" s="71"/>
      <c r="L29" s="24">
        <f>J29/$H29*100</f>
        <v>38.209223383073287</v>
      </c>
      <c r="M29" s="71"/>
      <c r="N29" s="76">
        <f>J29-P29</f>
        <v>31602.584021599498</v>
      </c>
      <c r="O29" s="14"/>
      <c r="P29" s="76">
        <f>P20+P25+P27</f>
        <v>3460776.3511310844</v>
      </c>
      <c r="Q29" s="14"/>
      <c r="R29" s="76">
        <f>R20+R25+R27</f>
        <v>-5476.0352706238682</v>
      </c>
      <c r="S29" s="71"/>
      <c r="T29" s="76">
        <f>T20+T25+T27</f>
        <v>3455300.3158604605</v>
      </c>
      <c r="U29" s="71"/>
      <c r="V29" s="24">
        <f>T29/$H29*100</f>
        <v>37.803555706804772</v>
      </c>
      <c r="W29" s="71"/>
      <c r="X29" s="77">
        <f t="shared" ref="X29" si="5">T29/P29</f>
        <v>0.99841768588460389</v>
      </c>
      <c r="Y29" s="16"/>
      <c r="Z29" s="25">
        <f t="shared" ref="Z29" si="6">V29/L29-1</f>
        <v>-1.0617009202239513E-2</v>
      </c>
    </row>
    <row r="30" spans="2:27" ht="13.5" thickTop="1" x14ac:dyDescent="0.2">
      <c r="B30" s="65"/>
      <c r="C30" s="67"/>
      <c r="E30" s="65"/>
      <c r="F30" s="75"/>
      <c r="G30" s="65"/>
      <c r="H30" s="75"/>
      <c r="I30" s="65"/>
      <c r="J30" s="75"/>
      <c r="K30" s="75"/>
      <c r="L30" s="26"/>
      <c r="M30" s="75"/>
      <c r="N30" s="75"/>
      <c r="O30" s="27"/>
      <c r="P30" s="75"/>
      <c r="Q30" s="27"/>
      <c r="R30" s="75"/>
      <c r="S30" s="75"/>
      <c r="T30" s="75"/>
      <c r="U30" s="75"/>
      <c r="V30" s="26"/>
      <c r="W30" s="75"/>
      <c r="X30" s="78"/>
      <c r="Z30" s="26"/>
    </row>
    <row r="31" spans="2:27" x14ac:dyDescent="0.2">
      <c r="B31" s="65"/>
      <c r="C31" s="67"/>
      <c r="D31" s="67"/>
      <c r="E31" s="65"/>
      <c r="F31" s="26"/>
      <c r="G31" s="65"/>
      <c r="H31" s="26"/>
      <c r="I31" s="65"/>
      <c r="J31" s="26"/>
      <c r="K31" s="75"/>
      <c r="L31" s="26"/>
      <c r="M31" s="75"/>
      <c r="N31" s="26"/>
      <c r="O31" s="75"/>
      <c r="P31" s="26"/>
      <c r="Q31" s="75"/>
      <c r="R31" s="75"/>
      <c r="S31" s="75"/>
      <c r="T31" s="26"/>
      <c r="U31" s="75"/>
      <c r="V31" s="26"/>
      <c r="W31" s="75"/>
      <c r="X31" s="78"/>
      <c r="Y31" s="65"/>
      <c r="Z31" s="26"/>
      <c r="AA31" s="65"/>
    </row>
    <row r="32" spans="2:27" x14ac:dyDescent="0.2">
      <c r="B32" s="65"/>
      <c r="C32" s="67"/>
      <c r="D32" s="67"/>
      <c r="E32" s="65"/>
      <c r="F32" s="26"/>
      <c r="G32" s="65"/>
      <c r="H32" s="26"/>
      <c r="I32" s="65"/>
      <c r="J32" s="26"/>
      <c r="K32" s="75"/>
      <c r="L32" s="26"/>
      <c r="M32" s="75"/>
      <c r="N32" s="26"/>
      <c r="O32" s="75"/>
      <c r="P32" s="26"/>
      <c r="Q32" s="75"/>
      <c r="R32" s="75"/>
      <c r="S32" s="75"/>
      <c r="T32" s="26"/>
      <c r="U32" s="75"/>
      <c r="V32" s="26"/>
      <c r="W32" s="75"/>
      <c r="X32" s="78"/>
      <c r="Y32" s="65"/>
      <c r="Z32" s="78"/>
      <c r="AA32" s="65"/>
    </row>
    <row r="33" spans="2:27" x14ac:dyDescent="0.2">
      <c r="B33" s="65"/>
      <c r="C33" s="67"/>
      <c r="D33" s="4" t="s">
        <v>45</v>
      </c>
      <c r="E33" s="65"/>
      <c r="F33" s="8"/>
      <c r="G33" s="65"/>
      <c r="H33" s="19"/>
      <c r="I33" s="70"/>
      <c r="J33" s="22"/>
      <c r="K33" s="71"/>
      <c r="L33" s="22"/>
      <c r="M33" s="70"/>
      <c r="N33" s="22"/>
      <c r="O33" s="70"/>
      <c r="P33" s="28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65"/>
    </row>
    <row r="34" spans="2:27" x14ac:dyDescent="0.2">
      <c r="B34" s="65">
        <f>MAX(B$17:B33)+1</f>
        <v>10</v>
      </c>
      <c r="C34" s="67"/>
      <c r="D34" s="11" t="s">
        <v>33</v>
      </c>
      <c r="E34" s="65"/>
      <c r="F34" s="12" t="s">
        <v>34</v>
      </c>
      <c r="G34" s="65"/>
      <c r="H34" s="13">
        <v>1021298.1894654231</v>
      </c>
      <c r="I34" s="70"/>
      <c r="J34" s="13"/>
      <c r="K34" s="70"/>
      <c r="L34" s="13"/>
      <c r="M34" s="71"/>
      <c r="N34" s="13"/>
      <c r="O34" s="14"/>
      <c r="P34" s="13">
        <v>113612.53314010607</v>
      </c>
      <c r="Q34" s="14"/>
      <c r="R34" s="13">
        <f>T34-P34</f>
        <v>-83895.196569107342</v>
      </c>
      <c r="S34" s="71"/>
      <c r="T34" s="13">
        <f>$H34*V34/1000</f>
        <v>29717.336570998727</v>
      </c>
      <c r="U34" s="71"/>
      <c r="V34" s="72">
        <v>29.097610156886343</v>
      </c>
      <c r="W34" s="71"/>
      <c r="X34" s="15">
        <f>T34/P34</f>
        <v>0.26156741470020339</v>
      </c>
      <c r="Y34" s="16"/>
      <c r="Z34" s="13"/>
      <c r="AA34" s="65"/>
    </row>
    <row r="35" spans="2:27" x14ac:dyDescent="0.2">
      <c r="B35" s="65">
        <f>MAX(B$17:B34)+1</f>
        <v>11</v>
      </c>
      <c r="C35" s="67"/>
      <c r="D35" s="11" t="s">
        <v>35</v>
      </c>
      <c r="E35" s="65"/>
      <c r="F35" s="12" t="s">
        <v>36</v>
      </c>
      <c r="G35" s="65"/>
      <c r="H35" s="13">
        <v>6571059.0851602424</v>
      </c>
      <c r="I35" s="70"/>
      <c r="J35" s="13"/>
      <c r="K35" s="70"/>
      <c r="L35" s="13"/>
      <c r="M35" s="71"/>
      <c r="N35" s="13"/>
      <c r="O35" s="14"/>
      <c r="P35" s="13">
        <v>25424.470545024433</v>
      </c>
      <c r="Q35" s="14"/>
      <c r="R35" s="13">
        <f>T35-P35</f>
        <v>0</v>
      </c>
      <c r="S35" s="71"/>
      <c r="T35" s="13">
        <f t="shared" ref="T35:T36" si="7">$H35*V35/100</f>
        <v>25424.470545024433</v>
      </c>
      <c r="U35" s="71"/>
      <c r="V35" s="34">
        <v>0.38691587178757547</v>
      </c>
      <c r="W35" s="71"/>
      <c r="X35" s="15">
        <f t="shared" ref="X35:X37" si="8">T35/P35</f>
        <v>1</v>
      </c>
      <c r="Y35" s="16"/>
      <c r="Z35" s="13"/>
      <c r="AA35" s="65"/>
    </row>
    <row r="36" spans="2:27" x14ac:dyDescent="0.2">
      <c r="B36" s="65">
        <f>MAX(B$17:B35)+1</f>
        <v>12</v>
      </c>
      <c r="C36" s="67"/>
      <c r="D36" s="11" t="s">
        <v>37</v>
      </c>
      <c r="E36" s="65"/>
      <c r="F36" s="12" t="s">
        <v>38</v>
      </c>
      <c r="G36" s="65"/>
      <c r="H36" s="13">
        <v>772599.00000000012</v>
      </c>
      <c r="I36" s="70"/>
      <c r="J36" s="13"/>
      <c r="K36" s="70"/>
      <c r="L36" s="13"/>
      <c r="M36" s="71"/>
      <c r="N36" s="13"/>
      <c r="O36" s="14"/>
      <c r="P36" s="13">
        <v>413864.90884378314</v>
      </c>
      <c r="Q36" s="14"/>
      <c r="R36" s="13">
        <f t="shared" ref="R36" si="9">T36-P36</f>
        <v>77009.486277306278</v>
      </c>
      <c r="S36" s="71"/>
      <c r="T36" s="13">
        <f t="shared" si="7"/>
        <v>490874.39512108942</v>
      </c>
      <c r="U36" s="71"/>
      <c r="V36" s="34">
        <v>63.535468609341891</v>
      </c>
      <c r="W36" s="71"/>
      <c r="X36" s="15">
        <f t="shared" si="8"/>
        <v>1.1860739691423661</v>
      </c>
      <c r="Y36" s="16"/>
      <c r="Z36" s="13"/>
      <c r="AA36" s="65"/>
    </row>
    <row r="37" spans="2:27" x14ac:dyDescent="0.2">
      <c r="B37" s="65">
        <f>MAX(B$17:B36)+1</f>
        <v>13</v>
      </c>
      <c r="C37" s="67"/>
      <c r="D37" s="18" t="s">
        <v>39</v>
      </c>
      <c r="E37" s="65"/>
      <c r="F37" s="12"/>
      <c r="G37" s="65"/>
      <c r="H37" s="73">
        <f>H35</f>
        <v>6571059.0851602424</v>
      </c>
      <c r="I37" s="70"/>
      <c r="J37" s="13"/>
      <c r="K37" s="70"/>
      <c r="L37" s="13"/>
      <c r="M37" s="71"/>
      <c r="N37" s="13"/>
      <c r="O37" s="14"/>
      <c r="P37" s="73">
        <f>SUM(P34:P36)</f>
        <v>552901.9125289137</v>
      </c>
      <c r="Q37" s="14"/>
      <c r="R37" s="73">
        <f>SUM(R34:R36)</f>
        <v>-6885.7102918010642</v>
      </c>
      <c r="S37" s="71"/>
      <c r="T37" s="73">
        <f>SUM(T34:T36)</f>
        <v>546016.20223711256</v>
      </c>
      <c r="U37" s="71"/>
      <c r="V37" s="21">
        <f>T37/$H37*100</f>
        <v>8.3094094142329169</v>
      </c>
      <c r="W37" s="71"/>
      <c r="X37" s="74">
        <f t="shared" si="8"/>
        <v>0.98754623535247577</v>
      </c>
      <c r="Y37" s="16"/>
      <c r="Z37" s="13"/>
      <c r="AA37" s="65"/>
    </row>
    <row r="38" spans="2:27" x14ac:dyDescent="0.2">
      <c r="E38" s="65"/>
      <c r="F38" s="12"/>
      <c r="G38" s="65"/>
      <c r="H38" s="13"/>
      <c r="I38" s="70"/>
      <c r="J38" s="22"/>
      <c r="K38" s="71"/>
      <c r="L38" s="22"/>
      <c r="M38" s="71"/>
      <c r="N38" s="22"/>
      <c r="O38" s="14"/>
      <c r="P38" s="13"/>
      <c r="Q38" s="14"/>
      <c r="R38" s="13"/>
      <c r="S38" s="71"/>
      <c r="T38" s="13"/>
      <c r="U38" s="71"/>
      <c r="V38" s="34"/>
      <c r="W38" s="71"/>
      <c r="X38" s="15"/>
      <c r="Y38" s="16"/>
      <c r="Z38" s="70"/>
      <c r="AA38" s="65"/>
    </row>
    <row r="39" spans="2:27" x14ac:dyDescent="0.2">
      <c r="B39" s="65"/>
      <c r="C39" s="67"/>
      <c r="D39" s="18" t="s">
        <v>40</v>
      </c>
      <c r="E39" s="65"/>
      <c r="F39" s="75"/>
      <c r="G39" s="65"/>
      <c r="H39" s="13"/>
      <c r="I39" s="70"/>
      <c r="J39" s="22"/>
      <c r="K39" s="71"/>
      <c r="L39" s="22"/>
      <c r="M39" s="71"/>
      <c r="N39" s="22"/>
      <c r="O39" s="14"/>
      <c r="P39" s="13"/>
      <c r="Q39" s="14"/>
      <c r="R39" s="13"/>
      <c r="S39" s="71"/>
      <c r="T39" s="13"/>
      <c r="U39" s="71"/>
      <c r="V39" s="22"/>
      <c r="W39" s="71"/>
      <c r="X39" s="15"/>
      <c r="Y39" s="16"/>
      <c r="Z39" s="70"/>
      <c r="AA39" s="65"/>
    </row>
    <row r="40" spans="2:27" x14ac:dyDescent="0.2">
      <c r="B40" s="65">
        <f>MAX(B$17:B39)+1</f>
        <v>14</v>
      </c>
      <c r="C40" s="67"/>
      <c r="D40" s="11" t="s">
        <v>41</v>
      </c>
      <c r="E40" s="65"/>
      <c r="F40" s="75" t="s">
        <v>36</v>
      </c>
      <c r="G40" s="65"/>
      <c r="H40" s="13">
        <v>6371556.1922841407</v>
      </c>
      <c r="I40" s="70"/>
      <c r="J40" s="13"/>
      <c r="K40" s="71"/>
      <c r="L40" s="13"/>
      <c r="M40" s="71"/>
      <c r="N40" s="13"/>
      <c r="O40" s="71"/>
      <c r="P40" s="13">
        <v>100740.08061649722</v>
      </c>
      <c r="Q40" s="71"/>
      <c r="R40" s="13">
        <f t="shared" ref="R40:R41" si="10">T40-P40</f>
        <v>2857.448317664006</v>
      </c>
      <c r="S40" s="71"/>
      <c r="T40" s="13">
        <f t="shared" ref="T40:T41" si="11">$H40*V40/100</f>
        <v>103597.52893416122</v>
      </c>
      <c r="U40" s="71"/>
      <c r="V40" s="34">
        <v>1.6259376172435909</v>
      </c>
      <c r="W40" s="71"/>
      <c r="X40" s="13"/>
      <c r="Y40" s="70"/>
      <c r="Z40" s="13"/>
      <c r="AA40" s="65"/>
    </row>
    <row r="41" spans="2:27" x14ac:dyDescent="0.2">
      <c r="B41" s="65">
        <f>MAX(B$17:B40)+1</f>
        <v>15</v>
      </c>
      <c r="C41" s="67"/>
      <c r="D41" s="11" t="s">
        <v>42</v>
      </c>
      <c r="E41" s="65"/>
      <c r="F41" s="75" t="s">
        <v>36</v>
      </c>
      <c r="G41" s="65"/>
      <c r="H41" s="13">
        <v>195621.88350707604</v>
      </c>
      <c r="I41" s="70"/>
      <c r="J41" s="13"/>
      <c r="K41" s="71"/>
      <c r="L41" s="13"/>
      <c r="M41" s="71"/>
      <c r="N41" s="13"/>
      <c r="O41" s="71"/>
      <c r="P41" s="13">
        <v>8163.29369663336</v>
      </c>
      <c r="Q41" s="71"/>
      <c r="R41" s="13">
        <f t="shared" si="10"/>
        <v>87.730439009937982</v>
      </c>
      <c r="S41" s="71"/>
      <c r="T41" s="13">
        <f t="shared" si="11"/>
        <v>8251.024135643298</v>
      </c>
      <c r="U41" s="71"/>
      <c r="V41" s="34">
        <v>4.2178431102493912</v>
      </c>
      <c r="W41" s="71"/>
      <c r="X41" s="13"/>
      <c r="Y41" s="70"/>
      <c r="Z41" s="13"/>
      <c r="AA41" s="65"/>
    </row>
    <row r="42" spans="2:27" x14ac:dyDescent="0.2">
      <c r="B42" s="65">
        <f>MAX(B$17:B41)+1</f>
        <v>16</v>
      </c>
      <c r="C42" s="67"/>
      <c r="D42" s="18" t="s">
        <v>40</v>
      </c>
      <c r="E42" s="65"/>
      <c r="F42" s="12"/>
      <c r="G42" s="65"/>
      <c r="H42" s="73">
        <f>SUM(H40:H41)</f>
        <v>6567178.0757912165</v>
      </c>
      <c r="I42" s="70"/>
      <c r="J42" s="13"/>
      <c r="K42" s="71"/>
      <c r="L42" s="13"/>
      <c r="M42" s="71"/>
      <c r="N42" s="13"/>
      <c r="O42" s="14"/>
      <c r="P42" s="73">
        <f>SUM(P40:P41)</f>
        <v>108903.37431313058</v>
      </c>
      <c r="Q42" s="14"/>
      <c r="R42" s="73">
        <f>SUM(R40:R41)</f>
        <v>2945.178756673944</v>
      </c>
      <c r="S42" s="71"/>
      <c r="T42" s="73">
        <f>SUM(T40:T41)</f>
        <v>111848.55306980452</v>
      </c>
      <c r="U42" s="71"/>
      <c r="V42" s="21">
        <f>T42/$H42*100</f>
        <v>1.703144817743182</v>
      </c>
      <c r="W42" s="71"/>
      <c r="X42" s="74">
        <f t="shared" ref="X42" si="12">T42/P42</f>
        <v>1.027043962368013</v>
      </c>
      <c r="Y42" s="16"/>
      <c r="Z42" s="13"/>
      <c r="AA42" s="65"/>
    </row>
    <row r="43" spans="2:27" x14ac:dyDescent="0.2">
      <c r="H43" s="16"/>
      <c r="I43" s="16"/>
      <c r="J43" s="22"/>
      <c r="K43" s="71"/>
      <c r="L43" s="22"/>
      <c r="M43" s="16"/>
      <c r="N43" s="22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70"/>
      <c r="AA43" s="65"/>
    </row>
    <row r="44" spans="2:27" x14ac:dyDescent="0.2">
      <c r="B44" s="65">
        <f>MAX(B$17:B43)+1</f>
        <v>17</v>
      </c>
      <c r="C44" s="67"/>
      <c r="D44" s="18" t="s">
        <v>43</v>
      </c>
      <c r="E44" s="65"/>
      <c r="F44" s="12" t="s">
        <v>36</v>
      </c>
      <c r="G44" s="65"/>
      <c r="H44" s="13">
        <v>4113986.4748606202</v>
      </c>
      <c r="I44" s="70"/>
      <c r="J44" s="13"/>
      <c r="K44" s="71"/>
      <c r="L44" s="13"/>
      <c r="M44" s="71"/>
      <c r="N44" s="13"/>
      <c r="O44" s="14"/>
      <c r="P44" s="13">
        <f t="shared" ref="P44" si="13">T44</f>
        <v>592490.46011640842</v>
      </c>
      <c r="Q44" s="14"/>
      <c r="R44" s="13">
        <f>T44-P44</f>
        <v>0</v>
      </c>
      <c r="S44" s="71"/>
      <c r="T44" s="13">
        <f>$H44*V44/100</f>
        <v>592490.46011640842</v>
      </c>
      <c r="U44" s="71"/>
      <c r="V44" s="34">
        <v>14.401857267566289</v>
      </c>
      <c r="W44" s="71"/>
      <c r="X44" s="15">
        <f>T44/P44</f>
        <v>1</v>
      </c>
      <c r="Y44" s="16"/>
      <c r="Z44" s="13"/>
      <c r="AA44" s="65"/>
    </row>
    <row r="45" spans="2:27" x14ac:dyDescent="0.2">
      <c r="B45" s="65"/>
      <c r="C45" s="67"/>
      <c r="D45" s="18"/>
      <c r="E45" s="65"/>
      <c r="F45" s="12"/>
      <c r="G45" s="65"/>
      <c r="H45" s="13"/>
      <c r="I45" s="70"/>
      <c r="J45" s="13"/>
      <c r="K45" s="71"/>
      <c r="L45" s="34"/>
      <c r="M45" s="71"/>
      <c r="N45" s="13"/>
      <c r="O45" s="14"/>
      <c r="P45" s="13"/>
      <c r="Q45" s="14"/>
      <c r="R45" s="13"/>
      <c r="S45" s="71"/>
      <c r="T45" s="13"/>
      <c r="U45" s="71"/>
      <c r="V45" s="34"/>
      <c r="W45" s="71"/>
      <c r="X45" s="15"/>
      <c r="Y45" s="16"/>
      <c r="Z45" s="17"/>
      <c r="AA45" s="65"/>
    </row>
    <row r="46" spans="2:27" ht="13.5" thickBot="1" x14ac:dyDescent="0.25">
      <c r="B46" s="65">
        <f>MAX(B$17:B45)+1</f>
        <v>18</v>
      </c>
      <c r="C46" s="67"/>
      <c r="D46" s="23" t="s">
        <v>46</v>
      </c>
      <c r="E46" s="65"/>
      <c r="F46" s="12"/>
      <c r="G46" s="65"/>
      <c r="H46" s="76">
        <f>H37</f>
        <v>6571059.0851602424</v>
      </c>
      <c r="I46" s="70"/>
      <c r="J46" s="76">
        <v>1227458.9350106881</v>
      </c>
      <c r="K46" s="71"/>
      <c r="L46" s="24">
        <f>J46/$H46*100</f>
        <v>18.679773216203781</v>
      </c>
      <c r="M46" s="71"/>
      <c r="N46" s="76">
        <f>J46-P46</f>
        <v>-26836.811947764596</v>
      </c>
      <c r="O46" s="14"/>
      <c r="P46" s="76">
        <f>P37+P42+P44</f>
        <v>1254295.7469584527</v>
      </c>
      <c r="Q46" s="14"/>
      <c r="R46" s="76">
        <f>R37+R42+R44</f>
        <v>-3940.5315351271202</v>
      </c>
      <c r="S46" s="71"/>
      <c r="T46" s="76">
        <f>T37+T42+T44</f>
        <v>1250355.2154233255</v>
      </c>
      <c r="U46" s="71"/>
      <c r="V46" s="24">
        <f>T46/$H46*100</f>
        <v>19.028214466174358</v>
      </c>
      <c r="W46" s="71"/>
      <c r="X46" s="77">
        <f t="shared" ref="X46" si="14">T46/P46</f>
        <v>0.99685837128549415</v>
      </c>
      <c r="Y46" s="16"/>
      <c r="Z46" s="25">
        <f t="shared" ref="Z46" si="15">V46/L46-1</f>
        <v>1.8653398300805923E-2</v>
      </c>
      <c r="AA46" s="65"/>
    </row>
    <row r="47" spans="2:27" ht="13.5" thickTop="1" x14ac:dyDescent="0.2">
      <c r="B47" s="65"/>
      <c r="C47" s="67"/>
      <c r="D47" s="62"/>
      <c r="F47" s="75"/>
      <c r="H47" s="71"/>
      <c r="I47" s="16"/>
      <c r="J47" s="71"/>
      <c r="K47" s="71"/>
      <c r="L47" s="22"/>
      <c r="M47" s="71"/>
      <c r="N47" s="71"/>
      <c r="O47" s="71"/>
      <c r="P47" s="71"/>
      <c r="Q47" s="71"/>
      <c r="R47" s="71"/>
      <c r="S47" s="71"/>
      <c r="T47" s="71"/>
      <c r="U47" s="71"/>
      <c r="V47" s="22"/>
      <c r="W47" s="71"/>
      <c r="X47" s="79"/>
      <c r="Y47" s="70"/>
      <c r="Z47" s="22"/>
      <c r="AA47" s="65"/>
    </row>
    <row r="48" spans="2:27" x14ac:dyDescent="0.2">
      <c r="B48" s="23"/>
      <c r="C48" s="67"/>
      <c r="D48" s="65"/>
      <c r="F48" s="67"/>
      <c r="H48" s="67"/>
      <c r="J48" s="67"/>
      <c r="K48" s="65"/>
      <c r="L48" s="26"/>
      <c r="M48" s="65"/>
      <c r="N48" s="65"/>
      <c r="O48" s="65"/>
      <c r="P48" s="65"/>
      <c r="Q48" s="65"/>
      <c r="R48" s="65"/>
      <c r="S48" s="65"/>
      <c r="T48" s="65"/>
      <c r="U48" s="65"/>
      <c r="V48" s="26"/>
      <c r="W48" s="65"/>
      <c r="X48" s="65"/>
      <c r="Y48" s="65"/>
      <c r="Z48" s="26"/>
      <c r="AA48" s="65"/>
    </row>
    <row r="49" spans="2:27" x14ac:dyDescent="0.2">
      <c r="B49" s="65"/>
      <c r="C49" s="67"/>
      <c r="D49" s="67"/>
      <c r="E49" s="65"/>
      <c r="F49" s="80"/>
      <c r="G49" s="65"/>
      <c r="H49" s="80"/>
      <c r="I49" s="65"/>
      <c r="J49" s="80"/>
      <c r="K49" s="65"/>
      <c r="L49" s="26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</row>
    <row r="50" spans="2:27" x14ac:dyDescent="0.2">
      <c r="B50" s="65"/>
      <c r="C50" s="67"/>
      <c r="D50" s="4" t="s">
        <v>47</v>
      </c>
      <c r="E50" s="65"/>
      <c r="F50" s="8"/>
      <c r="G50" s="65"/>
      <c r="H50" s="19"/>
      <c r="I50" s="70"/>
      <c r="J50" s="19"/>
      <c r="K50" s="70"/>
      <c r="L50" s="70"/>
      <c r="M50" s="70"/>
      <c r="N50" s="20"/>
      <c r="O50" s="70"/>
      <c r="P50" s="28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65"/>
    </row>
    <row r="51" spans="2:27" x14ac:dyDescent="0.2">
      <c r="B51" s="65">
        <f>MAX(B$17:B50)+1</f>
        <v>19</v>
      </c>
      <c r="C51" s="67"/>
      <c r="D51" s="18" t="s">
        <v>33</v>
      </c>
      <c r="E51" s="65"/>
      <c r="F51" s="12" t="s">
        <v>34</v>
      </c>
      <c r="G51" s="65"/>
      <c r="H51" s="13">
        <v>9180</v>
      </c>
      <c r="I51" s="70"/>
      <c r="J51" s="13"/>
      <c r="K51" s="70"/>
      <c r="L51" s="13"/>
      <c r="M51" s="71"/>
      <c r="N51" s="13"/>
      <c r="O51" s="14"/>
      <c r="P51" s="13">
        <v>22947.45655589988</v>
      </c>
      <c r="Q51" s="14"/>
      <c r="R51" s="13">
        <f>T51-P51</f>
        <v>-18357.45655589988</v>
      </c>
      <c r="S51" s="71"/>
      <c r="T51" s="13">
        <f>$H51*V51/1000</f>
        <v>4590</v>
      </c>
      <c r="U51" s="71"/>
      <c r="V51" s="72">
        <v>500</v>
      </c>
      <c r="W51" s="71"/>
      <c r="X51" s="15">
        <f>T51/P51</f>
        <v>0.20002216754692551</v>
      </c>
      <c r="Y51" s="16"/>
      <c r="Z51" s="13"/>
    </row>
    <row r="52" spans="2:27" x14ac:dyDescent="0.2">
      <c r="B52" s="65">
        <f>MAX(B$17:B51)+1</f>
        <v>20</v>
      </c>
      <c r="C52" s="67"/>
      <c r="D52" s="18" t="s">
        <v>35</v>
      </c>
      <c r="E52" s="65"/>
      <c r="F52" s="12" t="s">
        <v>36</v>
      </c>
      <c r="G52" s="65"/>
      <c r="H52" s="13">
        <v>2924503.2126733954</v>
      </c>
      <c r="I52" s="70"/>
      <c r="J52" s="13"/>
      <c r="K52" s="70"/>
      <c r="L52" s="13"/>
      <c r="M52" s="71"/>
      <c r="N52" s="13"/>
      <c r="O52" s="14"/>
      <c r="P52" s="13">
        <v>7910.0356159366802</v>
      </c>
      <c r="Q52" s="14"/>
      <c r="R52" s="13">
        <f>T52-P52</f>
        <v>0</v>
      </c>
      <c r="S52" s="71"/>
      <c r="T52" s="13">
        <f>$H52*V52/100</f>
        <v>7910.0356159366793</v>
      </c>
      <c r="U52" s="71"/>
      <c r="V52" s="34">
        <v>0.27047450594885231</v>
      </c>
      <c r="W52" s="71"/>
      <c r="X52" s="15">
        <f>T52/P52</f>
        <v>0.99999999999999989</v>
      </c>
      <c r="Y52" s="16"/>
      <c r="Z52" s="13"/>
    </row>
    <row r="53" spans="2:27" x14ac:dyDescent="0.2">
      <c r="B53" s="65"/>
      <c r="C53" s="67"/>
      <c r="D53" s="18" t="s">
        <v>48</v>
      </c>
      <c r="E53" s="65"/>
      <c r="F53" s="12"/>
      <c r="G53" s="65"/>
      <c r="H53" s="13"/>
      <c r="I53" s="70"/>
      <c r="J53" s="19"/>
      <c r="K53" s="70"/>
      <c r="L53" s="70"/>
      <c r="M53" s="71"/>
      <c r="N53" s="20"/>
      <c r="O53" s="14"/>
      <c r="P53" s="13"/>
      <c r="Q53" s="14"/>
      <c r="R53" s="13"/>
      <c r="S53" s="71"/>
      <c r="T53" s="13"/>
      <c r="U53" s="71"/>
      <c r="V53" s="34"/>
      <c r="W53" s="71"/>
      <c r="X53" s="15"/>
      <c r="Y53" s="16"/>
      <c r="Z53" s="20"/>
    </row>
    <row r="54" spans="2:27" ht="14.25" x14ac:dyDescent="0.2">
      <c r="B54" s="65">
        <f>MAX(B$17:B53)+1</f>
        <v>21</v>
      </c>
      <c r="C54" s="67"/>
      <c r="D54" s="11" t="s">
        <v>49</v>
      </c>
      <c r="E54" s="65"/>
      <c r="F54" s="12" t="s">
        <v>38</v>
      </c>
      <c r="G54" s="65"/>
      <c r="H54" s="13">
        <v>111874.62780000002</v>
      </c>
      <c r="I54" s="70"/>
      <c r="J54" s="13"/>
      <c r="K54" s="70"/>
      <c r="L54" s="13"/>
      <c r="M54" s="71"/>
      <c r="N54" s="13"/>
      <c r="O54" s="14"/>
      <c r="P54" s="13">
        <v>55925.920870801376</v>
      </c>
      <c r="Q54" s="14"/>
      <c r="R54" s="13">
        <f t="shared" ref="R54:R55" si="16">T54-P54</f>
        <v>10272.565088462128</v>
      </c>
      <c r="S54" s="71"/>
      <c r="T54" s="13">
        <f>$H54*V54/100</f>
        <v>66198.485959263504</v>
      </c>
      <c r="U54" s="71"/>
      <c r="V54" s="34">
        <v>59.17202788607937</v>
      </c>
      <c r="W54" s="71"/>
      <c r="X54" s="15"/>
      <c r="Y54" s="16"/>
      <c r="Z54" s="13"/>
      <c r="AA54" s="65"/>
    </row>
    <row r="55" spans="2:27" ht="14.25" x14ac:dyDescent="0.2">
      <c r="B55" s="65">
        <f>MAX(B$17:B54)+1</f>
        <v>22</v>
      </c>
      <c r="C55" s="67"/>
      <c r="D55" s="11" t="s">
        <v>50</v>
      </c>
      <c r="E55" s="65"/>
      <c r="F55" s="12" t="s">
        <v>38</v>
      </c>
      <c r="G55" s="65"/>
      <c r="H55" s="13">
        <v>110428.34020000001</v>
      </c>
      <c r="I55" s="70"/>
      <c r="J55" s="13"/>
      <c r="K55" s="70"/>
      <c r="L55" s="13"/>
      <c r="M55" s="71"/>
      <c r="N55" s="13"/>
      <c r="O55" s="14"/>
      <c r="P55" s="13">
        <v>37602.533212032773</v>
      </c>
      <c r="Q55" s="14"/>
      <c r="R55" s="13">
        <f t="shared" si="16"/>
        <v>6848.3767256414285</v>
      </c>
      <c r="S55" s="71"/>
      <c r="T55" s="13">
        <f>$H55*V55/100</f>
        <v>44450.909937674202</v>
      </c>
      <c r="U55" s="71"/>
      <c r="V55" s="34">
        <v>40.25317219942621</v>
      </c>
      <c r="W55" s="71"/>
      <c r="X55" s="15"/>
      <c r="Y55" s="16"/>
      <c r="Z55" s="13"/>
      <c r="AA55" s="65"/>
    </row>
    <row r="56" spans="2:27" x14ac:dyDescent="0.2">
      <c r="B56" s="65">
        <f>MAX(B$17:B55)+1</f>
        <v>23</v>
      </c>
      <c r="C56" s="67"/>
      <c r="D56" s="18" t="s">
        <v>48</v>
      </c>
      <c r="E56" s="65"/>
      <c r="F56" s="12"/>
      <c r="G56" s="65"/>
      <c r="H56" s="73">
        <f>SUM(H54:H55)</f>
        <v>222302.96800000002</v>
      </c>
      <c r="I56" s="70"/>
      <c r="J56" s="13"/>
      <c r="K56" s="70"/>
      <c r="L56" s="13"/>
      <c r="M56" s="71"/>
      <c r="N56" s="13"/>
      <c r="O56" s="14"/>
      <c r="P56" s="73">
        <f>SUM(P54:P55)</f>
        <v>93528.454082834156</v>
      </c>
      <c r="Q56" s="14"/>
      <c r="R56" s="73">
        <f>SUM(R54:R55)</f>
        <v>17120.941814103557</v>
      </c>
      <c r="S56" s="71"/>
      <c r="T56" s="73">
        <f>SUM(T54:T55)</f>
        <v>110649.3958969377</v>
      </c>
      <c r="U56" s="71"/>
      <c r="V56" s="21">
        <f>T56/$H56*100</f>
        <v>49.77414242032868</v>
      </c>
      <c r="W56" s="71"/>
      <c r="X56" s="74">
        <f t="shared" ref="X56" si="17">T56/P56</f>
        <v>1.1830559692448275</v>
      </c>
      <c r="Y56" s="16"/>
      <c r="Z56" s="13"/>
    </row>
    <row r="57" spans="2:27" x14ac:dyDescent="0.2">
      <c r="B57" s="65"/>
      <c r="C57" s="67"/>
      <c r="D57" s="18"/>
      <c r="E57" s="65"/>
      <c r="F57" s="12"/>
      <c r="G57" s="65"/>
      <c r="H57" s="13"/>
      <c r="I57" s="70"/>
      <c r="J57" s="19"/>
      <c r="K57" s="70"/>
      <c r="L57" s="70"/>
      <c r="M57" s="71"/>
      <c r="N57" s="20"/>
      <c r="O57" s="14"/>
      <c r="P57" s="13"/>
      <c r="Q57" s="14"/>
      <c r="R57" s="13"/>
      <c r="S57" s="71"/>
      <c r="T57" s="13"/>
      <c r="U57" s="71"/>
      <c r="V57" s="34"/>
      <c r="W57" s="71"/>
      <c r="X57" s="15"/>
      <c r="Y57" s="16"/>
      <c r="Z57" s="20"/>
    </row>
    <row r="58" spans="2:27" x14ac:dyDescent="0.2">
      <c r="B58" s="65">
        <f>MAX(B$17:B57)+1</f>
        <v>24</v>
      </c>
      <c r="C58" s="67"/>
      <c r="D58" s="18" t="s">
        <v>39</v>
      </c>
      <c r="E58" s="65"/>
      <c r="F58" s="12"/>
      <c r="G58" s="65"/>
      <c r="H58" s="73">
        <f>H52</f>
        <v>2924503.2126733954</v>
      </c>
      <c r="I58" s="70"/>
      <c r="J58" s="13"/>
      <c r="K58" s="70"/>
      <c r="L58" s="13"/>
      <c r="M58" s="71"/>
      <c r="N58" s="13"/>
      <c r="O58" s="14"/>
      <c r="P58" s="73">
        <f>SUM(P51:P52,P56)</f>
        <v>124385.94625467071</v>
      </c>
      <c r="Q58" s="14"/>
      <c r="R58" s="73">
        <f>SUM(R51:R52,R56)</f>
        <v>-1236.5147417963235</v>
      </c>
      <c r="S58" s="71"/>
      <c r="T58" s="73">
        <f>SUM(T51:T52,T56)</f>
        <v>123149.43151287438</v>
      </c>
      <c r="U58" s="71"/>
      <c r="V58" s="21">
        <f>T58/$H58*100</f>
        <v>4.2109521705841786</v>
      </c>
      <c r="W58" s="71"/>
      <c r="X58" s="74">
        <f t="shared" ref="X58" si="18">T58/P58</f>
        <v>0.99005904783435372</v>
      </c>
      <c r="Y58" s="16"/>
      <c r="Z58" s="13"/>
    </row>
    <row r="59" spans="2:27" x14ac:dyDescent="0.2">
      <c r="E59" s="65"/>
      <c r="F59" s="12"/>
      <c r="G59" s="65"/>
      <c r="H59" s="13"/>
      <c r="I59" s="70"/>
      <c r="J59" s="19"/>
      <c r="K59" s="70"/>
      <c r="L59" s="70"/>
      <c r="M59" s="71"/>
      <c r="N59" s="20"/>
      <c r="O59" s="14"/>
      <c r="P59" s="13"/>
      <c r="Q59" s="14"/>
      <c r="R59" s="13"/>
      <c r="S59" s="71"/>
      <c r="T59" s="13"/>
      <c r="U59" s="71"/>
      <c r="V59" s="34"/>
      <c r="W59" s="71"/>
      <c r="X59" s="15"/>
      <c r="Y59" s="16"/>
      <c r="Z59" s="20"/>
    </row>
    <row r="60" spans="2:27" x14ac:dyDescent="0.2">
      <c r="B60" s="65"/>
      <c r="C60" s="67"/>
      <c r="D60" s="18" t="s">
        <v>40</v>
      </c>
      <c r="E60" s="65"/>
      <c r="F60" s="75"/>
      <c r="G60" s="65"/>
      <c r="H60" s="13"/>
      <c r="I60" s="70"/>
      <c r="J60" s="19"/>
      <c r="K60" s="70"/>
      <c r="L60" s="70"/>
      <c r="M60" s="71"/>
      <c r="N60" s="20"/>
      <c r="O60" s="14"/>
      <c r="P60" s="13"/>
      <c r="Q60" s="14"/>
      <c r="R60" s="13"/>
      <c r="S60" s="71"/>
      <c r="T60" s="13"/>
      <c r="U60" s="71"/>
      <c r="V60" s="22"/>
      <c r="W60" s="71"/>
      <c r="X60" s="15"/>
      <c r="Y60" s="16"/>
      <c r="Z60" s="20"/>
    </row>
    <row r="61" spans="2:27" x14ac:dyDescent="0.2">
      <c r="B61" s="65">
        <f>MAX(B$17:B60)+1</f>
        <v>25</v>
      </c>
      <c r="C61" s="67"/>
      <c r="D61" s="11" t="s">
        <v>41</v>
      </c>
      <c r="E61" s="65"/>
      <c r="F61" s="75" t="s">
        <v>36</v>
      </c>
      <c r="G61" s="65"/>
      <c r="H61" s="13">
        <v>2884096.8758970415</v>
      </c>
      <c r="I61" s="70"/>
      <c r="J61" s="13"/>
      <c r="K61" s="70"/>
      <c r="L61" s="13"/>
      <c r="M61" s="71"/>
      <c r="N61" s="13"/>
      <c r="O61" s="71"/>
      <c r="P61" s="13">
        <v>22005.559226709629</v>
      </c>
      <c r="Q61" s="71"/>
      <c r="R61" s="13">
        <f t="shared" ref="R61:R62" si="19">T61-P61</f>
        <v>1293.4293471337478</v>
      </c>
      <c r="S61" s="71"/>
      <c r="T61" s="13">
        <f t="shared" ref="T61:T62" si="20">$H61*V61/100</f>
        <v>23298.988573843377</v>
      </c>
      <c r="U61" s="71"/>
      <c r="V61" s="34">
        <v>0.80784348017424645</v>
      </c>
      <c r="W61" s="71"/>
      <c r="X61" s="79"/>
      <c r="Y61" s="70"/>
      <c r="Z61" s="13"/>
      <c r="AA61" s="65"/>
    </row>
    <row r="62" spans="2:27" x14ac:dyDescent="0.2">
      <c r="B62" s="65">
        <f>MAX(B$17:B61)+1</f>
        <v>26</v>
      </c>
      <c r="C62" s="67"/>
      <c r="D62" s="11" t="s">
        <v>42</v>
      </c>
      <c r="E62" s="65"/>
      <c r="F62" s="75" t="s">
        <v>36</v>
      </c>
      <c r="G62" s="65"/>
      <c r="H62" s="13">
        <v>40406.336776354001</v>
      </c>
      <c r="I62" s="70"/>
      <c r="J62" s="13"/>
      <c r="K62" s="70"/>
      <c r="L62" s="13"/>
      <c r="M62" s="71"/>
      <c r="N62" s="13"/>
      <c r="O62" s="71"/>
      <c r="P62" s="13">
        <v>1355.5930119187362</v>
      </c>
      <c r="Q62" s="71"/>
      <c r="R62" s="13">
        <f t="shared" si="19"/>
        <v>18.121007735030162</v>
      </c>
      <c r="S62" s="71"/>
      <c r="T62" s="13">
        <f t="shared" si="20"/>
        <v>1373.7140196537664</v>
      </c>
      <c r="U62" s="71"/>
      <c r="V62" s="34">
        <v>3.3997489731800457</v>
      </c>
      <c r="W62" s="71"/>
      <c r="X62" s="79"/>
      <c r="Y62" s="70"/>
      <c r="Z62" s="13"/>
      <c r="AA62" s="65"/>
    </row>
    <row r="63" spans="2:27" x14ac:dyDescent="0.2">
      <c r="B63" s="65">
        <f>MAX(B$17:B62)+1</f>
        <v>27</v>
      </c>
      <c r="C63" s="67"/>
      <c r="D63" s="18" t="s">
        <v>40</v>
      </c>
      <c r="E63" s="65"/>
      <c r="F63" s="12"/>
      <c r="G63" s="65"/>
      <c r="H63" s="73">
        <f>SUM(H61:H62)</f>
        <v>2924503.2126733954</v>
      </c>
      <c r="I63" s="70"/>
      <c r="J63" s="13"/>
      <c r="K63" s="70"/>
      <c r="L63" s="13"/>
      <c r="M63" s="71"/>
      <c r="N63" s="13"/>
      <c r="O63" s="14"/>
      <c r="P63" s="73">
        <f>SUM(P61:P62)</f>
        <v>23361.152238628365</v>
      </c>
      <c r="Q63" s="14"/>
      <c r="R63" s="73">
        <f>SUM(R61:R62)</f>
        <v>1311.550354868778</v>
      </c>
      <c r="S63" s="71"/>
      <c r="T63" s="73">
        <f>SUM(T61:T62)</f>
        <v>24672.702593497143</v>
      </c>
      <c r="U63" s="71"/>
      <c r="V63" s="21">
        <f>T63/$H63*100</f>
        <v>0.84365448759219941</v>
      </c>
      <c r="W63" s="71"/>
      <c r="X63" s="74">
        <f t="shared" ref="X63" si="21">T63/P63</f>
        <v>1.0561423658161899</v>
      </c>
      <c r="Y63" s="16"/>
      <c r="Z63" s="13"/>
    </row>
    <row r="64" spans="2:27" x14ac:dyDescent="0.2">
      <c r="H64" s="16"/>
      <c r="I64" s="16"/>
      <c r="J64" s="19"/>
      <c r="K64" s="70"/>
      <c r="L64" s="70"/>
      <c r="M64" s="16"/>
      <c r="N64" s="20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7"/>
    </row>
    <row r="65" spans="2:27" x14ac:dyDescent="0.2">
      <c r="B65" s="65">
        <f>MAX(B$17:B64)+1</f>
        <v>28</v>
      </c>
      <c r="C65" s="67"/>
      <c r="D65" s="18" t="s">
        <v>43</v>
      </c>
      <c r="E65" s="65"/>
      <c r="F65" s="12" t="s">
        <v>36</v>
      </c>
      <c r="G65" s="65"/>
      <c r="H65" s="13">
        <v>227345.72160001998</v>
      </c>
      <c r="I65" s="70"/>
      <c r="J65" s="13"/>
      <c r="K65" s="70"/>
      <c r="L65" s="13"/>
      <c r="M65" s="71"/>
      <c r="N65" s="13"/>
      <c r="O65" s="14"/>
      <c r="P65" s="13">
        <f t="shared" ref="P65" si="22">T65</f>
        <v>32742.006328753498</v>
      </c>
      <c r="Q65" s="14"/>
      <c r="R65" s="13">
        <f>T65-P65</f>
        <v>0</v>
      </c>
      <c r="S65" s="71"/>
      <c r="T65" s="13">
        <f>$H65*V65/100</f>
        <v>32742.006328753498</v>
      </c>
      <c r="U65" s="71"/>
      <c r="V65" s="34">
        <v>14.401857267566289</v>
      </c>
      <c r="W65" s="71"/>
      <c r="X65" s="15">
        <f>T65/P65</f>
        <v>1</v>
      </c>
      <c r="Y65" s="16"/>
      <c r="Z65" s="13"/>
    </row>
    <row r="66" spans="2:27" x14ac:dyDescent="0.2">
      <c r="B66" s="65"/>
      <c r="C66" s="67"/>
      <c r="D66" s="18"/>
      <c r="E66" s="65"/>
      <c r="F66" s="12"/>
      <c r="G66" s="65"/>
      <c r="H66" s="13"/>
      <c r="I66" s="70"/>
      <c r="J66" s="13"/>
      <c r="K66" s="71"/>
      <c r="L66" s="34"/>
      <c r="M66" s="71"/>
      <c r="N66" s="20"/>
      <c r="O66" s="14"/>
      <c r="P66" s="13"/>
      <c r="Q66" s="14"/>
      <c r="R66" s="13"/>
      <c r="S66" s="71"/>
      <c r="T66" s="13"/>
      <c r="U66" s="71"/>
      <c r="V66" s="34"/>
      <c r="W66" s="71"/>
      <c r="X66" s="15"/>
      <c r="Y66" s="16"/>
      <c r="Z66" s="17"/>
    </row>
    <row r="67" spans="2:27" ht="13.5" thickBot="1" x14ac:dyDescent="0.25">
      <c r="B67" s="65">
        <f>MAX(B$17:B66)+1</f>
        <v>29</v>
      </c>
      <c r="C67" s="67"/>
      <c r="D67" s="23" t="s">
        <v>51</v>
      </c>
      <c r="E67" s="65"/>
      <c r="F67" s="12"/>
      <c r="G67" s="65"/>
      <c r="H67" s="76">
        <f>H58</f>
        <v>2924503.2126733954</v>
      </c>
      <c r="I67" s="70"/>
      <c r="J67" s="76">
        <v>167443.08358699328</v>
      </c>
      <c r="K67" s="71"/>
      <c r="L67" s="24">
        <f>J67/$H67*100</f>
        <v>5.7255222993558421</v>
      </c>
      <c r="M67" s="71"/>
      <c r="N67" s="76">
        <f>J67-P67</f>
        <v>-13046.021235059277</v>
      </c>
      <c r="O67" s="14"/>
      <c r="P67" s="76">
        <f>P58+P63+P65</f>
        <v>180489.10482205256</v>
      </c>
      <c r="Q67" s="14"/>
      <c r="R67" s="76">
        <f>R58+R63+R65</f>
        <v>75.035613072454453</v>
      </c>
      <c r="S67" s="71"/>
      <c r="T67" s="76">
        <f>T58+T63+T65</f>
        <v>180564.14043512501</v>
      </c>
      <c r="U67" s="71"/>
      <c r="V67" s="24">
        <f>T67/$H67*100</f>
        <v>6.1741816405824608</v>
      </c>
      <c r="W67" s="71"/>
      <c r="X67" s="77">
        <f t="shared" ref="X67" si="23">T67/P67</f>
        <v>1.0004157348619267</v>
      </c>
      <c r="Y67" s="16"/>
      <c r="Z67" s="25">
        <f t="shared" ref="Z67" si="24">V67/L67-1</f>
        <v>7.8361294877341781E-2</v>
      </c>
    </row>
    <row r="68" spans="2:27" ht="13.5" thickTop="1" x14ac:dyDescent="0.2"/>
    <row r="71" spans="2:27" x14ac:dyDescent="0.2">
      <c r="B71" s="65"/>
      <c r="C71" s="67"/>
      <c r="D71" s="4" t="s">
        <v>52</v>
      </c>
      <c r="E71" s="65"/>
      <c r="F71" s="8"/>
      <c r="G71" s="65"/>
      <c r="H71" s="19"/>
      <c r="I71" s="70"/>
      <c r="J71" s="16"/>
      <c r="K71" s="16"/>
      <c r="L71" s="16"/>
      <c r="M71" s="16"/>
      <c r="N71" s="16"/>
      <c r="O71" s="70"/>
      <c r="P71" s="28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65"/>
    </row>
    <row r="72" spans="2:27" x14ac:dyDescent="0.2">
      <c r="D72" s="29" t="s">
        <v>41</v>
      </c>
      <c r="F72" s="81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2:27" x14ac:dyDescent="0.2">
      <c r="B73" s="65">
        <f>MAX(B$17:B71)+1</f>
        <v>30</v>
      </c>
      <c r="C73" s="67"/>
      <c r="D73" s="18" t="s">
        <v>33</v>
      </c>
      <c r="E73" s="65"/>
      <c r="F73" s="12" t="s">
        <v>34</v>
      </c>
      <c r="G73" s="65"/>
      <c r="H73" s="13">
        <v>960</v>
      </c>
      <c r="I73" s="70"/>
      <c r="J73" s="13"/>
      <c r="K73" s="16"/>
      <c r="L73" s="13"/>
      <c r="M73" s="16"/>
      <c r="N73" s="13"/>
      <c r="O73" s="14"/>
      <c r="P73" s="13">
        <v>5701.9434817514411</v>
      </c>
      <c r="Q73" s="14"/>
      <c r="R73" s="13">
        <f>T73-P73</f>
        <v>-2821.9434817514411</v>
      </c>
      <c r="S73" s="71"/>
      <c r="T73" s="13">
        <f>$H73*V73/1000</f>
        <v>2880</v>
      </c>
      <c r="U73" s="71"/>
      <c r="V73" s="72">
        <v>3000</v>
      </c>
      <c r="W73" s="71"/>
      <c r="X73" s="15">
        <f>T73/P73</f>
        <v>0.50509094122331832</v>
      </c>
      <c r="Y73" s="16"/>
      <c r="Z73" s="13"/>
    </row>
    <row r="74" spans="2:27" x14ac:dyDescent="0.2">
      <c r="B74" s="65">
        <f>MAX(B$17:B73)+1</f>
        <v>31</v>
      </c>
      <c r="C74" s="67"/>
      <c r="D74" s="18" t="s">
        <v>53</v>
      </c>
      <c r="E74" s="65"/>
      <c r="F74" s="12" t="s">
        <v>36</v>
      </c>
      <c r="G74" s="65"/>
      <c r="H74" s="13">
        <v>3996534.1677636793</v>
      </c>
      <c r="I74" s="70"/>
      <c r="J74" s="13"/>
      <c r="K74" s="16"/>
      <c r="L74" s="13"/>
      <c r="M74" s="16"/>
      <c r="N74" s="13"/>
      <c r="O74" s="14"/>
      <c r="P74" s="13">
        <v>0</v>
      </c>
      <c r="Q74" s="14"/>
      <c r="R74" s="13">
        <f>T74-P74</f>
        <v>0</v>
      </c>
      <c r="S74" s="71"/>
      <c r="T74" s="13">
        <f>$H74*V74/100</f>
        <v>0</v>
      </c>
      <c r="U74" s="71"/>
      <c r="V74" s="34">
        <v>0</v>
      </c>
      <c r="W74" s="71"/>
      <c r="X74" s="15"/>
      <c r="Y74" s="16"/>
      <c r="Z74" s="13"/>
    </row>
    <row r="75" spans="2:27" x14ac:dyDescent="0.2">
      <c r="B75" s="65">
        <f>MAX(B$17:B74)+1</f>
        <v>32</v>
      </c>
      <c r="C75" s="67"/>
      <c r="D75" s="18" t="s">
        <v>54</v>
      </c>
      <c r="E75" s="65"/>
      <c r="F75" s="81" t="s">
        <v>55</v>
      </c>
      <c r="G75" s="65"/>
      <c r="H75" s="13"/>
      <c r="I75" s="70"/>
      <c r="J75" s="13"/>
      <c r="K75" s="16"/>
      <c r="L75" s="13"/>
      <c r="M75" s="16"/>
      <c r="N75" s="13"/>
      <c r="O75" s="14"/>
      <c r="P75" s="13">
        <f>T75</f>
        <v>4311.8977813455222</v>
      </c>
      <c r="Q75" s="14"/>
      <c r="R75" s="13">
        <f>T75-P75</f>
        <v>0</v>
      </c>
      <c r="S75" s="71"/>
      <c r="T75" s="13">
        <v>4311.8977813455222</v>
      </c>
      <c r="U75" s="71"/>
      <c r="V75" s="35">
        <v>7.5399999999999998E-3</v>
      </c>
      <c r="W75" s="71"/>
      <c r="X75" s="15">
        <f>T75/P75</f>
        <v>1</v>
      </c>
      <c r="Y75" s="30"/>
      <c r="Z75" s="13"/>
      <c r="AA75" s="65"/>
    </row>
    <row r="76" spans="2:27" x14ac:dyDescent="0.2">
      <c r="B76" s="65"/>
      <c r="C76" s="67"/>
      <c r="D76" s="18" t="s">
        <v>56</v>
      </c>
      <c r="E76" s="65"/>
      <c r="F76" s="12"/>
      <c r="G76" s="65"/>
      <c r="H76" s="13"/>
      <c r="I76" s="70"/>
      <c r="J76" s="13"/>
      <c r="K76" s="16"/>
      <c r="L76" s="13"/>
      <c r="M76" s="16"/>
      <c r="N76" s="13"/>
      <c r="O76" s="14"/>
      <c r="P76" s="13"/>
      <c r="Q76" s="14"/>
      <c r="R76" s="13"/>
      <c r="S76" s="71"/>
      <c r="T76" s="13"/>
      <c r="U76" s="71"/>
      <c r="V76" s="34"/>
      <c r="W76" s="71"/>
      <c r="X76" s="15"/>
      <c r="Y76" s="16"/>
      <c r="Z76" s="13"/>
      <c r="AA76" s="65"/>
    </row>
    <row r="77" spans="2:27" ht="14.25" x14ac:dyDescent="0.2">
      <c r="B77" s="65">
        <f>MAX(B$17:B76)+1</f>
        <v>33</v>
      </c>
      <c r="C77" s="67"/>
      <c r="D77" s="11" t="s">
        <v>57</v>
      </c>
      <c r="E77" s="65"/>
      <c r="F77" s="12" t="s">
        <v>38</v>
      </c>
      <c r="G77" s="65"/>
      <c r="H77" s="13">
        <v>26927.364000000001</v>
      </c>
      <c r="I77" s="70"/>
      <c r="J77" s="13"/>
      <c r="K77" s="16"/>
      <c r="L77" s="13"/>
      <c r="M77" s="16"/>
      <c r="N77" s="13"/>
      <c r="O77" s="14"/>
      <c r="P77" s="13">
        <v>14287.172019087468</v>
      </c>
      <c r="Q77" s="14"/>
      <c r="R77" s="13">
        <f t="shared" ref="R77:R79" si="25">T77-P77</f>
        <v>-94.363344163766669</v>
      </c>
      <c r="S77" s="71"/>
      <c r="T77" s="13">
        <f t="shared" ref="T77:T79" si="26">$H77*V77/100</f>
        <v>14192.808674923701</v>
      </c>
      <c r="U77" s="71"/>
      <c r="V77" s="34">
        <v>52.707753625359317</v>
      </c>
      <c r="W77" s="71"/>
      <c r="X77" s="15"/>
      <c r="Y77" s="16"/>
      <c r="Z77" s="13"/>
      <c r="AA77" s="65"/>
    </row>
    <row r="78" spans="2:27" ht="14.25" x14ac:dyDescent="0.2">
      <c r="B78" s="65">
        <f>MAX(B$17:B77)+1</f>
        <v>34</v>
      </c>
      <c r="C78" s="67"/>
      <c r="D78" s="11" t="s">
        <v>58</v>
      </c>
      <c r="E78" s="65"/>
      <c r="F78" s="12" t="s">
        <v>38</v>
      </c>
      <c r="G78" s="65"/>
      <c r="H78" s="13">
        <v>50942.423999999999</v>
      </c>
      <c r="I78" s="70"/>
      <c r="J78" s="13"/>
      <c r="K78" s="16"/>
      <c r="L78" s="13"/>
      <c r="M78" s="16"/>
      <c r="N78" s="13"/>
      <c r="O78" s="14"/>
      <c r="P78" s="13">
        <v>15519.62898387015</v>
      </c>
      <c r="Q78" s="14"/>
      <c r="R78" s="13">
        <f t="shared" si="25"/>
        <v>-191.39561495255111</v>
      </c>
      <c r="S78" s="71"/>
      <c r="T78" s="13">
        <f t="shared" si="26"/>
        <v>15328.233368917599</v>
      </c>
      <c r="U78" s="71"/>
      <c r="V78" s="34">
        <v>30.089328628958842</v>
      </c>
      <c r="W78" s="71"/>
      <c r="X78" s="15"/>
      <c r="Y78" s="16"/>
      <c r="Z78" s="13"/>
      <c r="AA78" s="65"/>
    </row>
    <row r="79" spans="2:27" ht="14.25" x14ac:dyDescent="0.2">
      <c r="B79" s="65">
        <f>MAX(B$17:B78)+1</f>
        <v>35</v>
      </c>
      <c r="C79" s="67"/>
      <c r="D79" s="11" t="s">
        <v>59</v>
      </c>
      <c r="E79" s="65"/>
      <c r="F79" s="12" t="s">
        <v>38</v>
      </c>
      <c r="G79" s="65"/>
      <c r="H79" s="13">
        <v>136172.00399999999</v>
      </c>
      <c r="I79" s="70"/>
      <c r="J79" s="13"/>
      <c r="K79" s="16"/>
      <c r="L79" s="13"/>
      <c r="M79" s="16"/>
      <c r="N79" s="13"/>
      <c r="O79" s="14"/>
      <c r="P79" s="13">
        <v>27777.137713093205</v>
      </c>
      <c r="Q79" s="14"/>
      <c r="R79" s="13">
        <f t="shared" si="25"/>
        <v>-526.94505723970724</v>
      </c>
      <c r="S79" s="71"/>
      <c r="T79" s="13">
        <f t="shared" si="26"/>
        <v>27250.192655853498</v>
      </c>
      <c r="U79" s="71"/>
      <c r="V79" s="34">
        <v>20.01159699159124</v>
      </c>
      <c r="W79" s="71"/>
      <c r="X79" s="15"/>
      <c r="Y79" s="16"/>
      <c r="Z79" s="13"/>
      <c r="AA79" s="65"/>
    </row>
    <row r="80" spans="2:27" x14ac:dyDescent="0.2">
      <c r="B80" s="65">
        <f>MAX(B$17:B79)+1</f>
        <v>36</v>
      </c>
      <c r="C80" s="67"/>
      <c r="D80" s="18" t="s">
        <v>56</v>
      </c>
      <c r="E80" s="65"/>
      <c r="F80" s="12"/>
      <c r="G80" s="65"/>
      <c r="H80" s="73">
        <f>SUM(H77:H79)</f>
        <v>214041.79199999999</v>
      </c>
      <c r="I80" s="70"/>
      <c r="J80" s="16"/>
      <c r="K80" s="16"/>
      <c r="L80" s="16"/>
      <c r="M80" s="16"/>
      <c r="N80" s="16"/>
      <c r="O80" s="14"/>
      <c r="P80" s="73">
        <f>SUM(P77:P79)</f>
        <v>57583.938716050819</v>
      </c>
      <c r="Q80" s="14"/>
      <c r="R80" s="73">
        <f>SUM(R77:R79)</f>
        <v>-812.70401635602502</v>
      </c>
      <c r="S80" s="71"/>
      <c r="T80" s="73">
        <f>SUM(T77:T79)</f>
        <v>56771.234699694796</v>
      </c>
      <c r="U80" s="71"/>
      <c r="V80" s="21">
        <f>T80/$H80*100</f>
        <v>26.523434591546867</v>
      </c>
      <c r="W80" s="71"/>
      <c r="X80" s="74">
        <f t="shared" ref="X80" si="27">T80/P80</f>
        <v>0.98588661987219206</v>
      </c>
      <c r="Y80" s="16"/>
      <c r="Z80" s="70"/>
    </row>
    <row r="81" spans="2:27" x14ac:dyDescent="0.2">
      <c r="B81" s="65"/>
      <c r="C81" s="67"/>
      <c r="D81" s="18"/>
      <c r="E81" s="65"/>
      <c r="F81" s="12"/>
      <c r="G81" s="65"/>
      <c r="H81" s="13"/>
      <c r="I81" s="70"/>
      <c r="J81" s="16"/>
      <c r="K81" s="16"/>
      <c r="L81" s="16"/>
      <c r="M81" s="16"/>
      <c r="N81" s="16"/>
      <c r="O81" s="14"/>
      <c r="P81" s="13"/>
      <c r="Q81" s="14"/>
      <c r="R81" s="13"/>
      <c r="S81" s="71"/>
      <c r="T81" s="13"/>
      <c r="U81" s="71"/>
      <c r="V81" s="34"/>
      <c r="W81" s="71"/>
      <c r="X81" s="15"/>
      <c r="Y81" s="16"/>
      <c r="Z81" s="70"/>
    </row>
    <row r="82" spans="2:27" x14ac:dyDescent="0.2">
      <c r="B82" s="65">
        <f>MAX(B$17:B81)+1</f>
        <v>37</v>
      </c>
      <c r="C82" s="67"/>
      <c r="D82" s="18" t="s">
        <v>60</v>
      </c>
      <c r="E82" s="65"/>
      <c r="F82" s="12" t="s">
        <v>38</v>
      </c>
      <c r="G82" s="65"/>
      <c r="H82" s="13">
        <v>34996.836000000003</v>
      </c>
      <c r="I82" s="70"/>
      <c r="J82" s="13"/>
      <c r="K82" s="16"/>
      <c r="L82" s="13"/>
      <c r="M82" s="16"/>
      <c r="N82" s="13"/>
      <c r="O82" s="14"/>
      <c r="P82" s="13">
        <v>334.08509905534225</v>
      </c>
      <c r="Q82" s="14"/>
      <c r="R82" s="13">
        <f t="shared" ref="R82:R84" si="28">T82-P82</f>
        <v>0</v>
      </c>
      <c r="S82" s="71"/>
      <c r="T82" s="13">
        <f>$H82*V82/100</f>
        <v>334.0850990553422</v>
      </c>
      <c r="U82" s="71"/>
      <c r="V82" s="34">
        <v>0.95461515165354438</v>
      </c>
      <c r="W82" s="71"/>
      <c r="X82" s="15"/>
      <c r="Y82" s="16"/>
      <c r="Z82" s="70"/>
    </row>
    <row r="83" spans="2:27" x14ac:dyDescent="0.2">
      <c r="B83" s="65">
        <f>MAX(B$17:B82)+1</f>
        <v>38</v>
      </c>
      <c r="C83" s="67"/>
      <c r="D83" s="18" t="s">
        <v>61</v>
      </c>
      <c r="E83" s="65"/>
      <c r="F83" s="75" t="s">
        <v>36</v>
      </c>
      <c r="G83" s="65"/>
      <c r="H83" s="13">
        <v>13096.011469999999</v>
      </c>
      <c r="I83" s="70"/>
      <c r="J83" s="13"/>
      <c r="K83" s="16"/>
      <c r="L83" s="13"/>
      <c r="M83" s="16"/>
      <c r="N83" s="13"/>
      <c r="O83" s="14"/>
      <c r="P83" s="13">
        <v>0</v>
      </c>
      <c r="Q83" s="14"/>
      <c r="R83" s="13">
        <f t="shared" si="28"/>
        <v>4.1101318275585559</v>
      </c>
      <c r="S83" s="71"/>
      <c r="T83" s="13">
        <f>$H83*V83/100</f>
        <v>4.1101318275585559</v>
      </c>
      <c r="U83" s="71"/>
      <c r="V83" s="34">
        <v>3.1384607725595981E-2</v>
      </c>
      <c r="W83" s="71"/>
      <c r="X83" s="15"/>
      <c r="Y83" s="16"/>
      <c r="Z83" s="70"/>
    </row>
    <row r="84" spans="2:27" x14ac:dyDescent="0.2">
      <c r="B84" s="65">
        <f>MAX(B$17:B83)+1</f>
        <v>39</v>
      </c>
      <c r="C84" s="67"/>
      <c r="D84" s="18" t="s">
        <v>62</v>
      </c>
      <c r="E84" s="65"/>
      <c r="F84" s="75" t="s">
        <v>36</v>
      </c>
      <c r="G84" s="65"/>
      <c r="H84" s="13">
        <v>0</v>
      </c>
      <c r="I84" s="70"/>
      <c r="J84" s="13"/>
      <c r="K84" s="16"/>
      <c r="L84" s="13"/>
      <c r="M84" s="16"/>
      <c r="N84" s="13"/>
      <c r="O84" s="14"/>
      <c r="P84" s="13">
        <v>0</v>
      </c>
      <c r="Q84" s="14"/>
      <c r="R84" s="13">
        <f t="shared" si="28"/>
        <v>0</v>
      </c>
      <c r="S84" s="71"/>
      <c r="T84" s="13">
        <f>$H84*V84/100</f>
        <v>0</v>
      </c>
      <c r="U84" s="71"/>
      <c r="V84" s="34">
        <v>0.40666120214654822</v>
      </c>
      <c r="W84" s="71"/>
      <c r="X84" s="15"/>
      <c r="Y84" s="16"/>
      <c r="Z84" s="70"/>
    </row>
    <row r="85" spans="2:27" x14ac:dyDescent="0.2">
      <c r="B85" s="65"/>
      <c r="C85" s="67"/>
      <c r="D85" s="18"/>
      <c r="E85" s="65"/>
      <c r="F85" s="12"/>
      <c r="G85" s="65"/>
      <c r="H85" s="13"/>
      <c r="I85" s="70"/>
      <c r="J85" s="16"/>
      <c r="K85" s="16"/>
      <c r="L85" s="16"/>
      <c r="M85" s="16"/>
      <c r="N85" s="16"/>
      <c r="O85" s="14"/>
      <c r="P85" s="13"/>
      <c r="Q85" s="14"/>
      <c r="R85" s="13"/>
      <c r="S85" s="71"/>
      <c r="T85" s="13"/>
      <c r="U85" s="71"/>
      <c r="V85" s="34"/>
      <c r="W85" s="71"/>
      <c r="X85" s="15"/>
      <c r="Y85" s="16"/>
      <c r="Z85" s="70"/>
    </row>
    <row r="86" spans="2:27" x14ac:dyDescent="0.2">
      <c r="B86" s="65">
        <f>MAX(B$17:B85)+1</f>
        <v>40</v>
      </c>
      <c r="C86" s="67"/>
      <c r="D86" s="18" t="s">
        <v>63</v>
      </c>
      <c r="E86" s="65"/>
      <c r="F86" s="12"/>
      <c r="G86" s="65"/>
      <c r="H86" s="73">
        <f>H74+H83</f>
        <v>4009630.1792336791</v>
      </c>
      <c r="I86" s="70"/>
      <c r="J86" s="16"/>
      <c r="K86" s="16"/>
      <c r="L86" s="16"/>
      <c r="M86" s="16"/>
      <c r="N86" s="16"/>
      <c r="O86" s="14"/>
      <c r="P86" s="73">
        <f>SUM(P73,P74:P75,P80,P82,P83)</f>
        <v>67931.865078203133</v>
      </c>
      <c r="Q86" s="14"/>
      <c r="R86" s="73">
        <f>SUM(R73,R74:R75,R80,R82,R83)</f>
        <v>-3630.5373662799075</v>
      </c>
      <c r="S86" s="71"/>
      <c r="T86" s="73">
        <f>SUM(T73,T74:T75,T80,T82,T83)</f>
        <v>64301.327711923223</v>
      </c>
      <c r="U86" s="71"/>
      <c r="V86" s="21">
        <f>T86/$H86*100</f>
        <v>1.6036722799261376</v>
      </c>
      <c r="W86" s="71"/>
      <c r="X86" s="74">
        <f t="shared" ref="X86" si="29">T86/P86</f>
        <v>0.9465561947680895</v>
      </c>
      <c r="Y86" s="16"/>
      <c r="Z86" s="70"/>
    </row>
    <row r="87" spans="2:27" x14ac:dyDescent="0.2">
      <c r="E87" s="65"/>
      <c r="F87" s="12"/>
      <c r="G87" s="65"/>
      <c r="H87" s="13"/>
      <c r="I87" s="70"/>
      <c r="J87" s="16"/>
      <c r="K87" s="16"/>
      <c r="L87" s="16"/>
      <c r="M87" s="16"/>
      <c r="N87" s="16"/>
      <c r="O87" s="14"/>
      <c r="P87" s="13"/>
      <c r="Q87" s="14"/>
      <c r="R87" s="13"/>
      <c r="S87" s="71"/>
      <c r="T87" s="13"/>
      <c r="U87" s="71"/>
      <c r="V87" s="34"/>
      <c r="W87" s="71"/>
      <c r="X87" s="15"/>
      <c r="Y87" s="16"/>
      <c r="Z87" s="70"/>
    </row>
    <row r="88" spans="2:27" x14ac:dyDescent="0.2">
      <c r="B88" s="65"/>
      <c r="C88" s="67"/>
      <c r="D88" s="29" t="s">
        <v>64</v>
      </c>
      <c r="E88" s="65"/>
      <c r="F88" s="75"/>
      <c r="G88" s="65"/>
      <c r="H88" s="13"/>
      <c r="I88" s="70"/>
      <c r="J88" s="16"/>
      <c r="K88" s="16"/>
      <c r="L88" s="16"/>
      <c r="M88" s="16"/>
      <c r="N88" s="16"/>
      <c r="O88" s="14"/>
      <c r="P88" s="13"/>
      <c r="Q88" s="14"/>
      <c r="R88" s="13"/>
      <c r="S88" s="71"/>
      <c r="T88" s="13"/>
      <c r="U88" s="71"/>
      <c r="V88" s="22"/>
      <c r="W88" s="71"/>
      <c r="X88" s="15"/>
      <c r="Y88" s="16"/>
      <c r="Z88" s="70"/>
    </row>
    <row r="89" spans="2:27" x14ac:dyDescent="0.2">
      <c r="B89" s="65">
        <f>MAX(B$17:B88)+1</f>
        <v>41</v>
      </c>
      <c r="C89" s="67"/>
      <c r="D89" s="11" t="s">
        <v>65</v>
      </c>
      <c r="E89" s="65"/>
      <c r="F89" s="75" t="s">
        <v>66</v>
      </c>
      <c r="G89" s="65"/>
      <c r="H89" s="13">
        <v>102195366</v>
      </c>
      <c r="I89" s="70"/>
      <c r="J89" s="13"/>
      <c r="K89" s="16"/>
      <c r="M89" s="16"/>
      <c r="N89" s="13"/>
      <c r="O89" s="14"/>
      <c r="P89" s="13">
        <v>1519.2324366731991</v>
      </c>
      <c r="Q89" s="14"/>
      <c r="R89" s="13">
        <f t="shared" ref="R89" si="30">T89-P89</f>
        <v>8.4560717683586972</v>
      </c>
      <c r="S89" s="71"/>
      <c r="T89" s="13">
        <f>$H89*V89/1000</f>
        <v>1527.6885084415578</v>
      </c>
      <c r="U89" s="71"/>
      <c r="V89" s="82">
        <v>1.4948706269534352E-2</v>
      </c>
      <c r="W89" s="71"/>
      <c r="X89" s="13"/>
      <c r="Y89" s="16"/>
      <c r="Z89" s="13"/>
    </row>
    <row r="90" spans="2:27" x14ac:dyDescent="0.2">
      <c r="B90" s="65"/>
      <c r="C90" s="67"/>
      <c r="D90" s="11" t="s">
        <v>67</v>
      </c>
      <c r="E90" s="65"/>
      <c r="F90" s="75"/>
      <c r="G90" s="65"/>
      <c r="H90" s="13"/>
      <c r="I90" s="70"/>
      <c r="J90" s="16"/>
      <c r="K90" s="16"/>
      <c r="L90" s="13"/>
      <c r="M90" s="16"/>
      <c r="N90" s="16"/>
      <c r="O90" s="14"/>
      <c r="P90" s="13"/>
      <c r="Q90" s="14"/>
      <c r="R90" s="13"/>
      <c r="S90" s="71"/>
      <c r="T90" s="13"/>
      <c r="U90" s="71"/>
      <c r="V90" s="22"/>
      <c r="W90" s="71"/>
      <c r="X90" s="16"/>
      <c r="Y90" s="16"/>
      <c r="Z90" s="16"/>
    </row>
    <row r="91" spans="2:27" x14ac:dyDescent="0.2">
      <c r="B91" s="65">
        <f>MAX(B$17:B90)+1</f>
        <v>42</v>
      </c>
      <c r="C91" s="67"/>
      <c r="D91" s="31" t="s">
        <v>68</v>
      </c>
      <c r="E91" s="65"/>
      <c r="F91" s="75" t="s">
        <v>66</v>
      </c>
      <c r="G91" s="65"/>
      <c r="H91" s="13">
        <v>2690346</v>
      </c>
      <c r="I91" s="70"/>
      <c r="J91" s="13"/>
      <c r="K91" s="16"/>
      <c r="L91" s="13"/>
      <c r="M91" s="16"/>
      <c r="N91" s="13"/>
      <c r="O91" s="14"/>
      <c r="P91" s="13">
        <v>4556.6955378537905</v>
      </c>
      <c r="Q91" s="14"/>
      <c r="R91" s="13">
        <f t="shared" ref="R91:R95" si="31">T91-P91</f>
        <v>2366.4004913864637</v>
      </c>
      <c r="S91" s="71"/>
      <c r="T91" s="13">
        <f>$H91*V91/1000</f>
        <v>6923.0960292402542</v>
      </c>
      <c r="U91" s="71"/>
      <c r="V91" s="82">
        <v>2.5733106556704062</v>
      </c>
      <c r="W91" s="71"/>
      <c r="X91" s="13"/>
      <c r="Y91" s="16"/>
      <c r="Z91" s="13"/>
    </row>
    <row r="92" spans="2:27" x14ac:dyDescent="0.2">
      <c r="B92" s="65">
        <f>MAX(B$17:B91)+1</f>
        <v>43</v>
      </c>
      <c r="C92" s="67"/>
      <c r="D92" s="31" t="s">
        <v>69</v>
      </c>
      <c r="E92" s="65"/>
      <c r="F92" s="75" t="s">
        <v>66</v>
      </c>
      <c r="G92" s="65"/>
      <c r="H92" s="13">
        <v>910476</v>
      </c>
      <c r="I92" s="70"/>
      <c r="J92" s="13"/>
      <c r="K92" s="16"/>
      <c r="L92" s="13"/>
      <c r="M92" s="16"/>
      <c r="N92" s="13"/>
      <c r="O92" s="14"/>
      <c r="P92" s="13">
        <v>1542.0923280957049</v>
      </c>
      <c r="Q92" s="14"/>
      <c r="R92" s="13">
        <f t="shared" si="31"/>
        <v>638.51828293605513</v>
      </c>
      <c r="S92" s="71"/>
      <c r="T92" s="13">
        <f>$H92*V92/1000</f>
        <v>2180.6106110317601</v>
      </c>
      <c r="U92" s="71"/>
      <c r="V92" s="82">
        <v>2.3950226156776893</v>
      </c>
      <c r="W92" s="71"/>
      <c r="X92" s="13"/>
      <c r="Y92" s="16"/>
      <c r="Z92" s="13"/>
      <c r="AA92" s="65"/>
    </row>
    <row r="93" spans="2:27" x14ac:dyDescent="0.2">
      <c r="B93" s="65">
        <f>MAX(B$17:B92)+1</f>
        <v>44</v>
      </c>
      <c r="C93" s="67"/>
      <c r="D93" s="31" t="s">
        <v>70</v>
      </c>
      <c r="E93" s="65"/>
      <c r="F93" s="75" t="s">
        <v>66</v>
      </c>
      <c r="G93" s="65"/>
      <c r="H93" s="13">
        <v>12000</v>
      </c>
      <c r="I93" s="70"/>
      <c r="J93" s="13"/>
      <c r="K93" s="16"/>
      <c r="L93" s="13"/>
      <c r="M93" s="16"/>
      <c r="N93" s="13"/>
      <c r="O93" s="14"/>
      <c r="P93" s="13">
        <v>20.324652090937555</v>
      </c>
      <c r="Q93" s="14"/>
      <c r="R93" s="13">
        <f t="shared" si="31"/>
        <v>8.4156192971947164</v>
      </c>
      <c r="S93" s="71"/>
      <c r="T93" s="13">
        <f>$H93*V93/1000</f>
        <v>28.740271388132271</v>
      </c>
      <c r="U93" s="71"/>
      <c r="V93" s="82">
        <v>2.3950226156776893</v>
      </c>
      <c r="W93" s="71"/>
      <c r="X93" s="13"/>
      <c r="Y93" s="16"/>
      <c r="Z93" s="13"/>
      <c r="AA93" s="65"/>
    </row>
    <row r="94" spans="2:27" x14ac:dyDescent="0.2">
      <c r="B94" s="65">
        <f>MAX(B$17:B93)+1</f>
        <v>45</v>
      </c>
      <c r="D94" s="11" t="s">
        <v>71</v>
      </c>
      <c r="F94" s="1" t="s">
        <v>72</v>
      </c>
      <c r="H94" s="13">
        <v>22553384.649308</v>
      </c>
      <c r="I94" s="70"/>
      <c r="J94" s="13"/>
      <c r="K94" s="16"/>
      <c r="L94" s="13"/>
      <c r="M94" s="16"/>
      <c r="N94" s="13"/>
      <c r="O94" s="14"/>
      <c r="P94" s="13">
        <v>0</v>
      </c>
      <c r="Q94" s="14"/>
      <c r="R94" s="13">
        <f t="shared" si="31"/>
        <v>0</v>
      </c>
      <c r="S94" s="71"/>
      <c r="T94" s="13">
        <f>$H94*V94/1000</f>
        <v>0</v>
      </c>
      <c r="U94" s="71"/>
      <c r="V94" s="82">
        <v>0</v>
      </c>
      <c r="W94" s="71"/>
      <c r="X94" s="13"/>
      <c r="Y94" s="16"/>
      <c r="Z94" s="13"/>
    </row>
    <row r="95" spans="2:27" x14ac:dyDescent="0.2">
      <c r="B95" s="65">
        <f>MAX(B$17:B94)+1</f>
        <v>46</v>
      </c>
      <c r="C95" s="67"/>
      <c r="D95" s="11" t="s">
        <v>73</v>
      </c>
      <c r="E95" s="65"/>
      <c r="F95" s="81" t="s">
        <v>55</v>
      </c>
      <c r="G95" s="65"/>
      <c r="H95" s="13"/>
      <c r="I95" s="70"/>
      <c r="J95" s="13"/>
      <c r="K95" s="16"/>
      <c r="L95" s="13"/>
      <c r="M95" s="16"/>
      <c r="N95" s="13"/>
      <c r="O95" s="14"/>
      <c r="P95" s="13">
        <f>T95</f>
        <v>657.90454404179241</v>
      </c>
      <c r="Q95" s="14"/>
      <c r="R95" s="13">
        <f t="shared" si="31"/>
        <v>0</v>
      </c>
      <c r="S95" s="71"/>
      <c r="T95" s="13">
        <v>657.90454404179241</v>
      </c>
      <c r="U95" s="71"/>
      <c r="V95" s="35">
        <v>7.9900000000000006E-3</v>
      </c>
      <c r="W95" s="71"/>
      <c r="X95" s="15">
        <f>T95/P95</f>
        <v>1</v>
      </c>
      <c r="Y95" s="16"/>
      <c r="Z95" s="13"/>
    </row>
    <row r="96" spans="2:27" x14ac:dyDescent="0.2">
      <c r="B96" s="65"/>
      <c r="C96" s="67"/>
      <c r="D96" s="18"/>
      <c r="E96" s="65"/>
      <c r="F96" s="12"/>
      <c r="G96" s="65"/>
      <c r="H96" s="13"/>
      <c r="I96" s="70"/>
      <c r="J96" s="16"/>
      <c r="K96" s="16"/>
      <c r="L96" s="16"/>
      <c r="M96" s="16"/>
      <c r="N96" s="16"/>
      <c r="O96" s="14"/>
      <c r="P96" s="13"/>
      <c r="Q96" s="14"/>
      <c r="R96" s="13"/>
      <c r="S96" s="71"/>
      <c r="T96" s="13"/>
      <c r="U96" s="71"/>
      <c r="V96" s="34"/>
      <c r="W96" s="71"/>
      <c r="X96" s="15"/>
      <c r="Y96" s="16"/>
      <c r="Z96" s="70"/>
    </row>
    <row r="97" spans="2:27" x14ac:dyDescent="0.2">
      <c r="B97" s="65">
        <f>MAX(B$17:B96)+1</f>
        <v>47</v>
      </c>
      <c r="C97" s="67"/>
      <c r="D97" s="18" t="s">
        <v>74</v>
      </c>
      <c r="E97" s="65"/>
      <c r="F97" s="12"/>
      <c r="G97" s="65"/>
      <c r="H97" s="73">
        <f>H86</f>
        <v>4009630.1792336791</v>
      </c>
      <c r="I97" s="70"/>
      <c r="J97" s="13"/>
      <c r="K97" s="16"/>
      <c r="L97" s="13"/>
      <c r="M97" s="16"/>
      <c r="N97" s="13"/>
      <c r="O97" s="14"/>
      <c r="P97" s="73">
        <f>SUM(P89:P95)</f>
        <v>8296.2494987554255</v>
      </c>
      <c r="Q97" s="14"/>
      <c r="R97" s="73">
        <f>SUM(R89:R95)</f>
        <v>3021.7904653880723</v>
      </c>
      <c r="S97" s="71"/>
      <c r="T97" s="73">
        <f>SUM(T89:T95)</f>
        <v>11318.039964143496</v>
      </c>
      <c r="U97" s="71"/>
      <c r="V97" s="21">
        <f>T97/$H97*100</f>
        <v>0.28227141801657629</v>
      </c>
      <c r="W97" s="71"/>
      <c r="X97" s="74">
        <f t="shared" ref="X97" si="32">T97/P97</f>
        <v>1.3642357267390992</v>
      </c>
      <c r="Y97" s="16"/>
      <c r="Z97" s="70"/>
    </row>
    <row r="98" spans="2:27" x14ac:dyDescent="0.2">
      <c r="E98" s="65"/>
      <c r="F98" s="12"/>
      <c r="G98" s="65"/>
      <c r="H98" s="13"/>
      <c r="I98" s="70"/>
      <c r="J98" s="13"/>
      <c r="K98" s="71"/>
      <c r="L98" s="34"/>
      <c r="M98" s="71"/>
      <c r="N98" s="13"/>
      <c r="O98" s="14"/>
      <c r="P98" s="13"/>
      <c r="Q98" s="14"/>
      <c r="R98" s="13"/>
      <c r="S98" s="71"/>
      <c r="T98" s="13"/>
      <c r="U98" s="71"/>
      <c r="V98" s="34"/>
      <c r="W98" s="71"/>
      <c r="X98" s="15"/>
      <c r="Y98" s="16"/>
      <c r="Z98" s="17"/>
    </row>
    <row r="99" spans="2:27" ht="13.5" thickBot="1" x14ac:dyDescent="0.25">
      <c r="B99" s="65">
        <f>MAX(B$17:B98)+1</f>
        <v>48</v>
      </c>
      <c r="C99" s="67"/>
      <c r="D99" s="23" t="s">
        <v>75</v>
      </c>
      <c r="E99" s="65"/>
      <c r="F99" s="12"/>
      <c r="G99" s="65"/>
      <c r="H99" s="76">
        <f>H86</f>
        <v>4009630.1792336791</v>
      </c>
      <c r="I99" s="70"/>
      <c r="J99" s="76">
        <v>70374.889700499247</v>
      </c>
      <c r="K99" s="71"/>
      <c r="L99" s="24">
        <f>J99/$H99*100</f>
        <v>1.7551466483113238</v>
      </c>
      <c r="M99" s="71"/>
      <c r="N99" s="76">
        <f>J99-P99</f>
        <v>-5853.2248764593096</v>
      </c>
      <c r="O99" s="14"/>
      <c r="P99" s="76">
        <f>P86+P97</f>
        <v>76228.114576958556</v>
      </c>
      <c r="Q99" s="14"/>
      <c r="R99" s="76">
        <f>R86+R97</f>
        <v>-608.74690089183514</v>
      </c>
      <c r="S99" s="71"/>
      <c r="T99" s="76">
        <f>T86+T97</f>
        <v>75619.367676066715</v>
      </c>
      <c r="U99" s="71"/>
      <c r="V99" s="24">
        <f>T99/$H99*100</f>
        <v>1.885943697942714</v>
      </c>
      <c r="W99" s="71"/>
      <c r="X99" s="77">
        <f t="shared" ref="X99" si="33">T99/P99</f>
        <v>0.99201414197018789</v>
      </c>
      <c r="Y99" s="16"/>
      <c r="Z99" s="25">
        <f t="shared" ref="Z99" si="34">V99/L99-1</f>
        <v>7.4522006327638612E-2</v>
      </c>
    </row>
    <row r="100" spans="2:27" ht="13.5" thickTop="1" x14ac:dyDescent="0.2"/>
    <row r="101" spans="2:27" x14ac:dyDescent="0.2">
      <c r="J101" s="32"/>
    </row>
    <row r="103" spans="2:27" ht="11.45" customHeight="1" x14ac:dyDescent="0.2">
      <c r="B103" s="83"/>
      <c r="C103" s="23"/>
      <c r="D103" s="4" t="s">
        <v>76</v>
      </c>
      <c r="E103" s="23"/>
      <c r="G103" s="23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23"/>
    </row>
    <row r="104" spans="2:27" ht="11.45" customHeight="1" x14ac:dyDescent="0.2">
      <c r="B104" s="65">
        <f>MAX(B$17:B103)+1</f>
        <v>49</v>
      </c>
      <c r="C104" s="23"/>
      <c r="D104" s="18" t="s">
        <v>33</v>
      </c>
      <c r="F104" s="81" t="s">
        <v>34</v>
      </c>
      <c r="H104" s="13">
        <v>588</v>
      </c>
      <c r="I104" s="16"/>
      <c r="J104" s="13"/>
      <c r="K104" s="16"/>
      <c r="L104" s="13"/>
      <c r="M104" s="16"/>
      <c r="N104" s="13"/>
      <c r="O104" s="16"/>
      <c r="P104" s="13">
        <v>1741.5762536866764</v>
      </c>
      <c r="Q104" s="16"/>
      <c r="R104" s="13">
        <f>T104-P104</f>
        <v>-859.57625368667641</v>
      </c>
      <c r="S104" s="71"/>
      <c r="T104" s="13">
        <f>$H104*V104/1000</f>
        <v>882</v>
      </c>
      <c r="U104" s="16"/>
      <c r="V104" s="72">
        <v>1500</v>
      </c>
      <c r="W104" s="16"/>
      <c r="X104" s="15">
        <f>T104/P104</f>
        <v>0.50643777332914808</v>
      </c>
      <c r="Y104" s="16"/>
      <c r="Z104" s="13"/>
    </row>
    <row r="105" spans="2:27" x14ac:dyDescent="0.2">
      <c r="B105" s="65">
        <f>MAX(B$17:B104)+1</f>
        <v>50</v>
      </c>
      <c r="D105" s="18" t="s">
        <v>53</v>
      </c>
      <c r="F105" s="81" t="s">
        <v>36</v>
      </c>
      <c r="H105" s="13">
        <v>981552.0399894116</v>
      </c>
      <c r="I105" s="16"/>
      <c r="J105" s="13"/>
      <c r="K105" s="16"/>
      <c r="L105" s="13"/>
      <c r="M105" s="16"/>
      <c r="N105" s="13"/>
      <c r="O105" s="16"/>
      <c r="P105" s="13">
        <f>T105</f>
        <v>656.13120184536194</v>
      </c>
      <c r="Q105" s="16"/>
      <c r="R105" s="13">
        <f>T105-P105</f>
        <v>0</v>
      </c>
      <c r="S105" s="71"/>
      <c r="T105" s="13">
        <v>656.13120184536194</v>
      </c>
      <c r="U105" s="16"/>
      <c r="V105" s="34">
        <v>6.6846298017213632E-2</v>
      </c>
      <c r="W105" s="16"/>
      <c r="X105" s="15">
        <f>T105/P105</f>
        <v>1</v>
      </c>
      <c r="Y105" s="16"/>
      <c r="Z105" s="13"/>
    </row>
    <row r="106" spans="2:27" x14ac:dyDescent="0.2">
      <c r="D106" s="18" t="s">
        <v>56</v>
      </c>
      <c r="F106" s="84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33"/>
      <c r="W106" s="16"/>
      <c r="X106" s="16"/>
      <c r="Y106" s="16"/>
      <c r="Z106" s="16"/>
    </row>
    <row r="107" spans="2:27" ht="14.25" x14ac:dyDescent="0.2">
      <c r="B107" s="65">
        <f>MAX(B$17:B106)+1</f>
        <v>51</v>
      </c>
      <c r="D107" s="11" t="s">
        <v>57</v>
      </c>
      <c r="F107" s="81" t="s">
        <v>38</v>
      </c>
      <c r="H107" s="13">
        <v>13312.763999999999</v>
      </c>
      <c r="I107" s="16"/>
      <c r="J107" s="13"/>
      <c r="K107" s="16"/>
      <c r="L107" s="13"/>
      <c r="M107" s="16"/>
      <c r="N107" s="13"/>
      <c r="O107" s="16"/>
      <c r="P107" s="13">
        <v>3203.4854333486323</v>
      </c>
      <c r="Q107" s="16"/>
      <c r="R107" s="13">
        <f>T107-P107</f>
        <v>241.81613798183071</v>
      </c>
      <c r="S107" s="71"/>
      <c r="T107" s="13">
        <f>$H107*V107/100</f>
        <v>3445.301571330463</v>
      </c>
      <c r="U107" s="16"/>
      <c r="V107" s="34">
        <v>25.879686377152506</v>
      </c>
      <c r="W107" s="16"/>
      <c r="X107" s="13"/>
      <c r="Y107" s="16"/>
      <c r="Z107" s="13"/>
    </row>
    <row r="108" spans="2:27" ht="14.25" x14ac:dyDescent="0.2">
      <c r="B108" s="65">
        <f>MAX(B$17:B107)+1</f>
        <v>52</v>
      </c>
      <c r="D108" s="11" t="s">
        <v>77</v>
      </c>
      <c r="F108" s="81" t="s">
        <v>38</v>
      </c>
      <c r="H108" s="13">
        <v>49393.440000000002</v>
      </c>
      <c r="I108" s="16"/>
      <c r="J108" s="13"/>
      <c r="K108" s="16"/>
      <c r="L108" s="13"/>
      <c r="M108" s="16"/>
      <c r="N108" s="13"/>
      <c r="O108" s="16"/>
      <c r="P108" s="13">
        <v>6045.7146380490967</v>
      </c>
      <c r="Q108" s="16"/>
      <c r="R108" s="13">
        <f>T108-P108</f>
        <v>449.08711339482761</v>
      </c>
      <c r="S108" s="71"/>
      <c r="T108" s="13">
        <f>$H108*V108/100</f>
        <v>6494.8017514439243</v>
      </c>
      <c r="U108" s="16"/>
      <c r="V108" s="34">
        <v>13.149118084190784</v>
      </c>
      <c r="W108" s="16"/>
      <c r="X108" s="13"/>
      <c r="Y108" s="16"/>
      <c r="Z108" s="13"/>
    </row>
    <row r="109" spans="2:27" x14ac:dyDescent="0.2">
      <c r="B109" s="65">
        <f>MAX(B$17:B108)+1</f>
        <v>53</v>
      </c>
      <c r="D109" s="18" t="s">
        <v>56</v>
      </c>
      <c r="H109" s="73">
        <f>SUM(H107:H108)</f>
        <v>62706.203999999998</v>
      </c>
      <c r="I109" s="70"/>
      <c r="J109" s="16"/>
      <c r="K109" s="16"/>
      <c r="L109" s="16"/>
      <c r="M109" s="16"/>
      <c r="N109" s="16"/>
      <c r="O109" s="14"/>
      <c r="P109" s="73">
        <f>SUM(P107:P108)</f>
        <v>9249.2000713977286</v>
      </c>
      <c r="Q109" s="14"/>
      <c r="R109" s="73">
        <f>SUM(R107:R108)</f>
        <v>690.90325137665832</v>
      </c>
      <c r="S109" s="71"/>
      <c r="T109" s="73">
        <f>SUM(T107:T108)</f>
        <v>9940.1033227743865</v>
      </c>
      <c r="U109" s="71"/>
      <c r="V109" s="21">
        <f>T109/$H109*100</f>
        <v>15.851865826185854</v>
      </c>
      <c r="W109" s="71"/>
      <c r="X109" s="74">
        <f t="shared" ref="X109" si="35">T109/P109</f>
        <v>1.0746987032438848</v>
      </c>
      <c r="Y109" s="16"/>
      <c r="Z109" s="16"/>
    </row>
    <row r="110" spans="2:27" x14ac:dyDescent="0.2">
      <c r="D110" s="18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2:27" x14ac:dyDescent="0.2">
      <c r="B111" s="65">
        <f>MAX(B$17:B110)+1</f>
        <v>54</v>
      </c>
      <c r="D111" s="18" t="s">
        <v>60</v>
      </c>
      <c r="F111" s="81" t="s">
        <v>38</v>
      </c>
      <c r="H111" s="13">
        <v>67936.392000000007</v>
      </c>
      <c r="I111" s="16"/>
      <c r="J111" s="13"/>
      <c r="K111" s="16"/>
      <c r="L111" s="13"/>
      <c r="M111" s="16"/>
      <c r="N111" s="13"/>
      <c r="O111" s="16"/>
      <c r="P111" s="13">
        <v>597.40556051106455</v>
      </c>
      <c r="Q111" s="16"/>
      <c r="R111" s="13">
        <f>T111-P111</f>
        <v>0</v>
      </c>
      <c r="S111" s="71"/>
      <c r="T111" s="13">
        <f>$H111*V111/100</f>
        <v>597.40556051106455</v>
      </c>
      <c r="U111" s="16"/>
      <c r="V111" s="34">
        <v>0.8793601528192202</v>
      </c>
      <c r="W111" s="16"/>
      <c r="X111" s="15">
        <f>T111/P111</f>
        <v>1</v>
      </c>
      <c r="Y111" s="16"/>
      <c r="Z111" s="13"/>
    </row>
    <row r="112" spans="2:27" x14ac:dyDescent="0.2">
      <c r="B112" s="65">
        <f>MAX(B$17:B111)+1</f>
        <v>55</v>
      </c>
      <c r="D112" s="18" t="s">
        <v>61</v>
      </c>
      <c r="F112" s="81" t="s">
        <v>36</v>
      </c>
      <c r="H112" s="13">
        <v>0</v>
      </c>
      <c r="I112" s="16"/>
      <c r="J112" s="13"/>
      <c r="K112" s="16"/>
      <c r="L112" s="13"/>
      <c r="M112" s="16"/>
      <c r="N112" s="13"/>
      <c r="O112" s="16"/>
      <c r="P112" s="13">
        <v>0</v>
      </c>
      <c r="Q112" s="16"/>
      <c r="R112" s="13">
        <v>0</v>
      </c>
      <c r="S112" s="16"/>
      <c r="T112" s="13">
        <f t="shared" ref="T112:T113" si="36">$H112*V112/100</f>
        <v>0</v>
      </c>
      <c r="U112" s="16"/>
      <c r="V112" s="34">
        <v>9.5756768794831831E-2</v>
      </c>
      <c r="W112" s="16"/>
      <c r="X112" s="13"/>
      <c r="Y112" s="16"/>
      <c r="Z112" s="13"/>
    </row>
    <row r="113" spans="2:26" x14ac:dyDescent="0.2">
      <c r="B113" s="65">
        <f>MAX(B$17:B112)+1</f>
        <v>56</v>
      </c>
      <c r="D113" s="18" t="s">
        <v>78</v>
      </c>
      <c r="F113" s="81" t="s">
        <v>38</v>
      </c>
      <c r="H113" s="13">
        <v>0</v>
      </c>
      <c r="I113" s="16"/>
      <c r="J113" s="13"/>
      <c r="K113" s="16"/>
      <c r="L113" s="13"/>
      <c r="M113" s="16"/>
      <c r="N113" s="13"/>
      <c r="O113" s="16"/>
      <c r="P113" s="13">
        <v>0</v>
      </c>
      <c r="Q113" s="16"/>
      <c r="R113" s="13">
        <v>0</v>
      </c>
      <c r="S113" s="16"/>
      <c r="T113" s="13">
        <f t="shared" si="36"/>
        <v>0</v>
      </c>
      <c r="U113" s="16"/>
      <c r="V113" s="34">
        <f>V127</f>
        <v>10.562475455143108</v>
      </c>
      <c r="W113" s="16"/>
      <c r="X113" s="13"/>
      <c r="Y113" s="16"/>
      <c r="Z113" s="13"/>
    </row>
    <row r="114" spans="2:26" x14ac:dyDescent="0.2">
      <c r="B114" s="65">
        <f>MAX(B$17:B113)+1</f>
        <v>57</v>
      </c>
      <c r="D114" s="18" t="s">
        <v>79</v>
      </c>
      <c r="F114" s="81" t="s">
        <v>55</v>
      </c>
      <c r="H114" s="13">
        <v>0</v>
      </c>
      <c r="I114" s="16"/>
      <c r="J114" s="13"/>
      <c r="K114" s="16"/>
      <c r="L114" s="13"/>
      <c r="M114" s="16"/>
      <c r="N114" s="13"/>
      <c r="O114" s="16"/>
      <c r="P114" s="13">
        <f>T114</f>
        <v>0</v>
      </c>
      <c r="Q114" s="16"/>
      <c r="R114" s="13">
        <f>T114-P114</f>
        <v>0</v>
      </c>
      <c r="S114" s="71"/>
      <c r="T114" s="13">
        <v>0</v>
      </c>
      <c r="U114" s="16"/>
      <c r="V114" s="35">
        <f>V128</f>
        <v>2.8533172134609644E-3</v>
      </c>
      <c r="W114" s="16"/>
      <c r="X114" s="13"/>
      <c r="Y114" s="16"/>
      <c r="Z114" s="13"/>
    </row>
    <row r="115" spans="2:26" x14ac:dyDescent="0.2">
      <c r="D115" s="18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2:26" ht="13.5" thickBot="1" x14ac:dyDescent="0.25">
      <c r="B116" s="65">
        <f>MAX(B$17:B115)+1</f>
        <v>58</v>
      </c>
      <c r="D116" s="23" t="s">
        <v>80</v>
      </c>
      <c r="H116" s="76">
        <f>H105</f>
        <v>981552.0399894116</v>
      </c>
      <c r="I116" s="70"/>
      <c r="J116" s="76">
        <v>22727.163198775026</v>
      </c>
      <c r="K116" s="71"/>
      <c r="L116" s="24">
        <f>J116/$H116*100</f>
        <v>2.3154313039806014</v>
      </c>
      <c r="M116" s="71"/>
      <c r="N116" s="76">
        <f>J116-P116</f>
        <v>10482.850111334195</v>
      </c>
      <c r="O116" s="14"/>
      <c r="P116" s="76">
        <f>SUM(P104:P105,P109,P111:P114)</f>
        <v>12244.313087440831</v>
      </c>
      <c r="Q116" s="14"/>
      <c r="R116" s="76">
        <f>SUM(R104:R105,R109,R111:R114)</f>
        <v>-168.67300231001809</v>
      </c>
      <c r="S116" s="71"/>
      <c r="T116" s="76">
        <f>SUM(T104:T105,T109,T111:T114)</f>
        <v>12075.640085130812</v>
      </c>
      <c r="U116" s="71"/>
      <c r="V116" s="24">
        <f>T116/$H116*100</f>
        <v>1.2302597919577525</v>
      </c>
      <c r="W116" s="71"/>
      <c r="X116" s="77">
        <f t="shared" ref="X116" si="37">T116/P116</f>
        <v>0.98622438015873437</v>
      </c>
      <c r="Y116" s="16"/>
      <c r="Z116" s="25">
        <f t="shared" ref="Z116" si="38">V116/L116-1</f>
        <v>-0.46866927563657934</v>
      </c>
    </row>
    <row r="117" spans="2:26" ht="13.5" thickTop="1" x14ac:dyDescent="0.2">
      <c r="D117" s="18"/>
    </row>
    <row r="118" spans="2:26" x14ac:dyDescent="0.2">
      <c r="D118" s="18"/>
    </row>
    <row r="120" spans="2:26" x14ac:dyDescent="0.2">
      <c r="D120" s="36" t="s">
        <v>81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2:26" x14ac:dyDescent="0.2">
      <c r="B121" s="65">
        <f>MAX(B$17:B120)+1</f>
        <v>59</v>
      </c>
      <c r="D121" s="18" t="s">
        <v>33</v>
      </c>
      <c r="F121" s="81" t="s">
        <v>34</v>
      </c>
      <c r="H121" s="13">
        <v>168</v>
      </c>
      <c r="I121" s="16"/>
      <c r="J121" s="13"/>
      <c r="K121" s="16"/>
      <c r="L121" s="13"/>
      <c r="M121" s="16"/>
      <c r="N121" s="13"/>
      <c r="O121" s="16"/>
      <c r="P121" s="13">
        <v>2331.5845148817643</v>
      </c>
      <c r="Q121" s="16"/>
      <c r="R121" s="13">
        <f>T121-P121</f>
        <v>0</v>
      </c>
      <c r="S121" s="71"/>
      <c r="T121" s="13">
        <f>$H121*V121/1000</f>
        <v>2331.5845148817643</v>
      </c>
      <c r="U121" s="16"/>
      <c r="V121" s="72">
        <v>13878.479255248598</v>
      </c>
      <c r="W121" s="16"/>
      <c r="X121" s="15">
        <f>T121/P121</f>
        <v>1</v>
      </c>
      <c r="Y121" s="16"/>
      <c r="Z121" s="13"/>
    </row>
    <row r="122" spans="2:26" x14ac:dyDescent="0.2">
      <c r="B122" s="65">
        <f>MAX(B$17:B121)+1</f>
        <v>60</v>
      </c>
      <c r="D122" s="18" t="s">
        <v>53</v>
      </c>
      <c r="F122" s="81" t="s">
        <v>36</v>
      </c>
      <c r="H122" s="13">
        <v>3262003.4960524095</v>
      </c>
      <c r="I122" s="16"/>
      <c r="J122" s="13"/>
      <c r="K122" s="16"/>
      <c r="L122" s="13"/>
      <c r="M122" s="16"/>
      <c r="N122" s="13"/>
      <c r="O122" s="16"/>
      <c r="P122" s="13">
        <v>173.06071870856067</v>
      </c>
      <c r="Q122" s="16"/>
      <c r="R122" s="13">
        <f>T122-P122</f>
        <v>0</v>
      </c>
      <c r="S122" s="71"/>
      <c r="T122" s="13">
        <f>$H122*V122/100</f>
        <v>173.06071870856067</v>
      </c>
      <c r="U122" s="16"/>
      <c r="V122" s="34">
        <v>5.3053504975697965E-3</v>
      </c>
      <c r="W122" s="16"/>
      <c r="X122" s="15">
        <f>T122/P122</f>
        <v>1</v>
      </c>
      <c r="Y122" s="16"/>
      <c r="Z122" s="13"/>
    </row>
    <row r="123" spans="2:26" x14ac:dyDescent="0.2">
      <c r="B123" s="65">
        <f>MAX(B$17:B122)+1</f>
        <v>61</v>
      </c>
      <c r="D123" s="18" t="s">
        <v>54</v>
      </c>
      <c r="F123" s="81" t="s">
        <v>55</v>
      </c>
      <c r="H123" s="13"/>
      <c r="I123" s="16"/>
      <c r="J123" s="16"/>
      <c r="K123" s="16"/>
      <c r="L123" s="16"/>
      <c r="M123" s="16"/>
      <c r="N123" s="16"/>
      <c r="O123" s="16"/>
      <c r="P123" s="13">
        <f>T123</f>
        <v>1666.5713162349834</v>
      </c>
      <c r="Q123" s="16"/>
      <c r="R123" s="16"/>
      <c r="S123" s="16"/>
      <c r="T123" s="13">
        <v>1666.5713162349834</v>
      </c>
      <c r="U123" s="16"/>
      <c r="V123" s="35">
        <v>4.2462810021565781E-3</v>
      </c>
      <c r="W123" s="71"/>
      <c r="X123" s="15">
        <f>T123/P123</f>
        <v>1</v>
      </c>
      <c r="Y123" s="16"/>
      <c r="Z123" s="16"/>
    </row>
    <row r="124" spans="2:26" x14ac:dyDescent="0.2">
      <c r="B124" s="65">
        <f>MAX(B$17:B123)+1</f>
        <v>62</v>
      </c>
      <c r="D124" s="18" t="s">
        <v>56</v>
      </c>
      <c r="F124" s="81" t="s">
        <v>38</v>
      </c>
      <c r="H124" s="13">
        <v>294855.76400000002</v>
      </c>
      <c r="I124" s="16"/>
      <c r="J124" s="13"/>
      <c r="K124" s="16"/>
      <c r="L124" s="13"/>
      <c r="M124" s="16"/>
      <c r="N124" s="13"/>
      <c r="O124" s="16"/>
      <c r="P124" s="13">
        <v>34864.475292681265</v>
      </c>
      <c r="Q124" s="16"/>
      <c r="R124" s="13">
        <f>T124-P124</f>
        <v>-485.17515398000251</v>
      </c>
      <c r="S124" s="71"/>
      <c r="T124" s="13">
        <f>$H124*V124/100</f>
        <v>34379.300138701263</v>
      </c>
      <c r="U124" s="16"/>
      <c r="V124" s="34">
        <v>11.659700889788697</v>
      </c>
      <c r="W124" s="16"/>
      <c r="X124" s="15">
        <f t="shared" ref="X124:X127" si="39">T124/P124</f>
        <v>0.98608396799587428</v>
      </c>
      <c r="Y124" s="16"/>
      <c r="Z124" s="13"/>
    </row>
    <row r="125" spans="2:26" x14ac:dyDescent="0.2">
      <c r="B125" s="65">
        <f>MAX(B$17:B124)+1</f>
        <v>63</v>
      </c>
      <c r="D125" s="18" t="s">
        <v>60</v>
      </c>
      <c r="F125" s="81" t="s">
        <v>38</v>
      </c>
      <c r="H125" s="13">
        <v>163656.652</v>
      </c>
      <c r="I125" s="16"/>
      <c r="J125" s="13"/>
      <c r="K125" s="16"/>
      <c r="L125" s="13"/>
      <c r="M125" s="16"/>
      <c r="N125" s="13"/>
      <c r="O125" s="16"/>
      <c r="P125" s="13">
        <v>1189.8365517300629</v>
      </c>
      <c r="Q125" s="16"/>
      <c r="R125" s="13">
        <f>T125-P125</f>
        <v>0</v>
      </c>
      <c r="S125" s="71"/>
      <c r="T125" s="13">
        <f>$H125*V125/100</f>
        <v>1189.8365517300629</v>
      </c>
      <c r="U125" s="16"/>
      <c r="V125" s="34">
        <v>0.7270321964853973</v>
      </c>
      <c r="W125" s="16"/>
      <c r="X125" s="15">
        <f t="shared" si="39"/>
        <v>1</v>
      </c>
      <c r="Y125" s="16"/>
      <c r="Z125" s="13"/>
    </row>
    <row r="126" spans="2:26" x14ac:dyDescent="0.2">
      <c r="B126" s="65">
        <f>MAX(B$17:B125)+1</f>
        <v>64</v>
      </c>
      <c r="D126" s="18" t="s">
        <v>61</v>
      </c>
      <c r="F126" s="81" t="s">
        <v>36</v>
      </c>
      <c r="H126" s="13">
        <v>0</v>
      </c>
      <c r="I126" s="16"/>
      <c r="J126" s="13"/>
      <c r="K126" s="16"/>
      <c r="L126" s="13"/>
      <c r="M126" s="16"/>
      <c r="N126" s="13"/>
      <c r="O126" s="16"/>
      <c r="P126" s="13">
        <v>0</v>
      </c>
      <c r="Q126" s="16"/>
      <c r="R126" s="13">
        <f>T126-P126</f>
        <v>0</v>
      </c>
      <c r="S126" s="16"/>
      <c r="T126" s="13">
        <f>$H126*V126/100</f>
        <v>0</v>
      </c>
      <c r="U126" s="16"/>
      <c r="V126" s="34">
        <v>2.9207778875171904E-2</v>
      </c>
      <c r="W126" s="16"/>
      <c r="X126" s="15"/>
      <c r="Y126" s="16"/>
      <c r="Z126" s="13"/>
    </row>
    <row r="127" spans="2:26" x14ac:dyDescent="0.2">
      <c r="B127" s="65">
        <f>MAX(B$17:B126)+1</f>
        <v>65</v>
      </c>
      <c r="D127" s="18" t="s">
        <v>78</v>
      </c>
      <c r="F127" s="81" t="s">
        <v>38</v>
      </c>
      <c r="H127" s="13">
        <v>121211.48000000001</v>
      </c>
      <c r="I127" s="16"/>
      <c r="J127" s="13"/>
      <c r="K127" s="16"/>
      <c r="L127" s="13"/>
      <c r="M127" s="16"/>
      <c r="N127" s="13"/>
      <c r="O127" s="16"/>
      <c r="P127" s="13">
        <v>12802.9328238157</v>
      </c>
      <c r="Q127" s="16"/>
      <c r="R127" s="13">
        <f>T127-P127</f>
        <v>0</v>
      </c>
      <c r="S127" s="71"/>
      <c r="T127" s="13">
        <f>$H127*V127/100</f>
        <v>12802.9328238157</v>
      </c>
      <c r="U127" s="16"/>
      <c r="V127" s="34">
        <v>10.562475455143108</v>
      </c>
      <c r="W127" s="16"/>
      <c r="X127" s="15">
        <f t="shared" si="39"/>
        <v>1</v>
      </c>
      <c r="Y127" s="16"/>
      <c r="Z127" s="13"/>
    </row>
    <row r="128" spans="2:26" x14ac:dyDescent="0.2">
      <c r="B128" s="65">
        <f>MAX(B$17:B127)+1</f>
        <v>66</v>
      </c>
      <c r="D128" s="18" t="s">
        <v>79</v>
      </c>
      <c r="F128" s="81" t="s">
        <v>55</v>
      </c>
      <c r="H128" s="13">
        <v>1427302.6369889998</v>
      </c>
      <c r="I128" s="16"/>
      <c r="J128" s="13"/>
      <c r="K128" s="16"/>
      <c r="L128" s="13"/>
      <c r="M128" s="16"/>
      <c r="N128" s="13"/>
      <c r="O128" s="16"/>
      <c r="P128" s="13">
        <f>T128</f>
        <v>580.8014525473676</v>
      </c>
      <c r="Q128" s="16"/>
      <c r="R128" s="13">
        <f>T128-P128</f>
        <v>0</v>
      </c>
      <c r="S128" s="71"/>
      <c r="T128" s="13">
        <v>580.8014525473676</v>
      </c>
      <c r="U128" s="16"/>
      <c r="V128" s="35">
        <v>2.8533172134609644E-3</v>
      </c>
      <c r="W128" s="16"/>
      <c r="X128" s="15">
        <f>T128/P128</f>
        <v>1</v>
      </c>
      <c r="Y128" s="16"/>
      <c r="Z128" s="13"/>
    </row>
    <row r="129" spans="2:26" x14ac:dyDescent="0.2">
      <c r="D129" s="18"/>
      <c r="F129" s="81"/>
      <c r="H129" s="13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2:26" ht="13.5" thickBot="1" x14ac:dyDescent="0.25">
      <c r="B130" s="65">
        <f>MAX(B$17:B129)+1</f>
        <v>67</v>
      </c>
      <c r="D130" s="23" t="s">
        <v>82</v>
      </c>
      <c r="H130" s="76">
        <f>H122</f>
        <v>3262003.4960524095</v>
      </c>
      <c r="I130" s="70"/>
      <c r="J130" s="76">
        <v>58361.839199119662</v>
      </c>
      <c r="K130" s="71"/>
      <c r="L130" s="24">
        <f>J130/$H130*100</f>
        <v>1.789140915077118</v>
      </c>
      <c r="M130" s="71"/>
      <c r="N130" s="76">
        <f>J130-P130</f>
        <v>4752.5765285199523</v>
      </c>
      <c r="O130" s="14"/>
      <c r="P130" s="76">
        <f>SUM(P121:P128)</f>
        <v>53609.26267059971</v>
      </c>
      <c r="Q130" s="14"/>
      <c r="R130" s="76">
        <f>SUM(R121:R128)</f>
        <v>-485.17515398000251</v>
      </c>
      <c r="S130" s="71"/>
      <c r="T130" s="76">
        <f>SUM(T121:T128)</f>
        <v>53124.087516619707</v>
      </c>
      <c r="U130" s="71"/>
      <c r="V130" s="24">
        <f>T130/$H130*100</f>
        <v>1.6285723660599711</v>
      </c>
      <c r="W130" s="71"/>
      <c r="X130" s="77">
        <f t="shared" ref="X130" si="40">T130/P130</f>
        <v>0.99094978871541017</v>
      </c>
      <c r="Y130" s="16"/>
      <c r="Z130" s="25">
        <f t="shared" ref="Z130" si="41">V130/L130-1</f>
        <v>-8.9746172402650481E-2</v>
      </c>
    </row>
    <row r="131" spans="2:26" ht="13.5" thickTop="1" x14ac:dyDescent="0.2">
      <c r="D131" s="18"/>
    </row>
    <row r="132" spans="2:26" x14ac:dyDescent="0.2">
      <c r="D132" s="18"/>
    </row>
    <row r="133" spans="2:26" x14ac:dyDescent="0.2">
      <c r="D133" s="36" t="s">
        <v>83</v>
      </c>
    </row>
    <row r="134" spans="2:26" x14ac:dyDescent="0.2">
      <c r="B134" s="65">
        <f>MAX(B$17:B133)+1</f>
        <v>68</v>
      </c>
      <c r="D134" s="11" t="s">
        <v>33</v>
      </c>
      <c r="F134" s="81" t="s">
        <v>34</v>
      </c>
      <c r="H134" s="13">
        <v>624</v>
      </c>
      <c r="I134" s="16"/>
      <c r="J134" s="13"/>
      <c r="K134" s="16"/>
      <c r="L134" s="13"/>
      <c r="M134" s="16"/>
      <c r="N134" s="13"/>
      <c r="O134" s="16"/>
      <c r="P134" s="13">
        <v>1879.1985605521411</v>
      </c>
      <c r="Q134" s="16"/>
      <c r="R134" s="13">
        <f>T134-P134</f>
        <v>-1567.1985605521411</v>
      </c>
      <c r="S134" s="16"/>
      <c r="T134" s="13">
        <f>$H134*V134/1000</f>
        <v>312</v>
      </c>
      <c r="U134" s="16"/>
      <c r="V134" s="72">
        <v>500</v>
      </c>
      <c r="W134" s="16"/>
      <c r="X134" s="15">
        <f t="shared" ref="X134:X137" si="42">T134/P134</f>
        <v>0.16602822423849078</v>
      </c>
      <c r="Y134" s="16"/>
      <c r="Z134" s="13"/>
    </row>
    <row r="135" spans="2:26" x14ac:dyDescent="0.2">
      <c r="B135" s="65">
        <f>MAX(B$17:B134)+1</f>
        <v>69</v>
      </c>
      <c r="D135" s="11" t="s">
        <v>84</v>
      </c>
      <c r="F135" s="81" t="s">
        <v>36</v>
      </c>
      <c r="H135" s="13">
        <v>474030.03009035997</v>
      </c>
      <c r="I135" s="16"/>
      <c r="J135" s="13"/>
      <c r="K135" s="16"/>
      <c r="L135" s="13"/>
      <c r="M135" s="16"/>
      <c r="N135" s="13"/>
      <c r="O135" s="16"/>
      <c r="P135" s="13">
        <v>789.74939885242861</v>
      </c>
      <c r="Q135" s="16"/>
      <c r="R135" s="13">
        <f>T135-P135</f>
        <v>0</v>
      </c>
      <c r="S135" s="16"/>
      <c r="T135" s="13">
        <f>$H135*V135/100</f>
        <v>789.74939885242873</v>
      </c>
      <c r="U135" s="16"/>
      <c r="V135" s="34">
        <v>0.16660324214098546</v>
      </c>
      <c r="W135" s="16"/>
      <c r="X135" s="15">
        <f t="shared" si="42"/>
        <v>1.0000000000000002</v>
      </c>
      <c r="Y135" s="16"/>
      <c r="Z135" s="13"/>
    </row>
    <row r="136" spans="2:26" x14ac:dyDescent="0.2">
      <c r="B136" s="65">
        <f>MAX(B$17:B135)+1</f>
        <v>70</v>
      </c>
      <c r="D136" s="11" t="s">
        <v>85</v>
      </c>
      <c r="F136" s="81" t="s">
        <v>38</v>
      </c>
      <c r="H136" s="13">
        <v>60959.28</v>
      </c>
      <c r="I136" s="16"/>
      <c r="J136" s="13"/>
      <c r="K136" s="16"/>
      <c r="L136" s="13"/>
      <c r="M136" s="16"/>
      <c r="N136" s="13"/>
      <c r="O136" s="16"/>
      <c r="P136" s="13">
        <v>2315.3899153093048</v>
      </c>
      <c r="Q136" s="16"/>
      <c r="R136" s="13">
        <f>T136-P136</f>
        <v>2631.9685010677181</v>
      </c>
      <c r="S136" s="16"/>
      <c r="T136" s="13">
        <f>$H136*V136/100</f>
        <v>4947.3584163770229</v>
      </c>
      <c r="U136" s="16"/>
      <c r="V136" s="34">
        <v>8.1158412900825319</v>
      </c>
      <c r="W136" s="16"/>
      <c r="X136" s="15">
        <f t="shared" si="42"/>
        <v>2.1367279798815755</v>
      </c>
      <c r="Y136" s="16"/>
      <c r="Z136" s="13"/>
    </row>
    <row r="137" spans="2:26" x14ac:dyDescent="0.2">
      <c r="B137" s="65">
        <f>MAX(B$17:B136)+1</f>
        <v>71</v>
      </c>
      <c r="D137" s="11" t="s">
        <v>86</v>
      </c>
      <c r="F137" s="81" t="s">
        <v>38</v>
      </c>
      <c r="H137" s="13">
        <v>16.8</v>
      </c>
      <c r="I137" s="16"/>
      <c r="J137" s="13"/>
      <c r="K137" s="16"/>
      <c r="L137" s="13"/>
      <c r="M137" s="16"/>
      <c r="N137" s="13"/>
      <c r="O137" s="16"/>
      <c r="P137" s="13">
        <v>22.616476997161968</v>
      </c>
      <c r="Q137" s="16"/>
      <c r="R137" s="13">
        <f>T137-P137</f>
        <v>-11.942518270792529</v>
      </c>
      <c r="S137" s="16"/>
      <c r="T137" s="13">
        <f>$H137*V137/100</f>
        <v>10.673958726369438</v>
      </c>
      <c r="U137" s="16"/>
      <c r="V137" s="34">
        <v>63.535468609341891</v>
      </c>
      <c r="W137" s="16"/>
      <c r="X137" s="15">
        <f t="shared" si="42"/>
        <v>0.47195497016219023</v>
      </c>
      <c r="Y137" s="16"/>
      <c r="Z137" s="13"/>
    </row>
    <row r="138" spans="2:26" x14ac:dyDescent="0.2">
      <c r="B138" s="65">
        <f>MAX(B$17:B137)+1</f>
        <v>72</v>
      </c>
      <c r="D138" s="11" t="s">
        <v>61</v>
      </c>
      <c r="F138" s="75" t="s">
        <v>36</v>
      </c>
      <c r="H138" s="13">
        <v>0</v>
      </c>
      <c r="I138" s="16"/>
      <c r="J138" s="13"/>
      <c r="K138" s="16"/>
      <c r="L138" s="13"/>
      <c r="M138" s="16"/>
      <c r="N138" s="13"/>
      <c r="O138" s="16"/>
      <c r="P138" s="13">
        <v>0</v>
      </c>
      <c r="Q138" s="16"/>
      <c r="R138" s="13">
        <f>T138-P138</f>
        <v>0</v>
      </c>
      <c r="S138" s="16"/>
      <c r="T138" s="13">
        <f>$H138*V138/100</f>
        <v>0</v>
      </c>
      <c r="U138" s="16"/>
      <c r="V138" s="34">
        <v>2.2225440082482844</v>
      </c>
      <c r="W138" s="16"/>
      <c r="X138" s="15"/>
      <c r="Y138" s="16"/>
      <c r="Z138" s="13"/>
    </row>
    <row r="139" spans="2:26" x14ac:dyDescent="0.2">
      <c r="B139" s="65">
        <f>MAX(B$17:B138)+1</f>
        <v>73</v>
      </c>
      <c r="C139" s="67"/>
      <c r="D139" s="18" t="s">
        <v>39</v>
      </c>
      <c r="E139" s="65"/>
      <c r="F139" s="12"/>
      <c r="G139" s="65"/>
      <c r="H139" s="73">
        <f>H135</f>
        <v>474030.03009035997</v>
      </c>
      <c r="I139" s="70"/>
      <c r="J139" s="13"/>
      <c r="K139" s="70"/>
      <c r="L139" s="13"/>
      <c r="M139" s="71"/>
      <c r="N139" s="13"/>
      <c r="O139" s="14"/>
      <c r="P139" s="73">
        <f>SUM(P134:P138)</f>
        <v>5006.954351711036</v>
      </c>
      <c r="Q139" s="14"/>
      <c r="R139" s="73">
        <f>SUM(R134:R138)</f>
        <v>1052.8274222447844</v>
      </c>
      <c r="S139" s="71"/>
      <c r="T139" s="73">
        <f>SUM(T134:T138)</f>
        <v>6059.7817739558213</v>
      </c>
      <c r="U139" s="71"/>
      <c r="V139" s="21">
        <f>T139/$H139*100</f>
        <v>1.278353983776239</v>
      </c>
      <c r="W139" s="71"/>
      <c r="X139" s="74">
        <f t="shared" ref="X139" si="43">T139/P139</f>
        <v>1.2102730219389759</v>
      </c>
      <c r="Y139" s="16"/>
      <c r="Z139" s="13"/>
    </row>
    <row r="140" spans="2:26" x14ac:dyDescent="0.2">
      <c r="B140" s="65"/>
      <c r="C140" s="67"/>
      <c r="D140" s="18"/>
      <c r="E140" s="65"/>
      <c r="F140" s="12"/>
      <c r="G140" s="65"/>
      <c r="H140" s="71"/>
      <c r="I140" s="70"/>
      <c r="J140" s="13"/>
      <c r="K140" s="70"/>
      <c r="L140" s="13"/>
      <c r="M140" s="71"/>
      <c r="N140" s="13"/>
      <c r="O140" s="14"/>
      <c r="P140" s="71"/>
      <c r="Q140" s="14"/>
      <c r="R140" s="71"/>
      <c r="S140" s="71"/>
      <c r="T140" s="71"/>
      <c r="U140" s="71"/>
      <c r="V140" s="34"/>
      <c r="W140" s="71"/>
      <c r="X140" s="79"/>
      <c r="Y140" s="16"/>
      <c r="Z140" s="13"/>
    </row>
    <row r="141" spans="2:26" x14ac:dyDescent="0.2">
      <c r="B141" s="65"/>
      <c r="C141" s="67"/>
      <c r="D141" s="18" t="s">
        <v>40</v>
      </c>
      <c r="E141" s="65"/>
      <c r="F141" s="75"/>
      <c r="G141" s="65"/>
      <c r="H141" s="13"/>
      <c r="I141" s="70"/>
      <c r="J141" s="19"/>
      <c r="K141" s="70"/>
      <c r="L141" s="70"/>
      <c r="M141" s="71"/>
      <c r="N141" s="20"/>
      <c r="O141" s="14"/>
      <c r="P141" s="13"/>
      <c r="Q141" s="14"/>
      <c r="R141" s="13"/>
      <c r="S141" s="71"/>
      <c r="T141" s="13"/>
      <c r="U141" s="71"/>
      <c r="V141" s="22"/>
      <c r="W141" s="71"/>
      <c r="X141" s="15"/>
      <c r="Y141" s="16"/>
      <c r="Z141" s="20"/>
    </row>
    <row r="142" spans="2:26" x14ac:dyDescent="0.2">
      <c r="B142" s="65">
        <f>MAX(B$17:B137)+1</f>
        <v>72</v>
      </c>
      <c r="D142" s="11" t="s">
        <v>41</v>
      </c>
      <c r="E142" s="65"/>
      <c r="F142" s="75" t="s">
        <v>36</v>
      </c>
      <c r="H142" s="13">
        <v>474030.03009035997</v>
      </c>
      <c r="I142" s="16"/>
      <c r="J142" s="13"/>
      <c r="K142" s="16"/>
      <c r="L142" s="13"/>
      <c r="M142" s="16"/>
      <c r="N142" s="13"/>
      <c r="O142" s="16"/>
      <c r="P142" s="13">
        <v>2819.3519301692677</v>
      </c>
      <c r="Q142" s="16"/>
      <c r="R142" s="13">
        <f>T142-P142</f>
        <v>212.58798810316057</v>
      </c>
      <c r="S142" s="16"/>
      <c r="T142" s="13">
        <f>$H142*V142/100</f>
        <v>3031.9399182724283</v>
      </c>
      <c r="U142" s="16"/>
      <c r="V142" s="34">
        <v>0.63960924958582843</v>
      </c>
      <c r="W142" s="16"/>
      <c r="X142" s="13"/>
      <c r="Y142" s="16"/>
      <c r="Z142" s="13"/>
    </row>
    <row r="143" spans="2:26" x14ac:dyDescent="0.2">
      <c r="B143" s="65">
        <f>MAX(B$17:B142)+1</f>
        <v>74</v>
      </c>
      <c r="D143" s="11" t="s">
        <v>42</v>
      </c>
      <c r="E143" s="65"/>
      <c r="F143" s="75" t="s">
        <v>36</v>
      </c>
      <c r="H143" s="13">
        <v>0</v>
      </c>
      <c r="I143" s="16"/>
      <c r="J143" s="13"/>
      <c r="K143" s="16"/>
      <c r="L143" s="13"/>
      <c r="M143" s="16"/>
      <c r="N143" s="13"/>
      <c r="O143" s="16"/>
      <c r="P143" s="13">
        <v>0</v>
      </c>
      <c r="Q143" s="16"/>
      <c r="R143" s="13">
        <f>T143-P143</f>
        <v>0</v>
      </c>
      <c r="S143" s="16"/>
      <c r="T143" s="13">
        <f>$H143*V143/100</f>
        <v>0</v>
      </c>
      <c r="U143" s="16"/>
      <c r="V143" s="34">
        <v>3.231514742591628</v>
      </c>
      <c r="W143" s="16"/>
      <c r="X143" s="13"/>
      <c r="Y143" s="16"/>
      <c r="Z143" s="13"/>
    </row>
    <row r="144" spans="2:26" x14ac:dyDescent="0.2">
      <c r="B144" s="65">
        <f>MAX(B$17:B143)+1</f>
        <v>75</v>
      </c>
      <c r="C144" s="67"/>
      <c r="D144" s="18" t="s">
        <v>40</v>
      </c>
      <c r="E144" s="65"/>
      <c r="F144" s="12"/>
      <c r="G144" s="65"/>
      <c r="H144" s="73">
        <f>SUM(H142:H143)</f>
        <v>474030.03009035997</v>
      </c>
      <c r="I144" s="70"/>
      <c r="J144" s="13"/>
      <c r="K144" s="70"/>
      <c r="L144" s="13"/>
      <c r="M144" s="71"/>
      <c r="N144" s="13"/>
      <c r="O144" s="14"/>
      <c r="P144" s="73">
        <f>SUM(P142:P143)</f>
        <v>2819.3519301692677</v>
      </c>
      <c r="Q144" s="14"/>
      <c r="R144" s="73">
        <f>SUM(R142:R143)</f>
        <v>212.58798810316057</v>
      </c>
      <c r="S144" s="71"/>
      <c r="T144" s="73">
        <f>SUM(T142:T143)</f>
        <v>3031.9399182724283</v>
      </c>
      <c r="U144" s="71"/>
      <c r="V144" s="21">
        <f>T144/$H144*100</f>
        <v>0.63960924958582854</v>
      </c>
      <c r="W144" s="71"/>
      <c r="X144" s="74">
        <f t="shared" ref="X144" si="44">T144/P144</f>
        <v>1.0754031399302453</v>
      </c>
      <c r="Y144" s="16"/>
      <c r="Z144" s="13"/>
    </row>
    <row r="145" spans="2:26" x14ac:dyDescent="0.2">
      <c r="D145" s="37"/>
      <c r="F145" s="81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33"/>
      <c r="W145" s="16"/>
      <c r="X145" s="16"/>
      <c r="Y145" s="16"/>
      <c r="Z145" s="16"/>
    </row>
    <row r="146" spans="2:26" x14ac:dyDescent="0.2">
      <c r="B146" s="65">
        <f>MAX(B$17:B145)+1</f>
        <v>76</v>
      </c>
      <c r="D146" s="18" t="s">
        <v>43</v>
      </c>
      <c r="F146" s="81" t="s">
        <v>36</v>
      </c>
      <c r="H146" s="13">
        <v>13496.806840359997</v>
      </c>
      <c r="I146" s="16"/>
      <c r="J146" s="13"/>
      <c r="K146" s="16"/>
      <c r="L146" s="13"/>
      <c r="M146" s="16"/>
      <c r="N146" s="13"/>
      <c r="O146" s="16"/>
      <c r="P146" s="13">
        <f>T146</f>
        <v>1943.7908568277701</v>
      </c>
      <c r="Q146" s="16"/>
      <c r="R146" s="13">
        <f>T146-P146</f>
        <v>0</v>
      </c>
      <c r="S146" s="16"/>
      <c r="T146" s="13">
        <f>$H146*V146/100</f>
        <v>1943.7908568277701</v>
      </c>
      <c r="U146" s="16"/>
      <c r="V146" s="34">
        <v>14.401857267566289</v>
      </c>
      <c r="W146" s="16"/>
      <c r="X146" s="15">
        <f>T146/P146</f>
        <v>1</v>
      </c>
      <c r="Y146" s="16"/>
      <c r="Z146" s="13"/>
    </row>
    <row r="147" spans="2:26" x14ac:dyDescent="0.2">
      <c r="D147" s="37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2:26" ht="13.5" thickBot="1" x14ac:dyDescent="0.25">
      <c r="B148" s="65">
        <f>MAX(B$17:B147)+1</f>
        <v>77</v>
      </c>
      <c r="D148" s="23" t="s">
        <v>87</v>
      </c>
      <c r="H148" s="76">
        <f>H135</f>
        <v>474030.03009035997</v>
      </c>
      <c r="I148" s="70"/>
      <c r="J148" s="76">
        <v>8682.7110475291411</v>
      </c>
      <c r="K148" s="71"/>
      <c r="L148" s="24">
        <f>J148/$H148*100</f>
        <v>1.8316795342847869</v>
      </c>
      <c r="M148" s="71"/>
      <c r="N148" s="76">
        <f>J148-P148</f>
        <v>-1087.3860911789325</v>
      </c>
      <c r="O148" s="14"/>
      <c r="P148" s="76">
        <f>SUM(P139,P144,P146)</f>
        <v>9770.0971387080735</v>
      </c>
      <c r="Q148" s="14"/>
      <c r="R148" s="76">
        <f>SUM(R139,R144,R146)</f>
        <v>1265.415410347945</v>
      </c>
      <c r="S148" s="71"/>
      <c r="T148" s="76">
        <f>SUM(T139,T144,T146) -0.013</f>
        <v>11035.49954905602</v>
      </c>
      <c r="U148" s="71"/>
      <c r="V148" s="24">
        <f>T148/$H148*100</f>
        <v>2.3280169711932435</v>
      </c>
      <c r="W148" s="71"/>
      <c r="X148" s="77">
        <f t="shared" ref="X148" si="45">T148/P148</f>
        <v>1.1295178944879225</v>
      </c>
      <c r="Y148" s="16"/>
      <c r="Z148" s="25">
        <f t="shared" ref="Z148" si="46">V148/L148-1</f>
        <v>0.27097394910964079</v>
      </c>
    </row>
    <row r="149" spans="2:26" ht="13.5" thickTop="1" x14ac:dyDescent="0.2"/>
    <row r="150" spans="2:26" x14ac:dyDescent="0.2">
      <c r="D150" s="18"/>
    </row>
    <row r="151" spans="2:26" x14ac:dyDescent="0.2">
      <c r="D151" s="18"/>
    </row>
    <row r="152" spans="2:26" x14ac:dyDescent="0.2">
      <c r="D152" s="36" t="s">
        <v>88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2:26" x14ac:dyDescent="0.2">
      <c r="B153" s="65">
        <f>MAX(B$17:B152)+1</f>
        <v>78</v>
      </c>
      <c r="D153" s="11" t="s">
        <v>33</v>
      </c>
      <c r="F153" s="81" t="s">
        <v>34</v>
      </c>
      <c r="H153" s="13">
        <v>492</v>
      </c>
      <c r="I153" s="16"/>
      <c r="J153" s="13"/>
      <c r="K153" s="16"/>
      <c r="L153" s="13"/>
      <c r="M153" s="16"/>
      <c r="N153" s="13"/>
      <c r="O153" s="16"/>
      <c r="P153" s="13">
        <v>1338.8757172879327</v>
      </c>
      <c r="Q153" s="16"/>
      <c r="R153" s="13">
        <f t="shared" ref="R153:R155" si="47">T153-P153</f>
        <v>-1092.8757172879327</v>
      </c>
      <c r="S153" s="16"/>
      <c r="T153" s="13">
        <f>$H153*V153/1000</f>
        <v>246</v>
      </c>
      <c r="U153" s="16"/>
      <c r="V153" s="72">
        <v>500</v>
      </c>
      <c r="W153" s="16"/>
      <c r="X153" s="15">
        <f t="shared" ref="X153:X156" si="48">T153/P153</f>
        <v>0.18373624737799044</v>
      </c>
      <c r="Y153" s="16"/>
      <c r="Z153" s="13"/>
    </row>
    <row r="154" spans="2:26" x14ac:dyDescent="0.2">
      <c r="B154" s="65">
        <f>MAX(B$17:B153)+1</f>
        <v>79</v>
      </c>
      <c r="D154" s="11" t="s">
        <v>84</v>
      </c>
      <c r="F154" s="81" t="s">
        <v>36</v>
      </c>
      <c r="H154" s="13">
        <v>54820.516019999995</v>
      </c>
      <c r="I154" s="16"/>
      <c r="J154" s="13"/>
      <c r="K154" s="16"/>
      <c r="L154" s="13"/>
      <c r="M154" s="16"/>
      <c r="N154" s="13"/>
      <c r="O154" s="16"/>
      <c r="P154" s="13">
        <v>89.852775318861831</v>
      </c>
      <c r="Q154" s="16"/>
      <c r="R154" s="13">
        <f t="shared" si="47"/>
        <v>0</v>
      </c>
      <c r="S154" s="16"/>
      <c r="T154" s="13">
        <f>$H154*V154/100</f>
        <v>89.852775318861845</v>
      </c>
      <c r="U154" s="16"/>
      <c r="V154" s="34">
        <v>0.16390355626364614</v>
      </c>
      <c r="W154" s="16"/>
      <c r="X154" s="15">
        <f t="shared" si="48"/>
        <v>1.0000000000000002</v>
      </c>
      <c r="Y154" s="16"/>
      <c r="Z154" s="13"/>
    </row>
    <row r="155" spans="2:26" x14ac:dyDescent="0.2">
      <c r="B155" s="65">
        <f>MAX(B$17:B154)+1</f>
        <v>80</v>
      </c>
      <c r="D155" s="11" t="s">
        <v>89</v>
      </c>
      <c r="F155" s="81" t="s">
        <v>38</v>
      </c>
      <c r="H155" s="13">
        <v>12006.122800000001</v>
      </c>
      <c r="I155" s="16"/>
      <c r="J155" s="13"/>
      <c r="K155" s="16"/>
      <c r="L155" s="13"/>
      <c r="M155" s="16"/>
      <c r="N155" s="13"/>
      <c r="O155" s="16"/>
      <c r="P155" s="13">
        <v>1352.2288980148508</v>
      </c>
      <c r="Q155" s="16"/>
      <c r="R155" s="13">
        <f t="shared" si="47"/>
        <v>35.720940327650851</v>
      </c>
      <c r="S155" s="16"/>
      <c r="T155" s="13">
        <f>$H155*V155/100</f>
        <v>1387.9498383425016</v>
      </c>
      <c r="U155" s="16"/>
      <c r="V155" s="34">
        <v>11.560350176848944</v>
      </c>
      <c r="W155" s="16"/>
      <c r="X155" s="15">
        <f t="shared" si="48"/>
        <v>1.0264163414789398</v>
      </c>
      <c r="Y155" s="16"/>
      <c r="Z155" s="13"/>
    </row>
    <row r="156" spans="2:26" x14ac:dyDescent="0.2">
      <c r="B156" s="65">
        <f>MAX(B$17:B155)+1</f>
        <v>81</v>
      </c>
      <c r="C156" s="67"/>
      <c r="D156" s="18" t="s">
        <v>39</v>
      </c>
      <c r="E156" s="65"/>
      <c r="F156" s="12"/>
      <c r="G156" s="65"/>
      <c r="H156" s="73">
        <f>H154</f>
        <v>54820.516019999995</v>
      </c>
      <c r="I156" s="70"/>
      <c r="J156" s="13"/>
      <c r="K156" s="70"/>
      <c r="L156" s="13"/>
      <c r="M156" s="71"/>
      <c r="N156" s="13"/>
      <c r="O156" s="14"/>
      <c r="P156" s="73">
        <f>SUM(P153:P155)</f>
        <v>2780.9573906216456</v>
      </c>
      <c r="Q156" s="14"/>
      <c r="R156" s="73">
        <f>SUM(R153:R155)</f>
        <v>-1057.1547769602819</v>
      </c>
      <c r="S156" s="71"/>
      <c r="T156" s="73">
        <f>SUM(T153:T155)</f>
        <v>1723.8026136613635</v>
      </c>
      <c r="U156" s="71"/>
      <c r="V156" s="21">
        <f>T156/$H156*100</f>
        <v>3.1444479892025714</v>
      </c>
      <c r="W156" s="71"/>
      <c r="X156" s="74">
        <f t="shared" si="48"/>
        <v>0.61985941225659358</v>
      </c>
      <c r="Y156" s="16"/>
      <c r="Z156" s="13"/>
    </row>
    <row r="157" spans="2:26" x14ac:dyDescent="0.2">
      <c r="B157" s="65"/>
      <c r="C157" s="67"/>
      <c r="D157" s="18"/>
      <c r="E157" s="65"/>
      <c r="F157" s="12"/>
      <c r="G157" s="65"/>
      <c r="H157" s="71"/>
      <c r="I157" s="70"/>
      <c r="J157" s="13"/>
      <c r="K157" s="70"/>
      <c r="L157" s="13"/>
      <c r="M157" s="71"/>
      <c r="N157" s="13"/>
      <c r="O157" s="14"/>
      <c r="P157" s="71"/>
      <c r="Q157" s="14"/>
      <c r="R157" s="71"/>
      <c r="S157" s="71"/>
      <c r="T157" s="71"/>
      <c r="U157" s="71"/>
      <c r="V157" s="34"/>
      <c r="W157" s="71"/>
      <c r="X157" s="79"/>
      <c r="Y157" s="16"/>
      <c r="Z157" s="13"/>
    </row>
    <row r="158" spans="2:26" x14ac:dyDescent="0.2">
      <c r="B158" s="65"/>
      <c r="C158" s="67"/>
      <c r="D158" s="18" t="s">
        <v>40</v>
      </c>
      <c r="E158" s="65"/>
      <c r="F158" s="75"/>
      <c r="G158" s="65"/>
      <c r="H158" s="13"/>
      <c r="I158" s="70"/>
      <c r="J158" s="19"/>
      <c r="K158" s="70"/>
      <c r="L158" s="70"/>
      <c r="M158" s="71"/>
      <c r="N158" s="20"/>
      <c r="O158" s="14"/>
      <c r="P158" s="13"/>
      <c r="Q158" s="14"/>
      <c r="R158" s="13"/>
      <c r="S158" s="71"/>
      <c r="T158" s="13"/>
      <c r="U158" s="71"/>
      <c r="V158" s="22"/>
      <c r="W158" s="71"/>
      <c r="X158" s="15"/>
      <c r="Y158" s="16"/>
      <c r="Z158" s="20"/>
    </row>
    <row r="159" spans="2:26" x14ac:dyDescent="0.2">
      <c r="B159" s="65">
        <f>MAX(B$17:B155)+1</f>
        <v>81</v>
      </c>
      <c r="D159" s="11" t="s">
        <v>41</v>
      </c>
      <c r="E159" s="65"/>
      <c r="F159" s="38" t="s">
        <v>36</v>
      </c>
      <c r="H159" s="13">
        <v>54820.516019999995</v>
      </c>
      <c r="I159" s="16"/>
      <c r="J159" s="13"/>
      <c r="K159" s="16"/>
      <c r="L159" s="13"/>
      <c r="M159" s="16"/>
      <c r="N159" s="13"/>
      <c r="O159" s="16"/>
      <c r="P159" s="13">
        <v>526.95671847034646</v>
      </c>
      <c r="Q159" s="16"/>
      <c r="R159" s="13">
        <f t="shared" ref="R159:R160" si="49">T159-P159</f>
        <v>24.585326809880257</v>
      </c>
      <c r="S159" s="16"/>
      <c r="T159" s="13">
        <f>$H159*V159/100</f>
        <v>551.54204528022672</v>
      </c>
      <c r="U159" s="16"/>
      <c r="V159" s="34">
        <v>1.0060869275272954</v>
      </c>
      <c r="W159" s="16"/>
      <c r="X159" s="13"/>
      <c r="Y159" s="16"/>
      <c r="Z159" s="13"/>
    </row>
    <row r="160" spans="2:26" x14ac:dyDescent="0.2">
      <c r="B160" s="65">
        <f>MAX(B$17:B159)+1</f>
        <v>82</v>
      </c>
      <c r="D160" s="11" t="s">
        <v>42</v>
      </c>
      <c r="E160" s="65"/>
      <c r="F160" s="38" t="s">
        <v>36</v>
      </c>
      <c r="H160" s="13">
        <v>0</v>
      </c>
      <c r="I160" s="16"/>
      <c r="J160" s="13"/>
      <c r="K160" s="16"/>
      <c r="L160" s="13"/>
      <c r="M160" s="16"/>
      <c r="N160" s="13"/>
      <c r="O160" s="16"/>
      <c r="P160" s="13">
        <v>0</v>
      </c>
      <c r="Q160" s="16"/>
      <c r="R160" s="13">
        <f t="shared" si="49"/>
        <v>0</v>
      </c>
      <c r="S160" s="16"/>
      <c r="T160" s="13">
        <f>$H160*V160/100</f>
        <v>0</v>
      </c>
      <c r="U160" s="16"/>
      <c r="V160" s="34">
        <v>3.5979924205330951</v>
      </c>
      <c r="W160" s="16"/>
      <c r="X160" s="13"/>
      <c r="Y160" s="16"/>
      <c r="Z160" s="13"/>
    </row>
    <row r="161" spans="2:26" x14ac:dyDescent="0.2">
      <c r="B161" s="65">
        <f>MAX(B$17:B160)+1</f>
        <v>83</v>
      </c>
      <c r="C161" s="67"/>
      <c r="D161" s="18" t="s">
        <v>40</v>
      </c>
      <c r="E161" s="65"/>
      <c r="F161" s="12"/>
      <c r="G161" s="65"/>
      <c r="H161" s="73">
        <f>SUM(H159:H160)</f>
        <v>54820.516019999995</v>
      </c>
      <c r="I161" s="70"/>
      <c r="J161" s="13"/>
      <c r="K161" s="70"/>
      <c r="L161" s="13"/>
      <c r="M161" s="71"/>
      <c r="N161" s="13"/>
      <c r="O161" s="14"/>
      <c r="P161" s="73">
        <f>SUM(P159:P160)</f>
        <v>526.95671847034646</v>
      </c>
      <c r="Q161" s="14"/>
      <c r="R161" s="73">
        <f>SUM(R159:R160)</f>
        <v>24.585326809880257</v>
      </c>
      <c r="S161" s="71"/>
      <c r="T161" s="73">
        <f>SUM(T159:T160)</f>
        <v>551.54204528022672</v>
      </c>
      <c r="U161" s="71"/>
      <c r="V161" s="21">
        <f>T161/$H161*100</f>
        <v>1.0060869275272954</v>
      </c>
      <c r="W161" s="71"/>
      <c r="X161" s="74">
        <f t="shared" ref="X161" si="50">T161/P161</f>
        <v>1.0466553057360133</v>
      </c>
      <c r="Y161" s="16"/>
      <c r="Z161" s="13"/>
    </row>
    <row r="162" spans="2:26" x14ac:dyDescent="0.2">
      <c r="D162" s="37"/>
      <c r="F162" s="81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33"/>
      <c r="W162" s="16"/>
      <c r="X162" s="16"/>
      <c r="Y162" s="16"/>
      <c r="Z162" s="16"/>
    </row>
    <row r="163" spans="2:26" x14ac:dyDescent="0.2">
      <c r="B163" s="65">
        <f>MAX(B$17:B162)+1</f>
        <v>84</v>
      </c>
      <c r="D163" s="18" t="s">
        <v>43</v>
      </c>
      <c r="F163" s="81" t="s">
        <v>36</v>
      </c>
      <c r="H163" s="13">
        <v>6565.5263900000009</v>
      </c>
      <c r="I163" s="16"/>
      <c r="J163" s="13"/>
      <c r="K163" s="16"/>
      <c r="L163" s="13"/>
      <c r="M163" s="16"/>
      <c r="N163" s="13"/>
      <c r="O163" s="16"/>
      <c r="P163" s="13">
        <f>T163</f>
        <v>945.55773955219775</v>
      </c>
      <c r="Q163" s="16"/>
      <c r="R163" s="13">
        <f>T163-P163</f>
        <v>0</v>
      </c>
      <c r="S163" s="16"/>
      <c r="T163" s="13">
        <f>$H163*V163/100</f>
        <v>945.55773955219775</v>
      </c>
      <c r="U163" s="16"/>
      <c r="V163" s="34">
        <v>14.401857267566289</v>
      </c>
      <c r="W163" s="16"/>
      <c r="X163" s="15">
        <f t="shared" ref="X163" si="51">T163/P163</f>
        <v>1</v>
      </c>
      <c r="Y163" s="16"/>
      <c r="Z163" s="13"/>
    </row>
    <row r="164" spans="2:26" x14ac:dyDescent="0.2">
      <c r="D164" s="18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2:26" ht="13.5" thickBot="1" x14ac:dyDescent="0.25">
      <c r="B165" s="65">
        <f>MAX(B$17:B164)+1</f>
        <v>85</v>
      </c>
      <c r="D165" s="23" t="s">
        <v>90</v>
      </c>
      <c r="H165" s="76">
        <f>H154</f>
        <v>54820.516019999995</v>
      </c>
      <c r="I165" s="70"/>
      <c r="J165" s="76">
        <v>3064.2329786065911</v>
      </c>
      <c r="K165" s="71"/>
      <c r="L165" s="24">
        <f>J165/$H165*100</f>
        <v>5.5895733952753686</v>
      </c>
      <c r="M165" s="71"/>
      <c r="N165" s="76">
        <f>J165-P165</f>
        <v>-1189.2388700375986</v>
      </c>
      <c r="O165" s="14"/>
      <c r="P165" s="76">
        <f>SUM(P156,P161,P163)</f>
        <v>4253.4718486441898</v>
      </c>
      <c r="Q165" s="14"/>
      <c r="R165" s="76">
        <f>SUM(R156,R161,R163)</f>
        <v>-1032.5694501504017</v>
      </c>
      <c r="S165" s="71"/>
      <c r="T165" s="76">
        <f>SUM(T156,T161,T163)</f>
        <v>3220.902398493788</v>
      </c>
      <c r="U165" s="71"/>
      <c r="V165" s="24">
        <f>T165/$H165*100</f>
        <v>5.8753595046765268</v>
      </c>
      <c r="W165" s="71"/>
      <c r="X165" s="77">
        <f t="shared" ref="X165" si="52">T165/P165</f>
        <v>0.75724079366376029</v>
      </c>
      <c r="Y165" s="16"/>
      <c r="Z165" s="25">
        <f t="shared" ref="Z165" si="53">V165/L165-1</f>
        <v>5.1128429522496521E-2</v>
      </c>
    </row>
    <row r="166" spans="2:26" ht="13.5" thickTop="1" x14ac:dyDescent="0.2">
      <c r="B166" s="65"/>
      <c r="D166" s="18"/>
      <c r="H166" s="71"/>
      <c r="I166" s="70"/>
      <c r="J166" s="71"/>
      <c r="K166" s="71"/>
      <c r="L166" s="34"/>
      <c r="M166" s="71"/>
      <c r="N166" s="71"/>
      <c r="O166" s="14"/>
      <c r="P166" s="71"/>
      <c r="Q166" s="14"/>
      <c r="R166" s="71"/>
      <c r="S166" s="71"/>
      <c r="T166" s="71"/>
      <c r="U166" s="71"/>
      <c r="V166" s="34"/>
      <c r="W166" s="71"/>
      <c r="X166" s="79"/>
      <c r="Y166" s="16"/>
      <c r="Z166" s="39"/>
    </row>
    <row r="167" spans="2:26" x14ac:dyDescent="0.2">
      <c r="D167" s="31"/>
    </row>
    <row r="168" spans="2:26" x14ac:dyDescent="0.2">
      <c r="V168" s="7" t="s">
        <v>8</v>
      </c>
    </row>
    <row r="169" spans="2:26" x14ac:dyDescent="0.2">
      <c r="D169" s="36" t="s">
        <v>91</v>
      </c>
      <c r="V169" s="66" t="s">
        <v>92</v>
      </c>
    </row>
    <row r="170" spans="2:26" x14ac:dyDescent="0.2">
      <c r="B170" s="65"/>
      <c r="C170" s="67"/>
      <c r="D170" s="29" t="s">
        <v>64</v>
      </c>
      <c r="E170" s="65"/>
      <c r="F170" s="75"/>
      <c r="G170" s="65"/>
      <c r="H170" s="13"/>
      <c r="I170" s="70"/>
      <c r="J170" s="16"/>
      <c r="K170" s="16"/>
      <c r="L170" s="16"/>
      <c r="M170" s="16"/>
      <c r="N170" s="16"/>
      <c r="O170" s="14"/>
      <c r="P170" s="13"/>
      <c r="Q170" s="14"/>
      <c r="R170" s="13"/>
      <c r="S170" s="71"/>
      <c r="T170" s="13"/>
      <c r="U170" s="71"/>
      <c r="V170" s="22"/>
      <c r="W170" s="71"/>
      <c r="X170" s="15"/>
      <c r="Y170" s="16"/>
      <c r="Z170" s="70"/>
    </row>
    <row r="171" spans="2:26" x14ac:dyDescent="0.2">
      <c r="B171" s="65">
        <f>MAX(B$17:B170)+1</f>
        <v>86</v>
      </c>
      <c r="D171" s="11" t="s">
        <v>65</v>
      </c>
      <c r="F171" s="81" t="s">
        <v>66</v>
      </c>
      <c r="H171" s="13">
        <v>41011680</v>
      </c>
      <c r="I171" s="16"/>
      <c r="J171" s="13"/>
      <c r="K171" s="16"/>
      <c r="L171" s="13"/>
      <c r="M171" s="16"/>
      <c r="N171" s="13"/>
      <c r="O171" s="16"/>
      <c r="P171" s="13">
        <v>623.31705936557807</v>
      </c>
      <c r="Q171" s="16"/>
      <c r="R171" s="13">
        <f>T171-P171</f>
        <v>-10.245501425441489</v>
      </c>
      <c r="S171" s="16"/>
      <c r="T171" s="13">
        <f>$H171*V171/1000</f>
        <v>613.07155794013659</v>
      </c>
      <c r="U171" s="16"/>
      <c r="V171" s="82">
        <v>1.4948706269534352E-2</v>
      </c>
      <c r="W171" s="16"/>
      <c r="X171" s="15"/>
      <c r="Y171" s="16"/>
      <c r="Z171" s="13"/>
    </row>
    <row r="172" spans="2:26" x14ac:dyDescent="0.2">
      <c r="D172" s="11" t="s">
        <v>67</v>
      </c>
      <c r="F172" s="81"/>
      <c r="H172" s="13"/>
      <c r="I172" s="16"/>
      <c r="J172" s="16"/>
      <c r="K172" s="16"/>
      <c r="L172" s="16"/>
      <c r="M172" s="16"/>
      <c r="N172" s="16"/>
      <c r="O172" s="16"/>
      <c r="P172" s="13"/>
      <c r="Q172" s="16"/>
      <c r="R172" s="16"/>
      <c r="S172" s="16"/>
      <c r="T172" s="13"/>
      <c r="U172" s="16"/>
      <c r="V172" s="82"/>
      <c r="W172" s="16"/>
      <c r="X172" s="16"/>
      <c r="Y172" s="16"/>
      <c r="Z172" s="16"/>
    </row>
    <row r="173" spans="2:26" x14ac:dyDescent="0.2">
      <c r="B173" s="65">
        <f>MAX(B$17:B172)+1</f>
        <v>87</v>
      </c>
      <c r="D173" s="31" t="s">
        <v>68</v>
      </c>
      <c r="F173" s="81" t="s">
        <v>66</v>
      </c>
      <c r="H173" s="13">
        <v>523392</v>
      </c>
      <c r="I173" s="16"/>
      <c r="J173" s="13"/>
      <c r="K173" s="16"/>
      <c r="L173" s="13"/>
      <c r="M173" s="16"/>
      <c r="N173" s="13"/>
      <c r="O173" s="16"/>
      <c r="P173" s="13">
        <v>1253.5356768647773</v>
      </c>
      <c r="Q173" s="16"/>
      <c r="R173" s="13">
        <f t="shared" ref="R173:R177" si="54">T173-P173</f>
        <v>93.31453382786799</v>
      </c>
      <c r="S173" s="16"/>
      <c r="T173" s="13">
        <f t="shared" ref="T173:T176" si="55">$H173*V173/1000</f>
        <v>1346.8502106926453</v>
      </c>
      <c r="U173" s="16"/>
      <c r="V173" s="82">
        <v>2.5733106556704062</v>
      </c>
      <c r="W173" s="16"/>
      <c r="X173" s="15"/>
      <c r="Y173" s="16"/>
      <c r="Z173" s="13"/>
    </row>
    <row r="174" spans="2:26" x14ac:dyDescent="0.2">
      <c r="B174" s="65">
        <f>MAX(B$17:B173)+1</f>
        <v>88</v>
      </c>
      <c r="D174" s="31" t="s">
        <v>69</v>
      </c>
      <c r="F174" s="81" t="s">
        <v>66</v>
      </c>
      <c r="H174" s="13">
        <v>0</v>
      </c>
      <c r="I174" s="16"/>
      <c r="J174" s="13"/>
      <c r="K174" s="16"/>
      <c r="L174" s="13"/>
      <c r="M174" s="16"/>
      <c r="N174" s="13"/>
      <c r="O174" s="16"/>
      <c r="P174" s="13">
        <v>0</v>
      </c>
      <c r="Q174" s="16"/>
      <c r="R174" s="13">
        <f t="shared" si="54"/>
        <v>0</v>
      </c>
      <c r="S174" s="16"/>
      <c r="T174" s="13">
        <f t="shared" si="55"/>
        <v>0</v>
      </c>
      <c r="U174" s="16"/>
      <c r="V174" s="82">
        <v>2.3950226156776893</v>
      </c>
      <c r="W174" s="16"/>
      <c r="X174" s="15"/>
      <c r="Y174" s="16"/>
      <c r="Z174" s="13"/>
    </row>
    <row r="175" spans="2:26" x14ac:dyDescent="0.2">
      <c r="B175" s="65">
        <f>MAX(B$17:B174)+1</f>
        <v>89</v>
      </c>
      <c r="D175" s="31" t="s">
        <v>70</v>
      </c>
      <c r="F175" s="81" t="s">
        <v>66</v>
      </c>
      <c r="H175" s="13">
        <v>0</v>
      </c>
      <c r="I175" s="16"/>
      <c r="J175" s="13"/>
      <c r="K175" s="16"/>
      <c r="L175" s="13"/>
      <c r="M175" s="16"/>
      <c r="N175" s="13"/>
      <c r="O175" s="16"/>
      <c r="P175" s="13">
        <v>0</v>
      </c>
      <c r="Q175" s="16"/>
      <c r="R175" s="13">
        <f t="shared" si="54"/>
        <v>0</v>
      </c>
      <c r="S175" s="16"/>
      <c r="T175" s="13">
        <f t="shared" si="55"/>
        <v>0</v>
      </c>
      <c r="U175" s="16"/>
      <c r="V175" s="82">
        <v>2.3950226156776893</v>
      </c>
      <c r="W175" s="16"/>
      <c r="X175" s="15"/>
      <c r="Y175" s="16"/>
      <c r="Z175" s="13"/>
    </row>
    <row r="176" spans="2:26" x14ac:dyDescent="0.2">
      <c r="B176" s="65">
        <f>MAX(B$17:B175)+1</f>
        <v>90</v>
      </c>
      <c r="D176" s="11" t="s">
        <v>71</v>
      </c>
      <c r="F176" s="81" t="s">
        <v>72</v>
      </c>
      <c r="H176" s="13">
        <v>12157001.3192</v>
      </c>
      <c r="I176" s="16"/>
      <c r="J176" s="13"/>
      <c r="K176" s="16"/>
      <c r="L176" s="13"/>
      <c r="M176" s="16"/>
      <c r="N176" s="13"/>
      <c r="O176" s="16"/>
      <c r="P176" s="13">
        <v>0</v>
      </c>
      <c r="Q176" s="16"/>
      <c r="R176" s="13">
        <f t="shared" si="54"/>
        <v>0</v>
      </c>
      <c r="S176" s="16"/>
      <c r="T176" s="13">
        <f t="shared" si="55"/>
        <v>0</v>
      </c>
      <c r="U176" s="16"/>
      <c r="V176" s="82">
        <v>0</v>
      </c>
      <c r="W176" s="16"/>
      <c r="X176" s="13"/>
      <c r="Y176" s="16"/>
      <c r="Z176" s="13"/>
    </row>
    <row r="177" spans="2:26" x14ac:dyDescent="0.2">
      <c r="B177" s="65">
        <f>MAX(B$17:B176)+1</f>
        <v>91</v>
      </c>
      <c r="D177" s="11" t="s">
        <v>73</v>
      </c>
      <c r="F177" s="81" t="s">
        <v>55</v>
      </c>
      <c r="H177" s="16"/>
      <c r="I177" s="16"/>
      <c r="J177" s="16"/>
      <c r="K177" s="16"/>
      <c r="L177" s="13"/>
      <c r="M177" s="16"/>
      <c r="N177" s="13"/>
      <c r="O177" s="16"/>
      <c r="P177" s="13">
        <f>T177</f>
        <v>354.63175635011174</v>
      </c>
      <c r="Q177" s="16"/>
      <c r="R177" s="13">
        <f t="shared" si="54"/>
        <v>0</v>
      </c>
      <c r="S177" s="16"/>
      <c r="T177" s="13">
        <v>354.63175635011174</v>
      </c>
      <c r="U177" s="16"/>
      <c r="V177" s="35">
        <v>7.9900000000000006E-3</v>
      </c>
      <c r="W177" s="71"/>
      <c r="X177" s="15"/>
      <c r="Y177" s="16"/>
      <c r="Z177" s="13"/>
    </row>
    <row r="178" spans="2:26" x14ac:dyDescent="0.2">
      <c r="B178" s="65"/>
      <c r="D178" s="11"/>
      <c r="H178" s="16"/>
      <c r="I178" s="16"/>
      <c r="J178" s="16"/>
      <c r="K178" s="16"/>
      <c r="L178" s="13"/>
      <c r="M178" s="16"/>
      <c r="N178" s="13"/>
      <c r="O178" s="16"/>
      <c r="P178" s="13"/>
      <c r="Q178" s="16"/>
      <c r="R178" s="13"/>
      <c r="S178" s="16"/>
      <c r="T178" s="13"/>
      <c r="U178" s="16"/>
      <c r="V178" s="82"/>
      <c r="W178" s="16"/>
      <c r="X178" s="13"/>
      <c r="Y178" s="16"/>
      <c r="Z178" s="13"/>
    </row>
    <row r="179" spans="2:26" x14ac:dyDescent="0.2">
      <c r="B179" s="65">
        <f>MAX(B$17:B178)+1</f>
        <v>92</v>
      </c>
      <c r="D179" s="11" t="s">
        <v>93</v>
      </c>
      <c r="F179" s="81" t="s">
        <v>66</v>
      </c>
      <c r="H179" s="13">
        <v>141504</v>
      </c>
      <c r="I179" s="16"/>
      <c r="J179" s="13"/>
      <c r="K179" s="16"/>
      <c r="L179" s="13"/>
      <c r="M179" s="16"/>
      <c r="N179" s="13"/>
      <c r="O179" s="16"/>
      <c r="P179" s="13">
        <v>2104.6609905872374</v>
      </c>
      <c r="Q179" s="16"/>
      <c r="R179" s="13">
        <f t="shared" ref="R179:R180" si="56">T179-P179</f>
        <v>159.40249597368756</v>
      </c>
      <c r="S179" s="16"/>
      <c r="T179" s="13">
        <f>$H179*V179/1000</f>
        <v>2264.063486560925</v>
      </c>
      <c r="U179" s="16"/>
      <c r="V179" s="82">
        <v>15.99999637155787</v>
      </c>
      <c r="W179" s="16"/>
      <c r="X179" s="13"/>
      <c r="Y179" s="16"/>
      <c r="Z179" s="13"/>
    </row>
    <row r="180" spans="2:26" x14ac:dyDescent="0.2">
      <c r="B180" s="65">
        <f>MAX(B$17:B179)+1</f>
        <v>93</v>
      </c>
      <c r="D180" s="11" t="s">
        <v>53</v>
      </c>
      <c r="F180" s="81" t="s">
        <v>72</v>
      </c>
      <c r="H180" s="13">
        <v>522359</v>
      </c>
      <c r="I180" s="16"/>
      <c r="J180" s="13"/>
      <c r="K180" s="16"/>
      <c r="L180" s="13"/>
      <c r="M180" s="16"/>
      <c r="N180" s="13"/>
      <c r="O180" s="16"/>
      <c r="P180" s="13">
        <f>T180</f>
        <v>23.403839446920085</v>
      </c>
      <c r="Q180" s="16"/>
      <c r="R180" s="13">
        <f t="shared" si="56"/>
        <v>0</v>
      </c>
      <c r="S180" s="16"/>
      <c r="T180" s="13">
        <f>$H180*V180/1000</f>
        <v>23.403839446920085</v>
      </c>
      <c r="U180" s="16"/>
      <c r="V180" s="82">
        <v>4.4804127902304897E-2</v>
      </c>
      <c r="W180" s="16"/>
      <c r="X180" s="13"/>
      <c r="Y180" s="16"/>
      <c r="Z180" s="13"/>
    </row>
    <row r="181" spans="2:26" x14ac:dyDescent="0.2">
      <c r="D181" s="18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2:26" ht="13.5" thickBot="1" x14ac:dyDescent="0.25">
      <c r="B182" s="65">
        <f>MAX(B$17:B181)+1</f>
        <v>94</v>
      </c>
      <c r="D182" s="23" t="s">
        <v>94</v>
      </c>
      <c r="H182" s="76">
        <f>H176</f>
        <v>12157001.3192</v>
      </c>
      <c r="I182" s="70"/>
      <c r="J182" s="76">
        <v>4352.7395267253905</v>
      </c>
      <c r="K182" s="71"/>
      <c r="L182" s="40">
        <f>J182/$H182*1000</f>
        <v>0.35804384752767515</v>
      </c>
      <c r="M182" s="71"/>
      <c r="N182" s="76">
        <f>J182-P182</f>
        <v>-6.8097958892331008</v>
      </c>
      <c r="O182" s="14"/>
      <c r="P182" s="76">
        <f>SUM(P171:P180)</f>
        <v>4359.5493226146236</v>
      </c>
      <c r="Q182" s="14"/>
      <c r="R182" s="76">
        <f>SUM(R171:R180)</f>
        <v>242.47152837611407</v>
      </c>
      <c r="S182" s="71"/>
      <c r="T182" s="76">
        <f>SUM(T171:T180)</f>
        <v>4602.0208509907379</v>
      </c>
      <c r="U182" s="71"/>
      <c r="V182" s="40">
        <f>T182/$H182*1000</f>
        <v>0.37854901304671218</v>
      </c>
      <c r="W182" s="71"/>
      <c r="X182" s="77">
        <f t="shared" ref="X182" si="57">T182/P182</f>
        <v>1.0556184849471304</v>
      </c>
      <c r="Y182" s="16"/>
      <c r="Z182" s="25">
        <f t="shared" ref="Z182" si="58">V182/L182-1</f>
        <v>5.7269984278816688E-2</v>
      </c>
    </row>
    <row r="183" spans="2:26" ht="13.5" thickTop="1" x14ac:dyDescent="0.2">
      <c r="D183" s="84"/>
    </row>
    <row r="184" spans="2:26" x14ac:dyDescent="0.2">
      <c r="D184" s="84"/>
    </row>
    <row r="185" spans="2:26" x14ac:dyDescent="0.2">
      <c r="D185" s="4"/>
    </row>
    <row r="186" spans="2:26" x14ac:dyDescent="0.2">
      <c r="D186" s="36" t="s">
        <v>95</v>
      </c>
      <c r="F186" s="84"/>
      <c r="H186" s="13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2:26" x14ac:dyDescent="0.2">
      <c r="B187" s="65">
        <f>MAX(B$17:B186)+1</f>
        <v>95</v>
      </c>
      <c r="D187" s="11" t="s">
        <v>33</v>
      </c>
      <c r="F187" s="81" t="s">
        <v>34</v>
      </c>
      <c r="H187" s="13">
        <v>60</v>
      </c>
      <c r="I187" s="16"/>
      <c r="J187" s="13"/>
      <c r="K187" s="16"/>
      <c r="L187" s="13"/>
      <c r="M187" s="16"/>
      <c r="N187" s="13"/>
      <c r="O187" s="16"/>
      <c r="P187" s="13">
        <v>193.59353121547991</v>
      </c>
      <c r="Q187" s="16"/>
      <c r="R187" s="13">
        <f>T187-P187</f>
        <v>-163.59353121547991</v>
      </c>
      <c r="S187" s="16"/>
      <c r="T187" s="13">
        <f>$H187*V187/1000</f>
        <v>30</v>
      </c>
      <c r="U187" s="16"/>
      <c r="V187" s="72">
        <v>500</v>
      </c>
      <c r="W187" s="16"/>
      <c r="X187" s="15">
        <f t="shared" ref="X187:X190" si="59">T187/P187</f>
        <v>0.15496385551544284</v>
      </c>
      <c r="Y187" s="16"/>
      <c r="Z187" s="13"/>
    </row>
    <row r="188" spans="2:26" x14ac:dyDescent="0.2">
      <c r="B188" s="65">
        <f>MAX(B$17:B187)+1</f>
        <v>96</v>
      </c>
      <c r="D188" s="11" t="s">
        <v>84</v>
      </c>
      <c r="F188" s="81" t="s">
        <v>36</v>
      </c>
      <c r="H188" s="13">
        <v>278925.5258</v>
      </c>
      <c r="I188" s="16"/>
      <c r="J188" s="13"/>
      <c r="K188" s="16"/>
      <c r="L188" s="13"/>
      <c r="M188" s="16"/>
      <c r="N188" s="13"/>
      <c r="O188" s="16"/>
      <c r="P188" s="13">
        <v>768.97014551299048</v>
      </c>
      <c r="Q188" s="16"/>
      <c r="R188" s="13">
        <f>T188-P188</f>
        <v>0</v>
      </c>
      <c r="S188" s="16"/>
      <c r="T188" s="13">
        <f>$H188*V188/100</f>
        <v>768.97014551299037</v>
      </c>
      <c r="U188" s="16"/>
      <c r="V188" s="34">
        <v>0.2756901302982111</v>
      </c>
      <c r="W188" s="16"/>
      <c r="X188" s="15">
        <f t="shared" si="59"/>
        <v>0.99999999999999989</v>
      </c>
      <c r="Y188" s="16"/>
      <c r="Z188" s="13"/>
    </row>
    <row r="189" spans="2:26" x14ac:dyDescent="0.2">
      <c r="B189" s="65">
        <f>MAX(B$17:B188)+1</f>
        <v>97</v>
      </c>
      <c r="D189" s="11" t="s">
        <v>89</v>
      </c>
      <c r="F189" s="81" t="s">
        <v>38</v>
      </c>
      <c r="H189" s="13">
        <v>21065.664000000001</v>
      </c>
      <c r="I189" s="16"/>
      <c r="J189" s="13"/>
      <c r="K189" s="16"/>
      <c r="L189" s="13"/>
      <c r="M189" s="16"/>
      <c r="N189" s="13"/>
      <c r="O189" s="16"/>
      <c r="P189" s="13">
        <v>6073.2871855689827</v>
      </c>
      <c r="Q189" s="16"/>
      <c r="R189" s="13">
        <f>T189-P189</f>
        <v>-33.432112901085929</v>
      </c>
      <c r="S189" s="16"/>
      <c r="T189" s="13">
        <f>$H189*V189/100</f>
        <v>6039.8550726678968</v>
      </c>
      <c r="U189" s="16"/>
      <c r="V189" s="34">
        <v>28.671562750967148</v>
      </c>
      <c r="W189" s="16"/>
      <c r="X189" s="15">
        <f t="shared" si="59"/>
        <v>0.99449521949488484</v>
      </c>
      <c r="Y189" s="16"/>
      <c r="Z189" s="13"/>
    </row>
    <row r="190" spans="2:26" x14ac:dyDescent="0.2">
      <c r="B190" s="65">
        <f>MAX(B$17:B189)+1</f>
        <v>98</v>
      </c>
      <c r="C190" s="67"/>
      <c r="D190" s="18" t="s">
        <v>39</v>
      </c>
      <c r="E190" s="65"/>
      <c r="F190" s="12"/>
      <c r="G190" s="65"/>
      <c r="H190" s="73">
        <f>H188</f>
        <v>278925.5258</v>
      </c>
      <c r="I190" s="70"/>
      <c r="J190" s="13"/>
      <c r="K190" s="70"/>
      <c r="L190" s="13"/>
      <c r="M190" s="71"/>
      <c r="N190" s="13"/>
      <c r="O190" s="14"/>
      <c r="P190" s="73">
        <f>SUM(P187:P189)</f>
        <v>7035.8508622974532</v>
      </c>
      <c r="Q190" s="14"/>
      <c r="R190" s="73">
        <f>SUM(R187:R189)</f>
        <v>-197.02564411656584</v>
      </c>
      <c r="S190" s="71"/>
      <c r="T190" s="73">
        <f>SUM(T187:T189)</f>
        <v>6838.8252181808875</v>
      </c>
      <c r="U190" s="71"/>
      <c r="V190" s="21">
        <f>T190/$H190*100</f>
        <v>2.4518463122247836</v>
      </c>
      <c r="W190" s="71"/>
      <c r="X190" s="74">
        <f t="shared" si="59"/>
        <v>0.97199689874435036</v>
      </c>
      <c r="Y190" s="16"/>
      <c r="Z190" s="13"/>
    </row>
    <row r="191" spans="2:26" x14ac:dyDescent="0.2">
      <c r="D191" s="18"/>
      <c r="F191" s="81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33"/>
      <c r="W191" s="16"/>
      <c r="X191" s="16"/>
      <c r="Y191" s="16"/>
      <c r="Z191" s="16"/>
    </row>
    <row r="192" spans="2:26" x14ac:dyDescent="0.2">
      <c r="B192" s="65"/>
      <c r="C192" s="67"/>
      <c r="D192" s="18" t="s">
        <v>40</v>
      </c>
      <c r="E192" s="65"/>
      <c r="F192" s="75"/>
      <c r="G192" s="65"/>
      <c r="H192" s="13"/>
      <c r="I192" s="70"/>
      <c r="J192" s="19"/>
      <c r="K192" s="70"/>
      <c r="L192" s="70"/>
      <c r="M192" s="71"/>
      <c r="N192" s="20"/>
      <c r="O192" s="14"/>
      <c r="P192" s="13"/>
      <c r="Q192" s="14"/>
      <c r="R192" s="13"/>
      <c r="S192" s="71"/>
      <c r="T192" s="13"/>
      <c r="U192" s="71"/>
      <c r="V192" s="22"/>
      <c r="W192" s="71"/>
      <c r="X192" s="15"/>
      <c r="Y192" s="16"/>
      <c r="Z192" s="20"/>
    </row>
    <row r="193" spans="2:26" x14ac:dyDescent="0.2">
      <c r="B193" s="65">
        <f>MAX(B$17:B191)+1</f>
        <v>99</v>
      </c>
      <c r="D193" s="11" t="s">
        <v>96</v>
      </c>
      <c r="E193" s="65"/>
      <c r="F193" s="38" t="s">
        <v>36</v>
      </c>
      <c r="H193" s="13">
        <v>188850.1</v>
      </c>
      <c r="I193" s="16"/>
      <c r="J193" s="13"/>
      <c r="K193" s="16"/>
      <c r="L193" s="13"/>
      <c r="M193" s="16"/>
      <c r="N193" s="13"/>
      <c r="O193" s="16"/>
      <c r="P193" s="13">
        <v>9315.9903795995542</v>
      </c>
      <c r="Q193" s="16"/>
      <c r="R193" s="13">
        <f>T193-P193</f>
        <v>-4877.2502771535692</v>
      </c>
      <c r="S193" s="16"/>
      <c r="T193" s="13">
        <f>$H193*V193/100</f>
        <v>4438.740102445985</v>
      </c>
      <c r="U193" s="16"/>
      <c r="V193" s="34">
        <v>2.3504038930590903</v>
      </c>
      <c r="W193" s="16"/>
      <c r="X193" s="13"/>
      <c r="Y193" s="16"/>
      <c r="Z193" s="13"/>
    </row>
    <row r="194" spans="2:26" x14ac:dyDescent="0.2">
      <c r="B194" s="65">
        <f>MAX(B$17:B193)+1</f>
        <v>100</v>
      </c>
      <c r="D194" s="11" t="s">
        <v>97</v>
      </c>
      <c r="E194" s="65"/>
      <c r="F194" s="38" t="s">
        <v>36</v>
      </c>
      <c r="H194" s="13">
        <v>90073.425800000012</v>
      </c>
      <c r="I194" s="16"/>
      <c r="J194" s="13"/>
      <c r="K194" s="16"/>
      <c r="L194" s="13"/>
      <c r="M194" s="16"/>
      <c r="N194" s="13"/>
      <c r="O194" s="16"/>
      <c r="P194" s="13">
        <v>4443.3292236031339</v>
      </c>
      <c r="Q194" s="16"/>
      <c r="R194" s="13">
        <f>T194-P194</f>
        <v>-3715.6769258697145</v>
      </c>
      <c r="S194" s="16"/>
      <c r="T194" s="13">
        <f>$H194*V194/100</f>
        <v>727.65229773341923</v>
      </c>
      <c r="U194" s="16"/>
      <c r="V194" s="34">
        <v>0.80784348021702435</v>
      </c>
      <c r="W194" s="16"/>
      <c r="X194" s="13"/>
      <c r="Y194" s="16"/>
      <c r="Z194" s="13"/>
    </row>
    <row r="195" spans="2:26" x14ac:dyDescent="0.2">
      <c r="B195" s="65">
        <f>MAX(B$17:B194)+1</f>
        <v>101</v>
      </c>
      <c r="D195" s="11" t="s">
        <v>98</v>
      </c>
      <c r="E195" s="65"/>
      <c r="F195" s="38" t="s">
        <v>36</v>
      </c>
      <c r="H195" s="13">
        <v>2</v>
      </c>
      <c r="I195" s="16"/>
      <c r="J195" s="13"/>
      <c r="K195" s="16"/>
      <c r="L195" s="13"/>
      <c r="M195" s="16"/>
      <c r="N195" s="13"/>
      <c r="O195" s="16"/>
      <c r="P195" s="13">
        <v>0.15049826815073436</v>
      </c>
      <c r="Q195" s="16"/>
      <c r="R195" s="13">
        <f>T195-P195</f>
        <v>-5.1652080429436573E-2</v>
      </c>
      <c r="S195" s="16"/>
      <c r="T195" s="13">
        <f>$H195*V195/100</f>
        <v>9.8846187721297787E-2</v>
      </c>
      <c r="U195" s="16"/>
      <c r="V195" s="34">
        <v>4.9423093860648892</v>
      </c>
      <c r="W195" s="16"/>
      <c r="X195" s="13"/>
      <c r="Y195" s="16"/>
      <c r="Z195" s="13"/>
    </row>
    <row r="196" spans="2:26" x14ac:dyDescent="0.2">
      <c r="B196" s="65">
        <f>MAX(B$17:B195)+1</f>
        <v>102</v>
      </c>
      <c r="C196" s="67"/>
      <c r="D196" s="18" t="s">
        <v>40</v>
      </c>
      <c r="E196" s="65"/>
      <c r="F196" s="12"/>
      <c r="G196" s="65"/>
      <c r="H196" s="73">
        <f>SUM(H193:H195)</f>
        <v>278925.5258</v>
      </c>
      <c r="I196" s="70"/>
      <c r="J196" s="13"/>
      <c r="K196" s="70"/>
      <c r="L196" s="13"/>
      <c r="M196" s="71"/>
      <c r="N196" s="13"/>
      <c r="O196" s="14"/>
      <c r="P196" s="73">
        <f>SUM(P193:P195)</f>
        <v>13759.470101470839</v>
      </c>
      <c r="Q196" s="14"/>
      <c r="R196" s="73">
        <f>SUM(R193:R195)</f>
        <v>-8592.9788551037127</v>
      </c>
      <c r="S196" s="71"/>
      <c r="T196" s="73">
        <f>SUM(T193:T195)</f>
        <v>5166.4912463671253</v>
      </c>
      <c r="U196" s="71"/>
      <c r="V196" s="21">
        <f>T196/$H196*100</f>
        <v>1.8522834120501728</v>
      </c>
      <c r="W196" s="71"/>
      <c r="X196" s="74">
        <f t="shared" ref="X196" si="60">T196/P196</f>
        <v>0.37548620755495848</v>
      </c>
      <c r="Y196" s="16"/>
      <c r="Z196" s="13"/>
    </row>
    <row r="197" spans="2:26" x14ac:dyDescent="0.2">
      <c r="D197" s="18"/>
      <c r="F197" s="81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33"/>
      <c r="W197" s="16"/>
      <c r="X197" s="16"/>
      <c r="Y197" s="16"/>
      <c r="Z197" s="16"/>
    </row>
    <row r="198" spans="2:26" x14ac:dyDescent="0.2">
      <c r="B198" s="65">
        <f>MAX(B$17:B197)+1</f>
        <v>103</v>
      </c>
      <c r="D198" s="18" t="s">
        <v>43</v>
      </c>
      <c r="F198" s="81" t="s">
        <v>36</v>
      </c>
      <c r="H198" s="13">
        <v>156100.92169999998</v>
      </c>
      <c r="I198" s="16"/>
      <c r="J198" s="13"/>
      <c r="K198" s="16"/>
      <c r="L198" s="13"/>
      <c r="M198" s="16"/>
      <c r="N198" s="13"/>
      <c r="O198" s="16"/>
      <c r="P198" s="13">
        <f>T198</f>
        <v>22481.431936589408</v>
      </c>
      <c r="Q198" s="16"/>
      <c r="R198" s="13">
        <f>T198-P198</f>
        <v>0</v>
      </c>
      <c r="S198" s="16"/>
      <c r="T198" s="13">
        <f>$H198*V198/100</f>
        <v>22481.431936589408</v>
      </c>
      <c r="U198" s="16"/>
      <c r="V198" s="34">
        <v>14.401857267566289</v>
      </c>
      <c r="W198" s="16"/>
      <c r="X198" s="15">
        <f t="shared" ref="X198" si="61">T198/P198</f>
        <v>1</v>
      </c>
      <c r="Y198" s="16"/>
      <c r="Z198" s="13"/>
    </row>
    <row r="199" spans="2:26" x14ac:dyDescent="0.2">
      <c r="D199" s="18"/>
      <c r="F199" s="81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33"/>
      <c r="W199" s="16"/>
      <c r="X199" s="16"/>
      <c r="Y199" s="16"/>
      <c r="Z199" s="16"/>
    </row>
    <row r="200" spans="2:26" ht="13.5" thickBot="1" x14ac:dyDescent="0.25">
      <c r="B200" s="65">
        <f>MAX(B$17:B199)+1</f>
        <v>104</v>
      </c>
      <c r="D200" s="23" t="s">
        <v>99</v>
      </c>
      <c r="F200" s="81"/>
      <c r="H200" s="76">
        <f>H188</f>
        <v>278925.5258</v>
      </c>
      <c r="I200" s="70"/>
      <c r="J200" s="76">
        <v>33816.012821194956</v>
      </c>
      <c r="K200" s="71"/>
      <c r="L200" s="24">
        <f>J200/$H200*100</f>
        <v>12.123670906133666</v>
      </c>
      <c r="M200" s="71"/>
      <c r="N200" s="76">
        <f>J200-P200</f>
        <v>-9460.7400791627442</v>
      </c>
      <c r="O200" s="14"/>
      <c r="P200" s="76">
        <f>SUM(P190,P196,P198)</f>
        <v>43276.7529003577</v>
      </c>
      <c r="Q200" s="14"/>
      <c r="R200" s="76">
        <f>SUM(R190,R196,R198)</f>
        <v>-8790.0044992202784</v>
      </c>
      <c r="S200" s="71"/>
      <c r="T200" s="76">
        <f>SUM(T190,T196,T198)</f>
        <v>34486.748401137418</v>
      </c>
      <c r="U200" s="71"/>
      <c r="V200" s="24">
        <f>T200/$H200*100</f>
        <v>12.364142113642801</v>
      </c>
      <c r="W200" s="71"/>
      <c r="X200" s="77">
        <f t="shared" ref="X200" si="62">T200/P200</f>
        <v>0.7968885392243088</v>
      </c>
      <c r="Y200" s="16"/>
      <c r="Z200" s="25">
        <f t="shared" ref="Z200" si="63">V200/L200-1</f>
        <v>1.9834851124792108E-2</v>
      </c>
    </row>
    <row r="201" spans="2:26" ht="13.5" thickTop="1" x14ac:dyDescent="0.2">
      <c r="B201" s="65"/>
      <c r="D201" s="18"/>
      <c r="F201" s="81"/>
      <c r="H201" s="71"/>
      <c r="I201" s="70"/>
      <c r="J201" s="71"/>
      <c r="K201" s="71"/>
      <c r="L201" s="34"/>
      <c r="M201" s="71"/>
      <c r="N201" s="71"/>
      <c r="O201" s="14"/>
      <c r="P201" s="71"/>
      <c r="Q201" s="14"/>
      <c r="R201" s="71"/>
      <c r="S201" s="71"/>
      <c r="T201" s="71"/>
      <c r="U201" s="71"/>
      <c r="V201" s="34"/>
      <c r="W201" s="71"/>
      <c r="X201" s="79"/>
      <c r="Y201" s="16"/>
      <c r="Z201" s="39"/>
    </row>
    <row r="202" spans="2:26" x14ac:dyDescent="0.2">
      <c r="D202" s="84"/>
      <c r="F202" s="81"/>
    </row>
    <row r="203" spans="2:26" x14ac:dyDescent="0.2">
      <c r="D203" s="84"/>
      <c r="F203" s="81"/>
      <c r="V203" s="41"/>
    </row>
    <row r="204" spans="2:26" x14ac:dyDescent="0.2">
      <c r="D204" s="36" t="s">
        <v>100</v>
      </c>
      <c r="F204" s="84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">
      <c r="D205" s="29" t="s">
        <v>41</v>
      </c>
      <c r="F205" s="81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2:26" x14ac:dyDescent="0.2">
      <c r="B206" s="65">
        <f>MAX(B$17:B204)+1</f>
        <v>105</v>
      </c>
      <c r="D206" s="18" t="s">
        <v>33</v>
      </c>
      <c r="F206" s="81" t="s">
        <v>34</v>
      </c>
      <c r="H206" s="13">
        <v>12</v>
      </c>
      <c r="I206" s="16"/>
      <c r="J206" s="13"/>
      <c r="K206" s="16"/>
      <c r="L206" s="13"/>
      <c r="M206" s="16"/>
      <c r="N206" s="13"/>
      <c r="O206" s="16"/>
      <c r="P206" s="13">
        <v>344.52367214370162</v>
      </c>
      <c r="Q206" s="16"/>
      <c r="R206" s="13">
        <f t="shared" ref="R206:R209" si="64">T206-P206</f>
        <v>0</v>
      </c>
      <c r="S206" s="16"/>
      <c r="T206" s="13">
        <f>$H206*V206/1000</f>
        <v>344.52367214370162</v>
      </c>
      <c r="U206" s="16"/>
      <c r="V206" s="72">
        <v>28710.306011975135</v>
      </c>
      <c r="W206" s="16"/>
      <c r="X206" s="15">
        <f>T206/P206</f>
        <v>1</v>
      </c>
      <c r="Y206" s="16"/>
      <c r="Z206" s="16"/>
    </row>
    <row r="207" spans="2:26" x14ac:dyDescent="0.2">
      <c r="B207" s="65">
        <f>MAX(B$17:B206)+1</f>
        <v>106</v>
      </c>
      <c r="D207" s="18" t="s">
        <v>53</v>
      </c>
      <c r="F207" s="81" t="s">
        <v>36</v>
      </c>
      <c r="H207" s="13">
        <v>249200.14546999999</v>
      </c>
      <c r="I207" s="16"/>
      <c r="J207" s="13"/>
      <c r="K207" s="16"/>
      <c r="L207" s="13"/>
      <c r="M207" s="16"/>
      <c r="N207" s="13"/>
      <c r="O207" s="16"/>
      <c r="P207" s="13">
        <v>0</v>
      </c>
      <c r="Q207" s="16"/>
      <c r="R207" s="13">
        <f t="shared" si="64"/>
        <v>0</v>
      </c>
      <c r="S207" s="16"/>
      <c r="T207" s="13">
        <f>$H207*V207/100</f>
        <v>0</v>
      </c>
      <c r="U207" s="16"/>
      <c r="V207" s="34">
        <v>0</v>
      </c>
      <c r="W207" s="16"/>
      <c r="X207" s="16"/>
      <c r="Y207" s="16"/>
      <c r="Z207" s="16"/>
    </row>
    <row r="208" spans="2:26" x14ac:dyDescent="0.2">
      <c r="B208" s="65">
        <f>MAX(B$17:B207)+1</f>
        <v>107</v>
      </c>
      <c r="D208" s="18" t="s">
        <v>54</v>
      </c>
      <c r="F208" s="81" t="s">
        <v>55</v>
      </c>
      <c r="H208" s="16"/>
      <c r="I208" s="16"/>
      <c r="J208" s="16"/>
      <c r="K208" s="16"/>
      <c r="L208" s="16"/>
      <c r="M208" s="16"/>
      <c r="N208" s="16"/>
      <c r="O208" s="16"/>
      <c r="P208" s="13">
        <f>T208</f>
        <v>267.98619979758439</v>
      </c>
      <c r="Q208" s="16"/>
      <c r="R208" s="13">
        <f t="shared" si="64"/>
        <v>0</v>
      </c>
      <c r="S208" s="16"/>
      <c r="T208" s="13">
        <v>267.98619979758439</v>
      </c>
      <c r="U208" s="16"/>
      <c r="V208" s="35">
        <v>7.5399999999999998E-3</v>
      </c>
      <c r="W208" s="71"/>
      <c r="X208" s="15">
        <f>T208/P208</f>
        <v>1</v>
      </c>
      <c r="Y208" s="16"/>
      <c r="Z208" s="16"/>
    </row>
    <row r="209" spans="2:26" x14ac:dyDescent="0.2">
      <c r="B209" s="65">
        <f>MAX(B$17:B208)+1</f>
        <v>108</v>
      </c>
      <c r="D209" s="18" t="s">
        <v>56</v>
      </c>
      <c r="F209" s="81" t="s">
        <v>38</v>
      </c>
      <c r="H209" s="13">
        <v>28200</v>
      </c>
      <c r="I209" s="16"/>
      <c r="J209" s="13"/>
      <c r="K209" s="16"/>
      <c r="L209" s="13"/>
      <c r="M209" s="16"/>
      <c r="N209" s="13"/>
      <c r="O209" s="16"/>
      <c r="P209" s="13">
        <v>6335.8798664512315</v>
      </c>
      <c r="Q209" s="16"/>
      <c r="R209" s="13">
        <f t="shared" si="64"/>
        <v>-282.05399601680347</v>
      </c>
      <c r="S209" s="16"/>
      <c r="T209" s="13">
        <f>$H209*V209/100</f>
        <v>6053.825870434428</v>
      </c>
      <c r="U209" s="16"/>
      <c r="V209" s="34">
        <v>21.467467625653999</v>
      </c>
      <c r="W209" s="16"/>
      <c r="X209" s="15">
        <f>T209/P209</f>
        <v>0.95548305808159462</v>
      </c>
      <c r="Y209" s="16"/>
      <c r="Z209" s="16"/>
    </row>
    <row r="210" spans="2:26" x14ac:dyDescent="0.2">
      <c r="B210" s="65"/>
      <c r="C210" s="67"/>
      <c r="D210" s="18"/>
      <c r="E210" s="65"/>
      <c r="F210" s="12"/>
      <c r="G210" s="65"/>
      <c r="H210" s="13"/>
      <c r="I210" s="70"/>
      <c r="J210" s="16"/>
      <c r="K210" s="16"/>
      <c r="L210" s="16"/>
      <c r="M210" s="16"/>
      <c r="N210" s="16"/>
      <c r="O210" s="14"/>
      <c r="P210" s="13"/>
      <c r="Q210" s="14"/>
      <c r="R210" s="13"/>
      <c r="S210" s="71"/>
      <c r="T210" s="13"/>
      <c r="U210" s="71"/>
      <c r="V210" s="34"/>
      <c r="W210" s="71"/>
      <c r="X210" s="15"/>
      <c r="Y210" s="16"/>
      <c r="Z210" s="70"/>
    </row>
    <row r="211" spans="2:26" x14ac:dyDescent="0.2">
      <c r="B211" s="65">
        <f>MAX(B$17:B210)+1</f>
        <v>109</v>
      </c>
      <c r="C211" s="67"/>
      <c r="D211" s="18" t="s">
        <v>63</v>
      </c>
      <c r="E211" s="65"/>
      <c r="F211" s="12"/>
      <c r="G211" s="65"/>
      <c r="H211" s="73">
        <f>H207</f>
        <v>249200.14546999999</v>
      </c>
      <c r="I211" s="70"/>
      <c r="J211" s="16"/>
      <c r="K211" s="16"/>
      <c r="L211" s="16"/>
      <c r="M211" s="16"/>
      <c r="N211" s="16"/>
      <c r="O211" s="14"/>
      <c r="P211" s="73">
        <f>SUM(P206:P209)</f>
        <v>6948.3897383925178</v>
      </c>
      <c r="Q211" s="14"/>
      <c r="R211" s="73">
        <f>SUM(R206:R209)</f>
        <v>-282.05399601680347</v>
      </c>
      <c r="S211" s="71"/>
      <c r="T211" s="73">
        <f>SUM(T206:T209)</f>
        <v>6666.3357423757143</v>
      </c>
      <c r="U211" s="71"/>
      <c r="V211" s="21">
        <f>T211/$H211*100</f>
        <v>2.6750930380890336</v>
      </c>
      <c r="W211" s="71"/>
      <c r="X211" s="74">
        <f t="shared" ref="X211" si="65">T211/P211</f>
        <v>0.95940728620066507</v>
      </c>
      <c r="Y211" s="16"/>
      <c r="Z211" s="70"/>
    </row>
    <row r="212" spans="2:26" x14ac:dyDescent="0.2">
      <c r="D212" s="18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2:26" x14ac:dyDescent="0.2">
      <c r="D213" s="29" t="s">
        <v>64</v>
      </c>
      <c r="F213" s="81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2:26" x14ac:dyDescent="0.2">
      <c r="B214" s="65">
        <f>MAX(B$17:B213)+1</f>
        <v>110</v>
      </c>
      <c r="D214" s="11" t="s">
        <v>65</v>
      </c>
      <c r="F214" s="81" t="s">
        <v>66</v>
      </c>
      <c r="H214" s="13">
        <v>38472252</v>
      </c>
      <c r="I214" s="16"/>
      <c r="J214" s="13"/>
      <c r="K214" s="16"/>
      <c r="L214" s="13"/>
      <c r="M214" s="16"/>
      <c r="N214" s="13"/>
      <c r="O214" s="16"/>
      <c r="P214" s="13">
        <v>575.11039467550563</v>
      </c>
      <c r="Q214" s="16"/>
      <c r="R214" s="13">
        <f>ROUND(T214-P214,0)</f>
        <v>0</v>
      </c>
      <c r="S214" s="16"/>
      <c r="T214" s="13">
        <f>$H214*V214/1000</f>
        <v>575.11039467550563</v>
      </c>
      <c r="U214" s="16"/>
      <c r="V214" s="82">
        <v>1.4948706269534352E-2</v>
      </c>
      <c r="W214" s="16"/>
      <c r="X214" s="16"/>
      <c r="Y214" s="16"/>
      <c r="Z214" s="16"/>
    </row>
    <row r="215" spans="2:26" x14ac:dyDescent="0.2">
      <c r="B215" s="65">
        <f>MAX(B$17:B214)+1</f>
        <v>111</v>
      </c>
      <c r="D215" s="11" t="s">
        <v>67</v>
      </c>
      <c r="F215" s="81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42"/>
      <c r="W215" s="16"/>
      <c r="X215" s="16"/>
      <c r="Y215" s="16"/>
      <c r="Z215" s="16"/>
    </row>
    <row r="216" spans="2:26" x14ac:dyDescent="0.2">
      <c r="B216" s="65">
        <f>MAX(B$17:B215)+1</f>
        <v>112</v>
      </c>
      <c r="D216" s="31" t="s">
        <v>68</v>
      </c>
      <c r="F216" s="81" t="s">
        <v>66</v>
      </c>
      <c r="H216" s="13">
        <v>0</v>
      </c>
      <c r="I216" s="16"/>
      <c r="J216" s="13"/>
      <c r="K216" s="16"/>
      <c r="L216" s="13"/>
      <c r="M216" s="16"/>
      <c r="N216" s="13"/>
      <c r="O216" s="16"/>
      <c r="P216" s="13">
        <v>0</v>
      </c>
      <c r="Q216" s="16"/>
      <c r="R216" s="13">
        <f t="shared" ref="R216:R220" si="66">T216-P216</f>
        <v>0</v>
      </c>
      <c r="S216" s="16"/>
      <c r="T216" s="13">
        <f>$H216*V216/1000</f>
        <v>0</v>
      </c>
      <c r="U216" s="16"/>
      <c r="V216" s="82">
        <v>2.5733106556704062</v>
      </c>
      <c r="W216" s="16"/>
      <c r="X216" s="16"/>
      <c r="Y216" s="16"/>
      <c r="Z216" s="16"/>
    </row>
    <row r="217" spans="2:26" x14ac:dyDescent="0.2">
      <c r="B217" s="65">
        <f>MAX(B$17:B216)+1</f>
        <v>113</v>
      </c>
      <c r="D217" s="31" t="s">
        <v>69</v>
      </c>
      <c r="F217" s="81" t="s">
        <v>66</v>
      </c>
      <c r="H217" s="13">
        <v>649668</v>
      </c>
      <c r="I217" s="16"/>
      <c r="J217" s="13"/>
      <c r="K217" s="16"/>
      <c r="L217" s="13"/>
      <c r="M217" s="16"/>
      <c r="N217" s="13"/>
      <c r="O217" s="16"/>
      <c r="P217" s="13">
        <v>1555.9695526820933</v>
      </c>
      <c r="Q217" s="16"/>
      <c r="R217" s="13">
        <f t="shared" si="66"/>
        <v>0</v>
      </c>
      <c r="S217" s="16"/>
      <c r="T217" s="13">
        <f>$H217*V217/1000</f>
        <v>1555.9695526820931</v>
      </c>
      <c r="U217" s="16"/>
      <c r="V217" s="82">
        <v>2.3950226156776893</v>
      </c>
      <c r="W217" s="16"/>
      <c r="X217" s="16"/>
      <c r="Y217" s="16"/>
      <c r="Z217" s="16"/>
    </row>
    <row r="218" spans="2:26" x14ac:dyDescent="0.2">
      <c r="B218" s="65">
        <f>MAX(B$17:B217)+1</f>
        <v>114</v>
      </c>
      <c r="D218" s="31" t="s">
        <v>70</v>
      </c>
      <c r="F218" s="81" t="s">
        <v>66</v>
      </c>
      <c r="H218" s="13">
        <v>0</v>
      </c>
      <c r="I218" s="16"/>
      <c r="J218" s="13"/>
      <c r="K218" s="16"/>
      <c r="L218" s="13"/>
      <c r="M218" s="16"/>
      <c r="N218" s="13"/>
      <c r="O218" s="16"/>
      <c r="P218" s="13">
        <v>0</v>
      </c>
      <c r="Q218" s="16"/>
      <c r="R218" s="13">
        <f t="shared" si="66"/>
        <v>0</v>
      </c>
      <c r="S218" s="16"/>
      <c r="T218" s="13">
        <f>$H218*V218/1000</f>
        <v>0</v>
      </c>
      <c r="U218" s="16"/>
      <c r="V218" s="82">
        <v>2.3950226156776893</v>
      </c>
      <c r="W218" s="16"/>
      <c r="X218" s="16"/>
      <c r="Y218" s="16"/>
      <c r="Z218" s="16"/>
    </row>
    <row r="219" spans="2:26" x14ac:dyDescent="0.2">
      <c r="B219" s="65">
        <f>MAX(B$17:B218)+1</f>
        <v>115</v>
      </c>
      <c r="D219" s="18" t="s">
        <v>71</v>
      </c>
      <c r="F219" s="81" t="s">
        <v>72</v>
      </c>
      <c r="H219" s="13">
        <v>6433273.9271999998</v>
      </c>
      <c r="I219" s="16"/>
      <c r="J219" s="13"/>
      <c r="K219" s="16"/>
      <c r="L219" s="13"/>
      <c r="M219" s="16"/>
      <c r="N219" s="13"/>
      <c r="O219" s="16"/>
      <c r="P219" s="13">
        <v>0</v>
      </c>
      <c r="Q219" s="16"/>
      <c r="R219" s="13">
        <f t="shared" si="66"/>
        <v>0</v>
      </c>
      <c r="S219" s="16"/>
      <c r="T219" s="13">
        <f>$H219*V219/1000</f>
        <v>0</v>
      </c>
      <c r="U219" s="16"/>
      <c r="V219" s="82">
        <v>0</v>
      </c>
      <c r="W219" s="16"/>
      <c r="X219" s="16"/>
      <c r="Y219" s="16"/>
      <c r="Z219" s="16"/>
    </row>
    <row r="220" spans="2:26" x14ac:dyDescent="0.2">
      <c r="B220" s="65">
        <f>MAX(B$17:B219)+1</f>
        <v>116</v>
      </c>
      <c r="D220" s="18" t="s">
        <v>73</v>
      </c>
      <c r="F220" s="81" t="s">
        <v>55</v>
      </c>
      <c r="H220" s="13">
        <v>0</v>
      </c>
      <c r="I220" s="16"/>
      <c r="J220" s="13"/>
      <c r="K220" s="16"/>
      <c r="L220" s="13"/>
      <c r="M220" s="16"/>
      <c r="N220" s="13"/>
      <c r="O220" s="16"/>
      <c r="P220" s="13">
        <f>T220</f>
        <v>187.6649653957962</v>
      </c>
      <c r="Q220" s="16"/>
      <c r="R220" s="13">
        <f t="shared" si="66"/>
        <v>0</v>
      </c>
      <c r="S220" s="16"/>
      <c r="T220" s="13">
        <v>187.6649653957962</v>
      </c>
      <c r="U220" s="16"/>
      <c r="V220" s="35">
        <v>7.9900000000000006E-3</v>
      </c>
      <c r="W220" s="71"/>
      <c r="X220" s="15"/>
      <c r="Y220" s="16"/>
      <c r="Z220" s="16"/>
    </row>
    <row r="221" spans="2:26" x14ac:dyDescent="0.2">
      <c r="B221" s="65"/>
      <c r="C221" s="67"/>
      <c r="D221" s="18"/>
      <c r="E221" s="65"/>
      <c r="F221" s="12"/>
      <c r="G221" s="65"/>
      <c r="H221" s="13"/>
      <c r="I221" s="70"/>
      <c r="J221" s="16"/>
      <c r="K221" s="16"/>
      <c r="L221" s="16"/>
      <c r="M221" s="16"/>
      <c r="N221" s="16"/>
      <c r="O221" s="14"/>
      <c r="P221" s="13"/>
      <c r="Q221" s="14"/>
      <c r="R221" s="13"/>
      <c r="S221" s="71"/>
      <c r="T221" s="13"/>
      <c r="U221" s="71"/>
      <c r="V221" s="34"/>
      <c r="W221" s="71"/>
      <c r="X221" s="15"/>
      <c r="Y221" s="16"/>
      <c r="Z221" s="70"/>
    </row>
    <row r="222" spans="2:26" x14ac:dyDescent="0.2">
      <c r="B222" s="65">
        <f>MAX(B$17:B221)+1</f>
        <v>117</v>
      </c>
      <c r="C222" s="67"/>
      <c r="D222" s="18" t="s">
        <v>74</v>
      </c>
      <c r="E222" s="65"/>
      <c r="F222" s="12"/>
      <c r="G222" s="65"/>
      <c r="H222" s="73">
        <f>H211</f>
        <v>249200.14546999999</v>
      </c>
      <c r="I222" s="70"/>
      <c r="J222" s="13"/>
      <c r="K222" s="16"/>
      <c r="L222" s="13"/>
      <c r="M222" s="16"/>
      <c r="N222" s="13"/>
      <c r="O222" s="14"/>
      <c r="P222" s="73">
        <f>SUM(P214:P220)</f>
        <v>2318.7449127533951</v>
      </c>
      <c r="Q222" s="14"/>
      <c r="R222" s="73">
        <f>SUM(R214:R220)</f>
        <v>0</v>
      </c>
      <c r="S222" s="71"/>
      <c r="T222" s="73">
        <f>SUM(T214:T220)</f>
        <v>2318.7449127533951</v>
      </c>
      <c r="U222" s="71"/>
      <c r="V222" s="21">
        <f>T222/$H222*100</f>
        <v>0.93047494349578452</v>
      </c>
      <c r="W222" s="71"/>
      <c r="X222" s="74">
        <f t="shared" ref="X222" si="67">T222/P222</f>
        <v>1</v>
      </c>
      <c r="Y222" s="16"/>
      <c r="Z222" s="70"/>
    </row>
    <row r="223" spans="2:26" x14ac:dyDescent="0.2">
      <c r="D223" s="18"/>
      <c r="F223" s="81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42"/>
      <c r="W223" s="16"/>
      <c r="X223" s="16"/>
      <c r="Y223" s="16"/>
      <c r="Z223" s="16"/>
    </row>
    <row r="224" spans="2:26" ht="13.5" thickBot="1" x14ac:dyDescent="0.25">
      <c r="B224" s="65">
        <f>MAX(B$17:B223)+1</f>
        <v>118</v>
      </c>
      <c r="D224" s="23" t="s">
        <v>101</v>
      </c>
      <c r="F224" s="81"/>
      <c r="H224" s="76">
        <f>H207</f>
        <v>249200.14546999999</v>
      </c>
      <c r="I224" s="70"/>
      <c r="J224" s="76">
        <v>8385.5420590421272</v>
      </c>
      <c r="K224" s="71"/>
      <c r="L224" s="24">
        <f>J224/$H224*100</f>
        <v>3.3649828105945558</v>
      </c>
      <c r="M224" s="71"/>
      <c r="N224" s="76">
        <f>J224-P224</f>
        <v>-881.59259210378514</v>
      </c>
      <c r="O224" s="14"/>
      <c r="P224" s="76">
        <f>P211+P222</f>
        <v>9267.1346511459124</v>
      </c>
      <c r="Q224" s="14"/>
      <c r="R224" s="76">
        <f>R211+R222</f>
        <v>-282.05399601680347</v>
      </c>
      <c r="S224" s="71"/>
      <c r="T224" s="76">
        <f>T211+T222</f>
        <v>8985.0806551291098</v>
      </c>
      <c r="U224" s="71"/>
      <c r="V224" s="24">
        <f>T224/$H224*100</f>
        <v>3.6055679815848181</v>
      </c>
      <c r="W224" s="71"/>
      <c r="X224" s="77">
        <f t="shared" ref="X224" si="68">T224/P224</f>
        <v>0.96956405548915536</v>
      </c>
      <c r="Y224" s="16"/>
      <c r="Z224" s="25">
        <f t="shared" ref="Z224" si="69">V224/L224-1</f>
        <v>7.1496701330178158E-2</v>
      </c>
    </row>
    <row r="225" spans="2:26" ht="13.5" thickTop="1" x14ac:dyDescent="0.2">
      <c r="D225" s="84"/>
      <c r="F225" s="84"/>
    </row>
    <row r="226" spans="2:26" ht="13.5" thickBot="1" x14ac:dyDescent="0.25">
      <c r="B226" s="65">
        <f>MAX(B$17:B225)+1</f>
        <v>119</v>
      </c>
      <c r="D226" s="23" t="s">
        <v>102</v>
      </c>
      <c r="J226" s="76">
        <f>J224+J200+J182+J165+J148+J130+J116+J99+J67+J46+J29</f>
        <v>5097046.0842818581</v>
      </c>
      <c r="K226" s="71"/>
      <c r="L226" s="13"/>
      <c r="M226" s="71"/>
      <c r="N226" s="76">
        <f>N224+N200+N182+N165+N148+N130+N116+N99+N67+N46+N29</f>
        <v>-11523.814826201829</v>
      </c>
      <c r="O226" s="14"/>
      <c r="P226" s="76">
        <f>P224+P200+P182+P165+P148+P130+P116+P99+P67+P46+P29</f>
        <v>5108569.8991080597</v>
      </c>
      <c r="Q226" s="14"/>
      <c r="R226" s="76">
        <f>R224+R200+R182+R165+R148+R130+R116+R99+R67+R46+R29</f>
        <v>-19200.867256523816</v>
      </c>
      <c r="S226" s="71"/>
      <c r="T226" s="76">
        <f>T224+T200+T182+T165+T148+T130+T116+T99+T67+T46+T29</f>
        <v>5089369.0188515354</v>
      </c>
    </row>
    <row r="227" spans="2:26" ht="13.5" thickTop="1" x14ac:dyDescent="0.2">
      <c r="D227" s="85"/>
      <c r="F227" s="81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71"/>
      <c r="V227" s="34"/>
      <c r="W227" s="71"/>
      <c r="X227" s="79"/>
      <c r="Y227" s="16"/>
      <c r="Z227" s="17"/>
    </row>
    <row r="228" spans="2:26" x14ac:dyDescent="0.2">
      <c r="B228" s="43" t="s">
        <v>103</v>
      </c>
      <c r="F228" s="81"/>
    </row>
    <row r="229" spans="2:26" x14ac:dyDescent="0.2">
      <c r="B229" s="83" t="s">
        <v>104</v>
      </c>
      <c r="C229" s="44"/>
      <c r="D229" s="44" t="s">
        <v>105</v>
      </c>
      <c r="F229" s="81"/>
    </row>
    <row r="230" spans="2:26" x14ac:dyDescent="0.2">
      <c r="B230" s="83" t="s">
        <v>106</v>
      </c>
      <c r="C230" s="44"/>
      <c r="D230" s="44" t="s">
        <v>107</v>
      </c>
      <c r="F230" s="81"/>
    </row>
    <row r="231" spans="2:26" x14ac:dyDescent="0.2">
      <c r="B231" s="83"/>
      <c r="F231" s="81"/>
    </row>
    <row r="232" spans="2:26" x14ac:dyDescent="0.2">
      <c r="F232" s="84"/>
    </row>
    <row r="233" spans="2:26" x14ac:dyDescent="0.2">
      <c r="F233" s="81"/>
    </row>
    <row r="234" spans="2:26" x14ac:dyDescent="0.2">
      <c r="D234" s="44"/>
      <c r="F234" s="81"/>
    </row>
  </sheetData>
  <pageMargins left="0.7" right="0.7" top="0.75" bottom="0.75" header="0.3" footer="0.3"/>
  <pageSetup scale="45" fitToHeight="0" orientation="landscape" blackAndWhite="1" r:id="rId1"/>
  <headerFooter scaleWithDoc="0">
    <oddHeader>&amp;R&amp;"Arial,Regular"&amp;10Filed: 2025-02-28
EB-2025-0064
Phase 3 Exhibit 8
Tab 2
Schedule 9
Attachment 2
Page &amp;P of 6</oddHeader>
  </headerFooter>
  <rowBreaks count="3" manualBreakCount="3">
    <brk id="69" max="26" man="1"/>
    <brk id="118" max="26" man="1"/>
    <brk id="16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D8E8-2791-4A83-8A6A-5C8A8D2B52C2}">
  <sheetPr>
    <pageSetUpPr fitToPage="1"/>
  </sheetPr>
  <dimension ref="A1:AV273"/>
  <sheetViews>
    <sheetView view="pageBreakPreview" zoomScale="60" zoomScaleNormal="100" workbookViewId="0">
      <selection activeCell="AB89" sqref="AB89"/>
    </sheetView>
  </sheetViews>
  <sheetFormatPr defaultColWidth="0" defaultRowHeight="15" zeroHeight="1" x14ac:dyDescent="0.25"/>
  <cols>
    <col min="1" max="1" width="1.5703125" style="87" customWidth="1"/>
    <col min="2" max="2" width="5.140625" style="87" customWidth="1"/>
    <col min="3" max="3" width="1.5703125" style="87" customWidth="1"/>
    <col min="4" max="4" width="55.85546875" style="87" customWidth="1"/>
    <col min="5" max="5" width="1.5703125" style="87" customWidth="1"/>
    <col min="6" max="6" width="14.42578125" style="87" customWidth="1"/>
    <col min="7" max="7" width="1.5703125" style="87" customWidth="1"/>
    <col min="8" max="8" width="14.42578125" style="87" customWidth="1"/>
    <col min="9" max="9" width="1.5703125" style="87" customWidth="1"/>
    <col min="10" max="10" width="14.42578125" style="87" customWidth="1"/>
    <col min="11" max="11" width="1.5703125" style="87" customWidth="1"/>
    <col min="12" max="12" width="14.42578125" style="87" customWidth="1"/>
    <col min="13" max="13" width="1.5703125" style="87" customWidth="1"/>
    <col min="14" max="14" width="14.42578125" style="87" customWidth="1"/>
    <col min="15" max="15" width="1.5703125" style="87" customWidth="1"/>
    <col min="16" max="16" width="14.42578125" style="87" customWidth="1"/>
    <col min="17" max="17" width="1.5703125" style="87" customWidth="1"/>
    <col min="18" max="18" width="14.42578125" style="87" customWidth="1"/>
    <col min="19" max="19" width="1.5703125" style="87" customWidth="1"/>
    <col min="20" max="20" width="14.42578125" style="87" customWidth="1"/>
    <col min="21" max="21" width="1.5703125" style="87" customWidth="1"/>
    <col min="22" max="22" width="14.42578125" style="87" customWidth="1"/>
    <col min="23" max="23" width="1.5703125" style="87" customWidth="1"/>
    <col min="24" max="24" width="14.42578125" style="87" customWidth="1"/>
    <col min="25" max="25" width="1.5703125" style="87" customWidth="1"/>
    <col min="26" max="26" width="14.42578125" style="100" customWidth="1"/>
    <col min="27" max="29" width="9.140625" style="87" customWidth="1"/>
    <col min="30" max="48" width="0" style="87" hidden="1" customWidth="1"/>
    <col min="49" max="16384" width="9.140625" style="87" hidden="1"/>
  </cols>
  <sheetData>
    <row r="1" spans="1:29" x14ac:dyDescent="0.25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4"/>
      <c r="AA1" s="86"/>
      <c r="AB1" s="86"/>
      <c r="AC1" s="86"/>
    </row>
    <row r="2" spans="1:29" x14ac:dyDescent="0.25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4"/>
      <c r="AA2" s="86"/>
      <c r="AB2" s="86"/>
      <c r="AC2" s="86"/>
    </row>
    <row r="3" spans="1:29" x14ac:dyDescent="0.25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54"/>
      <c r="AA3" s="86"/>
      <c r="AB3" s="86"/>
      <c r="AC3" s="86"/>
    </row>
    <row r="4" spans="1:29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4"/>
      <c r="AA4" s="86"/>
      <c r="AB4" s="86"/>
      <c r="AC4" s="86"/>
    </row>
    <row r="5" spans="1:29" x14ac:dyDescent="0.2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4"/>
      <c r="AA5" s="86"/>
      <c r="AB5" s="86"/>
      <c r="AC5" s="86"/>
    </row>
    <row r="6" spans="1:29" x14ac:dyDescent="0.25">
      <c r="A6" s="2"/>
      <c r="B6" s="3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55"/>
      <c r="AA6" s="86"/>
      <c r="AB6" s="86"/>
      <c r="AC6" s="86"/>
    </row>
    <row r="7" spans="1:29" x14ac:dyDescent="0.25">
      <c r="A7" s="2"/>
      <c r="B7" s="3" t="s">
        <v>108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55"/>
      <c r="AA7" s="86"/>
      <c r="AB7" s="86"/>
      <c r="AC7" s="86"/>
    </row>
    <row r="8" spans="1:29" x14ac:dyDescent="0.25">
      <c r="A8" s="2"/>
      <c r="B8" s="61"/>
      <c r="C8" s="61"/>
      <c r="D8" s="61"/>
      <c r="E8" s="61"/>
      <c r="F8" s="62"/>
      <c r="G8" s="61"/>
      <c r="H8" s="62"/>
      <c r="I8" s="61"/>
      <c r="J8" s="62"/>
      <c r="K8" s="62"/>
      <c r="L8" s="62"/>
      <c r="M8" s="62"/>
      <c r="N8" s="62"/>
      <c r="O8" s="61"/>
      <c r="P8" s="61"/>
      <c r="Q8" s="61"/>
      <c r="R8" s="61"/>
      <c r="S8" s="61"/>
      <c r="T8" s="61"/>
      <c r="U8" s="61"/>
      <c r="V8" s="61"/>
      <c r="W8" s="61"/>
      <c r="X8" s="5"/>
      <c r="Y8" s="2"/>
      <c r="Z8" s="56"/>
      <c r="AA8" s="86"/>
      <c r="AB8" s="86"/>
      <c r="AC8" s="86"/>
    </row>
    <row r="9" spans="1:29" x14ac:dyDescent="0.25">
      <c r="A9" s="2"/>
      <c r="B9" s="62"/>
      <c r="C9" s="62"/>
      <c r="D9" s="62"/>
      <c r="E9" s="62"/>
      <c r="F9" s="61"/>
      <c r="G9" s="62"/>
      <c r="H9" s="61"/>
      <c r="I9" s="62"/>
      <c r="J9" s="63" t="s">
        <v>2</v>
      </c>
      <c r="K9" s="63"/>
      <c r="L9" s="63"/>
      <c r="M9" s="62"/>
      <c r="N9" s="62"/>
      <c r="O9" s="62"/>
      <c r="P9" s="63" t="s">
        <v>3</v>
      </c>
      <c r="Q9" s="63"/>
      <c r="R9" s="63"/>
      <c r="S9" s="63"/>
      <c r="T9" s="63"/>
      <c r="U9" s="63"/>
      <c r="V9" s="63"/>
      <c r="W9" s="63"/>
      <c r="X9" s="6"/>
      <c r="Y9" s="6"/>
      <c r="Z9" s="57"/>
      <c r="AA9" s="86"/>
      <c r="AB9" s="86"/>
      <c r="AC9" s="86"/>
    </row>
    <row r="10" spans="1:29" x14ac:dyDescent="0.25">
      <c r="A10" s="2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5"/>
      <c r="Y10" s="2"/>
      <c r="Z10" s="56"/>
      <c r="AA10" s="86"/>
      <c r="AB10" s="86"/>
      <c r="AC10" s="86"/>
    </row>
    <row r="11" spans="1:29" ht="39" x14ac:dyDescent="0.25">
      <c r="A11" s="7"/>
      <c r="B11" s="64" t="s">
        <v>4</v>
      </c>
      <c r="C11" s="64"/>
      <c r="D11" s="64"/>
      <c r="E11" s="64"/>
      <c r="F11" s="65" t="s">
        <v>5</v>
      </c>
      <c r="G11" s="64"/>
      <c r="H11" s="7" t="s">
        <v>6</v>
      </c>
      <c r="I11" s="64"/>
      <c r="J11" s="7" t="s">
        <v>7</v>
      </c>
      <c r="K11" s="7"/>
      <c r="L11" s="7" t="s">
        <v>8</v>
      </c>
      <c r="M11" s="64"/>
      <c r="N11" s="7" t="s">
        <v>9</v>
      </c>
      <c r="O11" s="64"/>
      <c r="P11" s="64" t="s">
        <v>10</v>
      </c>
      <c r="Q11" s="64"/>
      <c r="R11" s="7" t="s">
        <v>11</v>
      </c>
      <c r="S11" s="64"/>
      <c r="T11" s="7" t="s">
        <v>7</v>
      </c>
      <c r="U11" s="64"/>
      <c r="V11" s="7" t="s">
        <v>8</v>
      </c>
      <c r="W11" s="64"/>
      <c r="X11" s="64" t="s">
        <v>12</v>
      </c>
      <c r="Y11" s="64"/>
      <c r="Z11" s="88" t="s">
        <v>13</v>
      </c>
      <c r="AA11" s="86"/>
      <c r="AB11" s="86"/>
      <c r="AC11" s="86"/>
    </row>
    <row r="12" spans="1:29" x14ac:dyDescent="0.25">
      <c r="A12" s="2"/>
      <c r="B12" s="66" t="s">
        <v>14</v>
      </c>
      <c r="C12" s="67"/>
      <c r="D12" s="68" t="s">
        <v>15</v>
      </c>
      <c r="E12" s="65"/>
      <c r="F12" s="66" t="s">
        <v>16</v>
      </c>
      <c r="G12" s="65"/>
      <c r="H12" s="66" t="s">
        <v>109</v>
      </c>
      <c r="I12" s="65"/>
      <c r="J12" s="66" t="s">
        <v>18</v>
      </c>
      <c r="K12" s="2"/>
      <c r="L12" s="66" t="s">
        <v>92</v>
      </c>
      <c r="M12" s="65"/>
      <c r="N12" s="66" t="s">
        <v>18</v>
      </c>
      <c r="O12" s="65"/>
      <c r="P12" s="66" t="s">
        <v>18</v>
      </c>
      <c r="Q12" s="65"/>
      <c r="R12" s="66" t="s">
        <v>18</v>
      </c>
      <c r="S12" s="65"/>
      <c r="T12" s="66" t="s">
        <v>18</v>
      </c>
      <c r="U12" s="65"/>
      <c r="V12" s="66" t="s">
        <v>92</v>
      </c>
      <c r="W12" s="65"/>
      <c r="X12" s="66" t="s">
        <v>20</v>
      </c>
      <c r="Y12" s="65"/>
      <c r="Z12" s="89" t="s">
        <v>21</v>
      </c>
      <c r="AA12" s="86"/>
      <c r="AB12" s="86"/>
      <c r="AC12" s="86"/>
    </row>
    <row r="13" spans="1:29" x14ac:dyDescent="0.25">
      <c r="A13" s="2"/>
      <c r="B13" s="65"/>
      <c r="C13" s="67"/>
      <c r="D13" s="45"/>
      <c r="E13" s="65"/>
      <c r="F13" s="65"/>
      <c r="G13" s="65"/>
      <c r="H13" s="65" t="s">
        <v>22</v>
      </c>
      <c r="I13" s="65"/>
      <c r="J13" s="65" t="s">
        <v>23</v>
      </c>
      <c r="K13" s="65"/>
      <c r="L13" s="65" t="s">
        <v>24</v>
      </c>
      <c r="M13" s="65"/>
      <c r="N13" s="65" t="s">
        <v>25</v>
      </c>
      <c r="O13" s="65"/>
      <c r="P13" s="65" t="s">
        <v>26</v>
      </c>
      <c r="Q13" s="65"/>
      <c r="R13" s="65" t="s">
        <v>110</v>
      </c>
      <c r="S13" s="65"/>
      <c r="T13" s="69" t="s">
        <v>28</v>
      </c>
      <c r="U13" s="65"/>
      <c r="V13" s="69" t="s">
        <v>29</v>
      </c>
      <c r="W13" s="65"/>
      <c r="X13" s="69" t="s">
        <v>111</v>
      </c>
      <c r="Y13" s="65"/>
      <c r="Z13" s="90" t="s">
        <v>31</v>
      </c>
      <c r="AA13" s="86"/>
      <c r="AB13" s="86"/>
      <c r="AC13" s="86"/>
    </row>
    <row r="14" spans="1:29" x14ac:dyDescent="0.25">
      <c r="A14" s="86"/>
      <c r="B14" s="51"/>
      <c r="C14" s="51"/>
      <c r="D14" s="91" t="s">
        <v>112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92"/>
      <c r="AA14" s="86"/>
      <c r="AB14" s="86"/>
      <c r="AC14" s="86"/>
    </row>
    <row r="15" spans="1:29" x14ac:dyDescent="0.25">
      <c r="A15" s="86"/>
      <c r="B15" s="65">
        <v>1</v>
      </c>
      <c r="C15" s="51"/>
      <c r="D15" s="37" t="s">
        <v>113</v>
      </c>
      <c r="E15" s="51"/>
      <c r="F15" s="46" t="s">
        <v>34</v>
      </c>
      <c r="G15" s="51"/>
      <c r="H15" s="13">
        <v>12</v>
      </c>
      <c r="I15" s="60"/>
      <c r="J15" s="71"/>
      <c r="K15" s="60"/>
      <c r="L15" s="72"/>
      <c r="M15" s="60"/>
      <c r="N15" s="71"/>
      <c r="O15" s="60"/>
      <c r="P15" s="13">
        <v>0</v>
      </c>
      <c r="Q15" s="60"/>
      <c r="R15" s="13">
        <f>T15-P15</f>
        <v>25.345637999999994</v>
      </c>
      <c r="S15" s="60"/>
      <c r="T15" s="71">
        <f>V15*H15/1000</f>
        <v>25.345637999999994</v>
      </c>
      <c r="U15" s="60"/>
      <c r="V15" s="72">
        <v>2112.1364999999996</v>
      </c>
      <c r="W15" s="60"/>
      <c r="X15" s="15" t="str">
        <f>IFERROR(T15/P15,"")</f>
        <v/>
      </c>
      <c r="Y15" s="60"/>
      <c r="Z15" s="93"/>
      <c r="AA15" s="86"/>
      <c r="AB15" s="86"/>
      <c r="AC15" s="86"/>
    </row>
    <row r="16" spans="1:29" x14ac:dyDescent="0.25">
      <c r="A16" s="86"/>
      <c r="B16" s="65"/>
      <c r="C16" s="51"/>
      <c r="D16" s="37" t="s">
        <v>114</v>
      </c>
      <c r="E16" s="51"/>
      <c r="F16" s="51"/>
      <c r="G16" s="51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93"/>
      <c r="AA16" s="86"/>
      <c r="AB16" s="86"/>
      <c r="AC16" s="86"/>
    </row>
    <row r="17" spans="1:29" x14ac:dyDescent="0.25">
      <c r="A17" s="86"/>
      <c r="B17" s="65">
        <f>MAX(B$15:B16)+1</f>
        <v>2</v>
      </c>
      <c r="C17" s="51"/>
      <c r="D17" s="94" t="s">
        <v>115</v>
      </c>
      <c r="E17" s="51"/>
      <c r="F17" s="46" t="s">
        <v>66</v>
      </c>
      <c r="G17" s="51"/>
      <c r="H17" s="13">
        <v>8863</v>
      </c>
      <c r="I17" s="60"/>
      <c r="J17" s="71"/>
      <c r="K17" s="60"/>
      <c r="L17" s="82"/>
      <c r="M17" s="60"/>
      <c r="N17" s="71"/>
      <c r="O17" s="60"/>
      <c r="P17" s="13">
        <v>313.83230779949275</v>
      </c>
      <c r="Q17" s="60"/>
      <c r="R17" s="13">
        <f>T17-P17</f>
        <v>0</v>
      </c>
      <c r="S17" s="60"/>
      <c r="T17" s="71">
        <f>$H$17*V17*12/1000</f>
        <v>313.83230779949275</v>
      </c>
      <c r="U17" s="60"/>
      <c r="V17" s="82">
        <v>2.9507720090967386</v>
      </c>
      <c r="W17" s="60"/>
      <c r="X17" s="15">
        <f>T17/P17</f>
        <v>1</v>
      </c>
      <c r="Y17" s="60"/>
      <c r="Z17" s="93"/>
      <c r="AA17" s="86"/>
      <c r="AB17" s="86"/>
      <c r="AC17" s="86"/>
    </row>
    <row r="18" spans="1:29" x14ac:dyDescent="0.25">
      <c r="A18" s="86"/>
      <c r="B18" s="51"/>
      <c r="C18" s="51"/>
      <c r="D18" s="51"/>
      <c r="E18" s="51"/>
      <c r="F18" s="51"/>
      <c r="G18" s="51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93"/>
      <c r="AA18" s="86"/>
      <c r="AB18" s="86"/>
      <c r="AC18" s="86"/>
    </row>
    <row r="19" spans="1:29" ht="15.75" thickBot="1" x14ac:dyDescent="0.3">
      <c r="A19" s="86"/>
      <c r="B19" s="65">
        <f>MAX(B$15:B18)+1</f>
        <v>3</v>
      </c>
      <c r="C19" s="51"/>
      <c r="D19" s="51" t="str">
        <f>"Total " &amp;D14</f>
        <v>Total Rate E60</v>
      </c>
      <c r="E19" s="51"/>
      <c r="F19" s="51"/>
      <c r="G19" s="51"/>
      <c r="H19" s="76">
        <f>H17</f>
        <v>8863</v>
      </c>
      <c r="I19" s="70"/>
      <c r="J19" s="76">
        <v>543.41803200000004</v>
      </c>
      <c r="K19" s="71"/>
      <c r="L19" s="24">
        <f>J19/$H19*100</f>
        <v>6.1313103012523982</v>
      </c>
      <c r="M19" s="71"/>
      <c r="N19" s="76">
        <f>J19-P19</f>
        <v>229.58572420050729</v>
      </c>
      <c r="O19" s="14"/>
      <c r="P19" s="76">
        <f>SUM(P15:P17)</f>
        <v>313.83230779949275</v>
      </c>
      <c r="Q19" s="14"/>
      <c r="R19" s="76">
        <f>SUM(R15:R17)</f>
        <v>25.345637999999994</v>
      </c>
      <c r="S19" s="71"/>
      <c r="T19" s="76">
        <f>SUM(T15:T17)</f>
        <v>339.17794579949276</v>
      </c>
      <c r="U19" s="71"/>
      <c r="V19" s="24">
        <f>T19/$H19*100</f>
        <v>3.8268977298825764</v>
      </c>
      <c r="W19" s="71"/>
      <c r="X19" s="77">
        <f t="shared" ref="X19" si="0">T19/P19</f>
        <v>1.0807617232837397</v>
      </c>
      <c r="Y19" s="16"/>
      <c r="Z19" s="58">
        <f t="shared" ref="Z19" si="1">V19/L19-1</f>
        <v>-0.37584340999657384</v>
      </c>
      <c r="AA19" s="86"/>
      <c r="AB19" s="86"/>
      <c r="AC19" s="86"/>
    </row>
    <row r="20" spans="1:29" ht="15.75" thickTop="1" x14ac:dyDescent="0.25">
      <c r="A20" s="86"/>
      <c r="B20" s="51"/>
      <c r="C20" s="51"/>
      <c r="D20" s="51"/>
      <c r="E20" s="51"/>
      <c r="F20" s="51"/>
      <c r="G20" s="51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93"/>
      <c r="AA20" s="86"/>
      <c r="AB20" s="86"/>
      <c r="AC20" s="86"/>
    </row>
    <row r="21" spans="1:29" x14ac:dyDescent="0.25">
      <c r="A21" s="86"/>
      <c r="B21" s="86"/>
      <c r="C21" s="86"/>
      <c r="D21" s="91" t="s">
        <v>116</v>
      </c>
      <c r="E21" s="86"/>
      <c r="F21" s="86"/>
      <c r="G21" s="86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86"/>
      <c r="AB21" s="86"/>
      <c r="AC21" s="86"/>
    </row>
    <row r="22" spans="1:29" x14ac:dyDescent="0.25">
      <c r="A22" s="86"/>
      <c r="B22" s="65"/>
      <c r="C22" s="86"/>
      <c r="D22" s="37" t="s">
        <v>114</v>
      </c>
      <c r="E22" s="86"/>
      <c r="F22" s="86"/>
      <c r="G22" s="86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  <c r="AA22" s="86"/>
      <c r="AB22" s="86"/>
      <c r="AC22" s="86"/>
    </row>
    <row r="23" spans="1:29" x14ac:dyDescent="0.25">
      <c r="A23" s="86"/>
      <c r="B23" s="65"/>
      <c r="C23" s="86"/>
      <c r="D23" s="49" t="s">
        <v>117</v>
      </c>
      <c r="E23" s="86"/>
      <c r="F23" s="86"/>
      <c r="G23" s="86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  <c r="AA23" s="86"/>
      <c r="AB23" s="86"/>
      <c r="AC23" s="86"/>
    </row>
    <row r="24" spans="1:29" x14ac:dyDescent="0.25">
      <c r="A24" s="86"/>
      <c r="B24" s="65">
        <f>MAX(B$15:B23)+1</f>
        <v>4</v>
      </c>
      <c r="C24" s="86"/>
      <c r="D24" s="47" t="s">
        <v>118</v>
      </c>
      <c r="E24" s="86"/>
      <c r="F24" s="46" t="s">
        <v>66</v>
      </c>
      <c r="G24" s="86"/>
      <c r="H24" s="13">
        <v>1867861</v>
      </c>
      <c r="I24" s="95"/>
      <c r="J24" s="71"/>
      <c r="K24" s="95"/>
      <c r="L24" s="82"/>
      <c r="M24" s="95"/>
      <c r="N24" s="71"/>
      <c r="O24" s="95"/>
      <c r="P24" s="13">
        <v>84664.461891389161</v>
      </c>
      <c r="Q24" s="95"/>
      <c r="R24" s="13">
        <f t="shared" ref="R24:R28" si="2">T24-P24</f>
        <v>-11426.609983775663</v>
      </c>
      <c r="S24" s="95"/>
      <c r="T24" s="71">
        <f>V24*(H24)*12/1000</f>
        <v>73237.851907613498</v>
      </c>
      <c r="U24" s="95"/>
      <c r="V24" s="82">
        <v>3.2674563715578717</v>
      </c>
      <c r="W24" s="95"/>
      <c r="X24" s="15">
        <f t="shared" ref="X24:X28" si="3">IFERROR(T24/P24,"")</f>
        <v>0.86503652502470096</v>
      </c>
      <c r="Y24" s="95"/>
      <c r="Z24" s="96"/>
      <c r="AA24" s="86"/>
      <c r="AB24" s="86"/>
      <c r="AC24" s="86"/>
    </row>
    <row r="25" spans="1:29" x14ac:dyDescent="0.25">
      <c r="A25" s="86"/>
      <c r="B25" s="65">
        <f>MAX(B$15:B24)+1</f>
        <v>5</v>
      </c>
      <c r="C25" s="86"/>
      <c r="D25" s="48" t="s">
        <v>119</v>
      </c>
      <c r="E25" s="86"/>
      <c r="F25" s="46" t="s">
        <v>66</v>
      </c>
      <c r="G25" s="86"/>
      <c r="H25" s="13">
        <v>451429</v>
      </c>
      <c r="I25" s="95"/>
      <c r="J25" s="71"/>
      <c r="K25" s="95"/>
      <c r="L25" s="82"/>
      <c r="M25" s="95"/>
      <c r="N25" s="71"/>
      <c r="O25" s="95"/>
      <c r="P25" s="13">
        <v>275.74339749549102</v>
      </c>
      <c r="Q25" s="95"/>
      <c r="R25" s="13">
        <f t="shared" si="2"/>
        <v>0</v>
      </c>
      <c r="S25" s="95"/>
      <c r="T25" s="71">
        <f>P25</f>
        <v>275.74339749549102</v>
      </c>
      <c r="U25" s="95"/>
      <c r="V25" s="82">
        <v>5.0999999999999997E-2</v>
      </c>
      <c r="W25" s="95"/>
      <c r="X25" s="15">
        <f t="shared" si="3"/>
        <v>1</v>
      </c>
      <c r="Y25" s="95"/>
      <c r="Z25" s="96"/>
      <c r="AA25" s="86"/>
      <c r="AB25" s="86"/>
      <c r="AC25" s="86"/>
    </row>
    <row r="26" spans="1:29" x14ac:dyDescent="0.25">
      <c r="A26" s="86"/>
      <c r="B26" s="65">
        <f>MAX(B$15:B25)+1</f>
        <v>6</v>
      </c>
      <c r="C26" s="86"/>
      <c r="D26" s="47" t="s">
        <v>120</v>
      </c>
      <c r="E26" s="86"/>
      <c r="F26" s="46" t="s">
        <v>66</v>
      </c>
      <c r="G26" s="86"/>
      <c r="H26" s="13">
        <v>49500</v>
      </c>
      <c r="I26" s="95"/>
      <c r="J26" s="71"/>
      <c r="K26" s="95"/>
      <c r="L26" s="82"/>
      <c r="M26" s="95"/>
      <c r="N26" s="71"/>
      <c r="O26" s="95"/>
      <c r="P26" s="13">
        <v>1565.1398047960924</v>
      </c>
      <c r="Q26" s="95"/>
      <c r="R26" s="13">
        <f t="shared" si="2"/>
        <v>-212.99094816649722</v>
      </c>
      <c r="S26" s="95"/>
      <c r="T26" s="71">
        <f>V26*(H26)*12/1000</f>
        <v>1352.1488566295952</v>
      </c>
      <c r="U26" s="95"/>
      <c r="V26" s="82">
        <v>2.2763448764807999</v>
      </c>
      <c r="W26" s="95"/>
      <c r="X26" s="15">
        <f t="shared" si="3"/>
        <v>0.86391570419854868</v>
      </c>
      <c r="Y26" s="95"/>
      <c r="Z26" s="96"/>
      <c r="AA26" s="86"/>
      <c r="AB26" s="86"/>
      <c r="AC26" s="86"/>
    </row>
    <row r="27" spans="1:29" x14ac:dyDescent="0.25">
      <c r="A27" s="86"/>
      <c r="B27" s="65">
        <f>MAX(B$15:B26)+1</f>
        <v>7</v>
      </c>
      <c r="C27" s="86"/>
      <c r="D27" s="48" t="s">
        <v>119</v>
      </c>
      <c r="E27" s="86"/>
      <c r="F27" s="46" t="s">
        <v>66</v>
      </c>
      <c r="G27" s="86"/>
      <c r="H27" s="13">
        <v>49500</v>
      </c>
      <c r="I27" s="95"/>
      <c r="J27" s="71"/>
      <c r="K27" s="95"/>
      <c r="L27" s="82"/>
      <c r="M27" s="95"/>
      <c r="N27" s="71"/>
      <c r="O27" s="95"/>
      <c r="P27" s="13">
        <v>30.235758393959635</v>
      </c>
      <c r="Q27" s="95"/>
      <c r="R27" s="13">
        <f t="shared" si="2"/>
        <v>0</v>
      </c>
      <c r="S27" s="95"/>
      <c r="T27" s="71">
        <f>P27</f>
        <v>30.235758393959635</v>
      </c>
      <c r="U27" s="95"/>
      <c r="V27" s="82">
        <v>5.0999999999999997E-2</v>
      </c>
      <c r="W27" s="95"/>
      <c r="X27" s="15">
        <f t="shared" si="3"/>
        <v>1</v>
      </c>
      <c r="Y27" s="95"/>
      <c r="Z27" s="96"/>
      <c r="AA27" s="86"/>
      <c r="AB27" s="86"/>
      <c r="AC27" s="86"/>
    </row>
    <row r="28" spans="1:29" x14ac:dyDescent="0.25">
      <c r="A28" s="86"/>
      <c r="B28" s="65">
        <f>MAX(B$15:B27)+1</f>
        <v>8</v>
      </c>
      <c r="C28" s="86"/>
      <c r="D28" s="47" t="s">
        <v>121</v>
      </c>
      <c r="E28" s="86"/>
      <c r="F28" s="46" t="s">
        <v>66</v>
      </c>
      <c r="G28" s="86"/>
      <c r="H28" s="13">
        <v>383738.83333333331</v>
      </c>
      <c r="I28" s="95"/>
      <c r="J28" s="71"/>
      <c r="K28" s="95"/>
      <c r="L28" s="82"/>
      <c r="M28" s="95"/>
      <c r="N28" s="71"/>
      <c r="O28" s="95"/>
      <c r="P28" s="13">
        <v>7025.6863629001191</v>
      </c>
      <c r="Q28" s="95"/>
      <c r="R28" s="13">
        <f t="shared" si="2"/>
        <v>-835.70371109424832</v>
      </c>
      <c r="S28" s="95"/>
      <c r="T28" s="71">
        <f>V28*H28*12/1000</f>
        <v>6189.9826518058708</v>
      </c>
      <c r="U28" s="95"/>
      <c r="V28" s="82">
        <v>1.3442264447664432</v>
      </c>
      <c r="W28" s="95"/>
      <c r="X28" s="15">
        <f t="shared" si="3"/>
        <v>0.88105023937486449</v>
      </c>
      <c r="Y28" s="95"/>
      <c r="Z28" s="96"/>
      <c r="AA28" s="86"/>
      <c r="AB28" s="86"/>
      <c r="AC28" s="86"/>
    </row>
    <row r="29" spans="1:29" x14ac:dyDescent="0.25">
      <c r="A29" s="86"/>
      <c r="B29" s="65">
        <f>MAX(B$15:B28)+1</f>
        <v>9</v>
      </c>
      <c r="C29" s="86"/>
      <c r="D29" s="47" t="s">
        <v>122</v>
      </c>
      <c r="E29" s="86"/>
      <c r="F29" s="46" t="s">
        <v>66</v>
      </c>
      <c r="G29" s="86"/>
      <c r="H29" s="13">
        <v>8863</v>
      </c>
      <c r="I29" s="95"/>
      <c r="J29" s="71"/>
      <c r="K29" s="95"/>
      <c r="L29" s="82"/>
      <c r="M29" s="95"/>
      <c r="N29" s="71"/>
      <c r="O29" s="95"/>
      <c r="P29" s="13">
        <v>215.24235175444338</v>
      </c>
      <c r="Q29" s="95"/>
      <c r="R29" s="13">
        <f>T29-P29</f>
        <v>0</v>
      </c>
      <c r="S29" s="95"/>
      <c r="T29" s="71">
        <f>V29*H29*12/1000</f>
        <v>215.24235175444338</v>
      </c>
      <c r="U29" s="95"/>
      <c r="V29" s="82">
        <v>2.0237913399755856</v>
      </c>
      <c r="W29" s="95"/>
      <c r="X29" s="15">
        <f>IFERROR(T29/P29,"")</f>
        <v>1</v>
      </c>
      <c r="Y29" s="95"/>
      <c r="Z29" s="96"/>
      <c r="AA29" s="86"/>
      <c r="AB29" s="86"/>
      <c r="AC29" s="86"/>
    </row>
    <row r="30" spans="1:29" x14ac:dyDescent="0.25">
      <c r="A30" s="86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5"/>
      <c r="Z30" s="96"/>
      <c r="AA30" s="86"/>
      <c r="AB30" s="86"/>
      <c r="AC30" s="86"/>
    </row>
    <row r="31" spans="1:29" x14ac:dyDescent="0.25">
      <c r="A31" s="86"/>
      <c r="B31" s="65"/>
      <c r="C31" s="86"/>
      <c r="D31" s="49" t="s">
        <v>123</v>
      </c>
      <c r="E31" s="86"/>
      <c r="F31" s="46"/>
      <c r="G31" s="86"/>
      <c r="H31" s="13"/>
      <c r="I31" s="95"/>
      <c r="J31" s="71"/>
      <c r="K31" s="95"/>
      <c r="L31" s="82"/>
      <c r="M31" s="95"/>
      <c r="N31" s="95"/>
      <c r="O31" s="95"/>
      <c r="P31" s="13"/>
      <c r="Q31" s="95"/>
      <c r="R31" s="95"/>
      <c r="S31" s="95"/>
      <c r="T31" s="71"/>
      <c r="U31" s="95"/>
      <c r="V31" s="82"/>
      <c r="W31" s="95"/>
      <c r="X31" s="95"/>
      <c r="Y31" s="95"/>
      <c r="Z31" s="96"/>
      <c r="AA31" s="86"/>
      <c r="AB31" s="86"/>
      <c r="AC31" s="86"/>
    </row>
    <row r="32" spans="1:29" x14ac:dyDescent="0.25">
      <c r="A32" s="86"/>
      <c r="B32" s="65">
        <f>MAX(B$15:B31)+1</f>
        <v>10</v>
      </c>
      <c r="C32" s="86"/>
      <c r="D32" s="47" t="s">
        <v>124</v>
      </c>
      <c r="E32" s="86"/>
      <c r="F32" s="46" t="s">
        <v>66</v>
      </c>
      <c r="G32" s="86"/>
      <c r="H32" s="13">
        <v>1047191</v>
      </c>
      <c r="I32" s="95"/>
      <c r="J32" s="71"/>
      <c r="K32" s="95"/>
      <c r="L32" s="82"/>
      <c r="M32" s="95"/>
      <c r="N32" s="71"/>
      <c r="O32" s="95"/>
      <c r="P32" s="13">
        <v>0</v>
      </c>
      <c r="Q32" s="95"/>
      <c r="R32" s="13">
        <f>T32-P32</f>
        <v>11249.263249933345</v>
      </c>
      <c r="S32" s="95"/>
      <c r="T32" s="71">
        <f>V32*H32*12/1000</f>
        <v>11249.263249933345</v>
      </c>
      <c r="U32" s="95"/>
      <c r="V32" s="82">
        <v>0.89519352645421146</v>
      </c>
      <c r="W32" s="95"/>
      <c r="X32" s="15" t="str">
        <f>IFERROR(T32/P32,"")</f>
        <v/>
      </c>
      <c r="Y32" s="95"/>
      <c r="Z32" s="96"/>
      <c r="AA32" s="86"/>
      <c r="AB32" s="86"/>
      <c r="AC32" s="86"/>
    </row>
    <row r="33" spans="1:29" x14ac:dyDescent="0.25">
      <c r="A33" s="86"/>
      <c r="B33" s="65">
        <f>MAX(B$15:B32)+1</f>
        <v>11</v>
      </c>
      <c r="C33" s="86"/>
      <c r="D33" s="47" t="s">
        <v>125</v>
      </c>
      <c r="E33" s="86"/>
      <c r="F33" s="46" t="s">
        <v>66</v>
      </c>
      <c r="G33" s="86"/>
      <c r="H33" s="13">
        <v>63329</v>
      </c>
      <c r="I33" s="95"/>
      <c r="J33" s="71"/>
      <c r="K33" s="95"/>
      <c r="L33" s="82"/>
      <c r="M33" s="95"/>
      <c r="N33" s="71"/>
      <c r="O33" s="95"/>
      <c r="P33" s="13">
        <v>0</v>
      </c>
      <c r="Q33" s="95"/>
      <c r="R33" s="13">
        <f>T33-P33</f>
        <v>973.92758780069835</v>
      </c>
      <c r="S33" s="95"/>
      <c r="T33" s="71">
        <f>V33*H33*12/1000</f>
        <v>973.92758780069835</v>
      </c>
      <c r="U33" s="95"/>
      <c r="V33" s="82">
        <v>1.2815713546199192</v>
      </c>
      <c r="W33" s="95"/>
      <c r="X33" s="15" t="str">
        <f>IFERROR(T33/P33,"")</f>
        <v/>
      </c>
      <c r="Y33" s="95"/>
      <c r="Z33" s="96"/>
      <c r="AA33" s="86"/>
      <c r="AB33" s="86"/>
      <c r="AC33" s="86"/>
    </row>
    <row r="34" spans="1:29" x14ac:dyDescent="0.25">
      <c r="A34" s="86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5"/>
      <c r="Z34" s="96"/>
      <c r="AA34" s="86"/>
      <c r="AB34" s="86"/>
      <c r="AC34" s="86"/>
    </row>
    <row r="35" spans="1:29" x14ac:dyDescent="0.25">
      <c r="A35" s="86"/>
      <c r="B35" s="65">
        <f>MAX(B$15:B33)+1</f>
        <v>12</v>
      </c>
      <c r="C35" s="86"/>
      <c r="D35" s="49" t="s">
        <v>126</v>
      </c>
      <c r="E35" s="86"/>
      <c r="F35" s="46" t="s">
        <v>66</v>
      </c>
      <c r="G35" s="86"/>
      <c r="H35" s="13">
        <v>54513</v>
      </c>
      <c r="I35" s="95"/>
      <c r="J35" s="71"/>
      <c r="K35" s="95"/>
      <c r="L35" s="82"/>
      <c r="M35" s="95"/>
      <c r="N35" s="71"/>
      <c r="O35" s="95"/>
      <c r="P35" s="13">
        <v>2470.9086013816327</v>
      </c>
      <c r="Q35" s="95"/>
      <c r="R35" s="13">
        <f>T35-P35</f>
        <v>252.11380530236011</v>
      </c>
      <c r="S35" s="95"/>
      <c r="T35" s="71">
        <f>V35*H35*12/1000</f>
        <v>2723.0224066839928</v>
      </c>
      <c r="U35" s="95"/>
      <c r="V35" s="82">
        <v>4.1626498980120834</v>
      </c>
      <c r="W35" s="95"/>
      <c r="X35" s="15">
        <f t="shared" ref="X35" si="4">IFERROR(T35/P35,"")</f>
        <v>1.1020328332506464</v>
      </c>
      <c r="Y35" s="95"/>
      <c r="Z35" s="96"/>
      <c r="AA35" s="86"/>
      <c r="AB35" s="86"/>
      <c r="AC35" s="86"/>
    </row>
    <row r="36" spans="1:29" x14ac:dyDescent="0.25">
      <c r="A36" s="86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5"/>
      <c r="Z36" s="96"/>
      <c r="AA36" s="86"/>
      <c r="AB36" s="86"/>
      <c r="AC36" s="86"/>
    </row>
    <row r="37" spans="1:29" x14ac:dyDescent="0.25">
      <c r="A37" s="86"/>
      <c r="B37" s="65"/>
      <c r="C37" s="86"/>
      <c r="D37" s="49" t="s">
        <v>127</v>
      </c>
      <c r="E37" s="86"/>
      <c r="G37" s="86"/>
      <c r="H37" s="13"/>
      <c r="I37" s="95"/>
      <c r="J37" s="71"/>
      <c r="K37" s="95"/>
      <c r="L37" s="82"/>
      <c r="M37" s="95"/>
      <c r="N37" s="95"/>
      <c r="O37" s="95"/>
      <c r="P37" s="13"/>
      <c r="Q37" s="95"/>
      <c r="R37" s="95"/>
      <c r="S37" s="95"/>
      <c r="T37" s="71"/>
      <c r="U37" s="95"/>
      <c r="V37" s="82"/>
      <c r="W37" s="95"/>
      <c r="X37" s="95"/>
      <c r="Y37" s="95"/>
      <c r="Z37" s="96"/>
      <c r="AA37" s="86"/>
      <c r="AB37" s="86"/>
      <c r="AC37" s="86"/>
    </row>
    <row r="38" spans="1:29" x14ac:dyDescent="0.25">
      <c r="A38" s="86"/>
      <c r="B38" s="65">
        <f>MAX(B$15:B37)+1</f>
        <v>13</v>
      </c>
      <c r="C38" s="86"/>
      <c r="D38" s="47" t="s">
        <v>128</v>
      </c>
      <c r="E38" s="86"/>
      <c r="F38" s="46" t="s">
        <v>66</v>
      </c>
      <c r="G38" s="86"/>
      <c r="H38" s="13">
        <v>36927</v>
      </c>
      <c r="I38" s="95"/>
      <c r="J38" s="71"/>
      <c r="K38" s="95"/>
      <c r="L38" s="82"/>
      <c r="M38" s="95"/>
      <c r="N38" s="71"/>
      <c r="O38" s="95"/>
      <c r="P38" s="13">
        <v>0</v>
      </c>
      <c r="Q38" s="95"/>
      <c r="R38" s="13">
        <f t="shared" ref="R38:R45" si="5">T38-P38</f>
        <v>509.07614870037958</v>
      </c>
      <c r="S38" s="95"/>
      <c r="T38" s="71">
        <f>V38*H38*12/1000</f>
        <v>509.07614870037958</v>
      </c>
      <c r="U38" s="95"/>
      <c r="V38" s="82">
        <v>1.1488345219405394</v>
      </c>
      <c r="W38" s="95"/>
      <c r="X38" s="15" t="str">
        <f>IFERROR(T38/P38,"")</f>
        <v/>
      </c>
      <c r="Y38" s="95"/>
      <c r="Z38" s="96"/>
      <c r="AA38" s="86"/>
      <c r="AB38" s="86"/>
      <c r="AC38" s="86"/>
    </row>
    <row r="39" spans="1:29" x14ac:dyDescent="0.25">
      <c r="A39" s="86"/>
      <c r="B39" s="65">
        <f>MAX(B$15:B38)+1</f>
        <v>14</v>
      </c>
      <c r="C39" s="86"/>
      <c r="D39" s="47" t="s">
        <v>129</v>
      </c>
      <c r="E39" s="86"/>
      <c r="F39" s="46" t="s">
        <v>66</v>
      </c>
      <c r="G39" s="86"/>
      <c r="H39" s="13">
        <v>0</v>
      </c>
      <c r="I39" s="95"/>
      <c r="J39" s="71"/>
      <c r="K39" s="95"/>
      <c r="L39" s="82"/>
      <c r="M39" s="95"/>
      <c r="N39" s="71"/>
      <c r="O39" s="95"/>
      <c r="P39" s="13">
        <v>0</v>
      </c>
      <c r="Q39" s="95"/>
      <c r="R39" s="13">
        <f t="shared" si="5"/>
        <v>0</v>
      </c>
      <c r="S39" s="95"/>
      <c r="T39" s="71">
        <f>V39*H39*12/1000</f>
        <v>0</v>
      </c>
      <c r="U39" s="95"/>
      <c r="V39" s="82">
        <v>4.193246005082969</v>
      </c>
      <c r="W39" s="95"/>
      <c r="X39" s="15" t="str">
        <f>IFERROR(T39/P39,"")</f>
        <v/>
      </c>
      <c r="Y39" s="95"/>
      <c r="Z39" s="96"/>
      <c r="AA39" s="86"/>
      <c r="AB39" s="86"/>
      <c r="AC39" s="86"/>
    </row>
    <row r="40" spans="1:29" x14ac:dyDescent="0.25">
      <c r="A40" s="86"/>
      <c r="B40" s="65">
        <f>MAX(B$15:B39)+1</f>
        <v>15</v>
      </c>
      <c r="C40" s="86"/>
      <c r="D40" s="98" t="s">
        <v>130</v>
      </c>
      <c r="E40" s="86"/>
      <c r="F40" s="46" t="s">
        <v>66</v>
      </c>
      <c r="G40" s="86"/>
      <c r="H40" s="13">
        <v>1210000</v>
      </c>
      <c r="I40" s="95"/>
      <c r="J40" s="71"/>
      <c r="K40" s="95"/>
      <c r="L40" s="82"/>
      <c r="M40" s="95"/>
      <c r="N40" s="95"/>
      <c r="O40" s="95"/>
      <c r="P40" s="13">
        <v>18379.517238045271</v>
      </c>
      <c r="Q40" s="95"/>
      <c r="R40" s="13">
        <f t="shared" si="5"/>
        <v>0</v>
      </c>
      <c r="S40" s="95"/>
      <c r="T40" s="71">
        <f>V40*H40*12/1000</f>
        <v>18379.517238045271</v>
      </c>
      <c r="U40" s="95"/>
      <c r="V40" s="82">
        <v>1.2658069723171674</v>
      </c>
      <c r="W40" s="95"/>
      <c r="X40" s="15">
        <f t="shared" ref="X40:X45" si="6">IFERROR(T40/P40,"")</f>
        <v>1</v>
      </c>
      <c r="Y40" s="95"/>
      <c r="Z40" s="96"/>
      <c r="AA40" s="86"/>
      <c r="AB40" s="86"/>
      <c r="AC40" s="86"/>
    </row>
    <row r="41" spans="1:29" x14ac:dyDescent="0.25">
      <c r="A41" s="86"/>
      <c r="B41" s="65">
        <f>MAX(B$15:B40)+1</f>
        <v>16</v>
      </c>
      <c r="C41" s="86"/>
      <c r="D41" s="47" t="s">
        <v>131</v>
      </c>
      <c r="E41" s="86"/>
      <c r="F41" s="46" t="s">
        <v>66</v>
      </c>
      <c r="G41" s="86"/>
      <c r="H41" s="13">
        <v>203626</v>
      </c>
      <c r="I41" s="95"/>
      <c r="J41" s="71"/>
      <c r="K41" s="95"/>
      <c r="L41" s="82"/>
      <c r="M41" s="95"/>
      <c r="N41" s="71"/>
      <c r="O41" s="95"/>
      <c r="P41" s="13">
        <v>0</v>
      </c>
      <c r="Q41" s="95"/>
      <c r="R41" s="13">
        <f t="shared" si="5"/>
        <v>34.003754328717498</v>
      </c>
      <c r="S41" s="95"/>
      <c r="T41" s="71">
        <f>V41*H41*12/1000</f>
        <v>34.003754328717498</v>
      </c>
      <c r="U41" s="95"/>
      <c r="V41" s="82">
        <v>1.3915935067524735E-2</v>
      </c>
      <c r="W41" s="95"/>
      <c r="X41" s="15" t="str">
        <f>IFERROR(T41/P41,"")</f>
        <v/>
      </c>
      <c r="Y41" s="95"/>
      <c r="Z41" s="96"/>
      <c r="AA41" s="86"/>
      <c r="AB41" s="86"/>
      <c r="AC41" s="86"/>
    </row>
    <row r="42" spans="1:29" x14ac:dyDescent="0.25">
      <c r="A42" s="86"/>
      <c r="B42" s="65">
        <f>MAX(B$15:B41)+1</f>
        <v>17</v>
      </c>
      <c r="C42" s="86"/>
      <c r="D42" s="48" t="s">
        <v>119</v>
      </c>
      <c r="E42" s="86"/>
      <c r="F42" s="46" t="s">
        <v>66</v>
      </c>
      <c r="G42" s="86"/>
      <c r="H42" s="13">
        <v>110781</v>
      </c>
      <c r="I42" s="95"/>
      <c r="J42" s="71"/>
      <c r="K42" s="95"/>
      <c r="L42" s="82"/>
      <c r="M42" s="95"/>
      <c r="N42" s="71"/>
      <c r="O42" s="95"/>
      <c r="P42" s="13">
        <v>67.667627285681675</v>
      </c>
      <c r="Q42" s="95"/>
      <c r="R42" s="13">
        <f t="shared" si="5"/>
        <v>0</v>
      </c>
      <c r="S42" s="95"/>
      <c r="T42" s="71">
        <f>P42</f>
        <v>67.667627285681675</v>
      </c>
      <c r="U42" s="95"/>
      <c r="V42" s="82">
        <v>5.0999999999999997E-2</v>
      </c>
      <c r="W42" s="95"/>
      <c r="X42" s="15">
        <f t="shared" si="6"/>
        <v>1</v>
      </c>
      <c r="Y42" s="95"/>
      <c r="Z42" s="96"/>
      <c r="AA42" s="86"/>
      <c r="AB42" s="86"/>
      <c r="AC42" s="86"/>
    </row>
    <row r="43" spans="1:29" x14ac:dyDescent="0.25">
      <c r="A43" s="86"/>
      <c r="B43" s="65">
        <f>MAX(B$15:B42)+1</f>
        <v>18</v>
      </c>
      <c r="C43" s="86"/>
      <c r="D43" s="47" t="s">
        <v>132</v>
      </c>
      <c r="E43" s="86"/>
      <c r="F43" s="46" t="s">
        <v>66</v>
      </c>
      <c r="G43" s="86"/>
      <c r="H43" s="13">
        <v>500000</v>
      </c>
      <c r="I43" s="95"/>
      <c r="J43" s="71"/>
      <c r="K43" s="95"/>
      <c r="L43" s="82"/>
      <c r="M43" s="95"/>
      <c r="N43" s="71"/>
      <c r="O43" s="95"/>
      <c r="P43" s="13">
        <v>0</v>
      </c>
      <c r="Q43" s="95"/>
      <c r="R43" s="13">
        <v>141.15476268023593</v>
      </c>
      <c r="S43" s="95"/>
      <c r="T43" s="71">
        <v>141.15476268023593</v>
      </c>
      <c r="U43" s="95"/>
      <c r="V43" s="82">
        <v>2.0873902601287103E-2</v>
      </c>
      <c r="W43" s="95"/>
      <c r="X43" s="15" t="str">
        <f>IFERROR(T43/P43,"")</f>
        <v/>
      </c>
      <c r="Y43" s="95"/>
      <c r="Z43" s="96"/>
      <c r="AA43" s="86"/>
      <c r="AB43" s="86"/>
      <c r="AC43" s="86"/>
    </row>
    <row r="44" spans="1:29" x14ac:dyDescent="0.25">
      <c r="A44" s="86"/>
      <c r="B44" s="65">
        <f>MAX(B$15:B43)+1</f>
        <v>19</v>
      </c>
      <c r="C44" s="86"/>
      <c r="D44" s="47" t="s">
        <v>133</v>
      </c>
      <c r="E44" s="86"/>
      <c r="F44" s="46" t="s">
        <v>72</v>
      </c>
      <c r="G44" s="86"/>
      <c r="H44" s="13">
        <v>45665000</v>
      </c>
      <c r="I44" s="95"/>
      <c r="J44" s="13"/>
      <c r="K44" s="95"/>
      <c r="L44" s="82"/>
      <c r="M44" s="95"/>
      <c r="N44" s="71"/>
      <c r="O44" s="95"/>
      <c r="P44" s="13">
        <v>16.867807467082571</v>
      </c>
      <c r="Q44" s="95"/>
      <c r="R44" s="13">
        <f t="shared" si="5"/>
        <v>12796.834495032796</v>
      </c>
      <c r="S44" s="95"/>
      <c r="T44" s="13">
        <v>12813.702302499878</v>
      </c>
      <c r="U44" s="95"/>
      <c r="V44" s="82">
        <v>0</v>
      </c>
      <c r="W44" s="95"/>
      <c r="X44" s="15">
        <f t="shared" si="6"/>
        <v>759.6542898361713</v>
      </c>
      <c r="Y44" s="95"/>
      <c r="Z44" s="96"/>
      <c r="AA44" s="86"/>
      <c r="AB44" s="86"/>
      <c r="AC44" s="86"/>
    </row>
    <row r="45" spans="1:29" x14ac:dyDescent="0.25">
      <c r="A45" s="86"/>
      <c r="B45" s="65">
        <f>MAX(B$15:B44)+1</f>
        <v>20</v>
      </c>
      <c r="C45" s="86"/>
      <c r="D45" s="98" t="s">
        <v>134</v>
      </c>
      <c r="E45" s="86"/>
      <c r="F45" s="46" t="s">
        <v>66</v>
      </c>
      <c r="G45" s="86"/>
      <c r="H45" s="13">
        <v>91095.48</v>
      </c>
      <c r="I45" s="95"/>
      <c r="J45" s="71"/>
      <c r="K45" s="95"/>
      <c r="L45" s="82"/>
      <c r="M45" s="95"/>
      <c r="N45" s="71"/>
      <c r="O45" s="95"/>
      <c r="P45" s="13">
        <v>0</v>
      </c>
      <c r="Q45" s="95"/>
      <c r="R45" s="13">
        <f t="shared" si="5"/>
        <v>179.27590463999999</v>
      </c>
      <c r="S45" s="95"/>
      <c r="T45" s="71">
        <v>179.27590463999999</v>
      </c>
      <c r="U45" s="95"/>
      <c r="V45" s="82">
        <v>0.16400000000000001</v>
      </c>
      <c r="W45" s="95"/>
      <c r="X45" s="15" t="str">
        <f t="shared" si="6"/>
        <v/>
      </c>
      <c r="Y45" s="95"/>
      <c r="Z45" s="96"/>
      <c r="AA45" s="86"/>
      <c r="AB45" s="86"/>
      <c r="AC45" s="86"/>
    </row>
    <row r="46" spans="1:29" x14ac:dyDescent="0.25">
      <c r="A46" s="86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5"/>
      <c r="Z46" s="96"/>
      <c r="AA46" s="86"/>
      <c r="AB46" s="86"/>
      <c r="AC46" s="86"/>
    </row>
    <row r="47" spans="1:29" x14ac:dyDescent="0.25">
      <c r="A47" s="86"/>
      <c r="B47" s="65">
        <f>MAX(B$15:B46)+1</f>
        <v>21</v>
      </c>
      <c r="C47" s="86"/>
      <c r="D47" s="51" t="str">
        <f>"Total " &amp;LEFT(D22,6)</f>
        <v>Total Demand</v>
      </c>
      <c r="E47" s="51"/>
      <c r="F47" s="51"/>
      <c r="G47" s="51"/>
      <c r="H47" s="73">
        <f>SUM(H24:H45)</f>
        <v>51793354.313333333</v>
      </c>
      <c r="I47" s="70"/>
      <c r="J47" s="73">
        <v>142270.45494913991</v>
      </c>
      <c r="K47" s="71"/>
      <c r="L47" s="21">
        <f>J47/$H47*100</f>
        <v>0.27468862914042769</v>
      </c>
      <c r="M47" s="71"/>
      <c r="N47" s="73">
        <f>J47-P47</f>
        <v>27558.984108230972</v>
      </c>
      <c r="O47" s="14"/>
      <c r="P47" s="73">
        <f>SUM(P24:P45)</f>
        <v>114711.47084090894</v>
      </c>
      <c r="Q47" s="14"/>
      <c r="R47" s="73">
        <f>SUM(R24:R45)</f>
        <v>13660.345065382124</v>
      </c>
      <c r="S47" s="71"/>
      <c r="T47" s="73">
        <f>SUM(T24:T45)</f>
        <v>128371.81590629104</v>
      </c>
      <c r="U47" s="71"/>
      <c r="V47" s="21">
        <f>T47/$H47*100</f>
        <v>0.24785383686424778</v>
      </c>
      <c r="W47" s="71"/>
      <c r="X47" s="74">
        <f t="shared" ref="X47" si="7">T47/P47</f>
        <v>1.1190843859401591</v>
      </c>
      <c r="Y47" s="16"/>
      <c r="Z47" s="59">
        <f t="shared" ref="Z47" si="8">V47/L47-1</f>
        <v>-9.7691674970867837E-2</v>
      </c>
      <c r="AA47" s="86"/>
      <c r="AB47" s="86"/>
      <c r="AC47" s="86"/>
    </row>
    <row r="48" spans="1:29" x14ac:dyDescent="0.2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99"/>
      <c r="AA48" s="86"/>
      <c r="AB48" s="86"/>
      <c r="AC48" s="86"/>
    </row>
    <row r="49" spans="1:29" x14ac:dyDescent="0.25">
      <c r="A49" s="86"/>
      <c r="B49" s="65"/>
      <c r="D49" s="51" t="s">
        <v>135</v>
      </c>
      <c r="H49" s="12"/>
      <c r="AA49" s="86"/>
      <c r="AB49" s="86"/>
      <c r="AC49" s="86"/>
    </row>
    <row r="50" spans="1:29" x14ac:dyDescent="0.25">
      <c r="A50" s="86"/>
      <c r="B50" s="65">
        <f>MAX(B$15:B49)+1</f>
        <v>22</v>
      </c>
      <c r="D50" s="37" t="s">
        <v>136</v>
      </c>
      <c r="F50" s="46" t="s">
        <v>72</v>
      </c>
      <c r="H50" s="13">
        <v>402163120.17195404</v>
      </c>
      <c r="I50" s="97"/>
      <c r="J50" s="13"/>
      <c r="K50" s="97"/>
      <c r="L50" s="82"/>
      <c r="M50" s="97"/>
      <c r="N50" s="71"/>
      <c r="O50" s="97"/>
      <c r="P50" s="13">
        <v>14280.257475706929</v>
      </c>
      <c r="Q50" s="97"/>
      <c r="R50" s="13">
        <f>T50-P50</f>
        <v>-3.1972752185538411E-4</v>
      </c>
      <c r="S50" s="97"/>
      <c r="T50" s="13">
        <v>14280.257155979407</v>
      </c>
      <c r="U50" s="97"/>
      <c r="V50" s="82">
        <v>0</v>
      </c>
      <c r="W50" s="97"/>
      <c r="X50" s="15">
        <f>IFERROR(T50/P50,"")</f>
        <v>0.99999997761052117</v>
      </c>
      <c r="Y50" s="97"/>
      <c r="Z50" s="101"/>
      <c r="AA50" s="86"/>
      <c r="AB50" s="86"/>
      <c r="AC50" s="86"/>
    </row>
    <row r="51" spans="1:29" x14ac:dyDescent="0.25">
      <c r="A51" s="86"/>
      <c r="B51" s="65">
        <f>MAX(B$15:B50)+1</f>
        <v>23</v>
      </c>
      <c r="D51" s="37" t="s">
        <v>137</v>
      </c>
      <c r="E51" s="86"/>
      <c r="F51" s="46" t="s">
        <v>72</v>
      </c>
      <c r="G51" s="86"/>
      <c r="H51" s="13">
        <v>222367415.58668202</v>
      </c>
      <c r="I51" s="95"/>
      <c r="J51" s="13"/>
      <c r="K51" s="95"/>
      <c r="L51" s="82"/>
      <c r="M51" s="95"/>
      <c r="N51" s="71"/>
      <c r="O51" s="95"/>
      <c r="P51" s="13">
        <v>3993.1898919412884</v>
      </c>
      <c r="Q51" s="95"/>
      <c r="R51" s="13">
        <f>T51-P51</f>
        <v>-5.5851029082987225E-4</v>
      </c>
      <c r="S51" s="95"/>
      <c r="T51" s="13">
        <v>3993.1893334309975</v>
      </c>
      <c r="U51" s="97"/>
      <c r="V51" s="82">
        <v>0</v>
      </c>
      <c r="W51" s="97"/>
      <c r="X51" s="15">
        <f>IFERROR(T51/P51,"")</f>
        <v>0.9999998601343022</v>
      </c>
      <c r="Y51" s="97"/>
      <c r="Z51" s="101"/>
      <c r="AA51" s="86"/>
      <c r="AB51" s="86"/>
      <c r="AC51" s="86"/>
    </row>
    <row r="52" spans="1:29" x14ac:dyDescent="0.25">
      <c r="A52" s="86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101"/>
      <c r="AA52" s="86"/>
      <c r="AB52" s="86"/>
      <c r="AC52" s="86"/>
    </row>
    <row r="53" spans="1:29" x14ac:dyDescent="0.25">
      <c r="A53" s="86"/>
      <c r="B53" s="65">
        <f>MAX(B$15:B52)+1</f>
        <v>24</v>
      </c>
      <c r="D53" s="37" t="s">
        <v>138</v>
      </c>
      <c r="F53" s="46" t="s">
        <v>72</v>
      </c>
      <c r="H53" s="13"/>
      <c r="I53" s="95"/>
      <c r="J53" s="13"/>
      <c r="K53" s="95"/>
      <c r="L53" s="82"/>
      <c r="M53" s="95"/>
      <c r="N53" s="71"/>
      <c r="O53" s="95"/>
      <c r="P53" s="13">
        <v>2015.5564910699868</v>
      </c>
      <c r="Q53" s="95"/>
      <c r="R53" s="13">
        <f>T53-P53</f>
        <v>-1.0281587151439453E-4</v>
      </c>
      <c r="S53" s="95"/>
      <c r="T53" s="13">
        <v>2015.5563882541153</v>
      </c>
      <c r="U53" s="97"/>
      <c r="V53" s="82">
        <v>0</v>
      </c>
      <c r="W53" s="97"/>
      <c r="X53" s="15">
        <f>IFERROR(T53/P53,"")</f>
        <v>0.99999994898884159</v>
      </c>
      <c r="Y53" s="97"/>
      <c r="Z53" s="101"/>
      <c r="AA53" s="86"/>
      <c r="AB53" s="86"/>
      <c r="AC53" s="86"/>
    </row>
    <row r="54" spans="1:29" x14ac:dyDescent="0.25">
      <c r="A54" s="86"/>
      <c r="B54" s="65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101"/>
      <c r="AA54" s="86"/>
      <c r="AB54" s="86"/>
      <c r="AC54" s="86"/>
    </row>
    <row r="55" spans="1:29" x14ac:dyDescent="0.25">
      <c r="A55" s="86"/>
      <c r="B55" s="65">
        <f>MAX(B$15:B54)+1</f>
        <v>25</v>
      </c>
      <c r="D55" s="51" t="str">
        <f>"Total " &amp;D49</f>
        <v>Total Commodity</v>
      </c>
      <c r="H55" s="73">
        <f>SUM(H50:H53)</f>
        <v>624530535.758636</v>
      </c>
      <c r="I55" s="70"/>
      <c r="J55" s="73">
        <v>16203.307197464526</v>
      </c>
      <c r="K55" s="71"/>
      <c r="L55" s="21">
        <f>J55/$H55*100</f>
        <v>2.5944779750091615E-3</v>
      </c>
      <c r="M55" s="71"/>
      <c r="N55" s="73">
        <f>J55-P55</f>
        <v>-4085.6966612536762</v>
      </c>
      <c r="O55" s="14"/>
      <c r="P55" s="73">
        <f>SUM(P50:P53)</f>
        <v>20289.003858718203</v>
      </c>
      <c r="Q55" s="14"/>
      <c r="R55" s="73">
        <f>SUM(R50:R53)</f>
        <v>-9.8105368419965089E-4</v>
      </c>
      <c r="S55" s="71"/>
      <c r="T55" s="73">
        <f>SUM(T50:T53)</f>
        <v>20289.002877664519</v>
      </c>
      <c r="U55" s="71"/>
      <c r="V55" s="21">
        <f>T55/$H55*100</f>
        <v>3.2486806834863338E-3</v>
      </c>
      <c r="W55" s="71"/>
      <c r="X55" s="74">
        <f t="shared" ref="X55" si="9">T55/P55</f>
        <v>0.99999995164603994</v>
      </c>
      <c r="Y55" s="16"/>
      <c r="Z55" s="59">
        <f t="shared" ref="Z55" si="10">V55/L55-1</f>
        <v>0.25215196073301116</v>
      </c>
      <c r="AA55" s="86"/>
      <c r="AB55" s="86"/>
      <c r="AC55" s="86"/>
    </row>
    <row r="56" spans="1:29" x14ac:dyDescent="0.25">
      <c r="A56" s="86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101"/>
      <c r="AA56" s="86"/>
      <c r="AB56" s="86"/>
      <c r="AC56" s="86"/>
    </row>
    <row r="57" spans="1:29" ht="15.75" thickBot="1" x14ac:dyDescent="0.3">
      <c r="A57" s="86"/>
      <c r="B57" s="65">
        <f>MAX(B$15:B56)+1</f>
        <v>26</v>
      </c>
      <c r="D57" s="51" t="str">
        <f>"Total " &amp;D21</f>
        <v>Total Rate E70</v>
      </c>
      <c r="H57" s="76">
        <f>H47+H55</f>
        <v>676323890.07196927</v>
      </c>
      <c r="I57" s="70"/>
      <c r="J57" s="76">
        <f>J47+J55</f>
        <v>158473.76214660442</v>
      </c>
      <c r="K57" s="71"/>
      <c r="L57" s="24">
        <f>J57/$H57*100</f>
        <v>2.343163748507255E-2</v>
      </c>
      <c r="M57" s="71"/>
      <c r="N57" s="76">
        <f>J57-P57</f>
        <v>23473.28744697728</v>
      </c>
      <c r="O57" s="14"/>
      <c r="P57" s="76">
        <f>P47+P55</f>
        <v>135000.47469962714</v>
      </c>
      <c r="Q57" s="14"/>
      <c r="R57" s="76">
        <f>R47+R55</f>
        <v>13660.344084328439</v>
      </c>
      <c r="S57" s="71"/>
      <c r="T57" s="76">
        <f>T47+T55</f>
        <v>148660.81878395556</v>
      </c>
      <c r="U57" s="71"/>
      <c r="V57" s="24">
        <f>T57/$H57*100</f>
        <v>2.1980713821618248E-2</v>
      </c>
      <c r="W57" s="71"/>
      <c r="X57" s="77">
        <f t="shared" ref="X57" si="11">T57/P57</f>
        <v>1.1011873781534647</v>
      </c>
      <c r="Y57" s="16"/>
      <c r="Z57" s="58">
        <f t="shared" ref="Z57" si="12">V57/L57-1</f>
        <v>-6.1921564994278921E-2</v>
      </c>
      <c r="AA57" s="86"/>
      <c r="AB57" s="86"/>
      <c r="AC57" s="86"/>
    </row>
    <row r="58" spans="1:29" ht="15.75" thickTop="1" x14ac:dyDescent="0.25">
      <c r="A58" s="86"/>
      <c r="AA58" s="86"/>
      <c r="AB58" s="86"/>
      <c r="AC58" s="86"/>
    </row>
    <row r="59" spans="1:29" x14ac:dyDescent="0.25">
      <c r="A59" s="86"/>
      <c r="AA59" s="86"/>
      <c r="AB59" s="86"/>
      <c r="AC59" s="86"/>
    </row>
    <row r="60" spans="1:29" x14ac:dyDescent="0.25">
      <c r="A60" s="86"/>
      <c r="AA60" s="86"/>
      <c r="AB60" s="86"/>
      <c r="AC60" s="86"/>
    </row>
    <row r="61" spans="1:29" x14ac:dyDescent="0.25">
      <c r="A61" s="86"/>
      <c r="B61" s="86"/>
      <c r="C61" s="86"/>
      <c r="U61" s="86"/>
      <c r="V61" s="86"/>
      <c r="W61" s="86"/>
      <c r="X61" s="86"/>
      <c r="Y61" s="86"/>
      <c r="Z61" s="99"/>
      <c r="AA61" s="86"/>
      <c r="AB61" s="86"/>
      <c r="AC61" s="86"/>
    </row>
    <row r="62" spans="1:29" ht="70.900000000000006" customHeight="1" x14ac:dyDescent="0.25">
      <c r="A62" s="86"/>
      <c r="AA62" s="86"/>
      <c r="AB62" s="86"/>
      <c r="AC62" s="86"/>
    </row>
    <row r="63" spans="1:29" x14ac:dyDescent="0.25">
      <c r="A63" s="86"/>
      <c r="B63" s="3" t="s">
        <v>139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55"/>
      <c r="AA63" s="86"/>
      <c r="AB63" s="86"/>
      <c r="AC63" s="86"/>
    </row>
    <row r="64" spans="1:29" x14ac:dyDescent="0.25">
      <c r="A64" s="86"/>
      <c r="B64" s="3" t="s">
        <v>108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55"/>
      <c r="AA64" s="86"/>
      <c r="AB64" s="86"/>
      <c r="AC64" s="86"/>
    </row>
    <row r="65" spans="1:29" x14ac:dyDescent="0.25">
      <c r="A65" s="86"/>
      <c r="B65" s="61"/>
      <c r="C65" s="61"/>
      <c r="D65" s="61"/>
      <c r="E65" s="61"/>
      <c r="F65" s="62"/>
      <c r="G65" s="61"/>
      <c r="H65" s="62"/>
      <c r="I65" s="61"/>
      <c r="J65" s="62"/>
      <c r="K65" s="62"/>
      <c r="L65" s="62"/>
      <c r="M65" s="62"/>
      <c r="N65" s="62"/>
      <c r="O65" s="61"/>
      <c r="P65" s="61"/>
      <c r="Q65" s="61"/>
      <c r="R65" s="61"/>
      <c r="S65" s="61"/>
      <c r="T65" s="61"/>
      <c r="U65" s="61"/>
      <c r="V65" s="61"/>
      <c r="W65" s="61"/>
      <c r="X65" s="5"/>
      <c r="Y65" s="2"/>
      <c r="Z65" s="56"/>
      <c r="AA65" s="86"/>
      <c r="AB65" s="86"/>
      <c r="AC65" s="86"/>
    </row>
    <row r="66" spans="1:29" x14ac:dyDescent="0.25">
      <c r="A66" s="86"/>
      <c r="B66" s="62"/>
      <c r="C66" s="62"/>
      <c r="D66" s="62"/>
      <c r="E66" s="62"/>
      <c r="F66" s="61"/>
      <c r="G66" s="62"/>
      <c r="H66" s="61"/>
      <c r="I66" s="62"/>
      <c r="J66" s="63" t="s">
        <v>2</v>
      </c>
      <c r="K66" s="63"/>
      <c r="L66" s="63"/>
      <c r="M66" s="62"/>
      <c r="N66" s="62"/>
      <c r="O66" s="62"/>
      <c r="P66" s="63" t="s">
        <v>3</v>
      </c>
      <c r="Q66" s="63"/>
      <c r="R66" s="63"/>
      <c r="S66" s="63"/>
      <c r="T66" s="63"/>
      <c r="U66" s="63"/>
      <c r="V66" s="63"/>
      <c r="W66" s="63"/>
      <c r="X66" s="6"/>
      <c r="Y66" s="6"/>
      <c r="Z66" s="57"/>
      <c r="AA66" s="86"/>
      <c r="AB66" s="86"/>
      <c r="AC66" s="86"/>
    </row>
    <row r="67" spans="1:29" x14ac:dyDescent="0.25">
      <c r="A67" s="86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5"/>
      <c r="Y67" s="2"/>
      <c r="Z67" s="56"/>
      <c r="AA67" s="86"/>
      <c r="AB67" s="86"/>
      <c r="AC67" s="86"/>
    </row>
    <row r="68" spans="1:29" ht="39" x14ac:dyDescent="0.25">
      <c r="A68" s="86"/>
      <c r="B68" s="64" t="s">
        <v>4</v>
      </c>
      <c r="C68" s="64"/>
      <c r="D68" s="64"/>
      <c r="E68" s="64"/>
      <c r="F68" s="65" t="s">
        <v>5</v>
      </c>
      <c r="G68" s="64"/>
      <c r="H68" s="7" t="s">
        <v>140</v>
      </c>
      <c r="I68" s="64"/>
      <c r="J68" s="7" t="s">
        <v>7</v>
      </c>
      <c r="K68" s="7"/>
      <c r="L68" s="7" t="s">
        <v>8</v>
      </c>
      <c r="M68" s="64"/>
      <c r="N68" s="7" t="s">
        <v>9</v>
      </c>
      <c r="O68" s="64"/>
      <c r="P68" s="64" t="s">
        <v>10</v>
      </c>
      <c r="Q68" s="64"/>
      <c r="R68" s="7" t="s">
        <v>9</v>
      </c>
      <c r="S68" s="64"/>
      <c r="T68" s="7" t="s">
        <v>7</v>
      </c>
      <c r="U68" s="64"/>
      <c r="V68" s="7" t="s">
        <v>8</v>
      </c>
      <c r="W68" s="64"/>
      <c r="X68" s="64" t="s">
        <v>12</v>
      </c>
      <c r="Y68" s="64"/>
      <c r="Z68" s="88" t="s">
        <v>13</v>
      </c>
      <c r="AA68" s="86"/>
      <c r="AB68" s="86"/>
      <c r="AC68" s="86"/>
    </row>
    <row r="69" spans="1:29" x14ac:dyDescent="0.25">
      <c r="A69" s="86"/>
      <c r="B69" s="66" t="s">
        <v>14</v>
      </c>
      <c r="C69" s="67"/>
      <c r="D69" s="68" t="s">
        <v>15</v>
      </c>
      <c r="E69" s="65"/>
      <c r="F69" s="66" t="s">
        <v>16</v>
      </c>
      <c r="G69" s="65"/>
      <c r="H69" s="66" t="s">
        <v>109</v>
      </c>
      <c r="I69" s="65"/>
      <c r="J69" s="66" t="s">
        <v>18</v>
      </c>
      <c r="K69" s="2"/>
      <c r="L69" s="66" t="s">
        <v>92</v>
      </c>
      <c r="M69" s="65"/>
      <c r="N69" s="66" t="s">
        <v>18</v>
      </c>
      <c r="O69" s="65"/>
      <c r="P69" s="66" t="s">
        <v>18</v>
      </c>
      <c r="Q69" s="65"/>
      <c r="R69" s="66" t="s">
        <v>18</v>
      </c>
      <c r="S69" s="65"/>
      <c r="T69" s="66" t="s">
        <v>18</v>
      </c>
      <c r="U69" s="65"/>
      <c r="V69" s="66" t="s">
        <v>92</v>
      </c>
      <c r="W69" s="65"/>
      <c r="X69" s="66" t="s">
        <v>20</v>
      </c>
      <c r="Y69" s="65"/>
      <c r="Z69" s="89" t="s">
        <v>21</v>
      </c>
      <c r="AA69" s="86"/>
      <c r="AB69" s="86"/>
      <c r="AC69" s="86"/>
    </row>
    <row r="70" spans="1:29" x14ac:dyDescent="0.25">
      <c r="A70" s="86"/>
      <c r="B70" s="65"/>
      <c r="C70" s="67"/>
      <c r="D70" s="67"/>
      <c r="E70" s="65"/>
      <c r="F70" s="65"/>
      <c r="G70" s="65"/>
      <c r="H70" s="65" t="s">
        <v>22</v>
      </c>
      <c r="I70" s="65"/>
      <c r="J70" s="65" t="s">
        <v>23</v>
      </c>
      <c r="K70" s="65"/>
      <c r="L70" s="65" t="s">
        <v>24</v>
      </c>
      <c r="M70" s="65"/>
      <c r="N70" s="65" t="s">
        <v>25</v>
      </c>
      <c r="O70" s="65"/>
      <c r="P70" s="65" t="s">
        <v>26</v>
      </c>
      <c r="Q70" s="65"/>
      <c r="R70" s="65" t="s">
        <v>110</v>
      </c>
      <c r="S70" s="65"/>
      <c r="T70" s="69" t="s">
        <v>28</v>
      </c>
      <c r="U70" s="65"/>
      <c r="V70" s="69" t="s">
        <v>29</v>
      </c>
      <c r="W70" s="65"/>
      <c r="X70" s="69" t="s">
        <v>111</v>
      </c>
      <c r="Y70" s="65"/>
      <c r="Z70" s="90" t="s">
        <v>31</v>
      </c>
      <c r="AA70" s="86"/>
      <c r="AB70" s="86"/>
      <c r="AC70" s="86"/>
    </row>
    <row r="71" spans="1:29" x14ac:dyDescent="0.25">
      <c r="A71" s="86"/>
      <c r="B71" s="86"/>
      <c r="C71" s="86"/>
      <c r="AA71" s="86"/>
      <c r="AB71" s="86"/>
      <c r="AC71" s="86"/>
    </row>
    <row r="72" spans="1:29" x14ac:dyDescent="0.25">
      <c r="A72" s="86"/>
      <c r="B72" s="86"/>
      <c r="C72" s="86"/>
      <c r="D72" s="102" t="s">
        <v>141</v>
      </c>
      <c r="E72" s="86"/>
      <c r="F72" s="4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99"/>
      <c r="AA72" s="86"/>
      <c r="AB72" s="86"/>
      <c r="AC72" s="86"/>
    </row>
    <row r="73" spans="1:29" x14ac:dyDescent="0.25">
      <c r="A73" s="86"/>
      <c r="B73" s="65">
        <f>MAX(B$15:B72)+1</f>
        <v>27</v>
      </c>
      <c r="C73" s="86"/>
      <c r="D73" s="37" t="s">
        <v>113</v>
      </c>
      <c r="E73" s="86"/>
      <c r="F73" s="46" t="s">
        <v>34</v>
      </c>
      <c r="G73" s="86"/>
      <c r="H73" s="13">
        <v>24</v>
      </c>
      <c r="I73" s="95"/>
      <c r="J73" s="71"/>
      <c r="K73" s="95"/>
      <c r="L73" s="72"/>
      <c r="M73" s="95"/>
      <c r="N73" s="71"/>
      <c r="O73" s="95"/>
      <c r="P73" s="13">
        <v>0</v>
      </c>
      <c r="Q73" s="95"/>
      <c r="R73" s="13">
        <f>T73-P73</f>
        <v>40.065047932398556</v>
      </c>
      <c r="S73" s="95"/>
      <c r="T73" s="71">
        <f>V73*H73/1000</f>
        <v>40.065047932398556</v>
      </c>
      <c r="U73" s="95"/>
      <c r="V73" s="72">
        <v>1669.3769971832733</v>
      </c>
      <c r="W73" s="95"/>
      <c r="X73" s="15" t="str">
        <f>IFERROR(T73/P73,"")</f>
        <v/>
      </c>
      <c r="Y73" s="95"/>
      <c r="Z73" s="96"/>
      <c r="AA73" s="86"/>
      <c r="AB73" s="86"/>
      <c r="AC73" s="86"/>
    </row>
    <row r="74" spans="1:29" x14ac:dyDescent="0.25">
      <c r="A74" s="86"/>
      <c r="B74" s="65">
        <f>MAX(B$15:B73)+1</f>
        <v>28</v>
      </c>
      <c r="C74" s="86"/>
      <c r="D74" s="37" t="s">
        <v>142</v>
      </c>
      <c r="E74" s="86"/>
      <c r="F74" s="46" t="s">
        <v>72</v>
      </c>
      <c r="G74" s="86"/>
      <c r="H74" s="13">
        <v>5198226.8965517245</v>
      </c>
      <c r="I74" s="95"/>
      <c r="J74" s="71"/>
      <c r="K74" s="95"/>
      <c r="L74" s="82"/>
      <c r="M74" s="95"/>
      <c r="N74" s="71"/>
      <c r="O74" s="95"/>
      <c r="P74" s="13">
        <v>0</v>
      </c>
      <c r="Q74" s="95"/>
      <c r="R74" s="13">
        <f>T74-P74</f>
        <v>214.62668596278408</v>
      </c>
      <c r="S74" s="95"/>
      <c r="T74" s="71">
        <f>V74*H74/1000</f>
        <v>214.62668596278408</v>
      </c>
      <c r="U74" s="95"/>
      <c r="V74" s="82">
        <v>4.1288441276997351E-2</v>
      </c>
      <c r="W74" s="95"/>
      <c r="X74" s="15" t="str">
        <f>IFERROR(T74/P74,"")</f>
        <v/>
      </c>
      <c r="Y74" s="95"/>
      <c r="Z74" s="96"/>
      <c r="AA74" s="86"/>
      <c r="AB74" s="86"/>
      <c r="AC74" s="86"/>
    </row>
    <row r="75" spans="1:29" x14ac:dyDescent="0.25">
      <c r="A75" s="86"/>
      <c r="B75" s="65">
        <f>MAX(B$15:B74)+1</f>
        <v>29</v>
      </c>
      <c r="C75" s="86"/>
      <c r="D75" s="37" t="s">
        <v>143</v>
      </c>
      <c r="E75" s="86"/>
      <c r="F75" s="46"/>
      <c r="G75" s="86"/>
      <c r="H75" s="13"/>
      <c r="I75" s="95"/>
      <c r="J75" s="71"/>
      <c r="K75" s="95"/>
      <c r="L75" s="82"/>
      <c r="M75" s="95"/>
      <c r="N75" s="95"/>
      <c r="O75" s="95"/>
      <c r="P75" s="13"/>
      <c r="Q75" s="95"/>
      <c r="R75" s="95"/>
      <c r="S75" s="95"/>
      <c r="T75" s="71"/>
      <c r="U75" s="95"/>
      <c r="V75" s="82"/>
      <c r="W75" s="95"/>
      <c r="X75" s="95"/>
      <c r="Y75" s="95"/>
      <c r="Z75" s="96"/>
      <c r="AA75" s="86"/>
      <c r="AB75" s="86"/>
      <c r="AC75" s="86"/>
    </row>
    <row r="76" spans="1:29" x14ac:dyDescent="0.25">
      <c r="A76" s="86"/>
      <c r="B76" s="65">
        <f>MAX(B$15:B75)+1</f>
        <v>30</v>
      </c>
      <c r="C76" s="86"/>
      <c r="D76" s="37" t="s">
        <v>144</v>
      </c>
      <c r="E76" s="86"/>
      <c r="F76" s="46" t="s">
        <v>145</v>
      </c>
      <c r="G76" s="86"/>
      <c r="H76" s="13">
        <v>7333.333333333333</v>
      </c>
      <c r="I76" s="95"/>
      <c r="J76" s="71"/>
      <c r="K76" s="95"/>
      <c r="L76" s="82"/>
      <c r="M76" s="95"/>
      <c r="N76" s="71"/>
      <c r="O76" s="95"/>
      <c r="P76" s="13">
        <v>4.0222614449731999</v>
      </c>
      <c r="Q76" s="95"/>
      <c r="R76" s="13">
        <f t="shared" ref="R76:R84" si="13">T76-P76</f>
        <v>97.075176485794273</v>
      </c>
      <c r="S76" s="95"/>
      <c r="T76" s="71">
        <f>V76*H76*12/1000</f>
        <v>101.09743793076747</v>
      </c>
      <c r="U76" s="95"/>
      <c r="V76" s="82">
        <v>1.1488345219405394</v>
      </c>
      <c r="W76" s="95"/>
      <c r="X76" s="15">
        <f>IFERROR(T76/P76,"")</f>
        <v>25.13447703831223</v>
      </c>
      <c r="Y76" s="95"/>
      <c r="Z76" s="96"/>
      <c r="AA76" s="86"/>
      <c r="AB76" s="86"/>
      <c r="AC76" s="86"/>
    </row>
    <row r="77" spans="1:29" x14ac:dyDescent="0.25">
      <c r="A77" s="86"/>
      <c r="B77" s="65">
        <f>MAX(B$15:B76)+1</f>
        <v>31</v>
      </c>
      <c r="C77" s="86"/>
      <c r="D77" s="37" t="s">
        <v>146</v>
      </c>
      <c r="E77" s="86"/>
      <c r="F77" s="46" t="s">
        <v>72</v>
      </c>
      <c r="G77" s="86"/>
      <c r="H77" s="13">
        <v>655235.89655172406</v>
      </c>
      <c r="I77" s="95"/>
      <c r="J77" s="71"/>
      <c r="K77" s="95"/>
      <c r="L77" s="82"/>
      <c r="M77" s="95"/>
      <c r="N77" s="71"/>
      <c r="O77" s="95"/>
      <c r="P77" s="13">
        <v>10.448574332140192</v>
      </c>
      <c r="Q77" s="95"/>
      <c r="R77" s="13">
        <f t="shared" si="13"/>
        <v>-4.3685872697096784E-9</v>
      </c>
      <c r="S77" s="95"/>
      <c r="T77" s="71">
        <f>V77*H77/1000</f>
        <v>10.448574327771604</v>
      </c>
      <c r="U77" s="95"/>
      <c r="V77" s="82">
        <v>1.59462788634731E-2</v>
      </c>
      <c r="W77" s="95"/>
      <c r="X77" s="15">
        <f t="shared" ref="X77:X87" si="14">IFERROR(T77/P77,"")</f>
        <v>0.99999999958189634</v>
      </c>
      <c r="Y77" s="95"/>
      <c r="Z77" s="96"/>
      <c r="AA77" s="86"/>
      <c r="AB77" s="86"/>
      <c r="AC77" s="86"/>
    </row>
    <row r="78" spans="1:29" x14ac:dyDescent="0.25">
      <c r="A78" s="86"/>
      <c r="B78" s="65">
        <f>MAX(B$15:B77)+1</f>
        <v>32</v>
      </c>
      <c r="C78" s="86"/>
      <c r="D78" s="37" t="s">
        <v>147</v>
      </c>
      <c r="F78" s="46" t="s">
        <v>72</v>
      </c>
      <c r="H78" s="13">
        <v>642043</v>
      </c>
      <c r="I78" s="97"/>
      <c r="J78" s="71"/>
      <c r="K78" s="97"/>
      <c r="L78" s="82"/>
      <c r="M78" s="97"/>
      <c r="N78" s="71"/>
      <c r="O78" s="97"/>
      <c r="P78" s="13">
        <v>23.443650525938015</v>
      </c>
      <c r="Q78" s="97"/>
      <c r="R78" s="13">
        <f t="shared" si="13"/>
        <v>-9.8018766436780425E-9</v>
      </c>
      <c r="S78" s="97"/>
      <c r="T78" s="71">
        <f>V78*H78/1000</f>
        <v>23.443650516136138</v>
      </c>
      <c r="U78" s="95"/>
      <c r="V78" s="82">
        <v>3.6514143937611869E-2</v>
      </c>
      <c r="W78" s="95"/>
      <c r="X78" s="15">
        <f t="shared" si="14"/>
        <v>0.99999999958189634</v>
      </c>
      <c r="Y78" s="95"/>
      <c r="Z78" s="96"/>
      <c r="AA78" s="86"/>
      <c r="AB78" s="86"/>
      <c r="AC78" s="86"/>
    </row>
    <row r="79" spans="1:29" x14ac:dyDescent="0.25">
      <c r="A79" s="86"/>
      <c r="B79" s="65">
        <f>MAX(B$15:B78)+1</f>
        <v>33</v>
      </c>
      <c r="C79" s="86"/>
      <c r="D79" s="37" t="s">
        <v>148</v>
      </c>
      <c r="E79" s="86"/>
      <c r="F79" s="46" t="s">
        <v>72</v>
      </c>
      <c r="G79" s="86"/>
      <c r="H79" s="13">
        <v>4542991</v>
      </c>
      <c r="I79" s="95"/>
      <c r="J79" s="71"/>
      <c r="K79" s="95"/>
      <c r="L79" s="82"/>
      <c r="M79" s="95"/>
      <c r="N79" s="71"/>
      <c r="O79" s="95"/>
      <c r="P79" s="13">
        <v>72.443801390537558</v>
      </c>
      <c r="Q79" s="95"/>
      <c r="R79" s="13">
        <f t="shared" si="13"/>
        <v>-3.0289044161690981E-8</v>
      </c>
      <c r="S79" s="95"/>
      <c r="T79" s="71">
        <f t="shared" ref="T79:T80" si="15">V79*H79/1000</f>
        <v>72.443801360248514</v>
      </c>
      <c r="U79" s="95"/>
      <c r="V79" s="82">
        <v>1.59462788634731E-2</v>
      </c>
      <c r="W79" s="95"/>
      <c r="X79" s="15">
        <f t="shared" si="14"/>
        <v>0.999999999581896</v>
      </c>
      <c r="Y79" s="95"/>
      <c r="Z79" s="96"/>
      <c r="AA79" s="86"/>
      <c r="AB79" s="86"/>
      <c r="AC79" s="86"/>
    </row>
    <row r="80" spans="1:29" x14ac:dyDescent="0.25">
      <c r="A80" s="86"/>
      <c r="B80" s="65">
        <f>MAX(B$15:B79)+1</f>
        <v>34</v>
      </c>
      <c r="C80" s="86"/>
      <c r="D80" s="37" t="s">
        <v>149</v>
      </c>
      <c r="E80" s="86"/>
      <c r="F80" s="46" t="s">
        <v>72</v>
      </c>
      <c r="G80" s="86"/>
      <c r="H80" s="13">
        <v>5048908.75</v>
      </c>
      <c r="I80" s="95"/>
      <c r="J80" s="71"/>
      <c r="K80" s="95"/>
      <c r="L80" s="82"/>
      <c r="M80" s="95"/>
      <c r="N80" s="71"/>
      <c r="O80" s="95"/>
      <c r="P80" s="13">
        <v>184.35658090244817</v>
      </c>
      <c r="Q80" s="95"/>
      <c r="R80" s="13">
        <f t="shared" si="13"/>
        <v>-7.7080130722606555E-8</v>
      </c>
      <c r="S80" s="95"/>
      <c r="T80" s="71">
        <f t="shared" si="15"/>
        <v>184.35658082536804</v>
      </c>
      <c r="U80" s="95"/>
      <c r="V80" s="82">
        <v>3.6514143937611869E-2</v>
      </c>
      <c r="W80" s="95"/>
      <c r="X80" s="15">
        <f t="shared" si="14"/>
        <v>0.99999999958189656</v>
      </c>
      <c r="Y80" s="95"/>
      <c r="Z80" s="96"/>
      <c r="AA80" s="86"/>
      <c r="AB80" s="86"/>
      <c r="AC80" s="86"/>
    </row>
    <row r="81" spans="1:29" x14ac:dyDescent="0.25">
      <c r="A81" s="86"/>
      <c r="B81" s="65">
        <f>MAX(B$15:B80)+1</f>
        <v>35</v>
      </c>
      <c r="C81" s="86"/>
      <c r="D81" s="37" t="s">
        <v>150</v>
      </c>
      <c r="E81" s="86"/>
      <c r="F81" s="46"/>
      <c r="G81" s="86"/>
      <c r="H81" s="13"/>
      <c r="I81" s="95"/>
      <c r="J81" s="71"/>
      <c r="K81" s="95"/>
      <c r="L81" s="82"/>
      <c r="M81" s="95"/>
      <c r="N81" s="71"/>
      <c r="O81" s="95"/>
      <c r="P81" s="13"/>
      <c r="Q81" s="95"/>
      <c r="R81" s="13">
        <f t="shared" si="13"/>
        <v>0</v>
      </c>
      <c r="S81" s="95"/>
      <c r="T81" s="71"/>
      <c r="U81" s="95"/>
      <c r="V81" s="82"/>
      <c r="W81" s="95"/>
      <c r="X81" s="95"/>
      <c r="Y81" s="95"/>
      <c r="Z81" s="96"/>
      <c r="AA81" s="86"/>
      <c r="AB81" s="86"/>
      <c r="AC81" s="86"/>
    </row>
    <row r="82" spans="1:29" x14ac:dyDescent="0.25">
      <c r="A82" s="86"/>
      <c r="B82" s="65">
        <f>MAX(B$15:B81)+1</f>
        <v>36</v>
      </c>
      <c r="C82" s="86"/>
      <c r="D82" s="37" t="s">
        <v>144</v>
      </c>
      <c r="E82" s="86"/>
      <c r="F82" s="46" t="s">
        <v>145</v>
      </c>
      <c r="G82" s="86"/>
      <c r="H82" s="13">
        <v>0</v>
      </c>
      <c r="I82" s="95"/>
      <c r="J82" s="71"/>
      <c r="K82" s="95"/>
      <c r="L82" s="82"/>
      <c r="M82" s="95"/>
      <c r="N82" s="71"/>
      <c r="O82" s="95"/>
      <c r="P82" s="13">
        <v>0</v>
      </c>
      <c r="Q82" s="95"/>
      <c r="R82" s="13">
        <f t="shared" si="13"/>
        <v>0</v>
      </c>
      <c r="S82" s="95"/>
      <c r="T82" s="71">
        <v>0</v>
      </c>
      <c r="U82" s="95"/>
      <c r="V82" s="82">
        <v>1.0162640128681268</v>
      </c>
      <c r="W82" s="95"/>
      <c r="X82" s="15" t="str">
        <f t="shared" si="14"/>
        <v/>
      </c>
      <c r="Y82" s="95"/>
      <c r="Z82" s="96"/>
      <c r="AA82" s="86"/>
      <c r="AB82" s="86"/>
      <c r="AC82" s="86"/>
    </row>
    <row r="83" spans="1:29" x14ac:dyDescent="0.25">
      <c r="A83" s="86"/>
      <c r="B83" s="65">
        <f>MAX(B$15:B82)+1</f>
        <v>37</v>
      </c>
      <c r="C83" s="86"/>
      <c r="D83" s="37" t="s">
        <v>151</v>
      </c>
      <c r="E83" s="86"/>
      <c r="F83" s="46" t="s">
        <v>72</v>
      </c>
      <c r="G83" s="86"/>
      <c r="H83" s="13">
        <v>0</v>
      </c>
      <c r="I83" s="95"/>
      <c r="J83" s="71"/>
      <c r="K83" s="95"/>
      <c r="L83" s="82"/>
      <c r="M83" s="95"/>
      <c r="N83" s="71"/>
      <c r="O83" s="95"/>
      <c r="P83" s="13">
        <v>0</v>
      </c>
      <c r="Q83" s="95"/>
      <c r="R83" s="13">
        <f t="shared" si="13"/>
        <v>0</v>
      </c>
      <c r="S83" s="95"/>
      <c r="T83" s="71">
        <v>0</v>
      </c>
      <c r="U83" s="95"/>
      <c r="V83" s="82">
        <v>1.59462788634731E-2</v>
      </c>
      <c r="W83" s="95"/>
      <c r="X83" s="15" t="str">
        <f t="shared" si="14"/>
        <v/>
      </c>
      <c r="Y83" s="95"/>
      <c r="Z83" s="96"/>
      <c r="AA83" s="86"/>
      <c r="AB83" s="86"/>
      <c r="AC83" s="86"/>
    </row>
    <row r="84" spans="1:29" x14ac:dyDescent="0.25">
      <c r="A84" s="86"/>
      <c r="B84" s="65">
        <f>MAX(B$15:B83)+1</f>
        <v>38</v>
      </c>
      <c r="C84" s="86"/>
      <c r="D84" s="37" t="s">
        <v>152</v>
      </c>
      <c r="E84" s="86"/>
      <c r="F84" s="46" t="s">
        <v>72</v>
      </c>
      <c r="G84" s="86"/>
      <c r="H84" s="13">
        <v>0</v>
      </c>
      <c r="I84" s="95"/>
      <c r="J84" s="71"/>
      <c r="K84" s="95"/>
      <c r="L84" s="82"/>
      <c r="M84" s="95"/>
      <c r="N84" s="71"/>
      <c r="O84" s="95"/>
      <c r="P84" s="13">
        <v>0</v>
      </c>
      <c r="Q84" s="95"/>
      <c r="R84" s="13">
        <f t="shared" si="13"/>
        <v>0</v>
      </c>
      <c r="S84" s="95"/>
      <c r="T84" s="71">
        <v>0</v>
      </c>
      <c r="U84" s="95"/>
      <c r="V84" s="82">
        <v>1.59462788634731E-2</v>
      </c>
      <c r="W84" s="95"/>
      <c r="X84" s="15" t="str">
        <f t="shared" si="14"/>
        <v/>
      </c>
      <c r="Y84" s="95"/>
      <c r="Z84" s="96"/>
      <c r="AA84" s="86"/>
      <c r="AB84" s="86"/>
      <c r="AC84" s="86"/>
    </row>
    <row r="85" spans="1:29" x14ac:dyDescent="0.25">
      <c r="A85" s="86"/>
      <c r="B85" s="86"/>
      <c r="C85" s="86"/>
      <c r="D85" s="37"/>
      <c r="E85" s="86"/>
      <c r="F85" s="46"/>
      <c r="G85" s="86"/>
      <c r="H85" s="13"/>
      <c r="I85" s="95"/>
      <c r="J85" s="71"/>
      <c r="K85" s="95"/>
      <c r="L85" s="82"/>
      <c r="M85" s="95"/>
      <c r="N85" s="71"/>
      <c r="O85" s="95"/>
      <c r="P85" s="13"/>
      <c r="Q85" s="95"/>
      <c r="R85" s="95"/>
      <c r="S85" s="95"/>
      <c r="T85" s="71"/>
      <c r="U85" s="95"/>
      <c r="V85" s="82"/>
      <c r="W85" s="95"/>
      <c r="X85" s="95"/>
      <c r="Y85" s="95"/>
      <c r="Z85" s="96"/>
      <c r="AA85" s="86"/>
      <c r="AB85" s="86"/>
      <c r="AC85" s="86"/>
    </row>
    <row r="86" spans="1:29" x14ac:dyDescent="0.25">
      <c r="A86" s="86"/>
      <c r="B86" s="65">
        <f>MAX(B$15:B85)+1</f>
        <v>39</v>
      </c>
      <c r="C86" s="86"/>
      <c r="D86" s="37" t="s">
        <v>153</v>
      </c>
      <c r="E86" s="86"/>
      <c r="F86" s="46" t="s">
        <v>72</v>
      </c>
      <c r="G86" s="86"/>
      <c r="H86" s="13">
        <v>0</v>
      </c>
      <c r="I86" s="95"/>
      <c r="J86" s="71"/>
      <c r="K86" s="95"/>
      <c r="L86" s="82"/>
      <c r="M86" s="95"/>
      <c r="N86" s="71"/>
      <c r="O86" s="95"/>
      <c r="P86" s="13">
        <v>0</v>
      </c>
      <c r="Q86" s="95"/>
      <c r="R86" s="13">
        <f>T86-P86</f>
        <v>0</v>
      </c>
      <c r="S86" s="95"/>
      <c r="T86" s="71"/>
      <c r="U86" s="95"/>
      <c r="V86" s="82">
        <v>0</v>
      </c>
      <c r="W86" s="95"/>
      <c r="X86" s="15" t="str">
        <f t="shared" si="14"/>
        <v/>
      </c>
      <c r="Y86" s="95"/>
      <c r="Z86" s="96"/>
      <c r="AA86" s="86"/>
      <c r="AB86" s="86"/>
      <c r="AC86" s="86"/>
    </row>
    <row r="87" spans="1:29" x14ac:dyDescent="0.25">
      <c r="A87" s="86"/>
      <c r="B87" s="65">
        <f>MAX(B$15:B86)+1</f>
        <v>40</v>
      </c>
      <c r="C87" s="86"/>
      <c r="D87" s="37" t="s">
        <v>154</v>
      </c>
      <c r="E87" s="86"/>
      <c r="F87" s="46" t="s">
        <v>72</v>
      </c>
      <c r="G87" s="86"/>
      <c r="H87" s="13">
        <v>0</v>
      </c>
      <c r="I87" s="95"/>
      <c r="J87" s="71"/>
      <c r="K87" s="95"/>
      <c r="L87" s="82"/>
      <c r="M87" s="95"/>
      <c r="N87" s="71"/>
      <c r="O87" s="95"/>
      <c r="P87" s="13">
        <v>0</v>
      </c>
      <c r="Q87" s="95"/>
      <c r="R87" s="13">
        <f>T87-P87</f>
        <v>0</v>
      </c>
      <c r="S87" s="95"/>
      <c r="T87" s="71"/>
      <c r="U87" s="95"/>
      <c r="V87" s="82">
        <v>0</v>
      </c>
      <c r="W87" s="95"/>
      <c r="X87" s="15" t="str">
        <f t="shared" si="14"/>
        <v/>
      </c>
      <c r="Y87" s="95"/>
      <c r="Z87" s="96"/>
      <c r="AA87" s="86"/>
      <c r="AB87" s="86"/>
      <c r="AC87" s="86"/>
    </row>
    <row r="88" spans="1:29" x14ac:dyDescent="0.25">
      <c r="A88" s="86"/>
      <c r="B88" s="86"/>
      <c r="C88" s="86"/>
      <c r="D88" s="37"/>
      <c r="E88" s="86"/>
      <c r="F88" s="46"/>
      <c r="G88" s="86"/>
      <c r="H88" s="95"/>
      <c r="I88" s="95"/>
      <c r="J88" s="95"/>
      <c r="K88" s="95"/>
      <c r="L88" s="82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6"/>
      <c r="AA88" s="86"/>
      <c r="AB88" s="86"/>
      <c r="AC88" s="86"/>
    </row>
    <row r="89" spans="1:29" ht="15.75" thickBot="1" x14ac:dyDescent="0.3">
      <c r="A89" s="86"/>
      <c r="B89" s="65">
        <f>MAX(B$15:B88)+1</f>
        <v>41</v>
      </c>
      <c r="C89" s="86"/>
      <c r="D89" s="51" t="str">
        <f>"Total " &amp;D72</f>
        <v>Total Rate E72</v>
      </c>
      <c r="E89" s="86"/>
      <c r="F89" s="86"/>
      <c r="G89" s="86"/>
      <c r="H89" s="76">
        <f>SUM(H77:H80)</f>
        <v>10889178.646551725</v>
      </c>
      <c r="I89" s="70"/>
      <c r="J89" s="76">
        <v>603.30261955727349</v>
      </c>
      <c r="K89" s="71"/>
      <c r="L89" s="24">
        <f>J89/$H89*100</f>
        <v>5.5403868293438397E-3</v>
      </c>
      <c r="M89" s="71"/>
      <c r="N89" s="76">
        <f t="shared" ref="N89" si="16">J89-P89</f>
        <v>308.58775096123634</v>
      </c>
      <c r="O89" s="14"/>
      <c r="P89" s="76">
        <f>SUM(P73:P87)</f>
        <v>294.71486859603715</v>
      </c>
      <c r="Q89" s="14"/>
      <c r="R89" s="76">
        <f>SUM(R73:R87)</f>
        <v>351.76691025943728</v>
      </c>
      <c r="S89" s="71"/>
      <c r="T89" s="76">
        <f>SUM(T73:T87)</f>
        <v>646.48177885547443</v>
      </c>
      <c r="U89" s="71"/>
      <c r="V89" s="24">
        <f>T89/$H89*100</f>
        <v>5.9369195771271123E-3</v>
      </c>
      <c r="W89" s="71"/>
      <c r="X89" s="77">
        <f t="shared" ref="X89" si="17">T89/P89</f>
        <v>2.193583859325404</v>
      </c>
      <c r="Y89" s="16"/>
      <c r="Z89" s="58">
        <f t="shared" ref="Z89" si="18">V89/L89-1</f>
        <v>7.1571310812287514E-2</v>
      </c>
      <c r="AA89" s="86"/>
      <c r="AB89" s="86"/>
      <c r="AC89" s="86"/>
    </row>
    <row r="90" spans="1:29" ht="15.75" thickTop="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99"/>
      <c r="AA90" s="86"/>
      <c r="AB90" s="86"/>
      <c r="AC90" s="86"/>
    </row>
    <row r="91" spans="1:29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99"/>
      <c r="AA91" s="86"/>
      <c r="AB91" s="86"/>
      <c r="AC91" s="86"/>
    </row>
    <row r="92" spans="1:29" x14ac:dyDescent="0.25">
      <c r="A92" s="86"/>
      <c r="B92" s="86"/>
      <c r="C92" s="86"/>
      <c r="D92" s="102" t="s">
        <v>155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99"/>
      <c r="AA92" s="86"/>
      <c r="AB92" s="86"/>
      <c r="AC92" s="86"/>
    </row>
    <row r="93" spans="1:29" x14ac:dyDescent="0.25">
      <c r="A93" s="86"/>
      <c r="B93" s="65">
        <f>MAX(B$15:B92)+1</f>
        <v>42</v>
      </c>
      <c r="C93" s="86"/>
      <c r="D93" s="37" t="s">
        <v>156</v>
      </c>
      <c r="E93" s="86"/>
      <c r="F93" s="46" t="s">
        <v>34</v>
      </c>
      <c r="G93" s="86"/>
      <c r="H93" s="13">
        <v>792</v>
      </c>
      <c r="I93" s="95"/>
      <c r="J93" s="13"/>
      <c r="K93" s="95"/>
      <c r="L93" s="72"/>
      <c r="M93" s="95"/>
      <c r="N93" s="71"/>
      <c r="O93" s="95"/>
      <c r="P93" s="13">
        <v>1.5625871560085463</v>
      </c>
      <c r="Q93" s="95"/>
      <c r="R93" s="13">
        <f t="shared" ref="R93:R98" si="19">T93-P93</f>
        <v>308.01082801371666</v>
      </c>
      <c r="S93" s="95"/>
      <c r="T93" s="71">
        <f t="shared" ref="T93:T98" si="20">V93*H93/1000</f>
        <v>309.57341516972519</v>
      </c>
      <c r="U93" s="95"/>
      <c r="V93" s="72">
        <v>390.87552420419848</v>
      </c>
      <c r="W93" s="95"/>
      <c r="X93" s="15">
        <f>IFERROR(T93/P93,"")</f>
        <v>198.11593483239412</v>
      </c>
      <c r="Y93" s="95"/>
      <c r="Z93" s="96"/>
      <c r="AA93" s="86"/>
      <c r="AB93" s="86"/>
      <c r="AC93" s="86"/>
    </row>
    <row r="94" spans="1:29" x14ac:dyDescent="0.25">
      <c r="A94" s="86"/>
      <c r="B94" s="65">
        <f>MAX(B$15:B93)+1</f>
        <v>43</v>
      </c>
      <c r="C94" s="86"/>
      <c r="D94" s="37" t="s">
        <v>157</v>
      </c>
      <c r="E94" s="86"/>
      <c r="F94" s="46" t="s">
        <v>34</v>
      </c>
      <c r="G94" s="86"/>
      <c r="H94" s="13">
        <v>105</v>
      </c>
      <c r="I94" s="95"/>
      <c r="J94" s="71"/>
      <c r="K94" s="95"/>
      <c r="L94" s="72"/>
      <c r="M94" s="95"/>
      <c r="N94" s="71"/>
      <c r="O94" s="95"/>
      <c r="P94" s="13">
        <v>0.20716117598598149</v>
      </c>
      <c r="Q94" s="95"/>
      <c r="R94" s="13">
        <f t="shared" si="19"/>
        <v>100.83143868660221</v>
      </c>
      <c r="S94" s="95"/>
      <c r="T94" s="71">
        <f t="shared" si="20"/>
        <v>101.0385998625882</v>
      </c>
      <c r="U94" s="95"/>
      <c r="V94" s="72">
        <v>962.27237964369715</v>
      </c>
      <c r="W94" s="95"/>
      <c r="X94" s="15">
        <f>IFERROR(T94/P94,"")</f>
        <v>487.72941832221227</v>
      </c>
      <c r="Y94" s="95"/>
      <c r="Z94" s="96"/>
      <c r="AA94" s="86"/>
      <c r="AB94" s="86"/>
      <c r="AC94" s="86"/>
    </row>
    <row r="95" spans="1:29" x14ac:dyDescent="0.25">
      <c r="A95" s="86"/>
      <c r="B95" s="65">
        <f>MAX(B$15:B94)+1</f>
        <v>44</v>
      </c>
      <c r="C95" s="86"/>
      <c r="D95" s="37" t="s">
        <v>158</v>
      </c>
      <c r="E95" s="86"/>
      <c r="F95" s="46" t="s">
        <v>159</v>
      </c>
      <c r="G95" s="86"/>
      <c r="H95" s="13">
        <v>7.75</v>
      </c>
      <c r="I95" s="95"/>
      <c r="J95" s="71"/>
      <c r="K95" s="95"/>
      <c r="L95" s="71"/>
      <c r="M95" s="95"/>
      <c r="N95" s="71"/>
      <c r="O95" s="95"/>
      <c r="P95" s="13">
        <v>0</v>
      </c>
      <c r="Q95" s="95"/>
      <c r="R95" s="13">
        <f t="shared" si="19"/>
        <v>99.974999999999994</v>
      </c>
      <c r="S95" s="95"/>
      <c r="T95" s="71">
        <f t="shared" si="20"/>
        <v>99.974999999999994</v>
      </c>
      <c r="U95" s="95"/>
      <c r="V95" s="72">
        <v>12900</v>
      </c>
      <c r="W95" s="95"/>
      <c r="X95" s="15" t="str">
        <f t="shared" ref="X95:X98" si="21">IFERROR(T95/P95,"")</f>
        <v/>
      </c>
      <c r="Y95" s="95"/>
      <c r="Z95" s="96"/>
      <c r="AA95" s="86"/>
      <c r="AB95" s="86"/>
      <c r="AC95" s="86"/>
    </row>
    <row r="96" spans="1:29" x14ac:dyDescent="0.25">
      <c r="A96" s="86"/>
      <c r="B96" s="65">
        <f>MAX(B$15:B95)+1</f>
        <v>45</v>
      </c>
      <c r="C96" s="86"/>
      <c r="D96" s="37" t="s">
        <v>142</v>
      </c>
      <c r="E96" s="86"/>
      <c r="F96" s="46" t="s">
        <v>72</v>
      </c>
      <c r="G96" s="86"/>
      <c r="H96" s="13">
        <v>4791112.166666666</v>
      </c>
      <c r="I96" s="95"/>
      <c r="J96" s="71"/>
      <c r="K96" s="95"/>
      <c r="L96" s="82"/>
      <c r="M96" s="95"/>
      <c r="N96" s="71"/>
      <c r="O96" s="95"/>
      <c r="P96" s="13">
        <v>0</v>
      </c>
      <c r="Q96" s="95"/>
      <c r="R96" s="13">
        <f t="shared" si="19"/>
        <v>197.81755334492416</v>
      </c>
      <c r="S96" s="95"/>
      <c r="T96" s="71">
        <f t="shared" si="20"/>
        <v>197.81755334492416</v>
      </c>
      <c r="U96" s="95"/>
      <c r="V96" s="82">
        <v>4.1288441276997351E-2</v>
      </c>
      <c r="W96" s="95"/>
      <c r="X96" s="15" t="str">
        <f t="shared" si="21"/>
        <v/>
      </c>
      <c r="Y96" s="95"/>
      <c r="Z96" s="96"/>
      <c r="AA96" s="86"/>
      <c r="AB96" s="86"/>
      <c r="AC96" s="86"/>
    </row>
    <row r="97" spans="1:29" x14ac:dyDescent="0.25">
      <c r="A97" s="86"/>
      <c r="B97" s="65">
        <f>MAX(B$15:B96)+1</f>
        <v>46</v>
      </c>
      <c r="C97" s="86"/>
      <c r="D97" s="37" t="s">
        <v>160</v>
      </c>
      <c r="E97" s="86"/>
      <c r="F97" s="46" t="s">
        <v>72</v>
      </c>
      <c r="G97" s="86"/>
      <c r="H97" s="13">
        <v>0</v>
      </c>
      <c r="I97" s="95"/>
      <c r="J97" s="71"/>
      <c r="K97" s="95"/>
      <c r="L97" s="82"/>
      <c r="M97" s="95"/>
      <c r="N97" s="95"/>
      <c r="O97" s="95"/>
      <c r="P97" s="13">
        <v>0</v>
      </c>
      <c r="Q97" s="95"/>
      <c r="R97" s="13">
        <f t="shared" si="19"/>
        <v>0</v>
      </c>
      <c r="S97" s="95"/>
      <c r="T97" s="71">
        <f t="shared" si="20"/>
        <v>0</v>
      </c>
      <c r="U97" s="95"/>
      <c r="V97" s="82">
        <v>0</v>
      </c>
      <c r="W97" s="95"/>
      <c r="X97" s="15" t="str">
        <f t="shared" si="21"/>
        <v/>
      </c>
      <c r="Y97" s="95"/>
      <c r="Z97" s="96"/>
      <c r="AA97" s="86"/>
      <c r="AB97" s="86"/>
      <c r="AC97" s="86"/>
    </row>
    <row r="98" spans="1:29" x14ac:dyDescent="0.25">
      <c r="A98" s="86"/>
      <c r="B98" s="65">
        <f>MAX(B$15:B97)+1</f>
        <v>47</v>
      </c>
      <c r="C98" s="86"/>
      <c r="D98" s="37" t="s">
        <v>161</v>
      </c>
      <c r="E98" s="86"/>
      <c r="F98" s="46" t="s">
        <v>72</v>
      </c>
      <c r="G98" s="86"/>
      <c r="H98" s="13">
        <v>4791112.166666666</v>
      </c>
      <c r="I98" s="95"/>
      <c r="J98" s="71"/>
      <c r="K98" s="95"/>
      <c r="L98" s="82"/>
      <c r="M98" s="95"/>
      <c r="N98" s="71"/>
      <c r="O98" s="95"/>
      <c r="P98" s="13">
        <v>76.400442395155451</v>
      </c>
      <c r="Q98" s="95"/>
      <c r="R98" s="13">
        <f t="shared" si="19"/>
        <v>-3.1719309987465749E-5</v>
      </c>
      <c r="S98" s="95"/>
      <c r="T98" s="71">
        <f t="shared" si="20"/>
        <v>76.400410675845464</v>
      </c>
      <c r="U98" s="95"/>
      <c r="V98" s="82">
        <v>1.59462788634731E-2</v>
      </c>
      <c r="W98" s="95"/>
      <c r="X98" s="15">
        <f t="shared" si="21"/>
        <v>0.99999958482818951</v>
      </c>
      <c r="Y98" s="95"/>
      <c r="Z98" s="96"/>
      <c r="AA98" s="86"/>
      <c r="AB98" s="86"/>
      <c r="AC98" s="86"/>
    </row>
    <row r="99" spans="1:29" x14ac:dyDescent="0.25">
      <c r="A99" s="86"/>
      <c r="B99" s="86"/>
      <c r="C99" s="86"/>
      <c r="D99" s="37"/>
      <c r="E99" s="86"/>
      <c r="F99" s="86"/>
      <c r="G99" s="86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71"/>
      <c r="U99" s="95"/>
      <c r="V99" s="95"/>
      <c r="W99" s="95"/>
      <c r="X99" s="95"/>
      <c r="Y99" s="95"/>
      <c r="Z99" s="96"/>
      <c r="AA99" s="86"/>
      <c r="AB99" s="86"/>
      <c r="AC99" s="86"/>
    </row>
    <row r="100" spans="1:29" ht="15.75" thickBot="1" x14ac:dyDescent="0.3">
      <c r="A100" s="86"/>
      <c r="B100" s="65">
        <f>MAX(B$15:B99)+1</f>
        <v>48</v>
      </c>
      <c r="C100" s="86"/>
      <c r="D100" s="51" t="str">
        <f>"Total " &amp;D92</f>
        <v>Total Rate E80</v>
      </c>
      <c r="E100" s="86"/>
      <c r="F100" s="86"/>
      <c r="G100" s="86"/>
      <c r="H100" s="76">
        <f>SUM(H96:H98)</f>
        <v>9582224.3333333321</v>
      </c>
      <c r="I100" s="70"/>
      <c r="J100" s="76">
        <v>424.03364183333326</v>
      </c>
      <c r="K100" s="71"/>
      <c r="L100" s="24">
        <f>J100/$H100*100</f>
        <v>4.4252109644131689E-3</v>
      </c>
      <c r="M100" s="71"/>
      <c r="N100" s="76">
        <f t="shared" ref="N100" si="22">J100-P100</f>
        <v>345.86345110618328</v>
      </c>
      <c r="O100" s="14"/>
      <c r="P100" s="76">
        <f>SUM(P93:P98)</f>
        <v>78.170190727149986</v>
      </c>
      <c r="Q100" s="14"/>
      <c r="R100" s="76">
        <f>SUM(R93:R98)</f>
        <v>706.63478832593307</v>
      </c>
      <c r="S100" s="71"/>
      <c r="T100" s="76">
        <f>SUM(T93:T98)</f>
        <v>784.804979053083</v>
      </c>
      <c r="U100" s="71"/>
      <c r="V100" s="24">
        <f>T100/$H100*100</f>
        <v>8.1902171328113327E-3</v>
      </c>
      <c r="W100" s="71"/>
      <c r="X100" s="77">
        <f t="shared" ref="X100" si="23">T100/P100</f>
        <v>10.039696356791739</v>
      </c>
      <c r="Y100" s="16"/>
      <c r="Z100" s="58">
        <f t="shared" ref="Z100" si="24">V100/L100-1</f>
        <v>0.85080828884221216</v>
      </c>
      <c r="AA100" s="86"/>
      <c r="AB100" s="86"/>
      <c r="AC100" s="86"/>
    </row>
    <row r="101" spans="1:29" ht="15.75" thickTop="1" x14ac:dyDescent="0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99"/>
      <c r="AA101" s="86"/>
      <c r="AB101" s="86"/>
      <c r="AC101" s="86"/>
    </row>
    <row r="102" spans="1:29" x14ac:dyDescent="0.25">
      <c r="A102" s="86"/>
      <c r="B102" s="86"/>
      <c r="C102" s="86"/>
      <c r="D102" s="102" t="s">
        <v>162</v>
      </c>
      <c r="U102" s="86"/>
      <c r="V102" s="86"/>
      <c r="W102" s="86"/>
      <c r="X102" s="50" t="str">
        <f>IFERROR(T103/P103,"")</f>
        <v/>
      </c>
      <c r="Y102" s="86"/>
      <c r="Z102" s="99"/>
      <c r="AA102" s="86"/>
      <c r="AB102" s="86"/>
      <c r="AC102" s="86"/>
    </row>
    <row r="103" spans="1:29" x14ac:dyDescent="0.25">
      <c r="A103" s="86"/>
      <c r="B103" s="65">
        <f>MAX(B$15:B102)+1</f>
        <v>49</v>
      </c>
      <c r="C103" s="86"/>
      <c r="D103" s="37" t="s">
        <v>163</v>
      </c>
      <c r="E103" s="86"/>
      <c r="F103" s="86"/>
      <c r="G103" s="86"/>
      <c r="H103" s="13">
        <v>0</v>
      </c>
      <c r="I103" s="95"/>
      <c r="J103" s="13"/>
      <c r="K103" s="95"/>
      <c r="L103" s="95"/>
      <c r="M103" s="95"/>
      <c r="N103" s="13"/>
      <c r="O103" s="95"/>
      <c r="P103" s="95"/>
      <c r="Q103" s="95"/>
      <c r="R103" s="13">
        <v>3560.977942268019</v>
      </c>
      <c r="S103" s="95"/>
      <c r="T103" s="13">
        <v>3560.977942268019</v>
      </c>
      <c r="U103" s="95"/>
      <c r="V103" s="95"/>
      <c r="W103" s="95"/>
      <c r="X103" s="15" t="str">
        <f>IFERROR(T107/P107,"")</f>
        <v/>
      </c>
      <c r="Y103" s="95"/>
      <c r="Z103" s="96"/>
      <c r="AA103" s="86"/>
      <c r="AB103" s="86"/>
      <c r="AC103" s="86"/>
    </row>
    <row r="104" spans="1:29" x14ac:dyDescent="0.25">
      <c r="A104" s="86"/>
      <c r="B104" s="86"/>
      <c r="C104" s="86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5"/>
      <c r="V104" s="95"/>
      <c r="W104" s="95"/>
      <c r="X104" s="95"/>
      <c r="Y104" s="95"/>
      <c r="Z104" s="96"/>
      <c r="AA104" s="86"/>
      <c r="AB104" s="86"/>
      <c r="AC104" s="86"/>
    </row>
    <row r="105" spans="1:29" ht="15.75" thickBot="1" x14ac:dyDescent="0.3">
      <c r="A105" s="86"/>
      <c r="B105" s="65">
        <f>MAX(B$15:B104)+1</f>
        <v>50</v>
      </c>
      <c r="C105" s="86"/>
      <c r="D105" s="51" t="str">
        <f>"Total " &amp;D102</f>
        <v>Total Rate E82</v>
      </c>
      <c r="H105" s="76">
        <f>SUM(H103)</f>
        <v>0</v>
      </c>
      <c r="I105" s="70"/>
      <c r="J105" s="76">
        <v>3560.977942268019</v>
      </c>
      <c r="K105" s="71"/>
      <c r="L105" s="24" t="str">
        <f>IFERROR(J105/$H105*100,"-")</f>
        <v>-</v>
      </c>
      <c r="M105" s="71"/>
      <c r="N105" s="76">
        <f t="shared" ref="N105" si="25">J105-P105</f>
        <v>3560.977942268019</v>
      </c>
      <c r="O105" s="14"/>
      <c r="P105" s="76">
        <f>SUM(P103)</f>
        <v>0</v>
      </c>
      <c r="Q105" s="14"/>
      <c r="R105" s="76">
        <f>SUM(R103)</f>
        <v>3560.977942268019</v>
      </c>
      <c r="S105" s="71"/>
      <c r="T105" s="76">
        <f>SUM(T103)</f>
        <v>3560.977942268019</v>
      </c>
      <c r="U105" s="71"/>
      <c r="V105" s="24" t="str">
        <f>IFERROR(T105/$H105*100,"-")</f>
        <v>-</v>
      </c>
      <c r="W105" s="71"/>
      <c r="X105" s="77" t="str">
        <f>IFERROR(T105/P105,"-")</f>
        <v>-</v>
      </c>
      <c r="Y105" s="16"/>
      <c r="Z105" s="58" t="str">
        <f>IFERROR(V105/L105-1,"-")</f>
        <v>-</v>
      </c>
      <c r="AA105" s="86"/>
      <c r="AB105" s="86"/>
      <c r="AC105" s="86"/>
    </row>
    <row r="106" spans="1:29" ht="15.75" thickTop="1" x14ac:dyDescent="0.25">
      <c r="A106" s="86"/>
      <c r="B106" s="86"/>
      <c r="C106" s="86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5"/>
      <c r="W106" s="95"/>
      <c r="X106" s="95"/>
      <c r="Y106" s="95"/>
      <c r="Z106" s="96"/>
      <c r="AA106" s="86"/>
      <c r="AB106" s="86"/>
      <c r="AC106" s="86"/>
    </row>
    <row r="107" spans="1:29" x14ac:dyDescent="0.25">
      <c r="A107" s="86"/>
      <c r="B107" s="65">
        <f>MAX(B$15:B106)+1</f>
        <v>51</v>
      </c>
      <c r="C107" s="86"/>
      <c r="D107" s="51" t="s">
        <v>164</v>
      </c>
      <c r="E107" s="86"/>
      <c r="F107" s="86"/>
      <c r="G107" s="86"/>
      <c r="H107" s="13">
        <v>0</v>
      </c>
      <c r="I107" s="95"/>
      <c r="J107" s="13">
        <v>1208.6017580038929</v>
      </c>
      <c r="K107" s="95"/>
      <c r="L107" s="95"/>
      <c r="M107" s="95"/>
      <c r="N107" s="13">
        <v>1208.6017580038929</v>
      </c>
      <c r="O107" s="95"/>
      <c r="P107" s="95"/>
      <c r="Q107" s="95"/>
      <c r="R107" s="13">
        <v>896.13189676956767</v>
      </c>
      <c r="S107" s="95"/>
      <c r="T107" s="13">
        <v>896.27069348842065</v>
      </c>
      <c r="U107" s="95"/>
      <c r="V107" s="95"/>
      <c r="W107" s="95"/>
      <c r="X107" s="95"/>
      <c r="Y107" s="95"/>
      <c r="Z107" s="96"/>
      <c r="AA107" s="86"/>
      <c r="AB107" s="86"/>
      <c r="AC107" s="86"/>
    </row>
    <row r="108" spans="1:29" x14ac:dyDescent="0.25">
      <c r="A108" s="86"/>
      <c r="B108" s="86"/>
      <c r="C108" s="86"/>
      <c r="D108" s="86"/>
      <c r="E108" s="86"/>
      <c r="F108" s="86"/>
      <c r="G108" s="86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6"/>
      <c r="AA108" s="86"/>
      <c r="AB108" s="86"/>
      <c r="AC108" s="86"/>
    </row>
    <row r="109" spans="1:29" ht="15.75" thickBot="1" x14ac:dyDescent="0.3">
      <c r="A109" s="86"/>
      <c r="B109" s="65">
        <f>MAX(B$15:B108)+1</f>
        <v>52</v>
      </c>
      <c r="C109" s="86"/>
      <c r="D109" s="52" t="s">
        <v>165</v>
      </c>
      <c r="E109" s="51"/>
      <c r="F109" s="51"/>
      <c r="G109" s="51"/>
      <c r="H109" s="103"/>
      <c r="I109" s="51"/>
      <c r="J109" s="76">
        <f>J107+J105+J100+J89+J57+J19</f>
        <v>164814.09614026692</v>
      </c>
      <c r="K109" s="71"/>
      <c r="L109" s="24"/>
      <c r="M109" s="71"/>
      <c r="N109" s="76">
        <f>N107+N105+N100+N89+N57+N19</f>
        <v>29126.904073517118</v>
      </c>
      <c r="O109" s="14"/>
      <c r="P109" s="76">
        <f>P107+P105+P100+P89+P57+P19</f>
        <v>135687.19206674982</v>
      </c>
      <c r="Q109" s="14"/>
      <c r="R109" s="76">
        <f>R107+R105+R100+R89+R57+R19</f>
        <v>19201.201259951395</v>
      </c>
      <c r="S109" s="71"/>
      <c r="T109" s="76">
        <f>T107+T105+T100+T89+T57+T19</f>
        <v>154888.53212342004</v>
      </c>
      <c r="U109" s="86"/>
      <c r="V109" s="86"/>
      <c r="W109" s="86"/>
      <c r="X109" s="86"/>
      <c r="Y109" s="86"/>
      <c r="Z109" s="99"/>
      <c r="AA109" s="86"/>
      <c r="AB109" s="86"/>
      <c r="AC109" s="86"/>
    </row>
    <row r="110" spans="1:29" ht="15.75" thickTop="1" x14ac:dyDescent="0.25">
      <c r="A110" s="86"/>
      <c r="B110" s="86"/>
      <c r="C110" s="86"/>
      <c r="D110" s="86"/>
      <c r="E110" s="86"/>
      <c r="F110" s="86"/>
      <c r="G110" s="86"/>
      <c r="H110" s="86"/>
      <c r="I110" s="86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86"/>
      <c r="V110" s="86"/>
      <c r="W110" s="86"/>
      <c r="X110" s="86"/>
      <c r="Y110" s="86"/>
      <c r="Z110" s="99"/>
      <c r="AA110" s="86"/>
      <c r="AB110" s="86"/>
      <c r="AC110" s="86"/>
    </row>
    <row r="111" spans="1:29" ht="15.75" thickBot="1" x14ac:dyDescent="0.3">
      <c r="A111" s="86"/>
      <c r="B111" s="65">
        <f>MAX(B$15:B110)+1</f>
        <v>53</v>
      </c>
      <c r="D111" s="52" t="s">
        <v>166</v>
      </c>
      <c r="E111" s="2"/>
      <c r="F111" s="86"/>
      <c r="G111" s="86"/>
      <c r="H111" s="86"/>
      <c r="I111" s="86"/>
      <c r="J111" s="76">
        <v>5261860.1804221254</v>
      </c>
      <c r="K111" s="71"/>
      <c r="L111" s="24">
        <v>0</v>
      </c>
      <c r="M111" s="71"/>
      <c r="N111" s="76">
        <v>17603.089247315289</v>
      </c>
      <c r="O111" s="14"/>
      <c r="P111" s="76">
        <v>5244257.0911748093</v>
      </c>
      <c r="Q111" s="14"/>
      <c r="R111" s="76">
        <v>0</v>
      </c>
      <c r="S111" s="71"/>
      <c r="T111" s="76">
        <v>5244257.250974956</v>
      </c>
      <c r="U111" s="86"/>
      <c r="V111" s="86"/>
      <c r="W111" s="86"/>
      <c r="X111" s="86"/>
      <c r="Y111" s="86"/>
      <c r="Z111" s="99"/>
      <c r="AA111" s="86"/>
      <c r="AB111" s="86"/>
      <c r="AC111" s="86"/>
    </row>
    <row r="112" spans="1:29" ht="15.75" thickTop="1" x14ac:dyDescent="0.25">
      <c r="A112" s="86"/>
      <c r="B112" s="86"/>
      <c r="G112" s="86"/>
      <c r="H112" s="86"/>
      <c r="I112" s="86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86"/>
      <c r="V112" s="86"/>
      <c r="W112" s="86"/>
      <c r="X112" s="86"/>
      <c r="Y112" s="86"/>
      <c r="Z112" s="99"/>
      <c r="AA112" s="86"/>
      <c r="AB112" s="86"/>
      <c r="AC112" s="86"/>
    </row>
    <row r="113" spans="1:29" x14ac:dyDescent="0.25">
      <c r="A113" s="86"/>
      <c r="B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99"/>
      <c r="AA113" s="86"/>
      <c r="AB113" s="86"/>
      <c r="AC113" s="86"/>
    </row>
    <row r="114" spans="1:29" x14ac:dyDescent="0.25">
      <c r="A114" s="86"/>
      <c r="B114" s="4" t="s">
        <v>103</v>
      </c>
      <c r="G114" s="86"/>
      <c r="U114" s="86"/>
      <c r="V114" s="86"/>
      <c r="W114" s="86"/>
      <c r="X114" s="86"/>
      <c r="Y114" s="86"/>
      <c r="Z114" s="99"/>
      <c r="AA114" s="86"/>
      <c r="AB114" s="86"/>
      <c r="AC114" s="86"/>
    </row>
    <row r="115" spans="1:29" x14ac:dyDescent="0.25">
      <c r="A115" s="86"/>
      <c r="B115" s="104" t="s">
        <v>167</v>
      </c>
      <c r="C115" s="86"/>
      <c r="D115" s="44" t="s">
        <v>168</v>
      </c>
      <c r="E115" s="86"/>
      <c r="F115" s="86"/>
      <c r="G115" s="86"/>
      <c r="U115" s="86"/>
      <c r="V115" s="86"/>
      <c r="W115" s="86"/>
      <c r="X115" s="86"/>
      <c r="Y115" s="86"/>
      <c r="Z115" s="99"/>
      <c r="AA115" s="86"/>
      <c r="AB115" s="86"/>
      <c r="AC115" s="86"/>
    </row>
    <row r="116" spans="1:29" x14ac:dyDescent="0.25">
      <c r="A116" s="86"/>
      <c r="B116" s="104" t="s">
        <v>106</v>
      </c>
      <c r="C116" s="86"/>
      <c r="D116" s="53" t="s">
        <v>169</v>
      </c>
      <c r="E116" s="86"/>
      <c r="F116" s="86"/>
      <c r="G116" s="86"/>
      <c r="U116" s="86"/>
      <c r="V116" s="86"/>
      <c r="W116" s="86"/>
      <c r="X116" s="86"/>
      <c r="Y116" s="86"/>
      <c r="Z116" s="99"/>
      <c r="AA116" s="86"/>
      <c r="AB116" s="86"/>
      <c r="AC116" s="86"/>
    </row>
    <row r="117" spans="1:29" x14ac:dyDescent="0.25">
      <c r="A117" s="86"/>
      <c r="B117" s="86"/>
      <c r="C117" s="86"/>
      <c r="D117" s="86"/>
      <c r="E117" s="86"/>
      <c r="F117" s="86"/>
      <c r="G117" s="86"/>
      <c r="U117" s="86"/>
      <c r="V117" s="86"/>
      <c r="W117" s="86"/>
      <c r="X117" s="86"/>
      <c r="Y117" s="86"/>
      <c r="Z117" s="99"/>
      <c r="AA117" s="86"/>
      <c r="AB117" s="86"/>
      <c r="AC117" s="86"/>
    </row>
    <row r="118" spans="1:29" x14ac:dyDescent="0.25">
      <c r="A118" s="86"/>
      <c r="B118" s="86"/>
      <c r="C118" s="86"/>
      <c r="D118" s="86"/>
      <c r="E118" s="86"/>
      <c r="F118" s="86"/>
      <c r="G118" s="86"/>
      <c r="U118" s="86"/>
      <c r="V118" s="86"/>
      <c r="W118" s="86"/>
      <c r="X118" s="86"/>
      <c r="Y118" s="86"/>
      <c r="Z118" s="99"/>
      <c r="AA118" s="86"/>
      <c r="AB118" s="86"/>
      <c r="AC118" s="86"/>
    </row>
    <row r="119" spans="1:29" x14ac:dyDescent="0.25">
      <c r="A119" s="86"/>
      <c r="B119" s="86"/>
      <c r="C119" s="86"/>
      <c r="D119" s="86"/>
      <c r="E119" s="86"/>
      <c r="F119" s="86"/>
      <c r="G119" s="86"/>
      <c r="U119" s="86"/>
      <c r="V119" s="86"/>
      <c r="W119" s="86"/>
      <c r="X119" s="86"/>
      <c r="Y119" s="86"/>
      <c r="Z119" s="99"/>
      <c r="AA119" s="86"/>
      <c r="AB119" s="86"/>
      <c r="AC119" s="86"/>
    </row>
    <row r="120" spans="1:29" x14ac:dyDescent="0.25">
      <c r="A120" s="86"/>
      <c r="B120" s="86"/>
      <c r="C120" s="86"/>
      <c r="D120" s="86"/>
      <c r="E120" s="86"/>
      <c r="F120" s="86"/>
      <c r="G120" s="86"/>
      <c r="U120" s="86"/>
      <c r="V120" s="86"/>
      <c r="W120" s="86"/>
      <c r="X120" s="86"/>
      <c r="Y120" s="86"/>
      <c r="Z120" s="99"/>
      <c r="AA120" s="86"/>
      <c r="AB120" s="86"/>
      <c r="AC120" s="86"/>
    </row>
    <row r="121" spans="1:29" x14ac:dyDescent="0.2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99"/>
      <c r="AA121" s="86"/>
      <c r="AB121" s="86"/>
      <c r="AC121" s="86"/>
    </row>
    <row r="122" spans="1:29" x14ac:dyDescent="0.2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99"/>
      <c r="AA122" s="86"/>
      <c r="AB122" s="86"/>
      <c r="AC122" s="86"/>
    </row>
    <row r="123" spans="1:29" x14ac:dyDescent="0.2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99"/>
      <c r="AA123" s="86"/>
      <c r="AB123" s="86"/>
      <c r="AC123" s="86"/>
    </row>
    <row r="124" spans="1:29" x14ac:dyDescent="0.2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99"/>
      <c r="AA124" s="86"/>
      <c r="AB124" s="86"/>
      <c r="AC124" s="86"/>
    </row>
    <row r="125" spans="1:29" x14ac:dyDescent="0.2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99"/>
      <c r="AA125" s="86"/>
      <c r="AB125" s="86"/>
      <c r="AC125" s="86"/>
    </row>
    <row r="126" spans="1:29" x14ac:dyDescent="0.2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99"/>
      <c r="AA126" s="86"/>
      <c r="AB126" s="86"/>
      <c r="AC126" s="86"/>
    </row>
    <row r="127" spans="1:29" x14ac:dyDescent="0.2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99"/>
      <c r="AA127" s="86"/>
      <c r="AB127" s="86"/>
      <c r="AC127" s="86"/>
    </row>
    <row r="128" spans="1:29" x14ac:dyDescent="0.2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99"/>
      <c r="AA128" s="86"/>
      <c r="AB128" s="86"/>
      <c r="AC128" s="86"/>
    </row>
    <row r="129" spans="1:29" x14ac:dyDescent="0.2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99"/>
      <c r="AA129" s="86"/>
      <c r="AB129" s="86"/>
      <c r="AC129" s="86"/>
    </row>
    <row r="130" spans="1:29" x14ac:dyDescent="0.2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99"/>
      <c r="AA130" s="86"/>
      <c r="AB130" s="86"/>
      <c r="AC130" s="86"/>
    </row>
    <row r="131" spans="1:29" x14ac:dyDescent="0.2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99"/>
      <c r="AA131" s="86"/>
      <c r="AB131" s="86"/>
      <c r="AC131" s="86"/>
    </row>
    <row r="132" spans="1:29" x14ac:dyDescent="0.2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99"/>
      <c r="AA132" s="86"/>
      <c r="AB132" s="86"/>
      <c r="AC132" s="86"/>
    </row>
    <row r="133" spans="1:29" x14ac:dyDescent="0.2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99"/>
      <c r="AA133" s="86"/>
      <c r="AB133" s="86"/>
      <c r="AC133" s="86"/>
    </row>
    <row r="134" spans="1:29" x14ac:dyDescent="0.2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99"/>
      <c r="AA134" s="86"/>
      <c r="AB134" s="86"/>
      <c r="AC134" s="86"/>
    </row>
    <row r="135" spans="1:29" x14ac:dyDescent="0.2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99"/>
      <c r="AA135" s="86"/>
      <c r="AB135" s="86"/>
      <c r="AC135" s="86"/>
    </row>
    <row r="136" spans="1:29" x14ac:dyDescent="0.2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99"/>
      <c r="AA136" s="86"/>
      <c r="AB136" s="86"/>
      <c r="AC136" s="86"/>
    </row>
    <row r="137" spans="1:29" x14ac:dyDescent="0.2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99"/>
      <c r="AA137" s="86"/>
      <c r="AB137" s="86"/>
      <c r="AC137" s="86"/>
    </row>
    <row r="138" spans="1:29" x14ac:dyDescent="0.2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99"/>
      <c r="AA138" s="86"/>
      <c r="AB138" s="86"/>
      <c r="AC138" s="86"/>
    </row>
    <row r="139" spans="1:29" x14ac:dyDescent="0.2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99"/>
      <c r="AA139" s="86"/>
      <c r="AB139" s="86"/>
      <c r="AC139" s="86"/>
    </row>
    <row r="140" spans="1:29" x14ac:dyDescent="0.2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99"/>
      <c r="AA140" s="86"/>
      <c r="AB140" s="86"/>
      <c r="AC140" s="86"/>
    </row>
    <row r="141" spans="1:29" x14ac:dyDescent="0.2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99"/>
      <c r="AA141" s="86"/>
      <c r="AB141" s="86"/>
      <c r="AC141" s="86"/>
    </row>
    <row r="142" spans="1:29" x14ac:dyDescent="0.2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99"/>
      <c r="AA142" s="86"/>
      <c r="AB142" s="86"/>
      <c r="AC142" s="86"/>
    </row>
    <row r="143" spans="1:29" x14ac:dyDescent="0.2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99"/>
      <c r="AA143" s="86"/>
      <c r="AB143" s="86"/>
      <c r="AC143" s="86"/>
    </row>
    <row r="144" spans="1:29" x14ac:dyDescent="0.2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99"/>
      <c r="AA144" s="86"/>
      <c r="AB144" s="86"/>
      <c r="AC144" s="86"/>
    </row>
    <row r="145" spans="1:29" x14ac:dyDescent="0.2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99"/>
      <c r="AA145" s="86"/>
      <c r="AB145" s="86"/>
      <c r="AC145" s="86"/>
    </row>
    <row r="146" spans="1:29" x14ac:dyDescent="0.2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99"/>
      <c r="AA146" s="86"/>
      <c r="AB146" s="86"/>
      <c r="AC146" s="86"/>
    </row>
    <row r="147" spans="1:29" x14ac:dyDescent="0.2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99"/>
      <c r="AA147" s="86"/>
      <c r="AB147" s="86"/>
      <c r="AC147" s="86"/>
    </row>
    <row r="148" spans="1:29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99"/>
      <c r="AA148" s="86"/>
      <c r="AB148" s="86"/>
      <c r="AC148" s="86"/>
    </row>
    <row r="149" spans="1:29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99"/>
      <c r="AA149" s="86"/>
      <c r="AB149" s="86"/>
      <c r="AC149" s="86"/>
    </row>
    <row r="150" spans="1:29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99"/>
      <c r="AA150" s="86"/>
      <c r="AB150" s="86"/>
      <c r="AC150" s="86"/>
    </row>
    <row r="151" spans="1:29" x14ac:dyDescent="0.2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99"/>
      <c r="AA151" s="86"/>
      <c r="AB151" s="86"/>
      <c r="AC151" s="86"/>
    </row>
    <row r="152" spans="1:29" x14ac:dyDescent="0.25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99"/>
      <c r="AA152" s="86"/>
      <c r="AB152" s="86"/>
      <c r="AC152" s="86"/>
    </row>
    <row r="153" spans="1:29" x14ac:dyDescent="0.25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99"/>
      <c r="AA153" s="86"/>
      <c r="AB153" s="86"/>
      <c r="AC153" s="86"/>
    </row>
    <row r="154" spans="1:29" x14ac:dyDescent="0.25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99"/>
      <c r="AA154" s="86"/>
      <c r="AB154" s="86"/>
      <c r="AC154" s="86"/>
    </row>
    <row r="155" spans="1:29" x14ac:dyDescent="0.2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99"/>
      <c r="AA155" s="86"/>
      <c r="AB155" s="86"/>
      <c r="AC155" s="86"/>
    </row>
    <row r="156" spans="1:29" x14ac:dyDescent="0.2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99"/>
      <c r="AA156" s="86"/>
      <c r="AB156" s="86"/>
      <c r="AC156" s="86"/>
    </row>
    <row r="157" spans="1:29" x14ac:dyDescent="0.25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99"/>
      <c r="AA157" s="86"/>
      <c r="AB157" s="86"/>
      <c r="AC157" s="86"/>
    </row>
    <row r="158" spans="1:29" x14ac:dyDescent="0.25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99"/>
      <c r="AA158" s="86"/>
      <c r="AB158" s="86"/>
      <c r="AC158" s="86"/>
    </row>
    <row r="159" spans="1:29" x14ac:dyDescent="0.25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99"/>
      <c r="AA159" s="86"/>
      <c r="AB159" s="86"/>
      <c r="AC159" s="86"/>
    </row>
    <row r="160" spans="1:29" x14ac:dyDescent="0.2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99"/>
      <c r="AA160" s="86"/>
      <c r="AB160" s="86"/>
      <c r="AC160" s="86"/>
    </row>
    <row r="161" spans="1:29" x14ac:dyDescent="0.25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99"/>
      <c r="AA161" s="86"/>
      <c r="AB161" s="86"/>
      <c r="AC161" s="86"/>
    </row>
    <row r="162" spans="1:29" x14ac:dyDescent="0.25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99"/>
      <c r="AA162" s="86"/>
      <c r="AB162" s="86"/>
      <c r="AC162" s="86"/>
    </row>
    <row r="163" spans="1:29" x14ac:dyDescent="0.25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99"/>
      <c r="AA163" s="86"/>
      <c r="AB163" s="86"/>
      <c r="AC163" s="86"/>
    </row>
    <row r="164" spans="1:29" x14ac:dyDescent="0.25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99"/>
      <c r="AA164" s="86"/>
      <c r="AB164" s="86"/>
      <c r="AC164" s="86"/>
    </row>
    <row r="165" spans="1:29" x14ac:dyDescent="0.25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99"/>
      <c r="AA165" s="86"/>
      <c r="AB165" s="86"/>
      <c r="AC165" s="86"/>
    </row>
    <row r="166" spans="1:29" x14ac:dyDescent="0.2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99"/>
      <c r="AA166" s="86"/>
      <c r="AB166" s="86"/>
      <c r="AC166" s="86"/>
    </row>
    <row r="167" spans="1:29" x14ac:dyDescent="0.2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99"/>
      <c r="AA167" s="86"/>
      <c r="AB167" s="86"/>
      <c r="AC167" s="86"/>
    </row>
    <row r="168" spans="1:29" x14ac:dyDescent="0.2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99"/>
      <c r="AA168" s="86"/>
      <c r="AB168" s="86"/>
      <c r="AC168" s="86"/>
    </row>
    <row r="169" spans="1:29" x14ac:dyDescent="0.2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99"/>
      <c r="AA169" s="86"/>
      <c r="AB169" s="86"/>
      <c r="AC169" s="86"/>
    </row>
    <row r="170" spans="1:29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99"/>
      <c r="AA170" s="86"/>
      <c r="AB170" s="86"/>
      <c r="AC170" s="86"/>
    </row>
    <row r="171" spans="1:29" x14ac:dyDescent="0.25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99"/>
      <c r="AA171" s="86"/>
      <c r="AB171" s="86"/>
      <c r="AC171" s="86"/>
    </row>
    <row r="172" spans="1:29" x14ac:dyDescent="0.2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99"/>
      <c r="AA172" s="86"/>
      <c r="AB172" s="86"/>
      <c r="AC172" s="86"/>
    </row>
    <row r="173" spans="1:29" x14ac:dyDescent="0.25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99"/>
      <c r="AA173" s="86"/>
      <c r="AB173" s="86"/>
      <c r="AC173" s="86"/>
    </row>
    <row r="174" spans="1:29" x14ac:dyDescent="0.25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99"/>
      <c r="AA174" s="86"/>
      <c r="AB174" s="86"/>
      <c r="AC174" s="86"/>
    </row>
    <row r="175" spans="1:29" x14ac:dyDescent="0.25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99"/>
      <c r="AA175" s="86"/>
      <c r="AB175" s="86"/>
      <c r="AC175" s="86"/>
    </row>
    <row r="176" spans="1:29" x14ac:dyDescent="0.2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99"/>
      <c r="AA176" s="86"/>
      <c r="AB176" s="86"/>
      <c r="AC176" s="86"/>
    </row>
    <row r="177" spans="1:29" x14ac:dyDescent="0.2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99"/>
      <c r="AA177" s="86"/>
      <c r="AB177" s="86"/>
      <c r="AC177" s="86"/>
    </row>
    <row r="178" spans="1:29" x14ac:dyDescent="0.2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99"/>
      <c r="AA178" s="86"/>
      <c r="AB178" s="86"/>
      <c r="AC178" s="86"/>
    </row>
    <row r="179" spans="1:29" x14ac:dyDescent="0.2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99"/>
      <c r="AA179" s="86"/>
      <c r="AB179" s="86"/>
      <c r="AC179" s="86"/>
    </row>
    <row r="180" spans="1:29" x14ac:dyDescent="0.2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99"/>
      <c r="AA180" s="86"/>
      <c r="AB180" s="86"/>
      <c r="AC180" s="86"/>
    </row>
    <row r="181" spans="1:29" x14ac:dyDescent="0.2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99"/>
      <c r="AA181" s="86"/>
      <c r="AB181" s="86"/>
      <c r="AC181" s="86"/>
    </row>
    <row r="182" spans="1:29" x14ac:dyDescent="0.2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99"/>
      <c r="AA182" s="86"/>
      <c r="AB182" s="86"/>
      <c r="AC182" s="86"/>
    </row>
    <row r="183" spans="1:29" x14ac:dyDescent="0.25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99"/>
      <c r="AA183" s="86"/>
      <c r="AB183" s="86"/>
      <c r="AC183" s="86"/>
    </row>
    <row r="184" spans="1:29" x14ac:dyDescent="0.25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99"/>
      <c r="AA184" s="86"/>
      <c r="AB184" s="86"/>
      <c r="AC184" s="86"/>
    </row>
    <row r="185" spans="1:29" x14ac:dyDescent="0.25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99"/>
      <c r="AA185" s="86"/>
      <c r="AB185" s="86"/>
      <c r="AC185" s="86"/>
    </row>
    <row r="186" spans="1:29" x14ac:dyDescent="0.25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99"/>
      <c r="AA186" s="86"/>
      <c r="AB186" s="86"/>
      <c r="AC186" s="86"/>
    </row>
    <row r="187" spans="1:29" x14ac:dyDescent="0.25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99"/>
      <c r="AA187" s="86"/>
      <c r="AB187" s="86"/>
      <c r="AC187" s="86"/>
    </row>
    <row r="188" spans="1:29" x14ac:dyDescent="0.25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99"/>
      <c r="AA188" s="86"/>
      <c r="AB188" s="86"/>
      <c r="AC188" s="86"/>
    </row>
    <row r="189" spans="1:29" x14ac:dyDescent="0.2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99"/>
      <c r="AA189" s="86"/>
      <c r="AB189" s="86"/>
      <c r="AC189" s="86"/>
    </row>
    <row r="190" spans="1:29" x14ac:dyDescent="0.2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99"/>
      <c r="AA190" s="86"/>
      <c r="AB190" s="86"/>
      <c r="AC190" s="86"/>
    </row>
    <row r="191" spans="1:29" x14ac:dyDescent="0.2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99"/>
      <c r="AA191" s="86"/>
      <c r="AB191" s="86"/>
      <c r="AC191" s="86"/>
    </row>
    <row r="192" spans="1:29" x14ac:dyDescent="0.2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99"/>
      <c r="AA192" s="86"/>
      <c r="AB192" s="86"/>
      <c r="AC192" s="86"/>
    </row>
    <row r="193" spans="1:29" x14ac:dyDescent="0.25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99"/>
      <c r="AA193" s="86"/>
      <c r="AB193" s="86"/>
      <c r="AC193" s="86"/>
    </row>
    <row r="194" spans="1:29" x14ac:dyDescent="0.25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99"/>
      <c r="AA194" s="86"/>
      <c r="AB194" s="86"/>
      <c r="AC194" s="86"/>
    </row>
    <row r="195" spans="1:29" x14ac:dyDescent="0.25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99"/>
      <c r="AA195" s="86"/>
      <c r="AB195" s="86"/>
      <c r="AC195" s="86"/>
    </row>
    <row r="196" spans="1:29" x14ac:dyDescent="0.25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99"/>
      <c r="AA196" s="86"/>
      <c r="AB196" s="86"/>
      <c r="AC196" s="86"/>
    </row>
    <row r="197" spans="1:29" x14ac:dyDescent="0.25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99"/>
      <c r="AA197" s="86"/>
      <c r="AB197" s="86"/>
      <c r="AC197" s="86"/>
    </row>
    <row r="198" spans="1:29" x14ac:dyDescent="0.25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99"/>
      <c r="AA198" s="86"/>
      <c r="AB198" s="86"/>
      <c r="AC198" s="86"/>
    </row>
    <row r="199" spans="1:29" x14ac:dyDescent="0.25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99"/>
      <c r="AA199" s="86"/>
      <c r="AB199" s="86"/>
      <c r="AC199" s="86"/>
    </row>
    <row r="200" spans="1:29" x14ac:dyDescent="0.25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99"/>
      <c r="AA200" s="86"/>
      <c r="AB200" s="86"/>
      <c r="AC200" s="86"/>
    </row>
    <row r="201" spans="1:29" x14ac:dyDescent="0.25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99"/>
      <c r="AA201" s="86"/>
      <c r="AB201" s="86"/>
      <c r="AC201" s="86"/>
    </row>
    <row r="202" spans="1:29" x14ac:dyDescent="0.25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99"/>
      <c r="AA202" s="86"/>
      <c r="AB202" s="86"/>
      <c r="AC202" s="86"/>
    </row>
    <row r="203" spans="1:29" x14ac:dyDescent="0.25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99"/>
      <c r="AA203" s="86"/>
      <c r="AB203" s="86"/>
      <c r="AC203" s="86"/>
    </row>
    <row r="204" spans="1:29" x14ac:dyDescent="0.25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99"/>
      <c r="AA204" s="86"/>
      <c r="AB204" s="86"/>
      <c r="AC204" s="86"/>
    </row>
    <row r="205" spans="1:29" x14ac:dyDescent="0.25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99"/>
      <c r="AA205" s="86"/>
      <c r="AB205" s="86"/>
      <c r="AC205" s="86"/>
    </row>
    <row r="206" spans="1:29" x14ac:dyDescent="0.25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99"/>
      <c r="AA206" s="86"/>
      <c r="AB206" s="86"/>
      <c r="AC206" s="86"/>
    </row>
    <row r="207" spans="1:29" x14ac:dyDescent="0.25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99"/>
      <c r="AA207" s="86"/>
      <c r="AB207" s="86"/>
      <c r="AC207" s="86"/>
    </row>
    <row r="208" spans="1:29" x14ac:dyDescent="0.25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99"/>
      <c r="AA208" s="86"/>
      <c r="AB208" s="86"/>
      <c r="AC208" s="86"/>
    </row>
    <row r="209" spans="1:29" x14ac:dyDescent="0.25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99"/>
      <c r="AA209" s="86"/>
      <c r="AB209" s="86"/>
      <c r="AC209" s="86"/>
    </row>
    <row r="210" spans="1:29" x14ac:dyDescent="0.25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99"/>
      <c r="AA210" s="86"/>
      <c r="AB210" s="86"/>
      <c r="AC210" s="86"/>
    </row>
    <row r="211" spans="1:29" x14ac:dyDescent="0.25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99"/>
      <c r="AA211" s="86"/>
      <c r="AB211" s="86"/>
      <c r="AC211" s="86"/>
    </row>
    <row r="212" spans="1:29" x14ac:dyDescent="0.25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99"/>
      <c r="AA212" s="86"/>
      <c r="AB212" s="86"/>
      <c r="AC212" s="86"/>
    </row>
    <row r="213" spans="1:29" x14ac:dyDescent="0.25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99"/>
      <c r="AA213" s="86"/>
      <c r="AB213" s="86"/>
      <c r="AC213" s="86"/>
    </row>
    <row r="214" spans="1:29" x14ac:dyDescent="0.25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99"/>
      <c r="AA214" s="86"/>
      <c r="AB214" s="86"/>
      <c r="AC214" s="86"/>
    </row>
    <row r="215" spans="1:29" x14ac:dyDescent="0.25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99"/>
      <c r="AA215" s="86"/>
      <c r="AB215" s="86"/>
      <c r="AC215" s="86"/>
    </row>
    <row r="216" spans="1:29" x14ac:dyDescent="0.25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99"/>
      <c r="AA216" s="86"/>
      <c r="AB216" s="86"/>
      <c r="AC216" s="86"/>
    </row>
    <row r="217" spans="1:29" x14ac:dyDescent="0.25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99"/>
      <c r="AA217" s="86"/>
      <c r="AB217" s="86"/>
      <c r="AC217" s="86"/>
    </row>
    <row r="218" spans="1:29" x14ac:dyDescent="0.25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99"/>
      <c r="AA218" s="86"/>
      <c r="AB218" s="86"/>
      <c r="AC218" s="86"/>
    </row>
    <row r="219" spans="1:29" x14ac:dyDescent="0.25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99"/>
      <c r="AA219" s="86"/>
      <c r="AB219" s="86"/>
      <c r="AC219" s="86"/>
    </row>
    <row r="220" spans="1:29" x14ac:dyDescent="0.25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99"/>
      <c r="AA220" s="86"/>
      <c r="AB220" s="86"/>
      <c r="AC220" s="86"/>
    </row>
    <row r="221" spans="1:29" x14ac:dyDescent="0.25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99"/>
      <c r="AA221" s="86"/>
      <c r="AB221" s="86"/>
      <c r="AC221" s="86"/>
    </row>
    <row r="222" spans="1:29" x14ac:dyDescent="0.25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99"/>
      <c r="AA222" s="86"/>
      <c r="AB222" s="86"/>
      <c r="AC222" s="86"/>
    </row>
    <row r="223" spans="1:29" x14ac:dyDescent="0.25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99"/>
      <c r="AA223" s="86"/>
      <c r="AB223" s="86"/>
      <c r="AC223" s="86"/>
    </row>
    <row r="224" spans="1:29" x14ac:dyDescent="0.25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99"/>
      <c r="AA224" s="86"/>
      <c r="AB224" s="86"/>
      <c r="AC224" s="86"/>
    </row>
    <row r="225" spans="1:29" x14ac:dyDescent="0.25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99"/>
      <c r="AA225" s="86"/>
      <c r="AB225" s="86"/>
      <c r="AC225" s="86"/>
    </row>
    <row r="226" spans="1:29" x14ac:dyDescent="0.25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99"/>
      <c r="AA226" s="86"/>
      <c r="AB226" s="86"/>
      <c r="AC226" s="86"/>
    </row>
    <row r="227" spans="1:29" x14ac:dyDescent="0.25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99"/>
      <c r="AA227" s="86"/>
      <c r="AB227" s="86"/>
      <c r="AC227" s="86"/>
    </row>
    <row r="228" spans="1:29" x14ac:dyDescent="0.25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99"/>
      <c r="AA228" s="86"/>
      <c r="AB228" s="86"/>
      <c r="AC228" s="86"/>
    </row>
    <row r="229" spans="1:29" x14ac:dyDescent="0.25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99"/>
      <c r="AA229" s="86"/>
      <c r="AB229" s="86"/>
      <c r="AC229" s="86"/>
    </row>
    <row r="230" spans="1:29" x14ac:dyDescent="0.25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99"/>
      <c r="AA230" s="86"/>
      <c r="AB230" s="86"/>
      <c r="AC230" s="86"/>
    </row>
    <row r="231" spans="1:29" x14ac:dyDescent="0.25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99"/>
      <c r="AA231" s="86"/>
      <c r="AB231" s="86"/>
      <c r="AC231" s="86"/>
    </row>
    <row r="232" spans="1:29" x14ac:dyDescent="0.25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99"/>
      <c r="AA232" s="86"/>
      <c r="AB232" s="86"/>
      <c r="AC232" s="86"/>
    </row>
    <row r="233" spans="1:29" x14ac:dyDescent="0.25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99"/>
      <c r="AA233" s="86"/>
      <c r="AB233" s="86"/>
      <c r="AC233" s="86"/>
    </row>
    <row r="234" spans="1:29" x14ac:dyDescent="0.25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99"/>
      <c r="AA234" s="86"/>
      <c r="AB234" s="86"/>
      <c r="AC234" s="86"/>
    </row>
    <row r="235" spans="1:29" x14ac:dyDescent="0.25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99"/>
      <c r="AA235" s="86"/>
      <c r="AB235" s="86"/>
      <c r="AC235" s="86"/>
    </row>
    <row r="236" spans="1:29" x14ac:dyDescent="0.25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99"/>
      <c r="AA236" s="86"/>
      <c r="AB236" s="86"/>
      <c r="AC236" s="86"/>
    </row>
    <row r="237" spans="1:29" x14ac:dyDescent="0.25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99"/>
      <c r="AA237" s="86"/>
      <c r="AB237" s="86"/>
      <c r="AC237" s="86"/>
    </row>
    <row r="238" spans="1:29" x14ac:dyDescent="0.25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99"/>
      <c r="AA238" s="86"/>
      <c r="AB238" s="86"/>
      <c r="AC238" s="86"/>
    </row>
    <row r="239" spans="1:29" x14ac:dyDescent="0.25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99"/>
      <c r="AA239" s="86"/>
      <c r="AB239" s="86"/>
      <c r="AC239" s="86"/>
    </row>
    <row r="240" spans="1:29" x14ac:dyDescent="0.25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99"/>
      <c r="AA240" s="86"/>
      <c r="AB240" s="86"/>
      <c r="AC240" s="86"/>
    </row>
    <row r="241" spans="1:29" x14ac:dyDescent="0.25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99"/>
      <c r="AA241" s="86"/>
      <c r="AB241" s="86"/>
      <c r="AC241" s="86"/>
    </row>
    <row r="242" spans="1:29" x14ac:dyDescent="0.25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99"/>
      <c r="AA242" s="86"/>
      <c r="AB242" s="86"/>
      <c r="AC242" s="86"/>
    </row>
    <row r="243" spans="1:29" x14ac:dyDescent="0.25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99"/>
      <c r="AA243" s="86"/>
      <c r="AB243" s="86"/>
      <c r="AC243" s="86"/>
    </row>
    <row r="244" spans="1:29" x14ac:dyDescent="0.25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99"/>
      <c r="AA244" s="86"/>
      <c r="AB244" s="86"/>
      <c r="AC244" s="86"/>
    </row>
    <row r="245" spans="1:29" x14ac:dyDescent="0.25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99"/>
      <c r="AA245" s="86"/>
      <c r="AB245" s="86"/>
      <c r="AC245" s="86"/>
    </row>
    <row r="246" spans="1:29" x14ac:dyDescent="0.25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99"/>
      <c r="AA246" s="86"/>
      <c r="AB246" s="86"/>
      <c r="AC246" s="86"/>
    </row>
    <row r="247" spans="1:29" x14ac:dyDescent="0.25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99"/>
      <c r="AA247" s="86"/>
      <c r="AB247" s="86"/>
      <c r="AC247" s="86"/>
    </row>
    <row r="248" spans="1:29" x14ac:dyDescent="0.25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99"/>
      <c r="AA248" s="86"/>
      <c r="AB248" s="86"/>
      <c r="AC248" s="86"/>
    </row>
    <row r="249" spans="1:29" x14ac:dyDescent="0.25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99"/>
      <c r="AA249" s="86"/>
      <c r="AB249" s="86"/>
      <c r="AC249" s="86"/>
    </row>
    <row r="250" spans="1:29" x14ac:dyDescent="0.2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99"/>
      <c r="AA250" s="86"/>
      <c r="AB250" s="86"/>
      <c r="AC250" s="86"/>
    </row>
    <row r="251" spans="1:29" x14ac:dyDescent="0.25"/>
    <row r="252" spans="1:29" x14ac:dyDescent="0.25"/>
    <row r="253" spans="1:29" x14ac:dyDescent="0.25"/>
    <row r="254" spans="1:29" x14ac:dyDescent="0.25"/>
    <row r="255" spans="1:29" x14ac:dyDescent="0.25"/>
    <row r="256" spans="1:29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</sheetData>
  <pageMargins left="0.7" right="0.7" top="0.75" bottom="0.75" header="0.3" footer="0.3"/>
  <pageSetup scale="51" firstPageNumber="5" fitToHeight="0" orientation="landscape" useFirstPageNumber="1" horizontalDpi="1200" verticalDpi="1200" r:id="rId1"/>
  <headerFooter>
    <oddHeader>&amp;R&amp;"Arial,Regular"&amp;10Filed: 2025-02-28
EB-2025-0064
Phase 3 Exhibit 8
Tab 2
Schedule 9
Attachment 2
Page &amp;P of 6</oddHeader>
  </headerFooter>
  <rowBreaks count="1" manualBreakCount="1">
    <brk id="61" max="25" man="1"/>
  </rowBreaks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788F813-4D5F-4302-A711-0906C09DA378}"/>
</file>

<file path=customXml/itemProps2.xml><?xml version="1.0" encoding="utf-8"?>
<ds:datastoreItem xmlns:ds="http://schemas.openxmlformats.org/officeDocument/2006/customXml" ds:itemID="{76263F4A-4D32-4CF4-8211-2E102A0B0FC0}"/>
</file>

<file path=customXml/itemProps3.xml><?xml version="1.0" encoding="utf-8"?>
<ds:datastoreItem xmlns:ds="http://schemas.openxmlformats.org/officeDocument/2006/customXml" ds:itemID="{5234D832-079B-43B8-A519-DD5637AE5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8.2.9.2 p.1-4</vt:lpstr>
      <vt:lpstr>8.2.9.2 p.5-6</vt:lpstr>
      <vt:lpstr>'8.2.9.2 p.1-4'!Print_Area</vt:lpstr>
      <vt:lpstr>'8.2.9.2 p.5-6'!Print_Area</vt:lpstr>
      <vt:lpstr>'8.2.9.2 p.1-4'!Print_Titles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2025-02-28T15:56:48Z</dcterms:created>
  <dcterms:modified xsi:type="dcterms:W3CDTF">2025-02-28T16:06:41Z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