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/>
  <xr:revisionPtr revIDLastSave="8" documentId="13_ncr:1_{2A55A205-9823-4D6E-B998-35AB6CE5B299}" xr6:coauthVersionLast="47" xr6:coauthVersionMax="47" xr10:uidLastSave="{B3F03BEA-5590-4632-893C-23B86B045600}"/>
  <bookViews>
    <workbookView xWindow="-120" yWindow="-120" windowWidth="29040" windowHeight="15225" xr2:uid="{F80D96AF-061C-432C-83B2-EEBE0305FCB1}"/>
  </bookViews>
  <sheets>
    <sheet name="8.2.9.12 p.1-2" sheetId="1" r:id="rId1"/>
    <sheet name="8.2.9.12 p.3" sheetId="2" r:id="rId2"/>
  </sheets>
  <definedNames>
    <definedName name="EV__EVCOM_OPTIONS__" hidden="1">8</definedName>
    <definedName name="EV__EXPOPTIONS__" hidden="1">0</definedName>
    <definedName name="EV__LASTREFTIME__" hidden="1">41247.4113888889</definedName>
    <definedName name="EV__MAXEXPCOLS__" hidden="1">100</definedName>
    <definedName name="EV__MAXEXPROWS__" hidden="1">200000</definedName>
    <definedName name="EV__MEMORYCVW__" hidden="1">0</definedName>
    <definedName name="EV__USERCHANGEOPTIONS__" hidden="1">1</definedName>
    <definedName name="EV__WBEVMODE__" hidden="1">0</definedName>
    <definedName name="EV__WBREFOPTIONS__" hidden="1">134217728</definedName>
    <definedName name="EV__WBVERSION__" hidden="1">0</definedName>
    <definedName name="GSAdminChg">#REF!</definedName>
    <definedName name="paolo" localSheetId="1" hidden="1">{#N/A,#N/A,FALSE,"H3 Tab 1"}</definedName>
    <definedName name="paolo" hidden="1">{#N/A,#N/A,FALSE,"H3 Tab 1"}</definedName>
    <definedName name="_xlnm.Print_Area" localSheetId="0">'8.2.9.12 p.1-2'!$A$1:$P$133</definedName>
    <definedName name="_xlnm.Print_Area" localSheetId="1">'8.2.9.12 p.3'!$A$1:$E$31</definedName>
    <definedName name="wrn.Backup." localSheetId="1" hidden="1">{#N/A,#N/A,FALSE,"Margins";#N/A,#N/A,FALSE,"Fuel $";#N/A,#N/A,FALSE,"Fuel";#N/A,#N/A,FALSE,"M12 Storage";#N/A,#N/A,FALSE,"M12 Transport";#N/A,#N/A,FALSE,"M12 OR";#N/A,#N/A,FALSE,"C1 OR"}</definedName>
    <definedName name="wrn.Backup." hidden="1">{#N/A,#N/A,FALSE,"Margins";#N/A,#N/A,FALSE,"Fuel $";#N/A,#N/A,FALSE,"Fuel";#N/A,#N/A,FALSE,"M12 Storage";#N/A,#N/A,FALSE,"M12 Transport";#N/A,#N/A,FALSE,"M12 OR";#N/A,#N/A,FALSE,"C1 OR"}</definedName>
    <definedName name="wrn.h3T1S1." localSheetId="1" hidden="1">{#N/A,#N/A,FALSE,"H3 Tab 1"}</definedName>
    <definedName name="wrn.h3T1S1." hidden="1">{#N/A,#N/A,FALSE,"H3 Tab 1"}</definedName>
    <definedName name="wrn.H3T1S2." localSheetId="1" hidden="1">{#N/A,#N/A,FALSE,"H3 Tab 1"}</definedName>
    <definedName name="wrn.H3T1S2." hidden="1">{#N/A,#N/A,FALSE,"H3 Tab 1"}</definedName>
    <definedName name="wrn.H3T2S3." localSheetId="1" hidden="1">{#N/A,#N/A,FALSE,"H3 Tab 2";#N/A,#N/A,FALSE,"H3 Tab 2"}</definedName>
    <definedName name="wrn.H3T2S3." hidden="1">{#N/A,#N/A,FALSE,"H3 Tab 2";#N/A,#N/A,FALSE,"H3 Tab 2"}</definedName>
    <definedName name="wrn.Print._.All." localSheetId="1" hidden="1">{#N/A,#N/A,FALSE,"Dday-Cust#";#N/A,#N/A,FALSE,"Cascade";#N/A,#N/A,FALSE,"LF Rate 10,16";#N/A,#N/A,FALSE,"Direct Supply Source";#N/A,#N/A,FALSE,"Direct-DSM";#N/A,#N/A,FALSE,"Regulators";#N/A,#N/A,FALSE,"BS Admin etc..";#N/A,#N/A,FALSE,"Sole Mains";#N/A,#N/A,FALSE,"Sole M&amp;R";#N/A,#N/A,FALSE,"Joint-Sole-Grid-CIAC";#N/A,#N/A,FALSE,"COG";#N/A,#N/A,FALSE,"Gas Supply"}</definedName>
    <definedName name="wrn.Print._.All." hidden="1">{#N/A,#N/A,FALSE,"Dday-Cust#";#N/A,#N/A,FALSE,"Cascade";#N/A,#N/A,FALSE,"LF Rate 10,16";#N/A,#N/A,FALSE,"Direct Supply Source";#N/A,#N/A,FALSE,"Direct-DSM";#N/A,#N/A,FALSE,"Regulators";#N/A,#N/A,FALSE,"BS Admin etc..";#N/A,#N/A,FALSE,"Sole Mains";#N/A,#N/A,FALSE,"Sole M&amp;R";#N/A,#N/A,FALSE,"Joint-Sole-Grid-CIAC";#N/A,#N/A,FALSE,"COG";#N/A,#N/A,FALSE,"Gas Supply"}</definedName>
    <definedName name="wrn.RevProof." localSheetId="1" hidden="1">{#N/A,#N/A,FALSE,"RevProof"}</definedName>
    <definedName name="wrn.RevProof." hidden="1">{#N/A,#N/A,FALSE,"RevProof"}</definedName>
    <definedName name="wrn.Schedules." localSheetId="1" hidden="1">{#N/A,#N/A,FALSE,"Filed Sheet";#N/A,#N/A,FALSE,"Schedule C";#N/A,#N/A,FALSE,"Appendix A"}</definedName>
    <definedName name="wrn.Schedules." hidden="1">{#N/A,#N/A,FALSE,"Filed Sheet";#N/A,#N/A,FALSE,"Schedule C";#N/A,#N/A,FALSE,"Appendix A"}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4" i="2" l="1" a="1"/>
  <c r="A14" i="2" s="1"/>
  <c r="N99" i="1"/>
  <c r="N98" i="1"/>
  <c r="A98" i="1"/>
  <c r="A99" i="1" s="1"/>
  <c r="A100" i="1" s="1"/>
  <c r="A102" i="1" s="1"/>
  <c r="A104" i="1" s="1"/>
  <c r="A106" i="1" s="1"/>
  <c r="A108" i="1" s="1"/>
  <c r="A112" i="1" s="1"/>
  <c r="A113" i="1" s="1"/>
  <c r="A114" i="1" s="1"/>
  <c r="A116" i="1" s="1"/>
  <c r="A117" i="1" s="1"/>
  <c r="I86" i="1"/>
  <c r="I93" i="1" s="1"/>
  <c r="H86" i="1"/>
  <c r="H93" i="1" s="1"/>
  <c r="A86" i="1"/>
  <c r="A87" i="1" s="1"/>
  <c r="A88" i="1" s="1"/>
  <c r="A90" i="1" s="1"/>
  <c r="A93" i="1" s="1"/>
  <c r="A33" i="1"/>
  <c r="A35" i="1" s="1"/>
  <c r="A37" i="1" s="1"/>
  <c r="A39" i="1" s="1"/>
  <c r="A29" i="1"/>
  <c r="I19" i="1"/>
  <c r="J87" i="1"/>
  <c r="I87" i="1"/>
  <c r="H87" i="1"/>
  <c r="J24" i="1"/>
  <c r="I24" i="1"/>
  <c r="H24" i="1"/>
  <c r="A17" i="1"/>
  <c r="A18" i="1" s="1"/>
  <c r="A19" i="1" s="1"/>
  <c r="A21" i="1" s="1"/>
  <c r="A24" i="1" s="1"/>
  <c r="N83" i="1"/>
  <c r="L83" i="1"/>
  <c r="A15" i="2" l="1" a="1"/>
  <c r="A15" i="2" s="1"/>
  <c r="A20" i="2" s="1" a="1"/>
  <c r="A20" i="2" s="1"/>
  <c r="N102" i="1"/>
  <c r="O25" i="1"/>
  <c r="O31" i="1" s="1"/>
  <c r="O33" i="1" s="1"/>
  <c r="N94" i="1"/>
  <c r="N100" i="1" s="1"/>
  <c r="N25" i="1"/>
  <c r="N31" i="1" s="1"/>
  <c r="N33" i="1" s="1"/>
  <c r="P25" i="1"/>
  <c r="P31" i="1" s="1"/>
  <c r="P33" i="1" s="1"/>
  <c r="H88" i="1"/>
  <c r="H19" i="1"/>
  <c r="L21" i="1"/>
  <c r="J86" i="1"/>
  <c r="I88" i="1"/>
  <c r="L17" i="1"/>
  <c r="L24" i="1" s="1"/>
  <c r="L31" i="1" s="1"/>
  <c r="J19" i="1"/>
  <c r="A21" i="2" l="1" a="1"/>
  <c r="A21" i="2" s="1"/>
  <c r="A22" i="2" s="1" a="1"/>
  <c r="A22" i="2" s="1"/>
  <c r="I45" i="1"/>
  <c r="H45" i="1"/>
  <c r="J93" i="1"/>
  <c r="J88" i="1"/>
  <c r="I113" i="1"/>
  <c r="H113" i="1"/>
  <c r="L19" i="1"/>
  <c r="L88" i="1"/>
  <c r="H90" i="1" s="1"/>
  <c r="J47" i="1"/>
  <c r="H47" i="1"/>
  <c r="L86" i="1"/>
  <c r="L93" i="1" s="1"/>
  <c r="L100" i="1" s="1"/>
  <c r="J46" i="1"/>
  <c r="I46" i="1"/>
  <c r="I98" i="1"/>
  <c r="I90" i="1" l="1"/>
  <c r="I99" i="1"/>
  <c r="I100" i="1" s="1"/>
  <c r="H99" i="1"/>
  <c r="H96" i="1"/>
  <c r="I21" i="1"/>
  <c r="I29" i="1"/>
  <c r="H30" i="1"/>
  <c r="I30" i="1"/>
  <c r="J30" i="1"/>
  <c r="H21" i="1"/>
  <c r="H29" i="1"/>
  <c r="I96" i="1"/>
  <c r="H98" i="1"/>
  <c r="J98" i="1"/>
  <c r="J99" i="1"/>
  <c r="J90" i="1"/>
  <c r="J29" i="1"/>
  <c r="J21" i="1"/>
  <c r="J100" i="1" l="1"/>
  <c r="H27" i="1"/>
  <c r="I31" i="1"/>
  <c r="J31" i="1"/>
  <c r="H31" i="1"/>
  <c r="H35" i="1" s="1"/>
  <c r="H43" i="1" s="1"/>
  <c r="H48" i="1" s="1"/>
  <c r="H50" i="1" s="1"/>
  <c r="J50" i="1" s="1"/>
  <c r="I27" i="1"/>
  <c r="H100" i="1"/>
  <c r="H104" i="1" s="1"/>
  <c r="H106" i="1" s="1"/>
  <c r="J27" i="1"/>
  <c r="J96" i="1"/>
  <c r="L90" i="1"/>
  <c r="H37" i="1" l="1"/>
  <c r="H112" i="1"/>
  <c r="H114" i="1" s="1"/>
  <c r="H116" i="1" s="1"/>
  <c r="J116" i="1" s="1"/>
  <c r="I106" i="1"/>
  <c r="J37" i="1"/>
  <c r="J39" i="1" s="1"/>
  <c r="J43" i="1" s="1"/>
  <c r="J48" i="1" s="1"/>
  <c r="J106" i="1"/>
  <c r="I37" i="1"/>
  <c r="I39" i="1" s="1"/>
  <c r="I43" i="1" s="1"/>
  <c r="I51" i="1" l="1"/>
  <c r="I48" i="1"/>
  <c r="J112" i="1"/>
  <c r="J114" i="1" s="1"/>
  <c r="J108" i="1"/>
  <c r="I108" i="1"/>
  <c r="I112" i="1"/>
  <c r="I114" i="1" s="1"/>
  <c r="I117" i="1" s="1"/>
  <c r="E22" i="2" l="1"/>
  <c r="E15" i="2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<sst xmlns="http://schemas.openxmlformats.org/spreadsheetml/2006/main" count="163" uniqueCount="104">
  <si>
    <t xml:space="preserve">Derivation of Rate E70 Dawn Parkway Firm Transportation Demand Charges </t>
  </si>
  <si>
    <t>Proposed Rate Design Methodology</t>
  </si>
  <si>
    <t>Dawn Parkway Easterly</t>
  </si>
  <si>
    <t>Total</t>
  </si>
  <si>
    <t>Station Costs</t>
  </si>
  <si>
    <t>Line</t>
  </si>
  <si>
    <t xml:space="preserve">Dawn to </t>
  </si>
  <si>
    <t xml:space="preserve">Kirkwall to </t>
  </si>
  <si>
    <t>Dawn</t>
  </si>
  <si>
    <t>Parkway</t>
  </si>
  <si>
    <t>Kirkwall</t>
  </si>
  <si>
    <t>No.</t>
  </si>
  <si>
    <t>Particulars</t>
  </si>
  <si>
    <t>Notes</t>
  </si>
  <si>
    <t>Station</t>
  </si>
  <si>
    <t>(a)</t>
  </si>
  <si>
    <t>(b)</t>
  </si>
  <si>
    <t>(c)</t>
  </si>
  <si>
    <t>(d)</t>
  </si>
  <si>
    <t>(e)</t>
  </si>
  <si>
    <t>(f)</t>
  </si>
  <si>
    <t>(g)</t>
  </si>
  <si>
    <t>Revenue Requirement ($000s)</t>
  </si>
  <si>
    <t>(1)(2)(3)(4)</t>
  </si>
  <si>
    <t>Allocation Units (GJ)</t>
  </si>
  <si>
    <t xml:space="preserve">Easterly Demands </t>
  </si>
  <si>
    <t>(5)(6)(7)</t>
  </si>
  <si>
    <t>Distance (km)</t>
  </si>
  <si>
    <t>Distance weighted TJ/km (line 2 * line 3 / 1000)</t>
  </si>
  <si>
    <t>Revenue Requirement ($000s) (line 1 allocated using line 4)</t>
  </si>
  <si>
    <t>Annual Billing Units</t>
  </si>
  <si>
    <t>Dawn Parkway Easterly Demands (line 2 x 12)</t>
  </si>
  <si>
    <t>Station Specific Demands (from line 6)</t>
  </si>
  <si>
    <t>Easterly Dawn Parkway Demand Charge ($/GJ) (line 5 x 1000 / line 6)</t>
  </si>
  <si>
    <t xml:space="preserve">Adjusted Westerly Demands Recovered over 100 days </t>
  </si>
  <si>
    <t>(8)</t>
  </si>
  <si>
    <t xml:space="preserve">Adjusted Westerly Demands Recovered over 214 days </t>
  </si>
  <si>
    <t>(9)</t>
  </si>
  <si>
    <t>Total Demands (line 6 + line 7 + line 9 + line 10)</t>
  </si>
  <si>
    <t>Dawn, Parkway and Kirkwall Station 
Demand Charges ($/GJ) (line 1 * 1000 / line 11)</t>
  </si>
  <si>
    <t>Adjusted Easterly Demand Charge ($/GJ) (line 5 * 1000 / line 11)</t>
  </si>
  <si>
    <t>Westerly Revenue Adjustment ($000s) ((line 9 + line 10) * line 13 / 1000)</t>
  </si>
  <si>
    <t>Demand Charges ($/GJ)  ((line 5 - line 14) x 1000 / line 6)</t>
  </si>
  <si>
    <t xml:space="preserve">Monthly Demand Charge ($/GJ) </t>
  </si>
  <si>
    <t>Easterly Demand Charge</t>
  </si>
  <si>
    <t>Dawn Parkway (line 13 or line 15)</t>
  </si>
  <si>
    <t>Station Charge (line 12)</t>
  </si>
  <si>
    <t>Dawn Station</t>
  </si>
  <si>
    <t>Kirkwall Station</t>
  </si>
  <si>
    <t>Parkway Station</t>
  </si>
  <si>
    <t>Total Easterly Demand Charge</t>
  </si>
  <si>
    <t>Westerly Demand Charges (line 21 * 100 / 365)</t>
  </si>
  <si>
    <t>Westerly Demand Charge ((lines 16+18) * 214/365 + (lines 17+19) * 100/365)</t>
  </si>
  <si>
    <t>Notes:</t>
  </si>
  <si>
    <t>(1)</t>
  </si>
  <si>
    <t xml:space="preserve">Dawn Parkway revenue requirement per Phase 3 Exhibit 7, Tab 3, Schedule 7, Attachment 8, p. 5, column (b), line 10 plus line 16 plus line 31, less Phase 3 Exhibit 7, Tab 3, </t>
  </si>
  <si>
    <t xml:space="preserve">Schedule 7, Attachment 8, column (o), line 10 and line 16, less Attachment 2, p. 5, column (e), line 19, less Attachment 12 p. 3, line 4, and </t>
  </si>
  <si>
    <t>less storage demand - operational contingency allocated to Parkway - Albion path.</t>
  </si>
  <si>
    <t>(2)</t>
  </si>
  <si>
    <t>Dawn Station revenue requirement per Phase 3 Exhibit 7, Tab 3, Schedule 7, Attachment 8, page 5, line 13, Rate M12 and Rate C1 allocation.</t>
  </si>
  <si>
    <t>(3)</t>
  </si>
  <si>
    <t>Kirkwall Station revenue requirement per Phase 3 Exhibit 7, Tab 3, Schedule 7, Attachment 8, page 5, line 14, Rate M12 and Rate C1 allocation.</t>
  </si>
  <si>
    <t>(4)</t>
  </si>
  <si>
    <t>Parkway Station revenue requirement per Phase 3 Exhibit 7, Tab 3, Schedule 7, Attachment 8, page 5, line 15, Rate M12 and Rate C1 allocation.</t>
  </si>
  <si>
    <t>(5)</t>
  </si>
  <si>
    <t>Dawn to Parkway easterly demands per Attachment 2, p. 5, column (a), line 4 plus line 12.</t>
  </si>
  <si>
    <t>(6)</t>
  </si>
  <si>
    <t>Dawn to Kirkwall easterly demands per Attachment 2, p. 5, column (a), line 6.</t>
  </si>
  <si>
    <t>(7)</t>
  </si>
  <si>
    <t>Dawn to Parkway easterly demands per Attachment 2, p. 5, column (a), line 8.</t>
  </si>
  <si>
    <t>Parkway to Dawn westerly demands in column (d) per Attachment 2, p. 5, column (a), line 10 plus line 12 * 12 / 365 * 100 days.</t>
  </si>
  <si>
    <t>Kirkwall to Dawn westerly demands in column (d) per Attachment 2, p. 5, column (a), line 11 * 12/365 * 214 days, distance weighted.</t>
  </si>
  <si>
    <t xml:space="preserve">Derivation of Rate M12/Rate C1 Transportation Demand Charges </t>
  </si>
  <si>
    <t>Approved Rate Design Methodology</t>
  </si>
  <si>
    <t>(1)(2)</t>
  </si>
  <si>
    <t>Easterly Demands</t>
  </si>
  <si>
    <t>Dawn Station Demand Charges ($/GJ) (line 1 * 1000 / line 11)</t>
  </si>
  <si>
    <t>Adjusted Dawn to Parkway Easterly Demand Charge ($/GJ) (line 5 / line 9)</t>
  </si>
  <si>
    <t>Dawn Parkway ((line 5 - line 13) * 1000 / line 6)</t>
  </si>
  <si>
    <t>Dawn Station (line 12)</t>
  </si>
  <si>
    <t>Total Easterly Demand Charge (line 11 + line 13 + line 14)</t>
  </si>
  <si>
    <t xml:space="preserve"> </t>
  </si>
  <si>
    <t>Westerly Demand Charge (line 16 * 100 / 365)</t>
  </si>
  <si>
    <t>Westerly Demand Charge (line 16 * 214 / 365)</t>
  </si>
  <si>
    <t xml:space="preserve">Dawn Parkway revenue requirement includes Dawn Parkway, Kirkwall Station and Parkway Station. Total revenue requirement per pp.1, line 1. </t>
  </si>
  <si>
    <t xml:space="preserve">Dawn Station includes measuring and regulating costs as proposed at Phase 3 Exhibit 7, Tab 1, Schedule 4. Dawn Station revenue requirement per pp.1, line 1. </t>
  </si>
  <si>
    <t>Derivation of Rate E70-X and F24-T Firm Transportation Demand Charges</t>
  </si>
  <si>
    <t>Rate E70</t>
  </si>
  <si>
    <t>Particulars ($/GJ)</t>
  </si>
  <si>
    <t>Charges</t>
  </si>
  <si>
    <t>Rate E70-X Monthly Firm Demand Charge</t>
  </si>
  <si>
    <t>Rate E70 Dawn to Parkway Firm Demand Charge (1)</t>
  </si>
  <si>
    <t>Rate E70 Parkway to Dawn Firm Demand Charge (2)</t>
  </si>
  <si>
    <t>E70-X Firm Demand Charge (line 1 + line 2)</t>
  </si>
  <si>
    <t/>
  </si>
  <si>
    <t>F24-T Firm All Day Demand Charge</t>
  </si>
  <si>
    <t>Revenue Requirement</t>
  </si>
  <si>
    <t>Operating &amp; Maintenance Costs ($000s) (3)</t>
  </si>
  <si>
    <t>F24-T Demand (GJ/d) (4)</t>
  </si>
  <si>
    <t>F24-T Firm Demand Charge (line 5 * 1000 / (line 6 * 12))</t>
  </si>
  <si>
    <t>Attachment 12, p.1, column (a), line 21.</t>
  </si>
  <si>
    <t>Attachment 12, p.1, column (a), line 22.</t>
  </si>
  <si>
    <t>Assumes two full time staff and $100,000 in additional compressor fuel and maintenance costs.</t>
  </si>
  <si>
    <t>Attachment 2, p.5, column (a), line 5 + line 7 + line 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</si>
</sst>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_-* #,##0.000_-;\-* #,##0.000_-;_-* &quot;-&quot;??_-;_-@_-"/>
    <numFmt numFmtId="167" formatCode="0.000%"/>
    <numFmt numFmtId="168" formatCode="_(* #,##0_);_(* \(#,##0\);_(* &quot;-&quot;??_);_(@_)"/>
    <numFmt numFmtId="169" formatCode="#,##0.000_);\(#,##0.000\);\-"/>
    <numFmt numFmtId="170" formatCode="#,##0_);\(#,##0\);\-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u/>
      <sz val="10"/>
      <name val="Arial"/>
      <family val="2"/>
    </font>
    <font>
      <sz val="12"/>
      <color theme="1"/>
      <name val="Times New Roman"/>
      <family val="2"/>
    </font>
    <font>
      <b/>
      <sz val="10"/>
      <name val="Arial"/>
      <family val="2"/>
    </font>
    <font>
      <sz val="11"/>
      <name val="Aptos Narrow"/>
      <family val="2"/>
      <scheme val="minor"/>
    </font>
    <font>
      <sz val="12"/>
      <name val="Arial"/>
      <family val="2"/>
    </font>
    <font>
      <sz val="9"/>
      <name val="Arial"/>
      <family val="2"/>
    </font>
    <font>
      <sz val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37" fontId="7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</cellStyleXfs>
  <cellXfs count="69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0" xfId="0" applyFont="1"/>
    <xf numFmtId="0" fontId="2" fillId="0" borderId="0" xfId="0" quotePrefix="1" applyFont="1" applyAlignment="1">
      <alignment horizontal="center"/>
    </xf>
    <xf numFmtId="165" fontId="2" fillId="0" borderId="0" xfId="3" applyNumberFormat="1" applyFont="1" applyFill="1"/>
    <xf numFmtId="165" fontId="5" fillId="0" borderId="0" xfId="3" applyNumberFormat="1" applyFont="1" applyFill="1"/>
    <xf numFmtId="9" fontId="2" fillId="0" borderId="0" xfId="2" applyFont="1"/>
    <xf numFmtId="165" fontId="2" fillId="0" borderId="0" xfId="0" applyNumberFormat="1" applyFont="1"/>
    <xf numFmtId="0" fontId="6" fillId="0" borderId="0" xfId="0" applyFont="1"/>
    <xf numFmtId="166" fontId="2" fillId="0" borderId="2" xfId="3" applyNumberFormat="1" applyFont="1" applyFill="1" applyBorder="1"/>
    <xf numFmtId="165" fontId="2" fillId="0" borderId="0" xfId="3" applyNumberFormat="1" applyFont="1" applyFill="1" applyBorder="1"/>
    <xf numFmtId="165" fontId="2" fillId="0" borderId="1" xfId="3" applyNumberFormat="1" applyFont="1" applyFill="1" applyBorder="1"/>
    <xf numFmtId="165" fontId="2" fillId="0" borderId="1" xfId="0" applyNumberFormat="1" applyFont="1" applyBorder="1"/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wrapText="1"/>
    </xf>
    <xf numFmtId="166" fontId="2" fillId="0" borderId="3" xfId="3" applyNumberFormat="1" applyFont="1" applyFill="1" applyBorder="1"/>
    <xf numFmtId="166" fontId="2" fillId="0" borderId="0" xfId="3" applyNumberFormat="1" applyFont="1" applyFill="1" applyBorder="1"/>
    <xf numFmtId="164" fontId="2" fillId="0" borderId="0" xfId="0" applyNumberFormat="1" applyFont="1"/>
    <xf numFmtId="167" fontId="2" fillId="0" borderId="0" xfId="2" applyNumberFormat="1" applyFont="1" applyFill="1"/>
    <xf numFmtId="167" fontId="2" fillId="0" borderId="0" xfId="2" applyNumberFormat="1" applyFont="1" applyFill="1" applyBorder="1"/>
    <xf numFmtId="166" fontId="2" fillId="0" borderId="0" xfId="3" applyNumberFormat="1" applyFont="1" applyFill="1"/>
    <xf numFmtId="165" fontId="2" fillId="0" borderId="0" xfId="1" applyNumberFormat="1" applyFont="1" applyFill="1"/>
    <xf numFmtId="166" fontId="2" fillId="0" borderId="0" xfId="0" applyNumberFormat="1" applyFont="1"/>
    <xf numFmtId="0" fontId="2" fillId="0" borderId="0" xfId="0" applyFont="1" applyAlignment="1">
      <alignment horizontal="left" indent="1"/>
    </xf>
    <xf numFmtId="166" fontId="2" fillId="0" borderId="4" xfId="0" applyNumberFormat="1" applyFont="1" applyBorder="1"/>
    <xf numFmtId="0" fontId="2" fillId="0" borderId="0" xfId="0" quotePrefix="1" applyFont="1" applyAlignment="1">
      <alignment horizontal="left"/>
    </xf>
    <xf numFmtId="168" fontId="2" fillId="0" borderId="0" xfId="3" applyNumberFormat="1" applyFont="1" applyFill="1" applyBorder="1"/>
    <xf numFmtId="0" fontId="3" fillId="0" borderId="0" xfId="3" applyNumberFormat="1" applyFont="1" applyFill="1" applyBorder="1"/>
    <xf numFmtId="2" fontId="3" fillId="0" borderId="0" xfId="3" applyNumberFormat="1" applyFont="1" applyFill="1" applyBorder="1"/>
    <xf numFmtId="165" fontId="5" fillId="0" borderId="0" xfId="1" applyNumberFormat="1" applyFont="1" applyFill="1"/>
    <xf numFmtId="166" fontId="2" fillId="0" borderId="2" xfId="1" applyNumberFormat="1" applyFont="1" applyFill="1" applyBorder="1"/>
    <xf numFmtId="165" fontId="2" fillId="0" borderId="5" xfId="1" applyNumberFormat="1" applyFont="1" applyFill="1" applyBorder="1"/>
    <xf numFmtId="166" fontId="2" fillId="0" borderId="3" xfId="1" applyNumberFormat="1" applyFont="1" applyFill="1" applyBorder="1"/>
    <xf numFmtId="165" fontId="2" fillId="0" borderId="0" xfId="1" applyNumberFormat="1" applyFont="1" applyFill="1" applyBorder="1"/>
    <xf numFmtId="166" fontId="2" fillId="0" borderId="0" xfId="1" applyNumberFormat="1" applyFont="1" applyFill="1" applyBorder="1"/>
    <xf numFmtId="166" fontId="2" fillId="0" borderId="0" xfId="1" applyNumberFormat="1" applyFont="1" applyFill="1"/>
    <xf numFmtId="0" fontId="5" fillId="0" borderId="0" xfId="0" applyFont="1"/>
    <xf numFmtId="37" fontId="3" fillId="0" borderId="0" xfId="4" applyFont="1" applyAlignment="1">
      <alignment horizontal="centerContinuous"/>
    </xf>
    <xf numFmtId="0" fontId="8" fillId="0" borderId="0" xfId="0" applyFont="1" applyAlignment="1">
      <alignment horizontal="left"/>
    </xf>
    <xf numFmtId="169" fontId="2" fillId="0" borderId="3" xfId="6" applyNumberFormat="1" applyFont="1" applyFill="1" applyBorder="1" applyAlignment="1">
      <alignment horizontal="right"/>
    </xf>
    <xf numFmtId="169" fontId="2" fillId="0" borderId="0" xfId="6" applyNumberFormat="1" applyFont="1" applyFill="1" applyBorder="1" applyAlignment="1">
      <alignment horizontal="right"/>
    </xf>
    <xf numFmtId="0" fontId="3" fillId="0" borderId="0" xfId="7" applyFont="1" applyAlignment="1">
      <alignment horizontal="left"/>
    </xf>
    <xf numFmtId="0" fontId="2" fillId="0" borderId="0" xfId="0" applyFont="1" applyAlignment="1">
      <alignment horizontal="center"/>
    </xf>
    <xf numFmtId="15" fontId="3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165" fontId="2" fillId="0" borderId="1" xfId="1" applyNumberFormat="1" applyFont="1" applyFill="1" applyBorder="1"/>
    <xf numFmtId="165" fontId="6" fillId="0" borderId="0" xfId="0" applyNumberFormat="1" applyFont="1"/>
    <xf numFmtId="0" fontId="9" fillId="0" borderId="0" xfId="0" applyFont="1"/>
    <xf numFmtId="0" fontId="2" fillId="0" borderId="0" xfId="5" applyAlignment="1">
      <alignment horizontal="center" wrapText="1"/>
    </xf>
    <xf numFmtId="0" fontId="2" fillId="0" borderId="1" xfId="5" applyBorder="1" applyAlignment="1">
      <alignment horizontal="center"/>
    </xf>
    <xf numFmtId="0" fontId="2" fillId="0" borderId="0" xfId="5"/>
    <xf numFmtId="0" fontId="2" fillId="0" borderId="1" xfId="5" applyBorder="1"/>
    <xf numFmtId="0" fontId="2" fillId="0" borderId="0" xfId="0" applyFont="1" applyAlignment="1">
      <alignment horizontal="right"/>
    </xf>
    <xf numFmtId="37" fontId="3" fillId="0" borderId="0" xfId="0" applyNumberFormat="1" applyFont="1"/>
    <xf numFmtId="37" fontId="2" fillId="0" borderId="0" xfId="0" applyNumberFormat="1" applyFont="1"/>
    <xf numFmtId="169" fontId="2" fillId="0" borderId="1" xfId="6" applyNumberFormat="1" applyFont="1" applyFill="1" applyBorder="1" applyAlignment="1">
      <alignment horizontal="right"/>
    </xf>
    <xf numFmtId="37" fontId="2" fillId="0" borderId="0" xfId="0" applyNumberFormat="1" applyFont="1" applyAlignment="1">
      <alignment horizontal="left"/>
    </xf>
    <xf numFmtId="170" fontId="2" fillId="0" borderId="0" xfId="6" applyNumberFormat="1" applyFont="1" applyFill="1" applyBorder="1" applyAlignment="1">
      <alignment horizontal="right"/>
    </xf>
    <xf numFmtId="0" fontId="2" fillId="0" borderId="0" xfId="8" quotePrefix="1" applyAlignment="1">
      <alignment horizontal="left"/>
    </xf>
    <xf numFmtId="0" fontId="2" fillId="0" borderId="0" xfId="0" applyFont="1" applyAlignment="1">
      <alignment vertical="top"/>
    </xf>
    <xf numFmtId="0" fontId="2" fillId="0" borderId="0" xfId="0" quotePrefix="1" applyFont="1" applyAlignment="1">
      <alignment vertical="top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15" fontId="3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9">
    <cellStyle name="Comma" xfId="1" builtinId="3"/>
    <cellStyle name="Comma 10" xfId="6" xr:uid="{0F67983A-8C73-4E76-A700-4975AB079158}"/>
    <cellStyle name="Comma 5 36" xfId="3" xr:uid="{78053AB4-125A-4D52-9640-E28BCCE0C051}"/>
    <cellStyle name="Normal" xfId="0" builtinId="0"/>
    <cellStyle name="Normal 10" xfId="7" xr:uid="{BA81869F-D854-45F2-9200-043EC51E187E}"/>
    <cellStyle name="Normal 2" xfId="8" xr:uid="{841FFDA7-A023-430A-BC14-30EDB0FA20CB}"/>
    <cellStyle name="Normal 60" xfId="5" xr:uid="{A49BB24B-809E-4F70-A3A1-8DFB836FD40D}"/>
    <cellStyle name="Normal_C 1" xfId="4" xr:uid="{4DC61E38-E5E6-47C1-BE20-83F764993900}"/>
    <cellStyle name="Percent" xfId="2" builtinId="5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4D374-832E-4485-823F-BDD3C7ED3B65}">
  <dimension ref="A1:AC129"/>
  <sheetViews>
    <sheetView tabSelected="1" view="pageLayout" zoomScaleNormal="110" workbookViewId="0">
      <selection sqref="A1:XFD1048576"/>
    </sheetView>
  </sheetViews>
  <sheetFormatPr defaultColWidth="8.85546875" defaultRowHeight="15" x14ac:dyDescent="0.25"/>
  <cols>
    <col min="1" max="1" width="3.5703125" style="9" customWidth="1"/>
    <col min="2" max="2" width="1.42578125" style="9" customWidth="1"/>
    <col min="3" max="3" width="3.42578125" style="9" customWidth="1"/>
    <col min="4" max="4" width="50.5703125" style="9" bestFit="1" customWidth="1"/>
    <col min="5" max="5" width="1.42578125" style="9" customWidth="1"/>
    <col min="6" max="6" width="10.5703125" style="9" customWidth="1"/>
    <col min="7" max="7" width="1.42578125" style="9" customWidth="1"/>
    <col min="8" max="10" width="12.140625" style="9" customWidth="1"/>
    <col min="11" max="11" width="1.42578125" style="9" customWidth="1"/>
    <col min="12" max="12" width="12.5703125" style="9" customWidth="1"/>
    <col min="13" max="13" width="1.42578125" style="9" customWidth="1"/>
    <col min="14" max="16" width="11.85546875" style="9" customWidth="1"/>
    <col min="17" max="16384" width="8.85546875" style="9"/>
  </cols>
  <sheetData>
    <row r="1" spans="1:1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Q1" s="39"/>
    </row>
    <row r="2" spans="1:1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Q2" s="39"/>
    </row>
    <row r="3" spans="1:1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Q3" s="39"/>
    </row>
    <row r="4" spans="1:17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Q4" s="39"/>
    </row>
    <row r="5" spans="1:17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Q5" s="39"/>
    </row>
    <row r="6" spans="1:17" x14ac:dyDescent="0.25">
      <c r="A6" s="68" t="s">
        <v>0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39"/>
    </row>
    <row r="7" spans="1:17" x14ac:dyDescent="0.25">
      <c r="A7" s="66" t="s">
        <v>1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39"/>
    </row>
    <row r="8" spans="1:17" x14ac:dyDescent="0.25">
      <c r="A8" s="44"/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</row>
    <row r="9" spans="1:17" x14ac:dyDescent="0.25">
      <c r="A9" s="1"/>
      <c r="B9" s="1"/>
      <c r="C9" s="1"/>
      <c r="D9" s="1"/>
      <c r="E9" s="1"/>
      <c r="F9" s="1"/>
      <c r="G9" s="1"/>
      <c r="H9" s="67" t="s">
        <v>2</v>
      </c>
      <c r="I9" s="67"/>
      <c r="J9" s="67"/>
      <c r="K9" s="1"/>
      <c r="L9" s="43" t="s">
        <v>3</v>
      </c>
      <c r="M9" s="1"/>
      <c r="N9" s="67" t="s">
        <v>4</v>
      </c>
      <c r="O9" s="67"/>
      <c r="P9" s="67"/>
    </row>
    <row r="10" spans="1:17" x14ac:dyDescent="0.25">
      <c r="A10" s="43" t="s">
        <v>5</v>
      </c>
      <c r="B10" s="1"/>
      <c r="C10" s="1"/>
      <c r="D10" s="1"/>
      <c r="E10" s="1"/>
      <c r="F10" s="1"/>
      <c r="G10" s="1"/>
      <c r="H10" s="43" t="s">
        <v>6</v>
      </c>
      <c r="I10" s="43" t="s">
        <v>6</v>
      </c>
      <c r="J10" s="43" t="s">
        <v>7</v>
      </c>
      <c r="K10" s="1"/>
      <c r="L10" s="43" t="s">
        <v>8</v>
      </c>
      <c r="M10" s="1"/>
      <c r="N10" s="43" t="s">
        <v>8</v>
      </c>
      <c r="O10" s="43" t="s">
        <v>9</v>
      </c>
      <c r="P10" s="43" t="s">
        <v>10</v>
      </c>
    </row>
    <row r="11" spans="1:17" x14ac:dyDescent="0.25">
      <c r="A11" s="45" t="s">
        <v>11</v>
      </c>
      <c r="B11" s="1"/>
      <c r="C11" s="2" t="s">
        <v>12</v>
      </c>
      <c r="D11" s="2"/>
      <c r="E11" s="1"/>
      <c r="F11" s="45" t="s">
        <v>13</v>
      </c>
      <c r="G11" s="1"/>
      <c r="H11" s="45" t="s">
        <v>9</v>
      </c>
      <c r="I11" s="45" t="s">
        <v>10</v>
      </c>
      <c r="J11" s="45" t="s">
        <v>9</v>
      </c>
      <c r="K11" s="43"/>
      <c r="L11" s="45" t="s">
        <v>9</v>
      </c>
      <c r="M11" s="1"/>
      <c r="N11" s="45" t="s">
        <v>14</v>
      </c>
      <c r="O11" s="45" t="s">
        <v>14</v>
      </c>
      <c r="P11" s="45" t="s">
        <v>14</v>
      </c>
    </row>
    <row r="12" spans="1:17" x14ac:dyDescent="0.25">
      <c r="A12" s="1"/>
      <c r="B12" s="1"/>
      <c r="C12" s="1"/>
      <c r="D12" s="1"/>
      <c r="E12" s="1"/>
      <c r="F12" s="1"/>
      <c r="G12" s="1"/>
      <c r="H12" s="43" t="s">
        <v>15</v>
      </c>
      <c r="I12" s="43" t="s">
        <v>16</v>
      </c>
      <c r="J12" s="43" t="s">
        <v>17</v>
      </c>
      <c r="K12" s="43"/>
      <c r="L12" s="43" t="s">
        <v>18</v>
      </c>
      <c r="M12" s="43"/>
      <c r="N12" s="43" t="s">
        <v>19</v>
      </c>
      <c r="O12" s="43" t="s">
        <v>20</v>
      </c>
      <c r="P12" s="43" t="s">
        <v>21</v>
      </c>
    </row>
    <row r="13" spans="1:17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7" x14ac:dyDescent="0.25">
      <c r="A14" s="43">
        <v>1</v>
      </c>
      <c r="B14" s="1"/>
      <c r="C14" s="3" t="s">
        <v>22</v>
      </c>
      <c r="D14" s="1"/>
      <c r="E14" s="1"/>
      <c r="F14" s="4" t="s">
        <v>23</v>
      </c>
      <c r="G14" s="4"/>
      <c r="H14" s="5"/>
      <c r="I14" s="5"/>
      <c r="J14" s="5"/>
      <c r="K14" s="5"/>
      <c r="L14" s="5">
        <v>66408.3917616455</v>
      </c>
      <c r="M14" s="5"/>
      <c r="N14" s="5">
        <v>4669.9685553087902</v>
      </c>
      <c r="O14" s="5">
        <v>23651.270997408701</v>
      </c>
      <c r="P14" s="5">
        <v>996.56534610400081</v>
      </c>
    </row>
    <row r="15" spans="1:17" x14ac:dyDescent="0.25">
      <c r="A15" s="43"/>
      <c r="B15" s="1"/>
      <c r="C15" s="1"/>
      <c r="D15" s="1"/>
      <c r="E15" s="1"/>
      <c r="F15" s="43"/>
      <c r="G15" s="43"/>
      <c r="H15" s="1"/>
      <c r="I15" s="1"/>
      <c r="J15" s="1"/>
      <c r="K15" s="1"/>
      <c r="L15" s="1"/>
      <c r="M15" s="1"/>
      <c r="N15" s="1"/>
      <c r="O15" s="1"/>
      <c r="P15" s="1"/>
    </row>
    <row r="16" spans="1:17" x14ac:dyDescent="0.25">
      <c r="A16" s="43"/>
      <c r="B16" s="1"/>
      <c r="C16" s="3" t="s">
        <v>24</v>
      </c>
      <c r="D16" s="1"/>
      <c r="E16" s="1"/>
      <c r="F16" s="43"/>
      <c r="G16" s="4"/>
      <c r="H16" s="1"/>
      <c r="I16" s="1"/>
      <c r="J16" s="1"/>
      <c r="K16" s="1"/>
      <c r="L16" s="1"/>
      <c r="M16" s="1"/>
      <c r="N16" s="1"/>
      <c r="O16" s="1"/>
      <c r="P16" s="1"/>
    </row>
    <row r="17" spans="1:16" x14ac:dyDescent="0.25">
      <c r="A17" s="43">
        <f>A14+1</f>
        <v>2</v>
      </c>
      <c r="B17" s="1"/>
      <c r="C17" s="1"/>
      <c r="D17" s="1" t="s">
        <v>25</v>
      </c>
      <c r="E17" s="1"/>
      <c r="F17" s="43" t="s">
        <v>26</v>
      </c>
      <c r="G17" s="4"/>
      <c r="H17" s="5">
        <v>1922374</v>
      </c>
      <c r="I17" s="5">
        <v>49500</v>
      </c>
      <c r="J17" s="5">
        <v>383738.83333333331</v>
      </c>
      <c r="K17" s="1"/>
      <c r="L17" s="5">
        <f>SUM(H17:J17)</f>
        <v>2355612.8333333335</v>
      </c>
      <c r="M17" s="6"/>
      <c r="N17" s="6"/>
      <c r="O17" s="6"/>
      <c r="P17" s="6"/>
    </row>
    <row r="18" spans="1:16" x14ac:dyDescent="0.25">
      <c r="A18" s="43">
        <f>A17+1</f>
        <v>3</v>
      </c>
      <c r="B18" s="1"/>
      <c r="C18" s="1"/>
      <c r="D18" s="1" t="s">
        <v>27</v>
      </c>
      <c r="E18" s="1"/>
      <c r="F18" s="43"/>
      <c r="G18" s="43"/>
      <c r="H18" s="12">
        <v>228.94</v>
      </c>
      <c r="I18" s="12">
        <v>188.67</v>
      </c>
      <c r="J18" s="12">
        <v>40.27000000000001</v>
      </c>
      <c r="K18" s="1"/>
      <c r="L18" s="1"/>
      <c r="M18" s="1"/>
      <c r="N18" s="1"/>
      <c r="O18" s="7"/>
      <c r="P18" s="1"/>
    </row>
    <row r="19" spans="1:16" x14ac:dyDescent="0.25">
      <c r="A19" s="43">
        <f>A18+1</f>
        <v>4</v>
      </c>
      <c r="B19" s="1"/>
      <c r="C19" s="1"/>
      <c r="D19" s="1" t="s">
        <v>28</v>
      </c>
      <c r="E19" s="1"/>
      <c r="F19" s="43"/>
      <c r="G19" s="43"/>
      <c r="H19" s="5">
        <f>H17*H18/1000</f>
        <v>440108.30356000003</v>
      </c>
      <c r="I19" s="5">
        <f>I17*I18/1000</f>
        <v>9339.1650000000009</v>
      </c>
      <c r="J19" s="5">
        <f>J17*J18/1000</f>
        <v>15453.162818333338</v>
      </c>
      <c r="K19" s="5"/>
      <c r="L19" s="5">
        <f>SUM(H19:J19)</f>
        <v>464900.63137833332</v>
      </c>
      <c r="M19" s="1"/>
      <c r="N19" s="1"/>
      <c r="O19" s="1"/>
      <c r="P19" s="1"/>
    </row>
    <row r="20" spans="1:16" x14ac:dyDescent="0.25">
      <c r="A20" s="43"/>
      <c r="B20" s="1"/>
      <c r="C20" s="1"/>
      <c r="D20" s="1"/>
      <c r="E20" s="1"/>
      <c r="F20" s="43"/>
      <c r="G20" s="43"/>
      <c r="H20" s="1"/>
      <c r="I20" s="1"/>
      <c r="J20" s="1"/>
      <c r="K20" s="1"/>
      <c r="L20" s="1"/>
      <c r="M20" s="1"/>
      <c r="N20" s="1"/>
      <c r="O20" s="1"/>
      <c r="P20" s="1"/>
    </row>
    <row r="21" spans="1:16" x14ac:dyDescent="0.25">
      <c r="A21" s="43">
        <f>A19+1</f>
        <v>5</v>
      </c>
      <c r="B21" s="1"/>
      <c r="C21" s="1"/>
      <c r="D21" s="1" t="s">
        <v>29</v>
      </c>
      <c r="E21" s="1"/>
      <c r="F21" s="43"/>
      <c r="G21" s="43"/>
      <c r="H21" s="5">
        <f>H19/L19*L21</f>
        <v>62866.949768844308</v>
      </c>
      <c r="I21" s="5">
        <f>I19/L19*L21</f>
        <v>1334.0462158717394</v>
      </c>
      <c r="J21" s="5">
        <f>J19/L19*L21</f>
        <v>2207.3957769294634</v>
      </c>
      <c r="K21" s="5"/>
      <c r="L21" s="8">
        <f>L14</f>
        <v>66408.3917616455</v>
      </c>
      <c r="M21" s="1"/>
      <c r="N21" s="1"/>
      <c r="O21" s="1"/>
      <c r="P21" s="1"/>
    </row>
    <row r="22" spans="1:16" x14ac:dyDescent="0.25">
      <c r="A22" s="43"/>
      <c r="B22" s="1"/>
      <c r="C22" s="1"/>
      <c r="D22" s="1"/>
      <c r="E22" s="1"/>
      <c r="F22" s="43"/>
      <c r="G22" s="43"/>
      <c r="H22" s="5"/>
      <c r="I22" s="5"/>
      <c r="J22" s="5"/>
      <c r="K22" s="5"/>
      <c r="L22" s="8"/>
      <c r="M22" s="1"/>
      <c r="N22" s="1"/>
      <c r="O22" s="1"/>
      <c r="P22" s="1"/>
    </row>
    <row r="23" spans="1:16" x14ac:dyDescent="0.25">
      <c r="A23" s="43"/>
      <c r="B23" s="1"/>
      <c r="C23" s="1" t="s">
        <v>30</v>
      </c>
      <c r="D23" s="1"/>
      <c r="E23" s="1"/>
      <c r="F23" s="43"/>
      <c r="G23" s="1"/>
      <c r="H23" s="5"/>
      <c r="I23" s="5"/>
      <c r="J23" s="5"/>
      <c r="K23" s="5"/>
      <c r="L23" s="8"/>
      <c r="M23" s="1"/>
      <c r="N23" s="1"/>
      <c r="O23" s="1"/>
      <c r="P23" s="1"/>
    </row>
    <row r="24" spans="1:16" x14ac:dyDescent="0.25">
      <c r="A24" s="43">
        <f>A21+1</f>
        <v>6</v>
      </c>
      <c r="B24" s="1"/>
      <c r="C24" s="1"/>
      <c r="D24" s="1" t="s">
        <v>31</v>
      </c>
      <c r="E24" s="1"/>
      <c r="F24" s="43"/>
      <c r="G24" s="1"/>
      <c r="H24" s="5">
        <f>H17*12</f>
        <v>23068488</v>
      </c>
      <c r="I24" s="5">
        <f>I17*12</f>
        <v>594000</v>
      </c>
      <c r="J24" s="5">
        <f>J17*12</f>
        <v>4604866</v>
      </c>
      <c r="K24" s="5"/>
      <c r="L24" s="5">
        <f>L17*12</f>
        <v>28267354</v>
      </c>
      <c r="M24" s="1"/>
    </row>
    <row r="25" spans="1:16" x14ac:dyDescent="0.25">
      <c r="A25" s="43">
        <v>7</v>
      </c>
      <c r="B25" s="1"/>
      <c r="C25" s="1"/>
      <c r="D25" s="1" t="s">
        <v>32</v>
      </c>
      <c r="E25" s="1"/>
      <c r="F25" s="43"/>
      <c r="G25" s="1"/>
      <c r="H25" s="5"/>
      <c r="I25" s="5"/>
      <c r="J25" s="5"/>
      <c r="K25" s="5"/>
      <c r="L25" s="5"/>
      <c r="M25" s="1"/>
      <c r="N25" s="8">
        <f>I24+H24</f>
        <v>23662488</v>
      </c>
      <c r="O25" s="8">
        <f>H24+J24</f>
        <v>27673354</v>
      </c>
      <c r="P25" s="8">
        <f>I24+J24</f>
        <v>5198866</v>
      </c>
    </row>
    <row r="26" spans="1:16" x14ac:dyDescent="0.25">
      <c r="A26" s="43"/>
      <c r="B26" s="1"/>
      <c r="C26" s="1"/>
      <c r="D26" s="1"/>
      <c r="E26" s="1"/>
      <c r="F26" s="43"/>
      <c r="G26" s="1"/>
      <c r="H26" s="5"/>
      <c r="I26" s="5"/>
      <c r="J26" s="5"/>
      <c r="K26" s="5"/>
      <c r="L26" s="5"/>
      <c r="M26" s="1"/>
      <c r="N26" s="8"/>
      <c r="O26" s="8"/>
      <c r="P26" s="8"/>
    </row>
    <row r="27" spans="1:16" x14ac:dyDescent="0.25">
      <c r="A27" s="43">
        <v>8</v>
      </c>
      <c r="B27" s="1"/>
      <c r="C27" s="1" t="s">
        <v>33</v>
      </c>
      <c r="D27" s="1"/>
      <c r="E27" s="1"/>
      <c r="F27" s="43"/>
      <c r="G27" s="1"/>
      <c r="H27" s="10">
        <f>H21*1000/H24</f>
        <v>2.7252306162781155</v>
      </c>
      <c r="I27" s="10">
        <f>I21*1000/I24</f>
        <v>2.2458690502891234</v>
      </c>
      <c r="J27" s="10">
        <f>J21*1000/J24</f>
        <v>0.47936156598899149</v>
      </c>
      <c r="K27" s="5"/>
      <c r="L27" s="8"/>
      <c r="M27" s="1"/>
      <c r="N27" s="1"/>
      <c r="O27" s="1"/>
      <c r="P27" s="1"/>
    </row>
    <row r="28" spans="1:16" x14ac:dyDescent="0.25">
      <c r="A28" s="43"/>
      <c r="B28" s="1"/>
      <c r="C28" s="1"/>
      <c r="D28" s="1"/>
      <c r="E28" s="1"/>
      <c r="F28" s="43"/>
      <c r="G28" s="1"/>
      <c r="H28" s="5"/>
      <c r="I28" s="5"/>
      <c r="J28" s="5"/>
      <c r="K28" s="5"/>
      <c r="L28" s="5"/>
      <c r="M28" s="1"/>
      <c r="N28" s="8"/>
      <c r="O28" s="8"/>
      <c r="P28" s="8"/>
    </row>
    <row r="29" spans="1:16" x14ac:dyDescent="0.25">
      <c r="A29" s="43">
        <f>A27+1</f>
        <v>9</v>
      </c>
      <c r="B29" s="1"/>
      <c r="C29" s="1"/>
      <c r="D29" s="1" t="s">
        <v>34</v>
      </c>
      <c r="E29" s="1"/>
      <c r="F29" s="43" t="s">
        <v>35</v>
      </c>
      <c r="G29" s="4"/>
      <c r="H29" s="11">
        <f>$L$29*H19/$L$19</f>
        <v>3428883.5363711012</v>
      </c>
      <c r="I29" s="11">
        <f>$L$29*I19/$L$19</f>
        <v>72761.429068532743</v>
      </c>
      <c r="J29" s="11">
        <f>$L$29*J19/$L$19</f>
        <v>120395.58250557183</v>
      </c>
      <c r="K29" s="5"/>
      <c r="L29" s="5">
        <v>3622040.5479452056</v>
      </c>
      <c r="M29" s="1"/>
      <c r="N29" s="5">
        <v>3830245.4794520549</v>
      </c>
      <c r="O29" s="5">
        <v>3622040.5479452056</v>
      </c>
      <c r="P29" s="1"/>
    </row>
    <row r="30" spans="1:16" x14ac:dyDescent="0.25">
      <c r="A30" s="43">
        <v>10</v>
      </c>
      <c r="B30" s="1"/>
      <c r="C30" s="1"/>
      <c r="D30" s="1" t="s">
        <v>36</v>
      </c>
      <c r="E30" s="1"/>
      <c r="F30" s="4" t="s">
        <v>37</v>
      </c>
      <c r="G30" s="4"/>
      <c r="H30" s="12">
        <f>$L$30*H19/$L$19</f>
        <v>347604.49413414428</v>
      </c>
      <c r="I30" s="12">
        <f>$L$30*I19/$L$19</f>
        <v>7376.2201240034819</v>
      </c>
      <c r="J30" s="12">
        <f>$L$30*J19/$L$19</f>
        <v>12205.152233641093</v>
      </c>
      <c r="K30" s="5"/>
      <c r="L30" s="12">
        <v>367185.86649178877</v>
      </c>
      <c r="M30" s="1"/>
      <c r="N30" s="13"/>
      <c r="O30" s="12"/>
      <c r="P30" s="12">
        <v>445558.55342465756</v>
      </c>
    </row>
    <row r="31" spans="1:16" x14ac:dyDescent="0.25">
      <c r="A31" s="43">
        <v>11</v>
      </c>
      <c r="B31" s="1"/>
      <c r="C31" s="1"/>
      <c r="D31" s="1" t="s">
        <v>38</v>
      </c>
      <c r="E31" s="1"/>
      <c r="F31" s="43"/>
      <c r="G31" s="1"/>
      <c r="H31" s="5">
        <f>H24+H29+H30</f>
        <v>26844976.030505244</v>
      </c>
      <c r="I31" s="5">
        <f>I24+I29+I30</f>
        <v>674137.64919253625</v>
      </c>
      <c r="J31" s="5">
        <f>J24+J29+J30</f>
        <v>4737466.7347392123</v>
      </c>
      <c r="K31" s="5"/>
      <c r="L31" s="5">
        <f>L24+L29+L30</f>
        <v>32256580.414436992</v>
      </c>
      <c r="M31" s="1"/>
      <c r="N31" s="8">
        <f>N25+N29</f>
        <v>27492733.479452055</v>
      </c>
      <c r="O31" s="8">
        <f>O25+O29</f>
        <v>31295394.547945205</v>
      </c>
      <c r="P31" s="8">
        <f>P25+P30</f>
        <v>5644424.5534246573</v>
      </c>
    </row>
    <row r="32" spans="1:16" x14ac:dyDescent="0.25">
      <c r="A32" s="43"/>
      <c r="B32" s="1"/>
      <c r="C32" s="1"/>
      <c r="D32" s="1"/>
      <c r="E32" s="1"/>
      <c r="F32" s="43"/>
      <c r="G32" s="1"/>
      <c r="H32" s="5"/>
      <c r="I32" s="5"/>
      <c r="J32" s="5"/>
      <c r="K32" s="5"/>
      <c r="L32" s="8"/>
      <c r="M32" s="1"/>
      <c r="N32" s="1"/>
      <c r="O32" s="1"/>
      <c r="P32" s="1"/>
    </row>
    <row r="33" spans="1:16" ht="27" thickBot="1" x14ac:dyDescent="0.3">
      <c r="A33" s="14">
        <f>A31+1</f>
        <v>12</v>
      </c>
      <c r="B33" s="1"/>
      <c r="C33" s="1"/>
      <c r="D33" s="15" t="s">
        <v>39</v>
      </c>
      <c r="E33" s="15"/>
      <c r="F33" s="43"/>
      <c r="G33" s="1"/>
      <c r="H33" s="5"/>
      <c r="I33" s="5"/>
      <c r="J33" s="5"/>
      <c r="K33" s="5"/>
      <c r="L33" s="8"/>
      <c r="M33" s="1"/>
      <c r="N33" s="16">
        <f>N14*1000/N31</f>
        <v>0.16986192219842758</v>
      </c>
      <c r="O33" s="16">
        <f>O14*1000/O31</f>
        <v>0.75574286054053263</v>
      </c>
      <c r="P33" s="16">
        <f>P14*1000/P31</f>
        <v>0.17655747484468579</v>
      </c>
    </row>
    <row r="34" spans="1:16" ht="15.75" thickTop="1" x14ac:dyDescent="0.25">
      <c r="A34" s="43"/>
      <c r="B34" s="1"/>
      <c r="C34" s="1"/>
      <c r="D34" s="1"/>
      <c r="E34" s="1"/>
      <c r="F34" s="1"/>
      <c r="G34" s="1"/>
      <c r="H34" s="5"/>
      <c r="I34" s="5"/>
      <c r="J34" s="5"/>
      <c r="K34" s="5"/>
      <c r="L34" s="8"/>
      <c r="M34" s="1"/>
      <c r="N34" s="17"/>
      <c r="O34" s="17"/>
      <c r="P34" s="17"/>
    </row>
    <row r="35" spans="1:16" x14ac:dyDescent="0.25">
      <c r="A35" s="43">
        <f>A33+1</f>
        <v>13</v>
      </c>
      <c r="B35" s="1"/>
      <c r="C35" s="1" t="s">
        <v>40</v>
      </c>
      <c r="D35" s="1"/>
      <c r="E35" s="1"/>
      <c r="F35" s="1"/>
      <c r="G35" s="1"/>
      <c r="H35" s="10">
        <f>H21*1000/H31</f>
        <v>2.3418515888189115</v>
      </c>
      <c r="I35" s="17"/>
      <c r="J35" s="17"/>
      <c r="K35" s="5"/>
      <c r="L35" s="18"/>
      <c r="M35" s="1"/>
      <c r="N35" s="1"/>
      <c r="O35" s="1"/>
      <c r="P35" s="1"/>
    </row>
    <row r="36" spans="1:16" x14ac:dyDescent="0.25">
      <c r="A36" s="43"/>
      <c r="B36" s="1"/>
      <c r="C36" s="1"/>
      <c r="D36" s="1"/>
      <c r="E36" s="1"/>
      <c r="F36" s="1"/>
      <c r="G36" s="1"/>
      <c r="H36" s="17"/>
      <c r="I36" s="17"/>
      <c r="J36" s="17"/>
      <c r="K36" s="5"/>
      <c r="L36" s="19"/>
      <c r="M36" s="1"/>
      <c r="N36" s="1"/>
      <c r="O36" s="1"/>
      <c r="P36" s="1"/>
    </row>
    <row r="37" spans="1:16" x14ac:dyDescent="0.25">
      <c r="A37" s="43">
        <f>A35+1</f>
        <v>14</v>
      </c>
      <c r="B37" s="1"/>
      <c r="C37" s="1" t="s">
        <v>41</v>
      </c>
      <c r="D37" s="1"/>
      <c r="E37" s="1"/>
      <c r="F37" s="4"/>
      <c r="G37" s="4"/>
      <c r="H37" s="11">
        <f>(H29+H30)*$H$35/1000</f>
        <v>8843.9744943943115</v>
      </c>
      <c r="I37" s="11">
        <f>(I29+I30)*$H$35/1000</f>
        <v>187.67048108575349</v>
      </c>
      <c r="J37" s="11">
        <f>(J29+J30)*$H$35/1000</f>
        <v>310.5312413275808</v>
      </c>
      <c r="K37" s="5"/>
      <c r="L37" s="20"/>
      <c r="M37" s="1"/>
      <c r="N37" s="1"/>
      <c r="O37" s="1"/>
      <c r="P37" s="1"/>
    </row>
    <row r="38" spans="1:16" x14ac:dyDescent="0.25">
      <c r="A38" s="43"/>
      <c r="B38" s="1"/>
      <c r="C38" s="1"/>
      <c r="D38" s="1"/>
      <c r="E38" s="1"/>
      <c r="F38" s="1"/>
      <c r="G38" s="1"/>
      <c r="H38" s="5"/>
      <c r="I38" s="5"/>
      <c r="J38" s="5"/>
      <c r="K38" s="5"/>
      <c r="L38" s="8"/>
      <c r="M38" s="1"/>
      <c r="N38" s="1"/>
      <c r="O38" s="1"/>
      <c r="P38" s="1"/>
    </row>
    <row r="39" spans="1:16" x14ac:dyDescent="0.25">
      <c r="A39" s="43">
        <f>A37+1</f>
        <v>15</v>
      </c>
      <c r="B39" s="1"/>
      <c r="C39" s="1" t="s">
        <v>42</v>
      </c>
      <c r="D39" s="1"/>
      <c r="E39" s="1"/>
      <c r="F39" s="1"/>
      <c r="G39" s="1"/>
      <c r="H39" s="5"/>
      <c r="I39" s="21">
        <f>(I21-I37)*1000/I24</f>
        <v>1.9299254794376868</v>
      </c>
      <c r="J39" s="21">
        <f>(J21-J37)*1000/J24</f>
        <v>0.41192610938122465</v>
      </c>
      <c r="K39" s="5"/>
      <c r="L39" s="8"/>
      <c r="M39" s="1"/>
      <c r="N39" s="1"/>
      <c r="O39" s="1"/>
      <c r="P39" s="1"/>
    </row>
    <row r="40" spans="1:16" x14ac:dyDescent="0.25">
      <c r="A40" s="43"/>
      <c r="B40" s="1"/>
      <c r="C40" s="1"/>
      <c r="D40" s="1"/>
      <c r="E40" s="1"/>
      <c r="F40" s="1"/>
      <c r="G40" s="1"/>
      <c r="H40" s="5"/>
      <c r="I40" s="5"/>
      <c r="J40" s="5"/>
      <c r="K40" s="5"/>
      <c r="L40" s="8"/>
      <c r="M40" s="1"/>
      <c r="N40" s="1"/>
      <c r="O40" s="1"/>
      <c r="P40" s="1"/>
    </row>
    <row r="41" spans="1:16" x14ac:dyDescent="0.25">
      <c r="A41" s="43"/>
      <c r="B41" s="1"/>
      <c r="C41" s="3" t="s">
        <v>43</v>
      </c>
      <c r="D41" s="1"/>
      <c r="E41" s="1"/>
      <c r="F41" s="43"/>
      <c r="G41" s="43"/>
      <c r="H41" s="22"/>
      <c r="K41" s="22"/>
      <c r="L41" s="8"/>
      <c r="M41" s="1"/>
      <c r="N41" s="1"/>
      <c r="O41" s="1"/>
    </row>
    <row r="42" spans="1:16" x14ac:dyDescent="0.25">
      <c r="A42" s="1"/>
      <c r="B42" s="1"/>
      <c r="C42" s="1" t="s">
        <v>44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x14ac:dyDescent="0.25">
      <c r="A43" s="43">
        <v>16</v>
      </c>
      <c r="B43" s="1"/>
      <c r="C43" s="1"/>
      <c r="D43" s="1" t="s">
        <v>45</v>
      </c>
      <c r="E43" s="1"/>
      <c r="F43" s="1"/>
      <c r="G43" s="1"/>
      <c r="H43" s="23">
        <f>H35</f>
        <v>2.3418515888189115</v>
      </c>
      <c r="I43" s="23">
        <f>I39</f>
        <v>1.9299254794376868</v>
      </c>
      <c r="J43" s="23">
        <f>J39</f>
        <v>0.41192610938122465</v>
      </c>
      <c r="K43" s="1"/>
      <c r="L43" s="1"/>
      <c r="M43" s="1"/>
      <c r="N43" s="1"/>
      <c r="O43" s="1"/>
      <c r="P43" s="1"/>
    </row>
    <row r="44" spans="1:16" x14ac:dyDescent="0.25">
      <c r="A44" s="43">
        <v>17</v>
      </c>
      <c r="B44" s="1"/>
      <c r="C44" s="1"/>
      <c r="D44" s="1" t="s">
        <v>46</v>
      </c>
      <c r="E44" s="1"/>
      <c r="F44" s="1"/>
      <c r="G44" s="1"/>
      <c r="H44" s="23"/>
      <c r="I44" s="23"/>
      <c r="J44" s="23"/>
      <c r="K44" s="1"/>
      <c r="L44" s="1"/>
      <c r="M44" s="1"/>
      <c r="N44" s="1"/>
      <c r="O44" s="1"/>
      <c r="P44" s="1"/>
    </row>
    <row r="45" spans="1:16" x14ac:dyDescent="0.25">
      <c r="A45" s="43">
        <v>18</v>
      </c>
      <c r="B45" s="1"/>
      <c r="C45" s="1"/>
      <c r="D45" s="24" t="s">
        <v>47</v>
      </c>
      <c r="E45" s="1"/>
      <c r="F45" s="1"/>
      <c r="G45" s="1"/>
      <c r="H45" s="17">
        <f>N33</f>
        <v>0.16986192219842758</v>
      </c>
      <c r="I45" s="17">
        <f>N33</f>
        <v>0.16986192219842758</v>
      </c>
      <c r="J45" s="17">
        <v>0</v>
      </c>
      <c r="K45" s="5"/>
      <c r="L45" s="8"/>
      <c r="M45" s="1"/>
      <c r="N45" s="17"/>
      <c r="O45" s="17"/>
      <c r="P45" s="17"/>
    </row>
    <row r="46" spans="1:16" x14ac:dyDescent="0.25">
      <c r="A46" s="43">
        <v>19</v>
      </c>
      <c r="B46" s="1"/>
      <c r="C46" s="1"/>
      <c r="D46" s="24" t="s">
        <v>48</v>
      </c>
      <c r="E46" s="1"/>
      <c r="F46" s="1"/>
      <c r="G46" s="1"/>
      <c r="H46" s="17">
        <v>0</v>
      </c>
      <c r="I46" s="17">
        <f>P33</f>
        <v>0.17655747484468579</v>
      </c>
      <c r="J46" s="17">
        <f>P33</f>
        <v>0.17655747484468579</v>
      </c>
      <c r="K46" s="5"/>
      <c r="L46" s="8"/>
      <c r="M46" s="1"/>
      <c r="N46" s="17"/>
      <c r="O46" s="17"/>
      <c r="P46" s="17"/>
    </row>
    <row r="47" spans="1:16" x14ac:dyDescent="0.25">
      <c r="A47" s="43">
        <v>20</v>
      </c>
      <c r="B47" s="1"/>
      <c r="C47" s="1"/>
      <c r="D47" s="24" t="s">
        <v>49</v>
      </c>
      <c r="E47" s="1"/>
      <c r="F47" s="1"/>
      <c r="G47" s="1"/>
      <c r="H47" s="17">
        <f>O33</f>
        <v>0.75574286054053263</v>
      </c>
      <c r="I47" s="17">
        <v>0</v>
      </c>
      <c r="J47" s="17">
        <f>O33</f>
        <v>0.75574286054053263</v>
      </c>
      <c r="K47" s="5"/>
      <c r="L47" s="8"/>
      <c r="M47" s="1"/>
      <c r="N47" s="17"/>
      <c r="O47" s="17"/>
      <c r="P47" s="17"/>
    </row>
    <row r="48" spans="1:16" ht="15.75" thickBot="1" x14ac:dyDescent="0.3">
      <c r="A48" s="43">
        <v>21</v>
      </c>
      <c r="B48" s="1"/>
      <c r="C48" s="1" t="s">
        <v>50</v>
      </c>
      <c r="D48" s="1"/>
      <c r="E48" s="1"/>
      <c r="F48" s="1"/>
      <c r="G48" s="1"/>
      <c r="H48" s="16">
        <f>SUM(H43:H47)</f>
        <v>3.2674563715578717</v>
      </c>
      <c r="I48" s="16">
        <f>SUM(I43:I47)</f>
        <v>2.2763448764807999</v>
      </c>
      <c r="J48" s="16">
        <f>SUM(J43:J47)</f>
        <v>1.3442264447664432</v>
      </c>
      <c r="K48" s="5"/>
      <c r="L48" s="23"/>
      <c r="M48" s="1"/>
      <c r="N48" s="17"/>
      <c r="O48" s="17"/>
      <c r="P48" s="17"/>
    </row>
    <row r="49" spans="1:29" ht="15.75" thickTop="1" x14ac:dyDescent="0.25">
      <c r="A49" s="43"/>
      <c r="B49" s="1"/>
      <c r="C49" s="1"/>
      <c r="D49" s="1"/>
      <c r="E49" s="1"/>
      <c r="F49" s="1"/>
      <c r="G49" s="1"/>
      <c r="H49" s="17"/>
      <c r="I49" s="17"/>
      <c r="J49" s="17"/>
      <c r="K49" s="5"/>
      <c r="L49" s="8"/>
      <c r="M49" s="1"/>
      <c r="N49" s="17"/>
      <c r="O49" s="17"/>
      <c r="P49" s="17"/>
    </row>
    <row r="50" spans="1:29" ht="15.75" thickBot="1" x14ac:dyDescent="0.3">
      <c r="A50" s="43">
        <v>22</v>
      </c>
      <c r="B50" s="1"/>
      <c r="C50" s="1" t="s">
        <v>51</v>
      </c>
      <c r="D50" s="1"/>
      <c r="E50" s="1"/>
      <c r="F50" s="1"/>
      <c r="G50" s="1"/>
      <c r="H50" s="25">
        <f>(H48)*100/365</f>
        <v>0.89519352645421146</v>
      </c>
      <c r="J50" s="25">
        <f>H50</f>
        <v>0.89519352645421146</v>
      </c>
      <c r="K50" s="1"/>
      <c r="L50" s="1"/>
      <c r="M50" s="1"/>
      <c r="N50" s="18"/>
      <c r="O50" s="18"/>
      <c r="P50" s="18"/>
    </row>
    <row r="51" spans="1:29" ht="16.5" thickTop="1" thickBot="1" x14ac:dyDescent="0.3">
      <c r="A51" s="43">
        <v>23</v>
      </c>
      <c r="B51" s="1"/>
      <c r="C51" s="1" t="s">
        <v>52</v>
      </c>
      <c r="D51" s="1"/>
      <c r="E51" s="1"/>
      <c r="F51" s="1"/>
      <c r="G51" s="1"/>
      <c r="I51" s="25">
        <f>(I43*214/365)+((I45+I47)*100/365)+(I46*214/365)</f>
        <v>1.2815713546199192</v>
      </c>
      <c r="K51" s="1"/>
      <c r="L51" s="1"/>
      <c r="M51" s="1"/>
      <c r="N51" s="18"/>
      <c r="O51" s="18"/>
      <c r="P51" s="18"/>
    </row>
    <row r="52" spans="1:29" ht="15.75" thickTop="1" x14ac:dyDescent="0.25">
      <c r="A52" s="43"/>
      <c r="B52" s="1"/>
      <c r="C52" s="1"/>
      <c r="D52" s="1"/>
      <c r="E52" s="1"/>
      <c r="F52" s="1"/>
      <c r="G52" s="1"/>
      <c r="H52" s="23"/>
      <c r="I52" s="23"/>
      <c r="J52" s="23"/>
      <c r="K52" s="1"/>
      <c r="L52" s="1"/>
      <c r="M52" s="1"/>
      <c r="N52" s="18"/>
      <c r="O52" s="18"/>
      <c r="P52" s="18"/>
    </row>
    <row r="53" spans="1:29" x14ac:dyDescent="0.25">
      <c r="A53" s="43"/>
      <c r="B53" s="1"/>
      <c r="C53" s="3"/>
      <c r="D53" s="1"/>
      <c r="E53" s="1"/>
      <c r="F53" s="1"/>
      <c r="G53" s="1"/>
      <c r="H53" s="1"/>
      <c r="I53" s="18"/>
      <c r="J53" s="1"/>
      <c r="K53" s="1"/>
      <c r="L53" s="1"/>
      <c r="M53" s="1"/>
      <c r="N53" s="1"/>
      <c r="O53" s="1"/>
      <c r="P53" s="1"/>
    </row>
    <row r="54" spans="1:29" x14ac:dyDescent="0.25">
      <c r="A54" s="3" t="s">
        <v>53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29" x14ac:dyDescent="0.25">
      <c r="A55" s="4" t="s">
        <v>54</v>
      </c>
      <c r="B55" s="1"/>
      <c r="C55" s="1" t="s">
        <v>55</v>
      </c>
      <c r="D55" s="1"/>
      <c r="E55" s="1"/>
      <c r="F55" s="43"/>
      <c r="G55" s="43"/>
      <c r="H55" s="1"/>
      <c r="I55" s="1"/>
      <c r="J55" s="1"/>
      <c r="K55" s="1"/>
      <c r="L55" s="1"/>
      <c r="M55" s="1"/>
      <c r="N55" s="1"/>
      <c r="O55" s="1"/>
      <c r="P55" s="1"/>
    </row>
    <row r="56" spans="1:29" x14ac:dyDescent="0.25">
      <c r="A56" s="4"/>
      <c r="B56" s="1"/>
      <c r="C56" s="1" t="s">
        <v>56</v>
      </c>
      <c r="D56" s="1"/>
      <c r="E56" s="1"/>
      <c r="F56" s="43"/>
      <c r="G56" s="43"/>
      <c r="H56" s="1"/>
      <c r="I56" s="1"/>
      <c r="J56" s="1"/>
      <c r="K56" s="1"/>
      <c r="L56" s="1"/>
      <c r="M56" s="1"/>
      <c r="N56" s="1"/>
      <c r="O56" s="1"/>
      <c r="P56" s="1"/>
    </row>
    <row r="57" spans="1:29" x14ac:dyDescent="0.25">
      <c r="A57" s="4"/>
      <c r="B57" s="1"/>
      <c r="C57" s="1" t="s">
        <v>57</v>
      </c>
      <c r="D57" s="1"/>
      <c r="E57" s="1"/>
      <c r="F57" s="43"/>
      <c r="G57" s="43"/>
      <c r="H57" s="1"/>
      <c r="I57" s="1"/>
      <c r="J57" s="1"/>
      <c r="K57" s="1"/>
      <c r="L57" s="1"/>
      <c r="M57" s="1"/>
      <c r="N57" s="1"/>
      <c r="O57" s="1"/>
      <c r="P57" s="1"/>
    </row>
    <row r="58" spans="1:29" x14ac:dyDescent="0.25">
      <c r="A58" s="4" t="s">
        <v>58</v>
      </c>
      <c r="B58" s="1"/>
      <c r="C58" s="1" t="s">
        <v>59</v>
      </c>
      <c r="D58" s="1"/>
      <c r="E58" s="1"/>
      <c r="F58" s="43"/>
      <c r="G58" s="43"/>
      <c r="H58" s="1"/>
      <c r="I58" s="1"/>
      <c r="J58" s="1"/>
      <c r="K58" s="1"/>
      <c r="L58" s="1"/>
      <c r="M58" s="1"/>
      <c r="N58" s="1"/>
      <c r="O58" s="1"/>
      <c r="P58" s="1"/>
    </row>
    <row r="59" spans="1:29" x14ac:dyDescent="0.25">
      <c r="A59" s="4" t="s">
        <v>60</v>
      </c>
      <c r="B59" s="1"/>
      <c r="C59" s="1" t="s">
        <v>61</v>
      </c>
      <c r="D59" s="1"/>
      <c r="E59" s="1"/>
      <c r="F59" s="43"/>
      <c r="G59" s="43"/>
      <c r="H59" s="1"/>
      <c r="I59" s="1"/>
      <c r="J59" s="1"/>
      <c r="K59" s="1"/>
      <c r="L59" s="1"/>
      <c r="M59" s="1"/>
      <c r="N59" s="1"/>
      <c r="O59" s="1"/>
      <c r="P59" s="1"/>
    </row>
    <row r="60" spans="1:29" x14ac:dyDescent="0.25">
      <c r="A60" s="4" t="s">
        <v>62</v>
      </c>
      <c r="B60" s="1"/>
      <c r="C60" s="1" t="s">
        <v>63</v>
      </c>
      <c r="D60" s="1"/>
      <c r="E60" s="1"/>
      <c r="F60" s="43"/>
      <c r="G60" s="43"/>
      <c r="H60" s="1"/>
      <c r="I60" s="1"/>
      <c r="J60" s="1"/>
      <c r="K60" s="1"/>
      <c r="L60" s="1"/>
      <c r="M60" s="1"/>
      <c r="N60" s="1"/>
      <c r="O60" s="1"/>
      <c r="P60" s="1"/>
    </row>
    <row r="61" spans="1:29" x14ac:dyDescent="0.25">
      <c r="A61" s="4" t="s">
        <v>64</v>
      </c>
      <c r="B61" s="1"/>
      <c r="C61" s="26" t="s">
        <v>65</v>
      </c>
      <c r="D61" s="1"/>
      <c r="E61" s="1"/>
      <c r="F61" s="43"/>
      <c r="G61" s="43"/>
      <c r="H61" s="1"/>
      <c r="I61" s="1"/>
      <c r="J61" s="1"/>
      <c r="K61" s="1"/>
      <c r="L61" s="1"/>
      <c r="M61" s="1"/>
      <c r="N61" s="1"/>
      <c r="O61" s="1"/>
      <c r="P61" s="1"/>
    </row>
    <row r="62" spans="1:29" x14ac:dyDescent="0.25">
      <c r="A62" s="4" t="s">
        <v>66</v>
      </c>
      <c r="B62" s="1"/>
      <c r="C62" s="26" t="s">
        <v>67</v>
      </c>
      <c r="D62" s="1"/>
      <c r="E62" s="1"/>
      <c r="F62" s="43"/>
      <c r="G62" s="43"/>
      <c r="H62" s="1"/>
      <c r="I62" s="1"/>
      <c r="J62" s="1"/>
      <c r="K62" s="1"/>
      <c r="L62" s="1"/>
      <c r="M62" s="1"/>
      <c r="N62" s="1"/>
      <c r="O62" s="1"/>
      <c r="P62" s="1"/>
    </row>
    <row r="63" spans="1:29" x14ac:dyDescent="0.25">
      <c r="A63" s="4" t="s">
        <v>68</v>
      </c>
      <c r="B63" s="1"/>
      <c r="C63" s="26" t="s">
        <v>69</v>
      </c>
      <c r="D63" s="1"/>
      <c r="E63" s="1"/>
      <c r="F63" s="43"/>
      <c r="G63" s="43"/>
      <c r="H63" s="1"/>
      <c r="I63" s="1"/>
      <c r="J63" s="1"/>
      <c r="K63" s="1"/>
      <c r="L63" s="1"/>
      <c r="M63" s="1"/>
      <c r="N63" s="1"/>
      <c r="O63" s="1"/>
      <c r="P63" s="1"/>
    </row>
    <row r="64" spans="1:29" ht="15" customHeight="1" x14ac:dyDescent="0.25">
      <c r="A64" s="4" t="s">
        <v>35</v>
      </c>
      <c r="B64" s="1"/>
      <c r="C64" s="1" t="s">
        <v>70</v>
      </c>
      <c r="D64" s="1"/>
      <c r="E64" s="1"/>
      <c r="F64" s="1"/>
      <c r="G64" s="1"/>
      <c r="H64" s="1"/>
      <c r="I64" s="1"/>
      <c r="J64" s="1"/>
      <c r="K64" s="1"/>
      <c r="L64" s="1"/>
      <c r="O64" s="1"/>
      <c r="P64" s="1"/>
      <c r="R64" s="64"/>
      <c r="S64" s="64"/>
      <c r="T64" s="64"/>
      <c r="U64" s="64"/>
      <c r="V64" s="64"/>
      <c r="W64" s="64"/>
      <c r="X64" s="64"/>
      <c r="Y64" s="64"/>
      <c r="Z64" s="64"/>
      <c r="AA64" s="64"/>
      <c r="AB64" s="64"/>
      <c r="AC64" s="64"/>
    </row>
    <row r="65" spans="1:16" ht="15" customHeight="1" x14ac:dyDescent="0.25">
      <c r="A65" s="4" t="s">
        <v>37</v>
      </c>
      <c r="B65" s="1"/>
      <c r="C65" s="1" t="s">
        <v>71</v>
      </c>
      <c r="D65" s="1"/>
      <c r="E65" s="1"/>
      <c r="F65" s="1"/>
      <c r="G65" s="1"/>
      <c r="H65" s="1"/>
      <c r="I65" s="1"/>
      <c r="J65" s="1"/>
      <c r="K65" s="1"/>
      <c r="L65" s="1"/>
      <c r="O65" s="1"/>
      <c r="P65" s="1"/>
    </row>
    <row r="66" spans="1:16" x14ac:dyDescent="0.25">
      <c r="A66" s="43"/>
      <c r="B66" s="1"/>
      <c r="O66" s="1"/>
      <c r="P66" s="1"/>
    </row>
    <row r="67" spans="1:16" x14ac:dyDescent="0.25">
      <c r="A67" s="43"/>
      <c r="B67" s="1"/>
      <c r="O67" s="1"/>
      <c r="P67" s="1"/>
    </row>
    <row r="68" spans="1:16" x14ac:dyDescent="0.25">
      <c r="A68" s="43"/>
      <c r="B68" s="1"/>
      <c r="O68" s="1"/>
      <c r="P68" s="1"/>
    </row>
    <row r="69" spans="1:16" x14ac:dyDescent="0.25">
      <c r="A69" s="43"/>
      <c r="B69" s="1"/>
      <c r="O69" s="1"/>
      <c r="P69" s="1"/>
    </row>
    <row r="70" spans="1:16" x14ac:dyDescent="0.25">
      <c r="A70" s="27"/>
      <c r="B70" s="28"/>
      <c r="C70" s="29"/>
      <c r="D70" s="27"/>
      <c r="E70" s="27"/>
      <c r="F70" s="27"/>
      <c r="G70" s="27"/>
      <c r="H70" s="27"/>
      <c r="I70" s="27"/>
      <c r="J70" s="27"/>
      <c r="K70" s="1"/>
      <c r="L70" s="1"/>
      <c r="M70" s="1"/>
      <c r="N70" s="1"/>
      <c r="O70" s="1"/>
      <c r="P70" s="1"/>
    </row>
    <row r="71" spans="1:16" x14ac:dyDescent="0.25">
      <c r="A71" s="27"/>
      <c r="B71" s="28"/>
      <c r="C71" s="29"/>
      <c r="D71" s="27"/>
      <c r="E71" s="27"/>
      <c r="F71" s="27"/>
      <c r="G71" s="27"/>
      <c r="H71" s="27"/>
      <c r="I71" s="27"/>
      <c r="J71" s="27"/>
      <c r="K71" s="1"/>
      <c r="L71" s="1"/>
      <c r="M71" s="1"/>
      <c r="N71" s="1"/>
      <c r="O71" s="1"/>
      <c r="P71" s="1"/>
    </row>
    <row r="72" spans="1:16" x14ac:dyDescent="0.25">
      <c r="A72" s="27"/>
      <c r="B72" s="28"/>
      <c r="C72" s="29"/>
      <c r="D72" s="27"/>
      <c r="E72" s="27"/>
      <c r="F72" s="27"/>
      <c r="G72" s="27"/>
      <c r="H72" s="27"/>
      <c r="I72" s="27"/>
      <c r="J72" s="27"/>
      <c r="K72" s="1"/>
      <c r="L72" s="1"/>
      <c r="M72" s="1"/>
      <c r="N72" s="1"/>
      <c r="O72" s="1"/>
      <c r="P72" s="1"/>
    </row>
    <row r="73" spans="1:16" x14ac:dyDescent="0.25">
      <c r="A73" s="27"/>
      <c r="B73" s="28"/>
      <c r="C73" s="29"/>
      <c r="D73" s="27"/>
      <c r="E73" s="27"/>
      <c r="F73" s="27"/>
      <c r="G73" s="27"/>
      <c r="H73" s="27"/>
      <c r="I73" s="27"/>
      <c r="J73" s="27"/>
      <c r="K73" s="1"/>
      <c r="L73" s="1"/>
      <c r="M73" s="1"/>
      <c r="N73" s="1"/>
      <c r="O73" s="1"/>
      <c r="P73" s="1"/>
    </row>
    <row r="74" spans="1:16" x14ac:dyDescent="0.25">
      <c r="A74" s="27"/>
      <c r="B74" s="28"/>
      <c r="C74" s="29"/>
      <c r="D74" s="27"/>
      <c r="E74" s="27"/>
      <c r="F74" s="27"/>
      <c r="G74" s="27"/>
      <c r="H74" s="27"/>
      <c r="I74" s="27"/>
      <c r="J74" s="27"/>
      <c r="K74" s="1"/>
      <c r="L74" s="1"/>
      <c r="M74" s="1"/>
      <c r="N74" s="1"/>
      <c r="O74" s="1"/>
      <c r="P74" s="1"/>
    </row>
    <row r="75" spans="1:16" x14ac:dyDescent="0.25">
      <c r="A75" s="65" t="s">
        <v>72</v>
      </c>
      <c r="B75" s="65"/>
      <c r="C75" s="65"/>
      <c r="D75" s="65"/>
      <c r="E75" s="65"/>
      <c r="F75" s="65"/>
      <c r="G75" s="65"/>
      <c r="H75" s="65"/>
      <c r="I75" s="65"/>
      <c r="J75" s="65"/>
      <c r="K75" s="65"/>
      <c r="L75" s="65"/>
      <c r="M75" s="65"/>
      <c r="N75" s="65"/>
      <c r="O75" s="1"/>
      <c r="P75" s="1"/>
    </row>
    <row r="76" spans="1:16" x14ac:dyDescent="0.25">
      <c r="A76" s="66" t="s">
        <v>73</v>
      </c>
      <c r="B76" s="66"/>
      <c r="C76" s="66"/>
      <c r="D76" s="66"/>
      <c r="E76" s="66"/>
      <c r="F76" s="66"/>
      <c r="G76" s="66"/>
      <c r="H76" s="66"/>
      <c r="I76" s="66"/>
      <c r="J76" s="66"/>
      <c r="K76" s="66"/>
      <c r="L76" s="66"/>
      <c r="M76" s="66"/>
      <c r="N76" s="66"/>
      <c r="O76" s="3"/>
      <c r="P76" s="3"/>
    </row>
    <row r="78" spans="1:16" x14ac:dyDescent="0.25">
      <c r="F78" s="1"/>
      <c r="G78" s="1"/>
      <c r="H78" s="67" t="s">
        <v>2</v>
      </c>
      <c r="I78" s="67"/>
      <c r="J78" s="67"/>
      <c r="K78" s="1"/>
      <c r="L78" s="43" t="s">
        <v>3</v>
      </c>
      <c r="N78" s="43" t="s">
        <v>3</v>
      </c>
    </row>
    <row r="79" spans="1:16" x14ac:dyDescent="0.25">
      <c r="A79" s="1" t="s">
        <v>5</v>
      </c>
      <c r="B79" s="1"/>
      <c r="C79" s="1"/>
      <c r="D79" s="1"/>
      <c r="E79" s="1"/>
      <c r="F79" s="43"/>
      <c r="G79" s="43"/>
      <c r="H79" s="43" t="s">
        <v>6</v>
      </c>
      <c r="I79" s="43" t="s">
        <v>6</v>
      </c>
      <c r="J79" s="43" t="s">
        <v>7</v>
      </c>
      <c r="K79" s="1"/>
      <c r="L79" s="43" t="s">
        <v>8</v>
      </c>
      <c r="M79" s="1"/>
      <c r="N79" s="43" t="s">
        <v>8</v>
      </c>
      <c r="O79" s="43"/>
    </row>
    <row r="80" spans="1:16" x14ac:dyDescent="0.25">
      <c r="A80" s="2" t="s">
        <v>11</v>
      </c>
      <c r="B80" s="1"/>
      <c r="C80" s="2" t="s">
        <v>12</v>
      </c>
      <c r="D80" s="2"/>
      <c r="E80" s="1"/>
      <c r="F80" s="45" t="s">
        <v>13</v>
      </c>
      <c r="G80" s="43"/>
      <c r="H80" s="45" t="s">
        <v>9</v>
      </c>
      <c r="I80" s="45" t="s">
        <v>10</v>
      </c>
      <c r="J80" s="45" t="s">
        <v>9</v>
      </c>
      <c r="K80" s="43"/>
      <c r="L80" s="45" t="s">
        <v>9</v>
      </c>
      <c r="M80" s="1"/>
      <c r="N80" s="45" t="s">
        <v>14</v>
      </c>
      <c r="O80" s="43"/>
    </row>
    <row r="81" spans="1:15" x14ac:dyDescent="0.25">
      <c r="A81" s="1"/>
      <c r="B81" s="1"/>
      <c r="C81" s="1"/>
      <c r="D81" s="1"/>
      <c r="E81" s="1"/>
      <c r="F81" s="43"/>
      <c r="G81" s="43"/>
      <c r="H81" s="43" t="s">
        <v>15</v>
      </c>
      <c r="I81" s="43" t="s">
        <v>16</v>
      </c>
      <c r="J81" s="43" t="s">
        <v>17</v>
      </c>
      <c r="K81" s="43"/>
      <c r="L81" s="43" t="s">
        <v>18</v>
      </c>
      <c r="M81" s="43"/>
      <c r="N81" s="4" t="s">
        <v>19</v>
      </c>
      <c r="O81" s="43"/>
    </row>
    <row r="82" spans="1:15" x14ac:dyDescent="0.25">
      <c r="A82" s="1"/>
      <c r="B82" s="1"/>
      <c r="C82" s="1"/>
      <c r="D82" s="1"/>
      <c r="E82" s="1"/>
      <c r="F82" s="43"/>
      <c r="G82" s="43"/>
      <c r="H82" s="1"/>
      <c r="I82" s="1"/>
      <c r="J82" s="1"/>
      <c r="K82" s="1"/>
      <c r="L82" s="1"/>
      <c r="M82" s="1"/>
      <c r="N82" s="1"/>
      <c r="O82" s="1"/>
    </row>
    <row r="83" spans="1:15" x14ac:dyDescent="0.25">
      <c r="A83" s="43">
        <v>1</v>
      </c>
      <c r="B83" s="1"/>
      <c r="C83" s="3" t="s">
        <v>22</v>
      </c>
      <c r="D83" s="1"/>
      <c r="E83" s="1"/>
      <c r="F83" s="4" t="s">
        <v>74</v>
      </c>
      <c r="G83" s="4"/>
      <c r="H83" s="22"/>
      <c r="I83" s="22"/>
      <c r="J83" s="22"/>
      <c r="K83" s="22"/>
      <c r="L83" s="22">
        <f>+L14+O14+P14</f>
        <v>91056.22810515821</v>
      </c>
      <c r="M83" s="22"/>
      <c r="N83" s="22">
        <f>+N14</f>
        <v>4669.9685553087902</v>
      </c>
      <c r="O83" s="1"/>
    </row>
    <row r="84" spans="1:15" x14ac:dyDescent="0.25">
      <c r="A84" s="43"/>
      <c r="B84" s="1"/>
      <c r="C84" s="1"/>
      <c r="D84" s="1"/>
      <c r="E84" s="1"/>
      <c r="F84" s="43"/>
      <c r="G84" s="43"/>
      <c r="H84" s="1"/>
      <c r="I84" s="1"/>
      <c r="J84" s="1"/>
      <c r="K84" s="1"/>
      <c r="L84" s="1"/>
      <c r="M84" s="1"/>
      <c r="N84" s="1"/>
      <c r="O84" s="1"/>
    </row>
    <row r="85" spans="1:15" x14ac:dyDescent="0.25">
      <c r="A85" s="43"/>
      <c r="B85" s="1"/>
      <c r="C85" s="3" t="s">
        <v>24</v>
      </c>
      <c r="D85" s="1"/>
      <c r="E85" s="1"/>
      <c r="F85" s="43"/>
      <c r="G85" s="4"/>
      <c r="H85" s="1"/>
      <c r="I85" s="1"/>
      <c r="J85" s="1"/>
      <c r="K85" s="1"/>
      <c r="L85" s="1"/>
      <c r="M85" s="1"/>
      <c r="N85" s="1"/>
      <c r="O85" s="1"/>
    </row>
    <row r="86" spans="1:15" x14ac:dyDescent="0.25">
      <c r="A86" s="43">
        <f>A83+1</f>
        <v>2</v>
      </c>
      <c r="B86" s="1"/>
      <c r="C86" s="1"/>
      <c r="D86" s="1" t="s">
        <v>75</v>
      </c>
      <c r="E86" s="1"/>
      <c r="F86" s="43"/>
      <c r="G86" s="4"/>
      <c r="H86" s="34">
        <f t="shared" ref="H86:J87" si="0">+H17</f>
        <v>1922374</v>
      </c>
      <c r="I86" s="34">
        <f t="shared" si="0"/>
        <v>49500</v>
      </c>
      <c r="J86" s="34">
        <f t="shared" si="0"/>
        <v>383738.83333333331</v>
      </c>
      <c r="K86" s="1"/>
      <c r="L86" s="22">
        <f>SUM(H86:J86)</f>
        <v>2355612.8333333335</v>
      </c>
      <c r="M86" s="30"/>
      <c r="N86" s="30"/>
      <c r="O86" s="30"/>
    </row>
    <row r="87" spans="1:15" x14ac:dyDescent="0.25">
      <c r="A87" s="43">
        <f>A86+1</f>
        <v>3</v>
      </c>
      <c r="B87" s="1"/>
      <c r="C87" s="1"/>
      <c r="D87" s="1" t="s">
        <v>27</v>
      </c>
      <c r="E87" s="1"/>
      <c r="F87" s="43"/>
      <c r="G87" s="43"/>
      <c r="H87" s="47">
        <f t="shared" si="0"/>
        <v>228.94</v>
      </c>
      <c r="I87" s="47">
        <f t="shared" si="0"/>
        <v>188.67</v>
      </c>
      <c r="J87" s="47">
        <f t="shared" si="0"/>
        <v>40.27000000000001</v>
      </c>
      <c r="K87" s="1"/>
      <c r="L87" s="1"/>
      <c r="M87" s="1"/>
      <c r="N87" s="1"/>
      <c r="O87" s="1"/>
    </row>
    <row r="88" spans="1:15" x14ac:dyDescent="0.25">
      <c r="A88" s="43">
        <f>A87+1</f>
        <v>4</v>
      </c>
      <c r="B88" s="1"/>
      <c r="C88" s="1"/>
      <c r="D88" s="1" t="s">
        <v>28</v>
      </c>
      <c r="E88" s="1"/>
      <c r="F88" s="43"/>
      <c r="G88" s="43"/>
      <c r="H88" s="22">
        <f>H86*H87/1000</f>
        <v>440108.30356000003</v>
      </c>
      <c r="I88" s="22">
        <f>I86*I87/1000</f>
        <v>9339.1650000000009</v>
      </c>
      <c r="J88" s="22">
        <f>J86*J87/1000</f>
        <v>15453.162818333338</v>
      </c>
      <c r="K88" s="22"/>
      <c r="L88" s="22">
        <f>SUM(H88:J88)</f>
        <v>464900.63137833332</v>
      </c>
      <c r="M88" s="1"/>
      <c r="N88" s="1"/>
      <c r="O88" s="1"/>
    </row>
    <row r="89" spans="1:15" x14ac:dyDescent="0.25">
      <c r="A89" s="43"/>
      <c r="B89" s="1"/>
      <c r="C89" s="1"/>
      <c r="D89" s="1"/>
      <c r="E89" s="1"/>
      <c r="F89" s="43"/>
      <c r="G89" s="43"/>
      <c r="H89" s="1"/>
      <c r="I89" s="1"/>
      <c r="J89" s="1"/>
      <c r="K89" s="1"/>
      <c r="L89" s="1"/>
      <c r="M89" s="1"/>
      <c r="N89" s="1"/>
      <c r="O89" s="1"/>
    </row>
    <row r="90" spans="1:15" x14ac:dyDescent="0.25">
      <c r="A90" s="43">
        <f>A88+1</f>
        <v>5</v>
      </c>
      <c r="B90" s="1"/>
      <c r="C90" s="1"/>
      <c r="D90" s="1" t="s">
        <v>29</v>
      </c>
      <c r="E90" s="1"/>
      <c r="F90" s="43"/>
      <c r="G90" s="43"/>
      <c r="H90" s="5">
        <f>H88/$L$88*$L$83</f>
        <v>86200.360625712099</v>
      </c>
      <c r="I90" s="5">
        <f>I88/$L$88*$L$83</f>
        <v>1829.1847357369329</v>
      </c>
      <c r="J90" s="5">
        <f>J88/$L$88*$L$83</f>
        <v>3026.6827437091929</v>
      </c>
      <c r="K90" s="22"/>
      <c r="L90" s="8">
        <f>SUM(H90:J90)</f>
        <v>91056.228105158225</v>
      </c>
      <c r="M90" s="1"/>
      <c r="N90" s="1"/>
      <c r="O90" s="1"/>
    </row>
    <row r="91" spans="1:15" x14ac:dyDescent="0.25">
      <c r="A91" s="43"/>
      <c r="B91" s="1"/>
      <c r="C91" s="1"/>
      <c r="D91" s="1"/>
      <c r="E91" s="1"/>
      <c r="F91" s="43"/>
      <c r="G91" s="43"/>
      <c r="H91" s="22"/>
      <c r="I91" s="22"/>
      <c r="J91" s="22"/>
      <c r="K91" s="22"/>
      <c r="L91" s="8"/>
      <c r="M91" s="1"/>
      <c r="N91" s="1"/>
      <c r="O91" s="1"/>
    </row>
    <row r="92" spans="1:15" x14ac:dyDescent="0.25">
      <c r="A92" s="43"/>
      <c r="B92" s="1"/>
      <c r="C92" s="1" t="s">
        <v>30</v>
      </c>
      <c r="D92" s="1"/>
      <c r="E92" s="1"/>
      <c r="F92" s="43"/>
      <c r="G92" s="43"/>
      <c r="H92" s="22"/>
      <c r="I92" s="22"/>
      <c r="J92" s="22"/>
      <c r="K92" s="22"/>
      <c r="L92" s="8"/>
      <c r="M92" s="1"/>
      <c r="N92" s="1"/>
      <c r="O92" s="1"/>
    </row>
    <row r="93" spans="1:15" x14ac:dyDescent="0.25">
      <c r="A93" s="43">
        <f>A90+1</f>
        <v>6</v>
      </c>
      <c r="B93" s="1"/>
      <c r="C93" s="1"/>
      <c r="D93" s="1" t="s">
        <v>31</v>
      </c>
      <c r="E93" s="1"/>
      <c r="F93" s="43"/>
      <c r="G93" s="43"/>
      <c r="H93" s="22">
        <f>H86*12</f>
        <v>23068488</v>
      </c>
      <c r="I93" s="22">
        <f>I86*12</f>
        <v>594000</v>
      </c>
      <c r="J93" s="22">
        <f>J86*12</f>
        <v>4604866</v>
      </c>
      <c r="K93" s="22"/>
      <c r="L93" s="22">
        <f>L86*12</f>
        <v>28267354</v>
      </c>
      <c r="M93" s="1"/>
      <c r="O93" s="1"/>
    </row>
    <row r="94" spans="1:15" x14ac:dyDescent="0.25">
      <c r="A94" s="43">
        <v>7</v>
      </c>
      <c r="B94" s="1"/>
      <c r="C94" s="1"/>
      <c r="D94" s="1" t="s">
        <v>32</v>
      </c>
      <c r="E94" s="1"/>
      <c r="F94" s="43"/>
      <c r="G94" s="43"/>
      <c r="H94" s="22"/>
      <c r="I94" s="22"/>
      <c r="J94" s="22"/>
      <c r="K94" s="22"/>
      <c r="L94" s="22"/>
      <c r="M94" s="1"/>
      <c r="N94" s="8">
        <f>I93+H93</f>
        <v>23662488</v>
      </c>
      <c r="O94" s="1"/>
    </row>
    <row r="95" spans="1:15" x14ac:dyDescent="0.25">
      <c r="A95" s="43"/>
      <c r="B95" s="1"/>
      <c r="C95" s="1"/>
      <c r="D95" s="1"/>
      <c r="E95" s="1"/>
      <c r="F95" s="43"/>
      <c r="G95" s="43"/>
      <c r="H95" s="22"/>
      <c r="I95" s="22"/>
      <c r="J95" s="22"/>
      <c r="K95" s="22"/>
      <c r="L95" s="22"/>
      <c r="M95" s="1"/>
      <c r="N95" s="8"/>
      <c r="O95" s="1"/>
    </row>
    <row r="96" spans="1:15" x14ac:dyDescent="0.25">
      <c r="A96" s="43">
        <v>8</v>
      </c>
      <c r="B96" s="1"/>
      <c r="C96" s="1" t="s">
        <v>33</v>
      </c>
      <c r="D96" s="1"/>
      <c r="E96" s="1"/>
      <c r="F96" s="43"/>
      <c r="G96" s="43"/>
      <c r="H96" s="31">
        <f>H90*1000/H93</f>
        <v>3.736714804442844</v>
      </c>
      <c r="I96" s="31">
        <f>I90*1000/I93</f>
        <v>3.0794355820487085</v>
      </c>
      <c r="J96" s="31">
        <f>J90*1000/J93</f>
        <v>0.6572792223941355</v>
      </c>
      <c r="K96" s="22"/>
      <c r="L96" s="8"/>
      <c r="M96" s="1"/>
      <c r="N96" s="1"/>
      <c r="O96" s="1"/>
    </row>
    <row r="97" spans="1:16" x14ac:dyDescent="0.25">
      <c r="A97" s="43"/>
      <c r="B97" s="1"/>
      <c r="C97" s="1"/>
      <c r="D97" s="1"/>
      <c r="E97" s="1"/>
      <c r="F97" s="43"/>
      <c r="G97" s="43"/>
      <c r="H97" s="22"/>
      <c r="I97" s="22"/>
      <c r="J97" s="22"/>
      <c r="K97" s="22"/>
      <c r="L97" s="22"/>
      <c r="M97" s="1"/>
      <c r="N97" s="8"/>
      <c r="O97" s="1"/>
    </row>
    <row r="98" spans="1:16" x14ac:dyDescent="0.25">
      <c r="A98" s="43">
        <f>A96+1</f>
        <v>9</v>
      </c>
      <c r="B98" s="1"/>
      <c r="C98" s="1"/>
      <c r="D98" s="1" t="s">
        <v>34</v>
      </c>
      <c r="E98" s="1"/>
      <c r="F98" s="43"/>
      <c r="G98" s="4"/>
      <c r="H98" s="5">
        <f>H88/$L$88 * $L$98</f>
        <v>3428883.5363711016</v>
      </c>
      <c r="I98" s="5">
        <f t="shared" ref="I98:J98" si="1">I88/$L$88 * $L$98</f>
        <v>72761.429068532743</v>
      </c>
      <c r="J98" s="5">
        <f t="shared" si="1"/>
        <v>120395.58250557182</v>
      </c>
      <c r="K98" s="22"/>
      <c r="L98" s="34">
        <v>3622040.5479452056</v>
      </c>
      <c r="M98" s="1"/>
      <c r="N98" s="8">
        <f>L98</f>
        <v>3622040.5479452056</v>
      </c>
      <c r="O98" s="1"/>
      <c r="P98" s="48"/>
    </row>
    <row r="99" spans="1:16" x14ac:dyDescent="0.25">
      <c r="A99" s="43">
        <f>A98+1</f>
        <v>10</v>
      </c>
      <c r="B99" s="1"/>
      <c r="C99" s="1"/>
      <c r="D99" s="1" t="s">
        <v>36</v>
      </c>
      <c r="E99" s="1"/>
      <c r="F99" s="4"/>
      <c r="G99" s="4"/>
      <c r="H99" s="5">
        <f>H88/$L$88 * $L$99</f>
        <v>347604.49413414428</v>
      </c>
      <c r="I99" s="5">
        <f t="shared" ref="I99:J99" si="2">I88/$L$88 * $L$99</f>
        <v>7376.2201240034819</v>
      </c>
      <c r="J99" s="5">
        <f t="shared" si="2"/>
        <v>12205.152233641094</v>
      </c>
      <c r="K99" s="22"/>
      <c r="L99" s="47">
        <v>367185.86649178882</v>
      </c>
      <c r="M99" s="1"/>
      <c r="N99" s="13">
        <f>L99*H87/I87</f>
        <v>445558.5534246575</v>
      </c>
      <c r="O99" s="1"/>
    </row>
    <row r="100" spans="1:16" x14ac:dyDescent="0.25">
      <c r="A100" s="43">
        <f>A99+1</f>
        <v>11</v>
      </c>
      <c r="B100" s="1"/>
      <c r="C100" s="1"/>
      <c r="D100" s="1" t="s">
        <v>38</v>
      </c>
      <c r="E100" s="1"/>
      <c r="F100" s="43"/>
      <c r="G100" s="43"/>
      <c r="H100" s="32">
        <f>H93+H98+H99</f>
        <v>26844976.030505244</v>
      </c>
      <c r="I100" s="32">
        <f>I93+I98+I99</f>
        <v>674137.64919253625</v>
      </c>
      <c r="J100" s="32">
        <f>J93+J98+J99</f>
        <v>4737466.7347392123</v>
      </c>
      <c r="K100" s="22"/>
      <c r="L100" s="32">
        <f>L93+L98+L99</f>
        <v>32256580.414436992</v>
      </c>
      <c r="M100" s="1"/>
      <c r="N100" s="32">
        <f>N94+N98+N99</f>
        <v>27730087.101369862</v>
      </c>
      <c r="O100" s="1"/>
    </row>
    <row r="101" spans="1:16" x14ac:dyDescent="0.25">
      <c r="A101" s="43"/>
      <c r="B101" s="1"/>
      <c r="C101" s="1"/>
      <c r="D101" s="1"/>
      <c r="E101" s="1"/>
      <c r="F101" s="43"/>
      <c r="G101" s="43"/>
      <c r="H101" s="22"/>
      <c r="I101" s="22"/>
      <c r="J101" s="22"/>
      <c r="K101" s="22"/>
      <c r="L101" s="8"/>
      <c r="M101" s="1"/>
      <c r="N101" s="1"/>
      <c r="O101" s="1"/>
    </row>
    <row r="102" spans="1:16" ht="15.75" thickBot="1" x14ac:dyDescent="0.3">
      <c r="A102" s="43">
        <f>A100+1</f>
        <v>12</v>
      </c>
      <c r="B102" s="1"/>
      <c r="C102" s="1" t="s">
        <v>76</v>
      </c>
      <c r="D102" s="1"/>
      <c r="E102" s="1"/>
      <c r="F102" s="43"/>
      <c r="G102" s="43"/>
      <c r="H102" s="22"/>
      <c r="I102" s="22"/>
      <c r="J102" s="22"/>
      <c r="K102" s="22"/>
      <c r="L102" s="8"/>
      <c r="M102" s="1"/>
      <c r="N102" s="33">
        <f>N83*1000/N100</f>
        <v>0.16840800168558051</v>
      </c>
      <c r="O102" s="1"/>
    </row>
    <row r="103" spans="1:16" ht="15.75" thickTop="1" x14ac:dyDescent="0.25">
      <c r="A103" s="43"/>
      <c r="B103" s="1"/>
      <c r="C103" s="1"/>
      <c r="D103" s="1"/>
      <c r="E103" s="1"/>
      <c r="F103" s="43"/>
      <c r="G103" s="43"/>
      <c r="H103" s="22"/>
      <c r="I103" s="34"/>
      <c r="J103" s="34"/>
      <c r="K103" s="22"/>
      <c r="L103" s="8"/>
      <c r="M103" s="1"/>
      <c r="N103" s="35"/>
      <c r="O103" s="1"/>
    </row>
    <row r="104" spans="1:16" x14ac:dyDescent="0.25">
      <c r="A104" s="43">
        <f>A102+1</f>
        <v>13</v>
      </c>
      <c r="B104" s="1"/>
      <c r="C104" s="1" t="s">
        <v>77</v>
      </c>
      <c r="D104" s="1"/>
      <c r="E104" s="1"/>
      <c r="F104" s="43"/>
      <c r="G104" s="43"/>
      <c r="H104" s="31">
        <f>H90*1000/H100</f>
        <v>3.2110425625919152</v>
      </c>
      <c r="I104" s="35"/>
      <c r="J104" s="35"/>
      <c r="K104" s="22"/>
      <c r="L104" s="18"/>
      <c r="M104" s="1"/>
      <c r="N104" s="1"/>
      <c r="O104" s="1"/>
    </row>
    <row r="105" spans="1:16" x14ac:dyDescent="0.25">
      <c r="A105" s="43"/>
      <c r="B105" s="1"/>
      <c r="C105" s="1"/>
      <c r="D105" s="1"/>
      <c r="E105" s="1"/>
      <c r="F105" s="43"/>
      <c r="G105" s="43"/>
      <c r="H105" s="35"/>
      <c r="I105" s="35"/>
      <c r="J105" s="35"/>
      <c r="K105" s="22"/>
      <c r="L105" s="8"/>
      <c r="M105" s="1"/>
      <c r="N105" s="1"/>
      <c r="O105" s="1"/>
    </row>
    <row r="106" spans="1:16" x14ac:dyDescent="0.25">
      <c r="A106" s="43">
        <f>A104+1</f>
        <v>14</v>
      </c>
      <c r="B106" s="1"/>
      <c r="C106" s="1" t="s">
        <v>41</v>
      </c>
      <c r="D106" s="1"/>
      <c r="E106" s="1"/>
      <c r="F106" s="4"/>
      <c r="G106" s="4"/>
      <c r="H106" s="34">
        <f>(H98+H99)*$H$104/1000</f>
        <v>12126.463803071261</v>
      </c>
      <c r="I106" s="34">
        <f>(I98+I99)*$H$104/1000</f>
        <v>257.32540242329344</v>
      </c>
      <c r="J106" s="34">
        <f>(J98+J99)*$H$104/1000</f>
        <v>425.78660307857302</v>
      </c>
      <c r="K106" s="22"/>
      <c r="L106" s="34"/>
      <c r="M106" s="1"/>
      <c r="N106" s="1"/>
      <c r="O106" s="1"/>
    </row>
    <row r="107" spans="1:16" x14ac:dyDescent="0.25">
      <c r="A107" s="43"/>
      <c r="B107" s="1"/>
      <c r="C107" s="1"/>
      <c r="D107" s="1"/>
      <c r="E107" s="1"/>
      <c r="F107" s="4"/>
      <c r="G107" s="4"/>
      <c r="H107" s="34"/>
      <c r="I107" s="34"/>
      <c r="J107" s="34"/>
      <c r="K107" s="22"/>
      <c r="L107" s="34"/>
      <c r="M107" s="1"/>
      <c r="N107" s="1"/>
      <c r="O107" s="1"/>
    </row>
    <row r="108" spans="1:16" x14ac:dyDescent="0.25">
      <c r="A108" s="43">
        <f>A106+1</f>
        <v>15</v>
      </c>
      <c r="B108" s="1"/>
      <c r="C108" s="1" t="s">
        <v>42</v>
      </c>
      <c r="D108" s="1"/>
      <c r="E108" s="1"/>
      <c r="F108" s="1"/>
      <c r="G108" s="1"/>
      <c r="H108" s="5"/>
      <c r="I108" s="21">
        <f>(I90-I106)*1000/I93</f>
        <v>2.6462278338613459</v>
      </c>
      <c r="J108" s="21">
        <f>(J90-J106)*1000/J93</f>
        <v>0.56481472873056882</v>
      </c>
      <c r="K108" s="5"/>
      <c r="L108" s="8"/>
      <c r="M108" s="1"/>
      <c r="N108" s="1"/>
      <c r="O108" s="1"/>
    </row>
    <row r="109" spans="1:16" x14ac:dyDescent="0.25">
      <c r="A109" s="43"/>
      <c r="B109" s="1"/>
      <c r="C109" s="1"/>
      <c r="D109" s="1"/>
      <c r="E109" s="1"/>
      <c r="F109" s="43"/>
      <c r="G109" s="43"/>
      <c r="H109" s="22"/>
      <c r="I109" s="22"/>
      <c r="J109" s="22"/>
      <c r="K109" s="22"/>
      <c r="L109" s="8"/>
      <c r="M109" s="1"/>
      <c r="N109" s="1"/>
      <c r="O109" s="1"/>
    </row>
    <row r="110" spans="1:16" x14ac:dyDescent="0.25">
      <c r="B110" s="1"/>
      <c r="C110" s="3" t="s">
        <v>43</v>
      </c>
      <c r="D110" s="1"/>
      <c r="E110" s="1"/>
      <c r="F110" s="43"/>
      <c r="G110" s="43"/>
      <c r="H110" s="22"/>
      <c r="K110" s="22"/>
      <c r="L110" s="8"/>
      <c r="M110" s="1"/>
      <c r="N110" s="1"/>
      <c r="O110" s="1"/>
    </row>
    <row r="111" spans="1:16" x14ac:dyDescent="0.25">
      <c r="A111" s="43"/>
      <c r="B111" s="1"/>
      <c r="C111" s="1" t="s">
        <v>44</v>
      </c>
      <c r="D111" s="1"/>
      <c r="E111" s="1"/>
      <c r="F111" s="43"/>
      <c r="G111" s="43"/>
      <c r="H111" s="22"/>
      <c r="K111" s="22"/>
      <c r="L111" s="8"/>
      <c r="M111" s="1"/>
      <c r="N111" s="1"/>
      <c r="O111" s="1"/>
    </row>
    <row r="112" spans="1:16" x14ac:dyDescent="0.25">
      <c r="A112" s="43">
        <f>A108+1</f>
        <v>16</v>
      </c>
      <c r="B112" s="1"/>
      <c r="C112" s="1"/>
      <c r="D112" s="1" t="s">
        <v>78</v>
      </c>
      <c r="E112" s="1"/>
      <c r="F112" s="43"/>
      <c r="G112" s="43"/>
      <c r="H112" s="36">
        <f>H104</f>
        <v>3.2110425625919152</v>
      </c>
      <c r="I112" s="36">
        <f>(I90-I106)*1000/I93</f>
        <v>2.6462278338613459</v>
      </c>
      <c r="J112" s="36">
        <f>(J90-J106)*1000/J93</f>
        <v>0.56481472873056882</v>
      </c>
      <c r="K112" s="22"/>
      <c r="L112" s="8"/>
      <c r="M112" s="1"/>
      <c r="N112" s="1"/>
      <c r="O112" s="1"/>
    </row>
    <row r="113" spans="1:16" x14ac:dyDescent="0.25">
      <c r="A113" s="43">
        <f>A112+1</f>
        <v>17</v>
      </c>
      <c r="B113" s="1"/>
      <c r="C113" s="1"/>
      <c r="D113" s="1" t="s">
        <v>79</v>
      </c>
      <c r="E113" s="1"/>
      <c r="F113" s="43"/>
      <c r="G113" s="43"/>
      <c r="H113" s="35">
        <f>N102</f>
        <v>0.16840800168558051</v>
      </c>
      <c r="I113" s="35">
        <f>N102</f>
        <v>0.16840800168558051</v>
      </c>
      <c r="J113" s="35">
        <v>0</v>
      </c>
      <c r="K113" s="22"/>
      <c r="L113" s="8"/>
      <c r="M113" s="1"/>
      <c r="N113" s="35"/>
      <c r="O113" s="1"/>
    </row>
    <row r="114" spans="1:16" ht="15.75" thickBot="1" x14ac:dyDescent="0.3">
      <c r="A114" s="43">
        <f>A113+1</f>
        <v>18</v>
      </c>
      <c r="B114" s="1"/>
      <c r="C114" s="1" t="s">
        <v>80</v>
      </c>
      <c r="D114" s="37"/>
      <c r="E114" s="1"/>
      <c r="F114" s="43"/>
      <c r="G114" s="43"/>
      <c r="H114" s="33">
        <f>SUM(H110:H113)</f>
        <v>3.3794505642774957</v>
      </c>
      <c r="I114" s="33">
        <f>SUM(I112:I113)</f>
        <v>2.8146358355469263</v>
      </c>
      <c r="J114" s="33">
        <f>SUM(J112:J113)</f>
        <v>0.56481472873056882</v>
      </c>
      <c r="K114" s="22"/>
      <c r="L114" s="8" t="s">
        <v>81</v>
      </c>
      <c r="M114" s="1"/>
      <c r="N114" s="35"/>
      <c r="O114" s="1"/>
    </row>
    <row r="115" spans="1:16" ht="15.75" thickTop="1" x14ac:dyDescent="0.25">
      <c r="A115" s="43"/>
      <c r="B115" s="1"/>
      <c r="C115" s="1"/>
      <c r="D115" s="37"/>
      <c r="E115" s="1"/>
      <c r="F115" s="43"/>
      <c r="G115" s="43"/>
      <c r="H115" s="35"/>
      <c r="I115" s="35"/>
      <c r="J115" s="35"/>
      <c r="K115" s="22"/>
      <c r="L115" s="8"/>
      <c r="M115" s="1"/>
      <c r="N115" s="35"/>
      <c r="O115" s="1"/>
    </row>
    <row r="116" spans="1:16" ht="15.75" thickBot="1" x14ac:dyDescent="0.3">
      <c r="A116" s="43">
        <f>A114+1</f>
        <v>19</v>
      </c>
      <c r="B116" s="1"/>
      <c r="C116" s="1" t="s">
        <v>82</v>
      </c>
      <c r="D116" s="37"/>
      <c r="E116" s="1"/>
      <c r="F116" s="43"/>
      <c r="G116" s="43"/>
      <c r="H116" s="25">
        <f>(H114)*100/365</f>
        <v>0.92587686692534132</v>
      </c>
      <c r="I116" s="23"/>
      <c r="J116" s="25">
        <f>H116</f>
        <v>0.92587686692534132</v>
      </c>
      <c r="K116" s="1"/>
      <c r="L116" s="1"/>
      <c r="M116" s="1"/>
      <c r="N116" s="18"/>
      <c r="O116" s="1"/>
    </row>
    <row r="117" spans="1:16" ht="16.5" thickTop="1" thickBot="1" x14ac:dyDescent="0.3">
      <c r="A117" s="43">
        <f>A116+1</f>
        <v>20</v>
      </c>
      <c r="B117" s="1"/>
      <c r="C117" s="1" t="s">
        <v>83</v>
      </c>
      <c r="D117" s="37"/>
      <c r="E117" s="1"/>
      <c r="F117" s="43"/>
      <c r="G117" s="43"/>
      <c r="H117" s="23"/>
      <c r="I117" s="25">
        <f>(I114)*214/365</f>
        <v>1.6502248460466911</v>
      </c>
      <c r="J117" s="23"/>
      <c r="K117" s="1"/>
      <c r="L117" s="1"/>
      <c r="M117" s="1"/>
      <c r="N117" s="18"/>
      <c r="O117" s="1"/>
    </row>
    <row r="118" spans="1:16" ht="15.75" thickTop="1" x14ac:dyDescent="0.25">
      <c r="A118" s="43"/>
      <c r="B118" s="1"/>
      <c r="C118" s="1"/>
      <c r="D118" s="1"/>
      <c r="E118" s="1"/>
      <c r="F118" s="43"/>
      <c r="G118" s="43"/>
      <c r="H118" s="1"/>
      <c r="I118" s="18"/>
      <c r="J118" s="1"/>
      <c r="K118" s="1"/>
      <c r="L118" s="1"/>
      <c r="M118" s="1"/>
      <c r="N118" s="1"/>
      <c r="O118" s="1"/>
      <c r="P118" s="1"/>
    </row>
    <row r="119" spans="1:16" x14ac:dyDescent="0.25">
      <c r="A119" s="43"/>
      <c r="B119" s="1"/>
      <c r="C119" s="3"/>
      <c r="D119" s="1"/>
      <c r="E119" s="1"/>
      <c r="F119" s="43"/>
      <c r="G119" s="43"/>
      <c r="H119" s="1"/>
      <c r="I119" s="1"/>
      <c r="J119" s="1"/>
      <c r="K119" s="1"/>
      <c r="L119" s="1"/>
      <c r="M119" s="1"/>
      <c r="N119" s="1"/>
      <c r="O119" s="1"/>
      <c r="P119" s="1"/>
    </row>
    <row r="120" spans="1:16" x14ac:dyDescent="0.25">
      <c r="A120" s="3" t="s">
        <v>53</v>
      </c>
      <c r="B120" s="1"/>
      <c r="C120" s="3"/>
      <c r="D120" s="1"/>
      <c r="E120" s="1"/>
      <c r="F120" s="43"/>
      <c r="G120" s="43"/>
      <c r="H120" s="1"/>
      <c r="I120" s="1"/>
      <c r="J120" s="1"/>
      <c r="K120" s="1"/>
      <c r="L120" s="1"/>
      <c r="M120" s="1"/>
      <c r="N120" s="1"/>
      <c r="O120" s="1"/>
      <c r="P120" s="1"/>
    </row>
    <row r="121" spans="1:16" x14ac:dyDescent="0.25">
      <c r="A121" s="4" t="s">
        <v>54</v>
      </c>
      <c r="B121" s="1"/>
      <c r="C121" s="1" t="s">
        <v>84</v>
      </c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x14ac:dyDescent="0.25">
      <c r="A122" s="4" t="s">
        <v>58</v>
      </c>
      <c r="B122" s="1"/>
      <c r="C122" s="1" t="s">
        <v>85</v>
      </c>
      <c r="D122" s="1"/>
      <c r="E122" s="1"/>
      <c r="F122" s="43"/>
      <c r="G122" s="43"/>
      <c r="H122" s="1"/>
      <c r="I122" s="1"/>
      <c r="J122" s="1"/>
      <c r="K122" s="1"/>
      <c r="L122" s="1"/>
      <c r="M122" s="1"/>
      <c r="N122" s="1"/>
      <c r="O122" s="1"/>
      <c r="P122" s="1"/>
    </row>
    <row r="123" spans="1:16" x14ac:dyDescent="0.25">
      <c r="A123" s="4"/>
      <c r="B123" s="1"/>
      <c r="C123" s="1"/>
      <c r="D123" s="1"/>
      <c r="E123" s="1"/>
      <c r="F123" s="43"/>
      <c r="G123" s="43"/>
      <c r="H123" s="1"/>
      <c r="I123" s="1"/>
      <c r="J123" s="1"/>
      <c r="K123" s="1"/>
      <c r="L123" s="1"/>
      <c r="M123" s="1"/>
      <c r="N123" s="1"/>
      <c r="O123" s="1"/>
      <c r="P123" s="1"/>
    </row>
    <row r="124" spans="1:16" x14ac:dyDescent="0.25">
      <c r="A124" s="4"/>
      <c r="B124" s="1"/>
      <c r="C124" s="1"/>
      <c r="E124" s="1"/>
      <c r="F124" s="43"/>
      <c r="G124" s="43"/>
      <c r="H124" s="1"/>
      <c r="I124" s="1"/>
      <c r="J124" s="1"/>
      <c r="K124" s="1"/>
      <c r="L124" s="1"/>
      <c r="M124" s="1"/>
      <c r="N124" s="1"/>
      <c r="O124" s="1"/>
      <c r="P124" s="1"/>
    </row>
    <row r="125" spans="1:16" x14ac:dyDescent="0.25">
      <c r="A125" s="4"/>
      <c r="C125" s="1"/>
      <c r="E125" s="1"/>
      <c r="F125" s="43"/>
      <c r="G125" s="43"/>
      <c r="H125" s="1"/>
      <c r="I125" s="1"/>
      <c r="J125" s="1"/>
      <c r="K125" s="1"/>
      <c r="L125" s="1"/>
      <c r="M125" s="1"/>
      <c r="N125" s="1"/>
      <c r="O125" s="1"/>
      <c r="P125" s="1"/>
    </row>
    <row r="126" spans="1:16" x14ac:dyDescent="0.25">
      <c r="A126" s="4"/>
      <c r="B126" s="1"/>
      <c r="C126" s="26"/>
      <c r="D126" s="1"/>
      <c r="E126" s="1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</row>
    <row r="127" spans="1:16" x14ac:dyDescent="0.25">
      <c r="A127" s="4"/>
      <c r="B127" s="1"/>
      <c r="C127" s="26"/>
      <c r="D127" s="1"/>
      <c r="E127" s="1"/>
    </row>
    <row r="128" spans="1:16" x14ac:dyDescent="0.25">
      <c r="A128" s="4"/>
      <c r="B128" s="1"/>
    </row>
    <row r="129" spans="1:1" x14ac:dyDescent="0.25">
      <c r="A129" s="4"/>
    </row>
  </sheetData>
  <mergeCells count="8">
    <mergeCell ref="R64:AC64"/>
    <mergeCell ref="A75:N75"/>
    <mergeCell ref="A76:N76"/>
    <mergeCell ref="H78:J78"/>
    <mergeCell ref="A6:P6"/>
    <mergeCell ref="A7:P7"/>
    <mergeCell ref="H9:J9"/>
    <mergeCell ref="N9:P9"/>
  </mergeCells>
  <conditionalFormatting sqref="Q7">
    <cfRule type="containsText" dxfId="0" priority="1" operator="containsText" text="X">
      <formula>NOT(ISERROR(SEARCH("X",Q7)))</formula>
    </cfRule>
  </conditionalFormatting>
  <printOptions horizontalCentered="1"/>
  <pageMargins left="0.7" right="0.7" top="0.75" bottom="0.75" header="0.3" footer="0.3"/>
  <pageSetup scale="56" fitToHeight="2" orientation="portrait" r:id="rId1"/>
  <headerFooter>
    <oddHeader>&amp;R&amp;"Arial,Regular"&amp;10Filed: 2025-02-28
EB-2025-0064
Phase 3 Exhibit 8
Tab 2
Schedule 9
Attachment 12
Page &amp;P of 3</oddHeader>
  </headerFooter>
  <rowBreaks count="1" manualBreakCount="1">
    <brk id="69" max="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F434B-4D84-4722-BE89-39F2B87D4B6A}">
  <dimension ref="A1:F31"/>
  <sheetViews>
    <sheetView view="pageLayout" zoomScaleNormal="80" workbookViewId="0">
      <selection sqref="A1:XFD1048576"/>
    </sheetView>
  </sheetViews>
  <sheetFormatPr defaultColWidth="8.85546875" defaultRowHeight="15" x14ac:dyDescent="0.25"/>
  <cols>
    <col min="1" max="1" width="4.5703125" style="49" customWidth="1"/>
    <col min="2" max="2" width="1.5703125" style="49" customWidth="1"/>
    <col min="3" max="3" width="65" style="49" customWidth="1"/>
    <col min="4" max="4" width="1.5703125" style="49" customWidth="1"/>
    <col min="5" max="5" width="11.5703125" style="49" customWidth="1"/>
    <col min="6" max="16384" width="8.85546875" style="9"/>
  </cols>
  <sheetData>
    <row r="1" spans="1:6" x14ac:dyDescent="0.25">
      <c r="A1" s="1"/>
      <c r="B1" s="1"/>
      <c r="C1" s="1"/>
      <c r="D1" s="1"/>
      <c r="F1" s="39"/>
    </row>
    <row r="2" spans="1:6" x14ac:dyDescent="0.25">
      <c r="A2" s="1"/>
      <c r="B2" s="1"/>
      <c r="C2" s="1"/>
      <c r="D2" s="1"/>
      <c r="F2" s="39"/>
    </row>
    <row r="3" spans="1:6" x14ac:dyDescent="0.25">
      <c r="A3" s="1"/>
      <c r="B3" s="1"/>
      <c r="C3" s="1"/>
      <c r="D3" s="1"/>
      <c r="F3" s="39"/>
    </row>
    <row r="4" spans="1:6" x14ac:dyDescent="0.25">
      <c r="A4" s="1"/>
      <c r="B4" s="1"/>
      <c r="C4" s="1"/>
      <c r="D4" s="1"/>
      <c r="F4" s="39"/>
    </row>
    <row r="5" spans="1:6" x14ac:dyDescent="0.25">
      <c r="A5" s="1"/>
      <c r="B5" s="1"/>
      <c r="C5" s="1"/>
      <c r="D5" s="1"/>
      <c r="F5" s="39"/>
    </row>
    <row r="6" spans="1:6" x14ac:dyDescent="0.25">
      <c r="A6" s="38" t="s">
        <v>86</v>
      </c>
      <c r="B6" s="38"/>
      <c r="C6" s="38"/>
      <c r="D6" s="38"/>
      <c r="E6" s="38"/>
      <c r="F6" s="39"/>
    </row>
    <row r="7" spans="1:6" x14ac:dyDescent="0.25">
      <c r="A7" s="1"/>
      <c r="B7" s="1"/>
      <c r="C7" s="1"/>
      <c r="D7" s="1"/>
      <c r="E7" s="1"/>
      <c r="F7" s="39"/>
    </row>
    <row r="8" spans="1:6" x14ac:dyDescent="0.25">
      <c r="A8" s="50" t="s">
        <v>5</v>
      </c>
      <c r="B8" s="50"/>
      <c r="C8" s="50"/>
      <c r="D8" s="50"/>
      <c r="E8" s="43" t="s">
        <v>87</v>
      </c>
    </row>
    <row r="9" spans="1:6" x14ac:dyDescent="0.25">
      <c r="A9" s="51" t="s">
        <v>11</v>
      </c>
      <c r="B9" s="52"/>
      <c r="C9" s="53" t="s">
        <v>88</v>
      </c>
      <c r="D9" s="52"/>
      <c r="E9" s="51" t="s">
        <v>89</v>
      </c>
    </row>
    <row r="10" spans="1:6" x14ac:dyDescent="0.25">
      <c r="A10" s="1"/>
      <c r="B10" s="1"/>
      <c r="C10" s="1"/>
      <c r="D10" s="1"/>
      <c r="E10" s="4" t="s">
        <v>15</v>
      </c>
    </row>
    <row r="11" spans="1:6" x14ac:dyDescent="0.25">
      <c r="A11" s="1"/>
      <c r="B11" s="1"/>
      <c r="C11" s="1"/>
      <c r="D11" s="1"/>
      <c r="E11" s="54"/>
    </row>
    <row r="12" spans="1:6" x14ac:dyDescent="0.25">
      <c r="A12" s="43"/>
      <c r="B12" s="1"/>
      <c r="C12" s="55" t="s">
        <v>90</v>
      </c>
      <c r="D12" s="55"/>
      <c r="E12" s="54"/>
    </row>
    <row r="13" spans="1:6" x14ac:dyDescent="0.25">
      <c r="A13" s="43">
        <v>1</v>
      </c>
      <c r="B13" s="1"/>
      <c r="C13" s="56" t="s">
        <v>91</v>
      </c>
      <c r="D13" s="56"/>
      <c r="E13" s="41">
        <v>3.2674563715578717</v>
      </c>
    </row>
    <row r="14" spans="1:6" x14ac:dyDescent="0.25">
      <c r="A14" s="43" cm="1">
        <f t="array" ref="A14">MAX($A$12:A13+1)</f>
        <v>2</v>
      </c>
      <c r="B14" s="1"/>
      <c r="C14" s="56" t="s">
        <v>92</v>
      </c>
      <c r="D14" s="56"/>
      <c r="E14" s="57">
        <v>0.89519352645421146</v>
      </c>
    </row>
    <row r="15" spans="1:6" ht="15.75" thickBot="1" x14ac:dyDescent="0.3">
      <c r="A15" s="43" cm="1">
        <f t="array" ref="A15">MAX($A$12:A14+1)</f>
        <v>3</v>
      </c>
      <c r="B15" s="1"/>
      <c r="C15" s="58" t="s">
        <v>93</v>
      </c>
      <c r="D15" s="58"/>
      <c r="E15" s="40">
        <f>E13+E14</f>
        <v>4.1626498980120834</v>
      </c>
    </row>
    <row r="16" spans="1:6" ht="15.75" thickTop="1" x14ac:dyDescent="0.25">
      <c r="A16" s="43"/>
      <c r="B16" s="1"/>
      <c r="C16" s="56" t="s">
        <v>94</v>
      </c>
      <c r="D16" s="56"/>
      <c r="E16" s="54"/>
    </row>
    <row r="17" spans="1:5" x14ac:dyDescent="0.25">
      <c r="A17" s="43"/>
      <c r="B17" s="1"/>
    </row>
    <row r="18" spans="1:5" x14ac:dyDescent="0.25">
      <c r="A18" s="43"/>
      <c r="B18" s="1"/>
      <c r="C18" s="55" t="s">
        <v>95</v>
      </c>
      <c r="D18" s="55"/>
      <c r="E18" s="41"/>
    </row>
    <row r="19" spans="1:5" x14ac:dyDescent="0.25">
      <c r="A19" s="43"/>
      <c r="B19" s="1"/>
      <c r="C19" s="56" t="s">
        <v>96</v>
      </c>
      <c r="D19" s="56"/>
      <c r="E19" s="41"/>
    </row>
    <row r="20" spans="1:5" x14ac:dyDescent="0.25">
      <c r="A20" s="43" cm="1">
        <f t="array" ref="A20">MAX($A$12:A19+1)</f>
        <v>4</v>
      </c>
      <c r="B20" s="1"/>
      <c r="C20" s="24" t="s">
        <v>97</v>
      </c>
      <c r="D20" s="24"/>
      <c r="E20" s="59">
        <v>373.64678317513233</v>
      </c>
    </row>
    <row r="21" spans="1:5" x14ac:dyDescent="0.25">
      <c r="A21" s="43" cm="1">
        <f t="array" ref="A21">MAX($A$12:A20+1)</f>
        <v>5</v>
      </c>
      <c r="B21" s="1"/>
      <c r="C21" s="1" t="s">
        <v>98</v>
      </c>
      <c r="D21" s="1"/>
      <c r="E21" s="59">
        <v>611710</v>
      </c>
    </row>
    <row r="22" spans="1:5" ht="15.75" thickBot="1" x14ac:dyDescent="0.3">
      <c r="A22" s="43" cm="1">
        <f t="array" ref="A22">MAX($A$12:A21+1)</f>
        <v>6</v>
      </c>
      <c r="B22" s="1"/>
      <c r="C22" s="1" t="s">
        <v>99</v>
      </c>
      <c r="D22" s="1"/>
      <c r="E22" s="40">
        <f>E20*1000 / (E21 * 12)</f>
        <v>5.0901950158181213E-2</v>
      </c>
    </row>
    <row r="23" spans="1:5" ht="15.75" thickTop="1" x14ac:dyDescent="0.25">
      <c r="A23" s="43"/>
      <c r="B23" s="1"/>
      <c r="C23" s="1"/>
      <c r="D23" s="1"/>
      <c r="E23" s="54"/>
    </row>
    <row r="24" spans="1:5" x14ac:dyDescent="0.25">
      <c r="A24" s="1"/>
      <c r="B24" s="1"/>
    </row>
    <row r="25" spans="1:5" x14ac:dyDescent="0.25">
      <c r="A25" s="42" t="s">
        <v>53</v>
      </c>
      <c r="B25" s="42"/>
    </row>
    <row r="26" spans="1:5" x14ac:dyDescent="0.25">
      <c r="A26" s="4" t="s">
        <v>54</v>
      </c>
      <c r="B26" s="1"/>
      <c r="C26" s="1" t="s">
        <v>100</v>
      </c>
      <c r="D26" s="60"/>
    </row>
    <row r="27" spans="1:5" x14ac:dyDescent="0.25">
      <c r="A27" s="4" t="s">
        <v>58</v>
      </c>
      <c r="B27" s="60"/>
      <c r="C27" s="60" t="s">
        <v>101</v>
      </c>
      <c r="D27" s="60"/>
    </row>
    <row r="28" spans="1:5" x14ac:dyDescent="0.25">
      <c r="A28" s="4" t="s">
        <v>60</v>
      </c>
      <c r="B28" s="61"/>
      <c r="C28" s="61" t="s">
        <v>102</v>
      </c>
    </row>
    <row r="29" spans="1:5" x14ac:dyDescent="0.25">
      <c r="A29" s="4" t="s">
        <v>62</v>
      </c>
      <c r="B29" s="62"/>
      <c r="C29" s="62" t="s">
        <v>103</v>
      </c>
      <c r="D29" s="62"/>
      <c r="E29" s="1"/>
    </row>
    <row r="30" spans="1:5" x14ac:dyDescent="0.25">
      <c r="A30" s="14"/>
      <c r="B30" s="61"/>
      <c r="C30" s="63"/>
      <c r="D30" s="63"/>
      <c r="E30" s="63"/>
    </row>
    <row r="31" spans="1:5" x14ac:dyDescent="0.25">
      <c r="A31" s="4"/>
      <c r="B31" s="61"/>
      <c r="C31" s="63"/>
      <c r="D31" s="63"/>
      <c r="E31" s="63"/>
    </row>
  </sheetData>
  <printOptions horizontalCentered="1"/>
  <pageMargins left="0.7" right="0.7" top="0.75" bottom="0.75" header="0.3" footer="0.3"/>
  <pageSetup firstPageNumber="3" orientation="portrait" useFirstPageNumber="1" r:id="rId1"/>
  <headerFooter>
    <oddHeader>&amp;R&amp;"Arial,Regular"&amp;10Filed: 2025-02-28
EB-2025-0064
Phase 3 Exhibit 8
Tab 2
Schedule 9
Attachment 12
Page &amp;P of 3</oddHeader>
  </headerFooter>
  <colBreaks count="1" manualBreakCount="1">
    <brk id="5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3FF908193E414D9892E49E70D7829E" ma:contentTypeVersion="11" ma:contentTypeDescription="Create a new document." ma:contentTypeScope="" ma:versionID="bce27d376aa9cc97275b9cfd30bb562a">
  <xsd:schema xmlns:xsd="http://www.w3.org/2001/XMLSchema" xmlns:xs="http://www.w3.org/2001/XMLSchema" xmlns:p="http://schemas.microsoft.com/office/2006/metadata/properties" xmlns:ns1="http://schemas.microsoft.com/sharepoint/v3" xmlns:ns2="c813d627-6812-41ba-b21c-8d274ce88239" xmlns:ns3="e0893123-66fa-4b19-a433-47924ff5ec26" targetNamespace="http://schemas.microsoft.com/office/2006/metadata/properties" ma:root="true" ma:fieldsID="69233bd6ff4519cf614368b05fa1537c" ns1:_="" ns2:_="" ns3:_="">
    <xsd:import namespace="http://schemas.microsoft.com/sharepoint/v3"/>
    <xsd:import namespace="c813d627-6812-41ba-b21c-8d274ce88239"/>
    <xsd:import namespace="e0893123-66fa-4b19-a433-47924ff5e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EBnumber" minOccurs="0"/>
                <xsd:element ref="ns2:Applicant" minOccurs="0"/>
                <xsd:element ref="ns2:CaseDescrip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3d627-6812-41ba-b21c-8d274ce882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EBnumber" ma:index="12" nillable="true" ma:displayName="EB number" ma:format="Dropdown" ma:internalName="EBnumber">
      <xsd:simpleType>
        <xsd:restriction base="dms:Text">
          <xsd:maxLength value="255"/>
        </xsd:restriction>
      </xsd:simpleType>
    </xsd:element>
    <xsd:element name="Applicant" ma:index="13" nillable="true" ma:displayName="Applicant" ma:format="Dropdown" ma:internalName="Applicant">
      <xsd:simpleType>
        <xsd:restriction base="dms:Text">
          <xsd:maxLength value="255"/>
        </xsd:restriction>
      </xsd:simpleType>
    </xsd:element>
    <xsd:element name="CaseDescription" ma:index="14" nillable="true" ma:displayName="Case Description" ma:format="Dropdown" ma:internalName="CaseDescription">
      <xsd:simpleType>
        <xsd:restriction base="dms:Text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893123-66fa-4b19-a433-47924ff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Applicant xmlns="c813d627-6812-41ba-b21c-8d274ce88239" xsi:nil="true"/>
    <_ip_UnifiedCompliancePolicyProperties xmlns="http://schemas.microsoft.com/sharepoint/v3" xsi:nil="true"/>
    <EBnumber xmlns="c813d627-6812-41ba-b21c-8d274ce88239" xsi:nil="true"/>
    <CaseDescription xmlns="c813d627-6812-41ba-b21c-8d274ce88239" xsi:nil="true"/>
  </documentManagement>
</p:properties>
</file>

<file path=customXml/itemProps1.xml><?xml version="1.0" encoding="utf-8"?>
<ds:datastoreItem xmlns:ds="http://schemas.openxmlformats.org/officeDocument/2006/customXml" ds:itemID="{A69086F5-B41F-486E-9DC9-A7789290CD20}"/>
</file>

<file path=customXml/itemProps2.xml><?xml version="1.0" encoding="utf-8"?>
<ds:datastoreItem xmlns:ds="http://schemas.openxmlformats.org/officeDocument/2006/customXml" ds:itemID="{22472CAA-A9F8-42B4-8908-316D2F7636B9}"/>
</file>

<file path=customXml/itemProps3.xml><?xml version="1.0" encoding="utf-8"?>
<ds:datastoreItem xmlns:ds="http://schemas.openxmlformats.org/officeDocument/2006/customXml" ds:itemID="{D9CC03FC-8E97-41EC-831F-A0458495028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8.2.9.12 p.1-2</vt:lpstr>
      <vt:lpstr>8.2.9.12 p.3</vt:lpstr>
      <vt:lpstr>'8.2.9.12 p.1-2'!Print_Area</vt:lpstr>
      <vt:lpstr>'8.2.9.12 p.3'!Print_Area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2025-02-28T16:13:32Z</dcterms:created>
  <dcterms:modified xsi:type="dcterms:W3CDTF">2025-02-28T16:13:44Z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0x010100B03FF908193E414D9892E49E70D7829E</vt:lpwstr>
  </property>
</Properties>
</file>