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6" documentId="13_ncr:1_{444FE412-4D19-463C-B723-DEABD4CE21D8}" xr6:coauthVersionLast="47" xr6:coauthVersionMax="47" xr10:uidLastSave="{5C956212-3432-4323-BAD3-2770EB6574D6}"/>
  <bookViews>
    <workbookView xWindow="28680" yWindow="-120" windowWidth="29040" windowHeight="15720" xr2:uid="{F0764FE4-5447-4B83-AC88-C57092E74B9F}"/>
  </bookViews>
  <sheets>
    <sheet name="8.2.12.2 p.1-5" sheetId="1" r:id="rId1"/>
    <sheet name="8.2.12.2 p.6-7" sheetId="2" r:id="rId2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hidden="1">{#N/A,#N/A,FALSE,"H3 Tab 1"}</definedName>
    <definedName name="_xlnm.Print_Area" localSheetId="0">'8.2.12.2 p.1-5'!$A$1:$AA$354</definedName>
    <definedName name="_xlnm.Print_Area" localSheetId="1">'8.2.12.2 p.6-7'!$A$1:$AA$117</definedName>
    <definedName name="_xlnm.Print_Titles" localSheetId="0">'8.2.12.2 p.1-5'!$3:$15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1" l="1"/>
  <c r="T106" i="2"/>
  <c r="R106" i="2"/>
  <c r="P106" i="2"/>
  <c r="N106" i="2"/>
  <c r="H106" i="2"/>
  <c r="L106" i="2" s="1"/>
  <c r="D106" i="2"/>
  <c r="X104" i="2"/>
  <c r="X103" i="2"/>
  <c r="D101" i="2"/>
  <c r="T99" i="2"/>
  <c r="H101" i="2"/>
  <c r="T98" i="2"/>
  <c r="T97" i="2"/>
  <c r="R97" i="2" s="1"/>
  <c r="T96" i="2"/>
  <c r="X96" i="2" s="1"/>
  <c r="T95" i="2"/>
  <c r="X95" i="2" s="1"/>
  <c r="R95" i="2"/>
  <c r="P101" i="2"/>
  <c r="N101" i="2" s="1"/>
  <c r="T94" i="2"/>
  <c r="D90" i="2"/>
  <c r="X88" i="2"/>
  <c r="X87" i="2"/>
  <c r="R87" i="2"/>
  <c r="R85" i="2"/>
  <c r="R83" i="2"/>
  <c r="R82" i="2"/>
  <c r="T81" i="2"/>
  <c r="T80" i="2"/>
  <c r="R80" i="2" s="1"/>
  <c r="T79" i="2"/>
  <c r="X79" i="2" s="1"/>
  <c r="T78" i="2"/>
  <c r="X78" i="2" s="1"/>
  <c r="H90" i="2"/>
  <c r="T77" i="2"/>
  <c r="T75" i="2"/>
  <c r="T74" i="2"/>
  <c r="P90" i="2"/>
  <c r="D57" i="2"/>
  <c r="D55" i="2"/>
  <c r="R53" i="2"/>
  <c r="X51" i="2"/>
  <c r="P55" i="2"/>
  <c r="N55" i="2" s="1"/>
  <c r="X50" i="2"/>
  <c r="H55" i="2"/>
  <c r="L55" i="2" s="1"/>
  <c r="J57" i="2"/>
  <c r="D47" i="2"/>
  <c r="X45" i="2"/>
  <c r="R45" i="2"/>
  <c r="X44" i="2"/>
  <c r="R44" i="2"/>
  <c r="X43" i="2"/>
  <c r="T42" i="2"/>
  <c r="T41" i="2"/>
  <c r="R41" i="2" s="1"/>
  <c r="T40" i="2"/>
  <c r="T39" i="2"/>
  <c r="R39" i="2" s="1"/>
  <c r="T38" i="2"/>
  <c r="X38" i="2" s="1"/>
  <c r="T35" i="2"/>
  <c r="X35" i="2" s="1"/>
  <c r="T33" i="2"/>
  <c r="T32" i="2"/>
  <c r="T29" i="2"/>
  <c r="T28" i="2"/>
  <c r="R28" i="2" s="1"/>
  <c r="T27" i="2"/>
  <c r="X27" i="2" s="1"/>
  <c r="T26" i="2"/>
  <c r="R26" i="2" s="1"/>
  <c r="T25" i="2"/>
  <c r="X25" i="2" s="1"/>
  <c r="T24" i="2"/>
  <c r="P47" i="2"/>
  <c r="P57" i="2" s="1"/>
  <c r="H47" i="2"/>
  <c r="D19" i="2"/>
  <c r="T17" i="2"/>
  <c r="X17" i="2" s="1"/>
  <c r="H19" i="2"/>
  <c r="L19" i="2" s="1"/>
  <c r="B17" i="2"/>
  <c r="B19" i="2" s="1"/>
  <c r="B24" i="2" s="1"/>
  <c r="T15" i="2"/>
  <c r="R15" i="2" s="1"/>
  <c r="R340" i="1"/>
  <c r="T339" i="1"/>
  <c r="R339" i="1" s="1"/>
  <c r="T338" i="1"/>
  <c r="R338" i="1" s="1"/>
  <c r="T337" i="1"/>
  <c r="R337" i="1" s="1"/>
  <c r="T336" i="1"/>
  <c r="T334" i="1"/>
  <c r="X334" i="1" s="1"/>
  <c r="P342" i="1"/>
  <c r="P331" i="1"/>
  <c r="H331" i="1"/>
  <c r="H342" i="1" s="1"/>
  <c r="T329" i="1"/>
  <c r="R328" i="1"/>
  <c r="T327" i="1"/>
  <c r="R327" i="1" s="1"/>
  <c r="H344" i="1"/>
  <c r="L344" i="1" s="1"/>
  <c r="T326" i="1"/>
  <c r="T316" i="1"/>
  <c r="T315" i="1"/>
  <c r="X315" i="1" s="1"/>
  <c r="P312" i="1"/>
  <c r="T311" i="1"/>
  <c r="T310" i="1"/>
  <c r="T308" i="1"/>
  <c r="H303" i="1"/>
  <c r="H318" i="1" s="1"/>
  <c r="T300" i="1"/>
  <c r="T298" i="1"/>
  <c r="X298" i="1" s="1"/>
  <c r="H321" i="1"/>
  <c r="T297" i="1"/>
  <c r="R297" i="1" s="1"/>
  <c r="H320" i="1"/>
  <c r="T295" i="1"/>
  <c r="T294" i="1"/>
  <c r="L289" i="1"/>
  <c r="L288" i="1"/>
  <c r="H286" i="1"/>
  <c r="T284" i="1"/>
  <c r="T283" i="1"/>
  <c r="T281" i="1"/>
  <c r="R281" i="1" s="1"/>
  <c r="T273" i="1"/>
  <c r="X273" i="1" s="1"/>
  <c r="T272" i="1"/>
  <c r="T271" i="1"/>
  <c r="T270" i="1"/>
  <c r="T269" i="1"/>
  <c r="R269" i="1" s="1"/>
  <c r="P289" i="1"/>
  <c r="N289" i="1" s="1"/>
  <c r="T265" i="1"/>
  <c r="P288" i="1"/>
  <c r="N288" i="1" s="1"/>
  <c r="H259" i="1"/>
  <c r="T254" i="1"/>
  <c r="T253" i="1"/>
  <c r="X253" i="1" s="1"/>
  <c r="P250" i="1"/>
  <c r="T249" i="1"/>
  <c r="T248" i="1"/>
  <c r="T246" i="1"/>
  <c r="H250" i="1"/>
  <c r="T240" i="1"/>
  <c r="T239" i="1"/>
  <c r="X239" i="1" s="1"/>
  <c r="T237" i="1"/>
  <c r="X237" i="1" s="1"/>
  <c r="P259" i="1"/>
  <c r="T234" i="1"/>
  <c r="T233" i="1"/>
  <c r="T223" i="1"/>
  <c r="T222" i="1"/>
  <c r="T218" i="1"/>
  <c r="T217" i="1"/>
  <c r="T215" i="1"/>
  <c r="R215" i="1" s="1"/>
  <c r="T205" i="1"/>
  <c r="X205" i="1" s="1"/>
  <c r="T204" i="1"/>
  <c r="T202" i="1"/>
  <c r="T201" i="1"/>
  <c r="H228" i="1"/>
  <c r="L228" i="1" s="1"/>
  <c r="T198" i="1"/>
  <c r="T196" i="1"/>
  <c r="X196" i="1" s="1"/>
  <c r="T195" i="1"/>
  <c r="P206" i="1"/>
  <c r="H190" i="1"/>
  <c r="T184" i="1"/>
  <c r="X184" i="1" s="1"/>
  <c r="T183" i="1"/>
  <c r="R183" i="1" s="1"/>
  <c r="T181" i="1"/>
  <c r="T180" i="1"/>
  <c r="R180" i="1" s="1"/>
  <c r="T178" i="1"/>
  <c r="T177" i="1"/>
  <c r="R175" i="1"/>
  <c r="R174" i="1"/>
  <c r="T172" i="1"/>
  <c r="T171" i="1"/>
  <c r="R171" i="1" s="1"/>
  <c r="H189" i="1"/>
  <c r="L189" i="1" s="1"/>
  <c r="T169" i="1"/>
  <c r="P187" i="1"/>
  <c r="T168" i="1"/>
  <c r="T161" i="1"/>
  <c r="T159" i="1"/>
  <c r="R159" i="1" s="1"/>
  <c r="T156" i="1"/>
  <c r="T152" i="1"/>
  <c r="R152" i="1" s="1"/>
  <c r="H163" i="1"/>
  <c r="L163" i="1" s="1"/>
  <c r="T150" i="1"/>
  <c r="R150" i="1" s="1"/>
  <c r="R142" i="1"/>
  <c r="T141" i="1"/>
  <c r="R141" i="1" s="1"/>
  <c r="T140" i="1"/>
  <c r="T139" i="1"/>
  <c r="X139" i="1" s="1"/>
  <c r="T138" i="1"/>
  <c r="T137" i="1"/>
  <c r="R137" i="1" s="1"/>
  <c r="T136" i="1"/>
  <c r="R136" i="1" s="1"/>
  <c r="T130" i="1"/>
  <c r="R130" i="1" s="1"/>
  <c r="T129" i="1"/>
  <c r="P127" i="1"/>
  <c r="P133" i="1" s="1"/>
  <c r="H127" i="1"/>
  <c r="T126" i="1"/>
  <c r="R126" i="1" s="1"/>
  <c r="T125" i="1"/>
  <c r="R125" i="1" s="1"/>
  <c r="T124" i="1"/>
  <c r="R124" i="1" s="1"/>
  <c r="R122" i="1"/>
  <c r="H133" i="1"/>
  <c r="T120" i="1"/>
  <c r="H115" i="1"/>
  <c r="L115" i="1" s="1"/>
  <c r="X110" i="1"/>
  <c r="T110" i="1"/>
  <c r="R110" i="1" s="1"/>
  <c r="T109" i="1"/>
  <c r="T105" i="1"/>
  <c r="T104" i="1"/>
  <c r="T102" i="1"/>
  <c r="T94" i="1"/>
  <c r="R94" i="1"/>
  <c r="P90" i="1"/>
  <c r="H90" i="1"/>
  <c r="T89" i="1"/>
  <c r="R89" i="1" s="1"/>
  <c r="T88" i="1"/>
  <c r="T85" i="1"/>
  <c r="X85" i="1" s="1"/>
  <c r="H114" i="1"/>
  <c r="L114" i="1" s="1"/>
  <c r="T82" i="1"/>
  <c r="T81" i="1"/>
  <c r="H75" i="1"/>
  <c r="L75" i="1" s="1"/>
  <c r="T71" i="1"/>
  <c r="T70" i="1"/>
  <c r="R70" i="1" s="1"/>
  <c r="T66" i="1"/>
  <c r="R66" i="1" s="1"/>
  <c r="T65" i="1"/>
  <c r="X65" i="1" s="1"/>
  <c r="T63" i="1"/>
  <c r="X63" i="1" s="1"/>
  <c r="P67" i="1"/>
  <c r="P58" i="1"/>
  <c r="P73" i="1" s="1"/>
  <c r="H58" i="1"/>
  <c r="H73" i="1" s="1"/>
  <c r="P76" i="1"/>
  <c r="T57" i="1"/>
  <c r="T56" i="1"/>
  <c r="R56" i="1" s="1"/>
  <c r="H76" i="1"/>
  <c r="L76" i="1" s="1"/>
  <c r="T53" i="1"/>
  <c r="R53" i="1" s="1"/>
  <c r="T51" i="1"/>
  <c r="R51" i="1" s="1"/>
  <c r="T50" i="1"/>
  <c r="P75" i="1"/>
  <c r="H44" i="1"/>
  <c r="X40" i="1"/>
  <c r="T39" i="1"/>
  <c r="X39" i="1" s="1"/>
  <c r="P36" i="1"/>
  <c r="H36" i="1"/>
  <c r="T35" i="1"/>
  <c r="X35" i="1" s="1"/>
  <c r="T34" i="1"/>
  <c r="R34" i="1" s="1"/>
  <c r="T32" i="1"/>
  <c r="R32" i="1" s="1"/>
  <c r="T31" i="1"/>
  <c r="R31" i="1" s="1"/>
  <c r="T26" i="1"/>
  <c r="X26" i="1" s="1"/>
  <c r="R26" i="1"/>
  <c r="T25" i="1"/>
  <c r="X25" i="1" s="1"/>
  <c r="H45" i="1"/>
  <c r="L45" i="1" s="1"/>
  <c r="B22" i="1"/>
  <c r="P45" i="1"/>
  <c r="T20" i="1"/>
  <c r="R20" i="1" s="1"/>
  <c r="B20" i="1"/>
  <c r="R27" i="2" l="1"/>
  <c r="R78" i="2"/>
  <c r="T19" i="2"/>
  <c r="R35" i="2"/>
  <c r="H57" i="2"/>
  <c r="R38" i="2"/>
  <c r="X28" i="2"/>
  <c r="R17" i="2"/>
  <c r="R19" i="2" s="1"/>
  <c r="R25" i="2"/>
  <c r="R79" i="2"/>
  <c r="X85" i="2"/>
  <c r="X106" i="2"/>
  <c r="X41" i="2"/>
  <c r="R96" i="2"/>
  <c r="R65" i="1"/>
  <c r="R85" i="1"/>
  <c r="P344" i="1"/>
  <c r="X20" i="1"/>
  <c r="R273" i="1"/>
  <c r="X31" i="1"/>
  <c r="R139" i="1"/>
  <c r="X327" i="1"/>
  <c r="X171" i="1"/>
  <c r="X34" i="1"/>
  <c r="X56" i="1"/>
  <c r="X70" i="1"/>
  <c r="R237" i="1"/>
  <c r="T259" i="1"/>
  <c r="X259" i="1" s="1"/>
  <c r="R253" i="1"/>
  <c r="X53" i="1"/>
  <c r="R298" i="1"/>
  <c r="R315" i="1"/>
  <c r="X75" i="2"/>
  <c r="R75" i="2"/>
  <c r="R98" i="2"/>
  <c r="X98" i="2"/>
  <c r="R81" i="2"/>
  <c r="X81" i="2"/>
  <c r="V19" i="2"/>
  <c r="Z19" i="2" s="1"/>
  <c r="X29" i="2"/>
  <c r="R29" i="2"/>
  <c r="X74" i="2"/>
  <c r="T90" i="2"/>
  <c r="R74" i="2"/>
  <c r="X33" i="2"/>
  <c r="R33" i="2"/>
  <c r="X77" i="2"/>
  <c r="R77" i="2"/>
  <c r="N90" i="2"/>
  <c r="R40" i="2"/>
  <c r="X40" i="2"/>
  <c r="N57" i="2"/>
  <c r="L57" i="2"/>
  <c r="R84" i="2"/>
  <c r="X84" i="2"/>
  <c r="T47" i="2"/>
  <c r="X94" i="2"/>
  <c r="R94" i="2"/>
  <c r="T101" i="2"/>
  <c r="X32" i="2"/>
  <c r="R32" i="2"/>
  <c r="X42" i="2"/>
  <c r="R42" i="2"/>
  <c r="R99" i="2"/>
  <c r="X99" i="2"/>
  <c r="L47" i="2"/>
  <c r="J110" i="2"/>
  <c r="P19" i="2"/>
  <c r="N19" i="2" s="1"/>
  <c r="X26" i="2"/>
  <c r="X39" i="2"/>
  <c r="N47" i="2"/>
  <c r="R51" i="2"/>
  <c r="X53" i="2"/>
  <c r="L90" i="2"/>
  <c r="R24" i="2"/>
  <c r="T55" i="2"/>
  <c r="X80" i="2"/>
  <c r="X83" i="2"/>
  <c r="R88" i="2"/>
  <c r="X97" i="2"/>
  <c r="V106" i="2"/>
  <c r="Z106" i="2" s="1"/>
  <c r="X15" i="2"/>
  <c r="X24" i="2"/>
  <c r="R50" i="2"/>
  <c r="B25" i="2"/>
  <c r="L101" i="2"/>
  <c r="R45" i="1"/>
  <c r="R109" i="1"/>
  <c r="X109" i="1"/>
  <c r="R88" i="1"/>
  <c r="R90" i="1" s="1"/>
  <c r="T90" i="1"/>
  <c r="X138" i="1"/>
  <c r="R138" i="1"/>
  <c r="R40" i="1"/>
  <c r="J348" i="1"/>
  <c r="L44" i="1"/>
  <c r="X51" i="1"/>
  <c r="H67" i="1"/>
  <c r="T62" i="1"/>
  <c r="N75" i="1"/>
  <c r="H106" i="1"/>
  <c r="N115" i="1"/>
  <c r="T189" i="1"/>
  <c r="X168" i="1"/>
  <c r="T187" i="1"/>
  <c r="R168" i="1"/>
  <c r="X177" i="1"/>
  <c r="R177" i="1"/>
  <c r="R198" i="1"/>
  <c r="X198" i="1"/>
  <c r="X217" i="1"/>
  <c r="R217" i="1"/>
  <c r="R316" i="1"/>
  <c r="X316" i="1"/>
  <c r="N344" i="1"/>
  <c r="P27" i="1"/>
  <c r="P42" i="1" s="1"/>
  <c r="N42" i="1" s="1"/>
  <c r="T36" i="1"/>
  <c r="R50" i="1"/>
  <c r="X81" i="1"/>
  <c r="R81" i="1"/>
  <c r="P106" i="1"/>
  <c r="R120" i="1"/>
  <c r="X120" i="1"/>
  <c r="R140" i="1"/>
  <c r="X140" i="1"/>
  <c r="T19" i="1"/>
  <c r="X57" i="1"/>
  <c r="R57" i="1"/>
  <c r="X66" i="1"/>
  <c r="T75" i="1"/>
  <c r="N76" i="1"/>
  <c r="P97" i="1"/>
  <c r="H95" i="1"/>
  <c r="T93" i="1"/>
  <c r="X105" i="1"/>
  <c r="H144" i="1"/>
  <c r="H146" i="1"/>
  <c r="L146" i="1" s="1"/>
  <c r="P144" i="1"/>
  <c r="P146" i="1" s="1"/>
  <c r="X71" i="1"/>
  <c r="R71" i="1"/>
  <c r="R127" i="1"/>
  <c r="R178" i="1"/>
  <c r="X178" i="1"/>
  <c r="R185" i="1"/>
  <c r="X185" i="1"/>
  <c r="T23" i="1"/>
  <c r="R35" i="1"/>
  <c r="R36" i="1" s="1"/>
  <c r="R39" i="1"/>
  <c r="X50" i="1"/>
  <c r="X82" i="1"/>
  <c r="R82" i="1"/>
  <c r="R115" i="1" s="1"/>
  <c r="X102" i="1"/>
  <c r="R102" i="1"/>
  <c r="R105" i="1"/>
  <c r="T127" i="1"/>
  <c r="T144" i="1"/>
  <c r="P157" i="1"/>
  <c r="P163" i="1" s="1"/>
  <c r="R156" i="1"/>
  <c r="R190" i="1"/>
  <c r="R218" i="1"/>
  <c r="X218" i="1"/>
  <c r="N73" i="1"/>
  <c r="L73" i="1"/>
  <c r="X104" i="1"/>
  <c r="R104" i="1"/>
  <c r="R181" i="1"/>
  <c r="X181" i="1"/>
  <c r="P115" i="1"/>
  <c r="X169" i="1"/>
  <c r="R169" i="1"/>
  <c r="T190" i="1"/>
  <c r="R222" i="1"/>
  <c r="X222" i="1"/>
  <c r="X276" i="1"/>
  <c r="R276" i="1"/>
  <c r="H27" i="1"/>
  <c r="H42" i="1" s="1"/>
  <c r="L42" i="1" s="1"/>
  <c r="T22" i="1"/>
  <c r="X32" i="1"/>
  <c r="B23" i="1"/>
  <c r="R25" i="1"/>
  <c r="R63" i="1"/>
  <c r="X129" i="1"/>
  <c r="R129" i="1"/>
  <c r="R172" i="1"/>
  <c r="X172" i="1"/>
  <c r="P227" i="1"/>
  <c r="R204" i="1"/>
  <c r="L320" i="1"/>
  <c r="R195" i="1"/>
  <c r="X201" i="1"/>
  <c r="R201" i="1"/>
  <c r="R240" i="1"/>
  <c r="X240" i="1"/>
  <c r="X249" i="1"/>
  <c r="R249" i="1"/>
  <c r="N259" i="1"/>
  <c r="R336" i="1"/>
  <c r="X336" i="1"/>
  <c r="T84" i="1"/>
  <c r="T114" i="1" s="1"/>
  <c r="P114" i="1"/>
  <c r="H157" i="1"/>
  <c r="T155" i="1"/>
  <c r="R184" i="1"/>
  <c r="P189" i="1"/>
  <c r="N189" i="1" s="1"/>
  <c r="X204" i="1"/>
  <c r="H258" i="1"/>
  <c r="L258" i="1" s="1"/>
  <c r="H241" i="1"/>
  <c r="H256" i="1" s="1"/>
  <c r="L256" i="1" s="1"/>
  <c r="T236" i="1"/>
  <c r="T241" i="1" s="1"/>
  <c r="X246" i="1"/>
  <c r="R246" i="1"/>
  <c r="X271" i="1"/>
  <c r="R271" i="1"/>
  <c r="X311" i="1"/>
  <c r="R311" i="1"/>
  <c r="T321" i="1"/>
  <c r="X338" i="1"/>
  <c r="H97" i="1"/>
  <c r="H112" i="1" s="1"/>
  <c r="L112" i="1" s="1"/>
  <c r="X136" i="1"/>
  <c r="X195" i="1"/>
  <c r="X215" i="1"/>
  <c r="X233" i="1"/>
  <c r="R233" i="1"/>
  <c r="R265" i="1"/>
  <c r="X265" i="1"/>
  <c r="X284" i="1"/>
  <c r="R284" i="1"/>
  <c r="X294" i="1"/>
  <c r="R294" i="1"/>
  <c r="X308" i="1"/>
  <c r="R308" i="1"/>
  <c r="R326" i="1"/>
  <c r="T331" i="1"/>
  <c r="X326" i="1"/>
  <c r="T342" i="1"/>
  <c r="P44" i="1"/>
  <c r="N44" i="1" s="1"/>
  <c r="J349" i="1"/>
  <c r="N187" i="1"/>
  <c r="L190" i="1"/>
  <c r="X202" i="1"/>
  <c r="R202" i="1"/>
  <c r="P241" i="1"/>
  <c r="P256" i="1" s="1"/>
  <c r="R239" i="1"/>
  <c r="X269" i="1"/>
  <c r="R277" i="1"/>
  <c r="X277" i="1"/>
  <c r="P303" i="1"/>
  <c r="P318" i="1" s="1"/>
  <c r="X297" i="1"/>
  <c r="X329" i="1"/>
  <c r="R329" i="1"/>
  <c r="R334" i="1"/>
  <c r="T101" i="1"/>
  <c r="P228" i="1"/>
  <c r="N228" i="1" s="1"/>
  <c r="H219" i="1"/>
  <c r="T214" i="1"/>
  <c r="X223" i="1"/>
  <c r="R223" i="1"/>
  <c r="R254" i="1"/>
  <c r="X254" i="1"/>
  <c r="T266" i="1"/>
  <c r="X272" i="1"/>
  <c r="R272" i="1"/>
  <c r="X281" i="1"/>
  <c r="R300" i="1"/>
  <c r="X300" i="1"/>
  <c r="J346" i="1"/>
  <c r="N45" i="1"/>
  <c r="T54" i="1"/>
  <c r="T58" i="1" s="1"/>
  <c r="T121" i="1"/>
  <c r="R121" i="1" s="1"/>
  <c r="P190" i="1"/>
  <c r="X180" i="1"/>
  <c r="R196" i="1"/>
  <c r="R205" i="1"/>
  <c r="P219" i="1"/>
  <c r="P225" i="1" s="1"/>
  <c r="X248" i="1"/>
  <c r="R248" i="1"/>
  <c r="X270" i="1"/>
  <c r="R270" i="1"/>
  <c r="T280" i="1"/>
  <c r="X295" i="1"/>
  <c r="R295" i="1"/>
  <c r="H312" i="1"/>
  <c r="X337" i="1"/>
  <c r="R189" i="1"/>
  <c r="X234" i="1"/>
  <c r="R234" i="1"/>
  <c r="X283" i="1"/>
  <c r="R283" i="1"/>
  <c r="L286" i="1"/>
  <c r="P321" i="1"/>
  <c r="N321" i="1" s="1"/>
  <c r="T301" i="1"/>
  <c r="X310" i="1"/>
  <c r="R310" i="1"/>
  <c r="P258" i="1"/>
  <c r="P320" i="1"/>
  <c r="N320" i="1" s="1"/>
  <c r="H187" i="1"/>
  <c r="L187" i="1" s="1"/>
  <c r="H227" i="1"/>
  <c r="L227" i="1" s="1"/>
  <c r="L259" i="1"/>
  <c r="P286" i="1"/>
  <c r="N286" i="1" s="1"/>
  <c r="L321" i="1"/>
  <c r="T199" i="1"/>
  <c r="T228" i="1" s="1"/>
  <c r="H206" i="1"/>
  <c r="H225" i="1" s="1"/>
  <c r="L225" i="1" s="1"/>
  <c r="T245" i="1"/>
  <c r="T307" i="1"/>
  <c r="T320" i="1" s="1"/>
  <c r="L318" i="1"/>
  <c r="N110" i="2" l="1"/>
  <c r="R90" i="2"/>
  <c r="T76" i="1"/>
  <c r="R76" i="1"/>
  <c r="P112" i="1"/>
  <c r="N112" i="1" s="1"/>
  <c r="T133" i="1"/>
  <c r="R144" i="1"/>
  <c r="V259" i="1"/>
  <c r="Z259" i="1" s="1"/>
  <c r="X55" i="2"/>
  <c r="V55" i="2"/>
  <c r="Z55" i="2" s="1"/>
  <c r="X90" i="2"/>
  <c r="V90" i="2"/>
  <c r="Z90" i="2" s="1"/>
  <c r="R47" i="2"/>
  <c r="B26" i="2"/>
  <c r="X101" i="2"/>
  <c r="V101" i="2"/>
  <c r="Z101" i="2" s="1"/>
  <c r="R101" i="2"/>
  <c r="T57" i="2"/>
  <c r="T110" i="2" s="1"/>
  <c r="X47" i="2"/>
  <c r="V47" i="2"/>
  <c r="Z47" i="2" s="1"/>
  <c r="R55" i="2"/>
  <c r="X19" i="2"/>
  <c r="P110" i="2"/>
  <c r="P346" i="1"/>
  <c r="X228" i="1"/>
  <c r="V228" i="1"/>
  <c r="Z228" i="1" s="1"/>
  <c r="N146" i="1"/>
  <c r="N349" i="1" s="1"/>
  <c r="P349" i="1"/>
  <c r="X114" i="1"/>
  <c r="V114" i="1"/>
  <c r="Z114" i="1" s="1"/>
  <c r="N225" i="1"/>
  <c r="N163" i="1"/>
  <c r="X236" i="1"/>
  <c r="R236" i="1"/>
  <c r="R241" i="1" s="1"/>
  <c r="R256" i="1" s="1"/>
  <c r="T73" i="1"/>
  <c r="X58" i="1"/>
  <c r="V58" i="1"/>
  <c r="T44" i="1"/>
  <c r="R19" i="1"/>
  <c r="X19" i="1"/>
  <c r="T27" i="1"/>
  <c r="R133" i="1"/>
  <c r="R146" i="1" s="1"/>
  <c r="R280" i="1"/>
  <c r="R288" i="1" s="1"/>
  <c r="X280" i="1"/>
  <c r="R54" i="1"/>
  <c r="R58" i="1" s="1"/>
  <c r="R73" i="1" s="1"/>
  <c r="X54" i="1"/>
  <c r="R266" i="1"/>
  <c r="R289" i="1" s="1"/>
  <c r="T289" i="1"/>
  <c r="X266" i="1"/>
  <c r="T219" i="1"/>
  <c r="X214" i="1"/>
  <c r="R214" i="1"/>
  <c r="R219" i="1" s="1"/>
  <c r="T286" i="1"/>
  <c r="T157" i="1"/>
  <c r="R155" i="1"/>
  <c r="R157" i="1" s="1"/>
  <c r="R163" i="1" s="1"/>
  <c r="R44" i="1"/>
  <c r="X23" i="1"/>
  <c r="R23" i="1"/>
  <c r="T45" i="1"/>
  <c r="X36" i="1"/>
  <c r="V36" i="1"/>
  <c r="R75" i="1"/>
  <c r="P348" i="1"/>
  <c r="X320" i="1"/>
  <c r="V320" i="1"/>
  <c r="Z320" i="1" s="1"/>
  <c r="X144" i="1"/>
  <c r="V144" i="1"/>
  <c r="X75" i="1"/>
  <c r="V75" i="1"/>
  <c r="Z75" i="1" s="1"/>
  <c r="N318" i="1"/>
  <c r="R114" i="1"/>
  <c r="R187" i="1"/>
  <c r="R307" i="1"/>
  <c r="R312" i="1" s="1"/>
  <c r="T312" i="1"/>
  <c r="X307" i="1"/>
  <c r="N258" i="1"/>
  <c r="N227" i="1"/>
  <c r="N114" i="1"/>
  <c r="T227" i="1"/>
  <c r="T288" i="1"/>
  <c r="X127" i="1"/>
  <c r="V127" i="1"/>
  <c r="B25" i="1"/>
  <c r="X187" i="1"/>
  <c r="V187" i="1"/>
  <c r="Z187" i="1" s="1"/>
  <c r="T67" i="1"/>
  <c r="X62" i="1"/>
  <c r="R62" i="1"/>
  <c r="R67" i="1" s="1"/>
  <c r="X190" i="1"/>
  <c r="V190" i="1"/>
  <c r="Z190" i="1" s="1"/>
  <c r="X342" i="1"/>
  <c r="V342" i="1"/>
  <c r="R245" i="1"/>
  <c r="R250" i="1" s="1"/>
  <c r="T250" i="1"/>
  <c r="T256" i="1" s="1"/>
  <c r="X245" i="1"/>
  <c r="R301" i="1"/>
  <c r="R303" i="1" s="1"/>
  <c r="R318" i="1" s="1"/>
  <c r="X301" i="1"/>
  <c r="N256" i="1"/>
  <c r="X101" i="1"/>
  <c r="R101" i="1"/>
  <c r="R106" i="1" s="1"/>
  <c r="T106" i="1"/>
  <c r="N190" i="1"/>
  <c r="X331" i="1"/>
  <c r="V331" i="1"/>
  <c r="T344" i="1"/>
  <c r="T303" i="1"/>
  <c r="X84" i="1"/>
  <c r="R84" i="1"/>
  <c r="R97" i="1" s="1"/>
  <c r="R112" i="1" s="1"/>
  <c r="R206" i="1"/>
  <c r="R227" i="1"/>
  <c r="X22" i="1"/>
  <c r="R22" i="1"/>
  <c r="X199" i="1"/>
  <c r="R199" i="1"/>
  <c r="R228" i="1" s="1"/>
  <c r="X241" i="1"/>
  <c r="V241" i="1"/>
  <c r="X133" i="1"/>
  <c r="V133" i="1"/>
  <c r="T146" i="1"/>
  <c r="T206" i="1"/>
  <c r="R259" i="1"/>
  <c r="R342" i="1"/>
  <c r="R331" i="1"/>
  <c r="T258" i="1"/>
  <c r="T97" i="1"/>
  <c r="X189" i="1"/>
  <c r="V189" i="1"/>
  <c r="Z189" i="1" s="1"/>
  <c r="X321" i="1"/>
  <c r="V321" i="1"/>
  <c r="Z321" i="1" s="1"/>
  <c r="T95" i="1"/>
  <c r="R93" i="1"/>
  <c r="X76" i="1"/>
  <c r="V76" i="1"/>
  <c r="Z76" i="1" s="1"/>
  <c r="X90" i="1"/>
  <c r="V90" i="1"/>
  <c r="R57" i="2" l="1"/>
  <c r="R258" i="1"/>
  <c r="N348" i="1"/>
  <c r="R225" i="1"/>
  <c r="N346" i="1"/>
  <c r="R321" i="1"/>
  <c r="B27" i="2"/>
  <c r="B28" i="2" s="1"/>
  <c r="V57" i="2"/>
  <c r="Z57" i="2" s="1"/>
  <c r="X57" i="2"/>
  <c r="R110" i="2"/>
  <c r="R286" i="1"/>
  <c r="X146" i="1"/>
  <c r="V146" i="1"/>
  <c r="Z146" i="1" s="1"/>
  <c r="X157" i="1"/>
  <c r="V157" i="1"/>
  <c r="T163" i="1"/>
  <c r="T348" i="1" s="1"/>
  <c r="X289" i="1"/>
  <c r="V289" i="1"/>
  <c r="Z289" i="1" s="1"/>
  <c r="X288" i="1"/>
  <c r="V288" i="1"/>
  <c r="Z288" i="1" s="1"/>
  <c r="V286" i="1"/>
  <c r="Z286" i="1" s="1"/>
  <c r="X286" i="1"/>
  <c r="R27" i="1"/>
  <c r="R42" i="1" s="1"/>
  <c r="T225" i="1"/>
  <c r="X206" i="1"/>
  <c r="V206" i="1"/>
  <c r="X344" i="1"/>
  <c r="V344" i="1"/>
  <c r="Z344" i="1" s="1"/>
  <c r="R320" i="1"/>
  <c r="R348" i="1" s="1"/>
  <c r="X44" i="1"/>
  <c r="V44" i="1"/>
  <c r="Z44" i="1" s="1"/>
  <c r="X95" i="1"/>
  <c r="V95" i="1"/>
  <c r="T115" i="1"/>
  <c r="T349" i="1" s="1"/>
  <c r="X258" i="1"/>
  <c r="V258" i="1"/>
  <c r="Z258" i="1" s="1"/>
  <c r="X106" i="1"/>
  <c r="V106" i="1"/>
  <c r="X250" i="1"/>
  <c r="V250" i="1"/>
  <c r="X227" i="1"/>
  <c r="V227" i="1"/>
  <c r="Z227" i="1" s="1"/>
  <c r="X27" i="1"/>
  <c r="V27" i="1"/>
  <c r="T42" i="1"/>
  <c r="V97" i="1"/>
  <c r="X97" i="1"/>
  <c r="T112" i="1"/>
  <c r="R344" i="1"/>
  <c r="X312" i="1"/>
  <c r="V312" i="1"/>
  <c r="X256" i="1"/>
  <c r="V256" i="1"/>
  <c r="Z256" i="1" s="1"/>
  <c r="V45" i="1"/>
  <c r="Z45" i="1" s="1"/>
  <c r="X45" i="1"/>
  <c r="V73" i="1"/>
  <c r="Z73" i="1" s="1"/>
  <c r="X73" i="1"/>
  <c r="V303" i="1"/>
  <c r="T318" i="1"/>
  <c r="X303" i="1"/>
  <c r="X67" i="1"/>
  <c r="V67" i="1"/>
  <c r="B26" i="1"/>
  <c r="X219" i="1"/>
  <c r="V219" i="1"/>
  <c r="T346" i="1" l="1"/>
  <c r="R346" i="1"/>
  <c r="B29" i="2"/>
  <c r="X42" i="1"/>
  <c r="V42" i="1"/>
  <c r="Z42" i="1" s="1"/>
  <c r="X163" i="1"/>
  <c r="V163" i="1"/>
  <c r="Z163" i="1" s="1"/>
  <c r="X318" i="1"/>
  <c r="V318" i="1"/>
  <c r="Z318" i="1" s="1"/>
  <c r="B27" i="1"/>
  <c r="B31" i="1" s="1"/>
  <c r="X115" i="1"/>
  <c r="V115" i="1"/>
  <c r="Z115" i="1" s="1"/>
  <c r="X225" i="1"/>
  <c r="V225" i="1"/>
  <c r="Z225" i="1" s="1"/>
  <c r="X112" i="1"/>
  <c r="V112" i="1"/>
  <c r="Z112" i="1" s="1"/>
  <c r="R349" i="1"/>
  <c r="B32" i="2" l="1"/>
  <c r="B32" i="1"/>
  <c r="B34" i="1"/>
  <c r="B33" i="2" l="1"/>
  <c r="B35" i="1"/>
  <c r="B35" i="2" l="1"/>
  <c r="B36" i="1"/>
  <c r="B39" i="1" s="1"/>
  <c r="B40" i="1" s="1"/>
  <c r="B42" i="1" s="1"/>
  <c r="B44" i="1" s="1"/>
  <c r="B45" i="1" s="1"/>
  <c r="B50" i="1" s="1"/>
  <c r="B51" i="1" s="1"/>
  <c r="B53" i="1" s="1"/>
  <c r="B54" i="1" s="1"/>
  <c r="B56" i="1" s="1"/>
  <c r="B57" i="1" s="1"/>
  <c r="B58" i="1" s="1"/>
  <c r="B62" i="1" s="1"/>
  <c r="B63" i="1" s="1"/>
  <c r="B65" i="1" s="1"/>
  <c r="B66" i="1" s="1"/>
  <c r="B67" i="1" s="1"/>
  <c r="B70" i="1" s="1"/>
  <c r="B71" i="1" s="1"/>
  <c r="B73" i="1" s="1"/>
  <c r="B75" i="1" s="1"/>
  <c r="B76" i="1" s="1"/>
  <c r="B81" i="1" s="1"/>
  <c r="B82" i="1" s="1"/>
  <c r="B84" i="1" s="1"/>
  <c r="B85" i="1" s="1"/>
  <c r="B88" i="1" s="1"/>
  <c r="B89" i="1" s="1"/>
  <c r="B90" i="1" s="1"/>
  <c r="B93" i="1" s="1"/>
  <c r="B94" i="1" s="1"/>
  <c r="B95" i="1" s="1"/>
  <c r="B97" i="1" s="1"/>
  <c r="B101" i="1" s="1"/>
  <c r="B102" i="1" s="1"/>
  <c r="B104" i="1" s="1"/>
  <c r="B105" i="1" s="1"/>
  <c r="B106" i="1" s="1"/>
  <c r="B109" i="1" s="1"/>
  <c r="B110" i="1" s="1"/>
  <c r="B112" i="1" s="1"/>
  <c r="B114" i="1" s="1"/>
  <c r="B115" i="1" s="1"/>
  <c r="B120" i="1" s="1"/>
  <c r="B121" i="1" s="1"/>
  <c r="B122" i="1" s="1"/>
  <c r="B124" i="1" s="1"/>
  <c r="B125" i="1" s="1"/>
  <c r="B126" i="1" s="1"/>
  <c r="B127" i="1" s="1"/>
  <c r="B129" i="1" s="1"/>
  <c r="B130" i="1" s="1"/>
  <c r="B131" i="1" s="1"/>
  <c r="B133" i="1" s="1"/>
  <c r="B136" i="1" s="1"/>
  <c r="B138" i="1" s="1"/>
  <c r="B139" i="1" s="1"/>
  <c r="B140" i="1" s="1"/>
  <c r="B141" i="1" s="1"/>
  <c r="B142" i="1" s="1"/>
  <c r="B144" i="1" s="1"/>
  <c r="B146" i="1" s="1"/>
  <c r="B150" i="1" s="1"/>
  <c r="B152" i="1" s="1"/>
  <c r="B155" i="1" s="1"/>
  <c r="B156" i="1" s="1"/>
  <c r="B157" i="1" s="1"/>
  <c r="B159" i="1" s="1"/>
  <c r="B161" i="1" s="1"/>
  <c r="B38" i="2" l="1"/>
  <c r="B163" i="1"/>
  <c r="B168" i="1" s="1"/>
  <c r="B169" i="1" s="1"/>
  <c r="B171" i="1" s="1"/>
  <c r="B172" i="1" s="1"/>
  <c r="B174" i="1" s="1"/>
  <c r="B175" i="1" s="1"/>
  <c r="B177" i="1" s="1"/>
  <c r="B178" i="1" s="1"/>
  <c r="B180" i="1" s="1"/>
  <c r="B181" i="1" s="1"/>
  <c r="B183" i="1" s="1"/>
  <c r="B184" i="1" s="1"/>
  <c r="B185" i="1" s="1"/>
  <c r="B187" i="1" s="1"/>
  <c r="B189" i="1" s="1"/>
  <c r="B190" i="1" s="1"/>
  <c r="B195" i="1" s="1"/>
  <c r="B196" i="1" s="1"/>
  <c r="B198" i="1" s="1"/>
  <c r="B199" i="1" s="1"/>
  <c r="B201" i="1" s="1"/>
  <c r="B202" i="1" s="1"/>
  <c r="B204" i="1" s="1"/>
  <c r="B205" i="1" s="1"/>
  <c r="B206" i="1" s="1"/>
  <c r="B209" i="1" s="1"/>
  <c r="B210" i="1" s="1"/>
  <c r="B214" i="1" s="1"/>
  <c r="B215" i="1" s="1"/>
  <c r="B217" i="1" s="1"/>
  <c r="B218" i="1" s="1"/>
  <c r="B219" i="1" s="1"/>
  <c r="B222" i="1" s="1"/>
  <c r="B223" i="1" s="1"/>
  <c r="B225" i="1" s="1"/>
  <c r="B227" i="1" s="1"/>
  <c r="B228" i="1" s="1"/>
  <c r="B233" i="1" s="1"/>
  <c r="B234" i="1" s="1"/>
  <c r="B236" i="1" s="1"/>
  <c r="B237" i="1" s="1"/>
  <c r="B239" i="1" s="1"/>
  <c r="B240" i="1" s="1"/>
  <c r="B241" i="1" s="1"/>
  <c r="B245" i="1" s="1"/>
  <c r="B246" i="1" s="1"/>
  <c r="B248" i="1" s="1"/>
  <c r="B249" i="1" s="1"/>
  <c r="B250" i="1" s="1"/>
  <c r="B253" i="1" s="1"/>
  <c r="B254" i="1" s="1"/>
  <c r="B256" i="1" s="1"/>
  <c r="B258" i="1" s="1"/>
  <c r="B259" i="1" s="1"/>
  <c r="B265" i="1" s="1"/>
  <c r="B266" i="1" s="1"/>
  <c r="B269" i="1" s="1"/>
  <c r="B270" i="1" s="1"/>
  <c r="B271" i="1" s="1"/>
  <c r="B272" i="1" s="1"/>
  <c r="B273" i="1" s="1"/>
  <c r="B276" i="1" s="1"/>
  <c r="B277" i="1" s="1"/>
  <c r="B280" i="1" s="1"/>
  <c r="B281" i="1" s="1"/>
  <c r="B283" i="1" s="1"/>
  <c r="B284" i="1" s="1"/>
  <c r="B286" i="1" s="1"/>
  <c r="B288" i="1" s="1"/>
  <c r="B289" i="1" s="1"/>
  <c r="B294" i="1" s="1"/>
  <c r="B295" i="1" s="1"/>
  <c r="B297" i="1" s="1"/>
  <c r="B298" i="1" s="1"/>
  <c r="B300" i="1" s="1"/>
  <c r="B301" i="1" s="1"/>
  <c r="B303" i="1" s="1"/>
  <c r="B306" i="1" s="1"/>
  <c r="B307" i="1" s="1"/>
  <c r="B308" i="1" s="1"/>
  <c r="B310" i="1" s="1"/>
  <c r="B311" i="1" s="1"/>
  <c r="B312" i="1" s="1"/>
  <c r="B315" i="1" s="1"/>
  <c r="B316" i="1" s="1"/>
  <c r="B318" i="1" s="1"/>
  <c r="B320" i="1" s="1"/>
  <c r="B321" i="1" s="1"/>
  <c r="B326" i="1" s="1"/>
  <c r="B327" i="1" s="1"/>
  <c r="B328" i="1" s="1"/>
  <c r="B329" i="1" s="1"/>
  <c r="B331" i="1" s="1"/>
  <c r="B334" i="1" s="1"/>
  <c r="B336" i="1" s="1"/>
  <c r="B337" i="1" s="1"/>
  <c r="B338" i="1" s="1"/>
  <c r="B339" i="1" s="1"/>
  <c r="B340" i="1" s="1"/>
  <c r="B342" i="1" s="1"/>
  <c r="B344" i="1" s="1"/>
  <c r="B346" i="1" s="1"/>
  <c r="B348" i="1" s="1"/>
  <c r="B349" i="1" s="1"/>
  <c r="B39" i="2" l="1"/>
  <c r="B40" i="2" l="1"/>
  <c r="B41" i="2" s="1"/>
  <c r="B42" i="2" s="1"/>
  <c r="B43" i="2" s="1"/>
  <c r="B44" i="2" s="1"/>
  <c r="B45" i="2" s="1"/>
  <c r="B47" i="2" s="1"/>
  <c r="B50" i="2" s="1"/>
  <c r="B51" i="2" s="1"/>
  <c r="B53" i="2" s="1"/>
  <c r="B55" i="2" s="1"/>
  <c r="B57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7" i="2" s="1"/>
  <c r="B88" i="2" s="1"/>
  <c r="B90" i="2" s="1"/>
  <c r="B94" i="2" s="1"/>
  <c r="B95" i="2" s="1"/>
  <c r="B96" i="2" s="1"/>
  <c r="B97" i="2" s="1"/>
  <c r="B98" i="2" s="1"/>
  <c r="B99" i="2" s="1"/>
  <c r="B101" i="2" s="1"/>
  <c r="B104" i="2" s="1"/>
  <c r="B106" i="2" s="1"/>
  <c r="B108" i="2" s="1"/>
  <c r="B110" i="2" s="1"/>
  <c r="B112" i="2" s="1"/>
</calcChain>
</file>

<file path=xl/sharedStrings.xml><?xml version="1.0" encoding="utf-8"?>
<sst xmlns="http://schemas.openxmlformats.org/spreadsheetml/2006/main" count="613" uniqueCount="193">
  <si>
    <t>Derivation of Proposed Rates and Revenue by Rate Class - Two Rate Zones - With One Rate Zone Distribution</t>
  </si>
  <si>
    <t>In-franchise</t>
  </si>
  <si>
    <t>Current Approved</t>
  </si>
  <si>
    <t>Proposed</t>
  </si>
  <si>
    <t>Line</t>
  </si>
  <si>
    <t>Billing</t>
  </si>
  <si>
    <t xml:space="preserve">2024 
Forecast </t>
  </si>
  <si>
    <t>Revenue</t>
  </si>
  <si>
    <t>Rates</t>
  </si>
  <si>
    <t>Revenue (Deficiency) / Sufficiency</t>
  </si>
  <si>
    <t>Revenue Requirement (1)</t>
  </si>
  <si>
    <t>Revenue (Deficiency) / Sufficiency (2)</t>
  </si>
  <si>
    <t>Revenue-
to-Cost</t>
  </si>
  <si>
    <t>Rate 
Change</t>
  </si>
  <si>
    <t>No.</t>
  </si>
  <si>
    <t>Particulars</t>
  </si>
  <si>
    <t>Units</t>
  </si>
  <si>
    <t>Usage</t>
  </si>
  <si>
    <t>($000s)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</si>
  <si>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</si>
  <si>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Ratios</t>
  </si>
  <si>
    <t>(%)</t>
  </si>
  <si>
    <t>(a)</t>
  </si>
  <si>
    <t>(b)</t>
  </si>
  <si>
    <t xml:space="preserve">(c) </t>
  </si>
  <si>
    <t>(d) = (b - e)</t>
  </si>
  <si>
    <t>(e)</t>
  </si>
  <si>
    <t>(f) = (g - e)</t>
  </si>
  <si>
    <t>(g)</t>
  </si>
  <si>
    <t>(h)</t>
  </si>
  <si>
    <t>(i) = (g / e)</t>
  </si>
  <si>
    <t>(j) = (h - c) / (c)</t>
  </si>
  <si>
    <t>Rate E01</t>
  </si>
  <si>
    <t>Monthly Customer Charge</t>
  </si>
  <si>
    <t>North</t>
  </si>
  <si>
    <t>bills</t>
  </si>
  <si>
    <t xml:space="preserve">South </t>
  </si>
  <si>
    <t>Delivery Commodity Charge</t>
  </si>
  <si>
    <t>10³m³</t>
  </si>
  <si>
    <t>Delivery Demand Charge</t>
  </si>
  <si>
    <t>10³m³/d</t>
  </si>
  <si>
    <t>Total Delivery</t>
  </si>
  <si>
    <t>Gas Supply Transportation Charge</t>
  </si>
  <si>
    <t>Transportation</t>
  </si>
  <si>
    <t>Transportation - Western</t>
  </si>
  <si>
    <t xml:space="preserve"> </t>
  </si>
  <si>
    <t>Gas Supply Commodity Charge</t>
  </si>
  <si>
    <t>Total Rate E01</t>
  </si>
  <si>
    <t>Total Rate E01 - North</t>
  </si>
  <si>
    <t>Total Rate E01 - South</t>
  </si>
  <si>
    <t>Rate E02</t>
  </si>
  <si>
    <t>Total Rate E02</t>
  </si>
  <si>
    <t>Total Rate E02 - North</t>
  </si>
  <si>
    <t>Total Rate E02 - South</t>
  </si>
  <si>
    <t>Rate E10</t>
  </si>
  <si>
    <t>Delivery Demand Charge - North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</si>
  <si>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</si>
  <si>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</si>
  <si>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t>Delivery Demand Charge - South</t>
  </si>
  <si>
    <t>Total Rate E10</t>
  </si>
  <si>
    <t>Total Rate E10 - North</t>
  </si>
  <si>
    <t>Total Rate E10 - South</t>
  </si>
  <si>
    <t>Rate E20</t>
  </si>
  <si>
    <t>Transportation Commodity</t>
  </si>
  <si>
    <t>Customer Supplied Fuel - Transportation</t>
  </si>
  <si>
    <t>Transportation Demand Charge - Firm</t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</si>
  <si>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</si>
  <si>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</si>
  <si>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</si>
  <si>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t>Transportation Demand Charge - IT</t>
  </si>
  <si>
    <t>Pre-authorized Interruptible</t>
  </si>
  <si>
    <t>Central Transportation Charge</t>
  </si>
  <si>
    <t>Total Transportation</t>
  </si>
  <si>
    <t>Storage</t>
  </si>
  <si>
    <t>Space Demand</t>
  </si>
  <si>
    <t>GJ/d/mth</t>
  </si>
  <si>
    <t>Firm Injection/Withdrawal Right</t>
  </si>
  <si>
    <t>Union provides deliverability inventory</t>
  </si>
  <si>
    <t>Customer provides deliverability inventory</t>
  </si>
  <si>
    <t>Firm incremental injection</t>
  </si>
  <si>
    <t>Injection/Withdrawal Commodity (Customer Provides)</t>
  </si>
  <si>
    <t>GJ</t>
  </si>
  <si>
    <t>Customer Supplied Fuel - Storage</t>
  </si>
  <si>
    <t>Total Storage</t>
  </si>
  <si>
    <t>Total Rate E20</t>
  </si>
  <si>
    <t>Rate E22 - Unbundled</t>
  </si>
  <si>
    <t xml:space="preserve">Transportation Demand Charge - Firm </t>
  </si>
  <si>
    <t>up to 30,000 m3</t>
  </si>
  <si>
    <t>over 30,000 m3</t>
  </si>
  <si>
    <t>Total Rate E22</t>
  </si>
  <si>
    <t>Rate E24</t>
  </si>
  <si>
    <t>Transportation Demand (Firm)</t>
  </si>
  <si>
    <t>Transportation Demand (IT)</t>
  </si>
  <si>
    <t>South Transportation Demand</t>
  </si>
  <si>
    <t>South Transportation CSF</t>
  </si>
  <si>
    <t>Total Rate E24</t>
  </si>
  <si>
    <t>Total Rate E24 - North</t>
  </si>
  <si>
    <t>Total Rate E24 - South</t>
  </si>
  <si>
    <t>Rate E30</t>
  </si>
  <si>
    <t>Delivery Commodity</t>
  </si>
  <si>
    <t>Delivery Demand (Interruptible)</t>
  </si>
  <si>
    <t>Delivery Demand (Firm)</t>
  </si>
  <si>
    <t>Total Rate E30</t>
  </si>
  <si>
    <t>Total Rate E30 - North</t>
  </si>
  <si>
    <t>Total Rate E30 - South</t>
  </si>
  <si>
    <t>Rate E34</t>
  </si>
  <si>
    <t>Delivery Demand</t>
  </si>
  <si>
    <t>Total Rate E34</t>
  </si>
  <si>
    <t>Total Rate E34- North</t>
  </si>
  <si>
    <t>Total Rate E34 - South</t>
  </si>
  <si>
    <t>Rate E38</t>
  </si>
  <si>
    <t>($/GJ)</t>
  </si>
  <si>
    <t>Transportation Demand</t>
  </si>
  <si>
    <t>Total Rate E38</t>
  </si>
  <si>
    <t>Total Rate E38 - North</t>
  </si>
  <si>
    <t>Total Rate E38 - South</t>
  </si>
  <si>
    <t>Rate E62</t>
  </si>
  <si>
    <t>Total Rate E62</t>
  </si>
  <si>
    <t>Total Rate E62 - North</t>
  </si>
  <si>
    <t>Total Rate E62 - South</t>
  </si>
  <si>
    <t>Rate E64</t>
  </si>
  <si>
    <t>Total Rate E64</t>
  </si>
  <si>
    <t>Total In-franchise</t>
  </si>
  <si>
    <t>Total In-franchise - North</t>
  </si>
  <si>
    <t>Total In-franchise - South</t>
  </si>
  <si>
    <t>Notes:</t>
  </si>
  <si>
    <t xml:space="preserve">(1) </t>
  </si>
  <si>
    <t>Revenue requirement by rate component for each rate class provided at Phase 3 Exhibit 7, Tab 3, Schedule 4, Attachment 13.</t>
  </si>
  <si>
    <t xml:space="preserve">(2) </t>
  </si>
  <si>
    <t>Allocation of S&amp;T Margin and other rate design adjustments.</t>
  </si>
  <si>
    <t>Ex-franchise</t>
  </si>
  <si>
    <t>Proposed 2024</t>
  </si>
  <si>
    <t xml:space="preserve">Usage </t>
  </si>
  <si>
    <t xml:space="preserve">(f) </t>
  </si>
  <si>
    <t>(i) = (g/e)</t>
  </si>
  <si>
    <t>Rate E60</t>
  </si>
  <si>
    <t>Monthly Fixed Charge</t>
  </si>
  <si>
    <t>Demand:</t>
  </si>
  <si>
    <t xml:space="preserve">            Transportation </t>
  </si>
  <si>
    <t>Rate E70</t>
  </si>
  <si>
    <t xml:space="preserve">Firm Transportation - Easterly Dawn Parkway </t>
  </si>
  <si>
    <t>Dawn to Parkway</t>
  </si>
  <si>
    <t>- F24-T</t>
  </si>
  <si>
    <t>Dawn to Kirkwall</t>
  </si>
  <si>
    <t>Kirkwall to Parkway</t>
  </si>
  <si>
    <t>Dawn to Owen Sound Line</t>
  </si>
  <si>
    <t>Firm Transportation - Westerly Dawn Parkway</t>
  </si>
  <si>
    <t xml:space="preserve">Parkway to Dawn/Kirkwall </t>
  </si>
  <si>
    <t>Kirkwall to Dawn</t>
  </si>
  <si>
    <t>E70-X  (between Dawn, Kirkwall and Parkway)</t>
  </si>
  <si>
    <t>Firm Transportation - Other Paths</t>
  </si>
  <si>
    <t>To Dawn from St.Clair, Bluewater, and Ojibway</t>
  </si>
  <si>
    <t>From Dawn to St.Clair, Bluewater, and Ojibway</t>
  </si>
  <si>
    <t>Parkway to Albion King's North</t>
  </si>
  <si>
    <t>Dawn to Dawn-Vector</t>
  </si>
  <si>
    <t>Dawn to Dawn-TCPL</t>
  </si>
  <si>
    <t xml:space="preserve">Short-term Transportation </t>
  </si>
  <si>
    <t>Corunna (ANR) to Dawn</t>
  </si>
  <si>
    <t>Commodity</t>
  </si>
  <si>
    <t>Easterly - Providing Own Fuel</t>
  </si>
  <si>
    <t>Westerly - Providing Own Fuel</t>
  </si>
  <si>
    <t>Short-term Transportation  - Utility Providing Fuel</t>
  </si>
  <si>
    <t>Derivation of Proposed Rates and Revenue by Rate Class</t>
  </si>
  <si>
    <t>Rate E72</t>
  </si>
  <si>
    <t>Transmission Commodity Charge</t>
  </si>
  <si>
    <t>Charges West of Dawn:</t>
  </si>
  <si>
    <t xml:space="preserve">  Firm Demand Charge</t>
  </si>
  <si>
    <t>GJ/d</t>
  </si>
  <si>
    <t xml:space="preserve">  Utility Providing Fuel &amp; UFG to Dawn</t>
  </si>
  <si>
    <t xml:space="preserve">  Utility Providing Fuel &amp; UFG to Pool</t>
  </si>
  <si>
    <t xml:space="preserve">  Providing Own Fuel &amp; UFG to Dawn</t>
  </si>
  <si>
    <t xml:space="preserve">  Providing Own Fuel &amp; UFG to Pool</t>
  </si>
  <si>
    <t>Charges East of Dawn:</t>
  </si>
  <si>
    <t xml:space="preserve">  Fuel &amp; UFG to Dawn</t>
  </si>
  <si>
    <t xml:space="preserve">  Fuel &amp; UFG to Pool</t>
  </si>
  <si>
    <t xml:space="preserve">  Commodity Charge - To Dawn</t>
  </si>
  <si>
    <t xml:space="preserve">  Commodity Charge - To Pool</t>
  </si>
  <si>
    <t>Rate E80</t>
  </si>
  <si>
    <t>Monthly Fixed Charge - Typical Station</t>
  </si>
  <si>
    <t>Monthly Fixed Charge - Large Station</t>
  </si>
  <si>
    <t>RNG Sampling Charge</t>
  </si>
  <si>
    <t>per use</t>
  </si>
  <si>
    <t>Commodity - Providing Own Fuel</t>
  </si>
  <si>
    <t>Commodity - Utility Providing Fuel</t>
  </si>
  <si>
    <t>Rate E82</t>
  </si>
  <si>
    <t>Service Fee</t>
  </si>
  <si>
    <t>Non-Utility Cross Charge</t>
  </si>
  <si>
    <t>Total Ex-franchise</t>
  </si>
  <si>
    <t>Total Enbridge Gas (5)</t>
  </si>
  <si>
    <t>(1)</t>
  </si>
  <si>
    <t>Revenue requirement by rate class provided at Phase 3 Exhibit 7, Tab 3, Schedule 4, Attachment 2, line 21.</t>
  </si>
  <si>
    <t>(2)</t>
  </si>
  <si>
    <t>S&amp;T Margin.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</si>
</sst>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&quot;$&quot;#,##0.00"/>
    <numFmt numFmtId="167" formatCode="#,##0.000_);\(#,##0.000\)"/>
    <numFmt numFmtId="168" formatCode="0.0%"/>
    <numFmt numFmtId="169" formatCode="#,##0.0000_);\(#,##0.0000\);\-"/>
    <numFmt numFmtId="170" formatCode="###0%;\(###0%\)\ "/>
    <numFmt numFmtId="171" formatCode="0.0000"/>
    <numFmt numFmtId="172" formatCode="#,##0.0000_);\(#,##0.0000\)"/>
    <numFmt numFmtId="173" formatCode="0.000"/>
    <numFmt numFmtId="174" formatCode="0.000%"/>
    <numFmt numFmtId="175" formatCode="#,##0.000_);\(#,##0.000\);\-"/>
    <numFmt numFmtId="176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98">
    <xf numFmtId="0" fontId="0" fillId="0" borderId="0" xfId="0"/>
    <xf numFmtId="0" fontId="3" fillId="0" borderId="0" xfId="4" applyFont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Continuous"/>
    </xf>
    <xf numFmtId="0" fontId="3" fillId="0" borderId="0" xfId="4" applyFont="1" applyAlignment="1">
      <alignment horizontal="center" wrapText="1"/>
    </xf>
    <xf numFmtId="0" fontId="6" fillId="0" borderId="0" xfId="5" applyFont="1" applyAlignment="1">
      <alignment horizontal="center"/>
    </xf>
    <xf numFmtId="0" fontId="4" fillId="0" borderId="0" xfId="4" applyFont="1"/>
    <xf numFmtId="164" fontId="6" fillId="0" borderId="0" xfId="6" applyNumberFormat="1" applyFont="1" applyFill="1" applyBorder="1"/>
    <xf numFmtId="164" fontId="3" fillId="0" borderId="0" xfId="6" applyNumberFormat="1" applyFont="1" applyFill="1" applyBorder="1"/>
    <xf numFmtId="0" fontId="3" fillId="0" borderId="0" xfId="4" applyFont="1" applyAlignment="1">
      <alignment horizontal="left" indent="1"/>
    </xf>
    <xf numFmtId="165" fontId="3" fillId="0" borderId="0" xfId="6" applyNumberFormat="1" applyFont="1" applyFill="1" applyBorder="1" applyAlignment="1">
      <alignment horizontal="right"/>
    </xf>
    <xf numFmtId="165" fontId="3" fillId="0" borderId="0" xfId="4" applyNumberFormat="1" applyFont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left" indent="3"/>
    </xf>
    <xf numFmtId="165" fontId="3" fillId="0" borderId="0" xfId="6" applyNumberFormat="1" applyFont="1" applyFill="1" applyBorder="1" applyAlignment="1">
      <alignment horizontal="center"/>
    </xf>
    <xf numFmtId="165" fontId="3" fillId="0" borderId="0" xfId="4" applyNumberFormat="1" applyFont="1"/>
    <xf numFmtId="0" fontId="6" fillId="0" borderId="0" xfId="5" applyFont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9" fontId="3" fillId="0" borderId="2" xfId="6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right"/>
    </xf>
    <xf numFmtId="0" fontId="3" fillId="0" borderId="0" xfId="4" applyFont="1" applyAlignment="1">
      <alignment horizontal="left" indent="2"/>
    </xf>
    <xf numFmtId="0" fontId="3" fillId="0" borderId="0" xfId="0" applyFont="1" applyAlignment="1">
      <alignment horizontal="left" indent="1"/>
    </xf>
    <xf numFmtId="0" fontId="3" fillId="0" borderId="0" xfId="4" applyFont="1" applyAlignment="1">
      <alignment horizontal="left"/>
    </xf>
    <xf numFmtId="169" fontId="3" fillId="0" borderId="3" xfId="6" applyNumberFormat="1" applyFont="1" applyFill="1" applyBorder="1" applyAlignment="1">
      <alignment horizontal="right"/>
    </xf>
    <xf numFmtId="169" fontId="3" fillId="0" borderId="0" xfId="6" applyNumberFormat="1" applyFont="1" applyFill="1" applyBorder="1" applyAlignment="1">
      <alignment horizontal="right"/>
    </xf>
    <xf numFmtId="171" fontId="3" fillId="0" borderId="0" xfId="4" applyNumberFormat="1" applyFont="1"/>
    <xf numFmtId="165" fontId="3" fillId="0" borderId="0" xfId="4" applyNumberFormat="1" applyFont="1" applyAlignment="1">
      <alignment horizontal="center"/>
    </xf>
    <xf numFmtId="165" fontId="6" fillId="0" borderId="0" xfId="5" applyNumberFormat="1" applyFont="1" applyAlignment="1">
      <alignment horizontal="center"/>
    </xf>
    <xf numFmtId="164" fontId="3" fillId="0" borderId="0" xfId="6" applyNumberFormat="1" applyFont="1" applyFill="1" applyBorder="1" applyAlignment="1">
      <alignment horizontal="right"/>
    </xf>
    <xf numFmtId="9" fontId="3" fillId="0" borderId="3" xfId="3" applyFont="1" applyFill="1" applyBorder="1" applyAlignment="1">
      <alignment horizontal="right"/>
    </xf>
    <xf numFmtId="165" fontId="6" fillId="0" borderId="0" xfId="5" applyNumberFormat="1" applyFont="1"/>
    <xf numFmtId="173" fontId="3" fillId="0" borderId="0" xfId="4" applyNumberFormat="1" applyFont="1"/>
    <xf numFmtId="0" fontId="4" fillId="0" borderId="0" xfId="4" applyFont="1" applyAlignment="1">
      <alignment horizontal="left" indent="1"/>
    </xf>
    <xf numFmtId="170" fontId="3" fillId="0" borderId="0" xfId="3" applyNumberFormat="1" applyFont="1" applyFill="1" applyBorder="1" applyAlignment="1">
      <alignment horizontal="right"/>
    </xf>
    <xf numFmtId="169" fontId="3" fillId="0" borderId="0" xfId="4" applyNumberFormat="1" applyFont="1" applyAlignment="1">
      <alignment horizontal="right"/>
    </xf>
    <xf numFmtId="0" fontId="4" fillId="0" borderId="0" xfId="4" applyFont="1" applyAlignment="1">
      <alignment horizontal="left"/>
    </xf>
    <xf numFmtId="169" fontId="3" fillId="0" borderId="0" xfId="4" applyNumberFormat="1" applyFont="1"/>
    <xf numFmtId="9" fontId="3" fillId="0" borderId="0" xfId="3" applyFont="1" applyFill="1" applyBorder="1" applyAlignment="1">
      <alignment horizontal="right"/>
    </xf>
    <xf numFmtId="175" fontId="3" fillId="0" borderId="0" xfId="4" applyNumberFormat="1" applyFont="1" applyAlignment="1">
      <alignment horizontal="right"/>
    </xf>
    <xf numFmtId="0" fontId="4" fillId="0" borderId="0" xfId="7" applyFont="1"/>
    <xf numFmtId="0" fontId="3" fillId="0" borderId="0" xfId="4" quotePrefix="1" applyFont="1"/>
    <xf numFmtId="0" fontId="4" fillId="0" borderId="0" xfId="4" applyFont="1" applyAlignment="1">
      <alignment horizontal="centerContinuous"/>
    </xf>
    <xf numFmtId="0" fontId="4" fillId="0" borderId="0" xfId="5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4"/>
    </xf>
    <xf numFmtId="0" fontId="3" fillId="0" borderId="0" xfId="0" quotePrefix="1" applyFont="1" applyAlignment="1">
      <alignment horizontal="left" indent="5"/>
    </xf>
    <xf numFmtId="0" fontId="3" fillId="0" borderId="0" xfId="0" applyFont="1" applyAlignment="1">
      <alignment horizontal="left" indent="2"/>
    </xf>
    <xf numFmtId="9" fontId="3" fillId="0" borderId="2" xfId="3" applyFont="1" applyFill="1" applyBorder="1" applyAlignment="1">
      <alignment horizontal="right"/>
    </xf>
    <xf numFmtId="167" fontId="3" fillId="0" borderId="0" xfId="6" applyNumberFormat="1" applyFont="1" applyFill="1" applyBorder="1" applyAlignment="1">
      <alignment horizontal="center"/>
    </xf>
    <xf numFmtId="168" fontId="3" fillId="0" borderId="3" xfId="3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4" quotePrefix="1" applyNumberFormat="1" applyFont="1"/>
    <xf numFmtId="0" fontId="3" fillId="0" borderId="0" xfId="5" applyAlignment="1">
      <alignment horizontal="centerContinuous"/>
    </xf>
    <xf numFmtId="0" fontId="3" fillId="0" borderId="0" xfId="5" applyAlignment="1">
      <alignment horizontal="left"/>
    </xf>
    <xf numFmtId="0" fontId="3" fillId="0" borderId="1" xfId="5" applyBorder="1" applyAlignment="1">
      <alignment horizontal="centerContinuous"/>
    </xf>
    <xf numFmtId="0" fontId="3" fillId="0" borderId="0" xfId="5" applyAlignment="1">
      <alignment horizontal="center" wrapText="1"/>
    </xf>
    <xf numFmtId="0" fontId="3" fillId="0" borderId="0" xfId="5" applyAlignment="1">
      <alignment horizontal="center"/>
    </xf>
    <xf numFmtId="0" fontId="3" fillId="0" borderId="1" xfId="5" applyBorder="1" applyAlignment="1">
      <alignment horizontal="center"/>
    </xf>
    <xf numFmtId="0" fontId="3" fillId="0" borderId="0" xfId="5"/>
    <xf numFmtId="0" fontId="3" fillId="0" borderId="1" xfId="5" applyBorder="1"/>
    <xf numFmtId="0" fontId="3" fillId="0" borderId="0" xfId="5" quotePrefix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5" fontId="3" fillId="0" borderId="0" xfId="5" applyNumberFormat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0" fontId="3" fillId="0" borderId="0" xfId="8" applyFont="1"/>
    <xf numFmtId="175" fontId="3" fillId="0" borderId="0" xfId="6" applyNumberFormat="1" applyFont="1" applyFill="1" applyBorder="1" applyAlignment="1">
      <alignment horizontal="right"/>
    </xf>
    <xf numFmtId="165" fontId="3" fillId="0" borderId="3" xfId="5" applyNumberFormat="1" applyBorder="1" applyAlignment="1">
      <alignment horizontal="right"/>
    </xf>
    <xf numFmtId="0" fontId="3" fillId="0" borderId="0" xfId="5" applyAlignment="1">
      <alignment horizontal="right"/>
    </xf>
    <xf numFmtId="167" fontId="3" fillId="0" borderId="3" xfId="5" applyNumberFormat="1" applyBorder="1" applyAlignment="1">
      <alignment horizontal="right"/>
    </xf>
    <xf numFmtId="170" fontId="3" fillId="0" borderId="3" xfId="3" applyNumberFormat="1" applyFont="1" applyFill="1" applyBorder="1" applyAlignment="1">
      <alignment horizontal="right"/>
    </xf>
    <xf numFmtId="0" fontId="3" fillId="0" borderId="0" xfId="8" applyFont="1" applyAlignment="1">
      <alignment horizontal="left" indent="4"/>
    </xf>
    <xf numFmtId="165" fontId="3" fillId="0" borderId="2" xfId="5" applyNumberFormat="1" applyBorder="1" applyAlignment="1">
      <alignment horizontal="right"/>
    </xf>
    <xf numFmtId="167" fontId="3" fillId="0" borderId="2" xfId="5" applyNumberFormat="1" applyBorder="1" applyAlignment="1">
      <alignment horizontal="right"/>
    </xf>
    <xf numFmtId="0" fontId="4" fillId="0" borderId="0" xfId="0" applyFont="1" applyAlignment="1">
      <alignment horizontal="left"/>
    </xf>
    <xf numFmtId="176" fontId="3" fillId="0" borderId="0" xfId="1" applyNumberFormat="1" applyFont="1" applyFill="1"/>
    <xf numFmtId="0" fontId="7" fillId="0" borderId="0" xfId="0" applyFont="1"/>
    <xf numFmtId="0" fontId="7" fillId="0" borderId="0" xfId="0" quotePrefix="1" applyFont="1" applyAlignment="1">
      <alignment horizontal="center"/>
    </xf>
    <xf numFmtId="0" fontId="8" fillId="0" borderId="0" xfId="0" applyFont="1"/>
    <xf numFmtId="0" fontId="3" fillId="0" borderId="0" xfId="0" quotePrefix="1" applyFont="1" applyAlignment="1">
      <alignment horizontal="center"/>
    </xf>
    <xf numFmtId="165" fontId="3" fillId="0" borderId="0" xfId="5" applyNumberFormat="1" applyAlignment="1">
      <alignment horizontal="center"/>
    </xf>
    <xf numFmtId="166" fontId="3" fillId="0" borderId="0" xfId="6" applyNumberFormat="1" applyFont="1" applyFill="1" applyBorder="1" applyAlignment="1">
      <alignment horizontal="right"/>
    </xf>
    <xf numFmtId="167" fontId="3" fillId="0" borderId="0" xfId="5" applyNumberFormat="1" applyAlignment="1">
      <alignment horizontal="right"/>
    </xf>
    <xf numFmtId="172" fontId="3" fillId="0" borderId="0" xfId="5" applyNumberFormat="1" applyAlignment="1">
      <alignment horizontal="right"/>
    </xf>
    <xf numFmtId="165" fontId="3" fillId="0" borderId="0" xfId="6" applyNumberFormat="1" applyFont="1" applyFill="1" applyBorder="1" applyAlignment="1"/>
    <xf numFmtId="165" fontId="3" fillId="0" borderId="0" xfId="5" applyNumberFormat="1"/>
    <xf numFmtId="164" fontId="3" fillId="0" borderId="0" xfId="5" applyNumberFormat="1" applyAlignment="1">
      <alignment horizontal="center"/>
    </xf>
    <xf numFmtId="165" fontId="3" fillId="0" borderId="0" xfId="6" quotePrefix="1" applyNumberFormat="1" applyFont="1" applyFill="1" applyBorder="1" applyAlignment="1">
      <alignment horizontal="right"/>
    </xf>
    <xf numFmtId="174" fontId="3" fillId="0" borderId="0" xfId="3" applyNumberFormat="1" applyFont="1" applyFill="1" applyBorder="1" applyAlignment="1">
      <alignment horizontal="right"/>
    </xf>
    <xf numFmtId="174" fontId="3" fillId="0" borderId="0" xfId="6" applyNumberFormat="1" applyFont="1" applyFill="1" applyBorder="1" applyAlignment="1">
      <alignment horizontal="right"/>
    </xf>
    <xf numFmtId="0" fontId="9" fillId="0" borderId="0" xfId="0" applyFont="1"/>
    <xf numFmtId="0" fontId="9" fillId="0" borderId="0" xfId="0" quotePrefix="1" applyFont="1" applyAlignment="1">
      <alignment horizontal="left" indent="2"/>
    </xf>
    <xf numFmtId="0" fontId="3" fillId="0" borderId="0" xfId="7" quotePrefix="1" applyAlignment="1">
      <alignment horizontal="center" vertical="top"/>
    </xf>
    <xf numFmtId="0" fontId="4" fillId="0" borderId="0" xfId="4" applyFont="1" applyAlignment="1">
      <alignment horizontal="center"/>
    </xf>
  </cellXfs>
  <cellStyles count="9">
    <cellStyle name="Comma" xfId="1" builtinId="3"/>
    <cellStyle name="Comma 10" xfId="6" xr:uid="{4AD108DC-B48E-4D53-93D3-D83CBBCA84EC}"/>
    <cellStyle name="Currency" xfId="2" builtinId="4"/>
    <cellStyle name="Normal" xfId="0" builtinId="0"/>
    <cellStyle name="Normal 10" xfId="7" xr:uid="{E5DB578F-2AAB-4EDB-A332-EF4DC4D54034}"/>
    <cellStyle name="Normal 4 3" xfId="4" xr:uid="{62207766-8169-448D-BEA6-F077D2AA28D6}"/>
    <cellStyle name="Normal 59" xfId="8" xr:uid="{D3587832-A777-4C1B-AD25-F46EF607FDD7}"/>
    <cellStyle name="Normal 60" xfId="5" xr:uid="{D391369A-7C83-4182-BB3F-5FBEA5EC43A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962C-BB88-41DB-80C5-56D52BB52253}">
  <dimension ref="B8:Z355"/>
  <sheetViews>
    <sheetView tabSelected="1" view="pageBreakPreview" topLeftCell="A236" zoomScale="80" zoomScaleNormal="100" zoomScaleSheetLayoutView="80" zoomScalePageLayoutView="80" workbookViewId="0">
      <selection activeCell="L279" sqref="L279"/>
    </sheetView>
  </sheetViews>
  <sheetFormatPr defaultRowHeight="12.45" x14ac:dyDescent="0.3"/>
  <cols>
    <col min="1" max="1" width="1.53515625" style="2" customWidth="1"/>
    <col min="2" max="2" width="4.53515625" style="1" customWidth="1"/>
    <col min="3" max="3" width="1.53515625" style="2" customWidth="1"/>
    <col min="4" max="4" width="47" style="2" customWidth="1"/>
    <col min="5" max="5" width="1.53515625" style="2" customWidth="1"/>
    <col min="6" max="6" width="10.5351562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4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4609375" style="2" customWidth="1"/>
    <col min="17" max="17" width="1.53515625" style="2" customWidth="1"/>
    <col min="18" max="18" width="14.46093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53515625" style="2" customWidth="1"/>
    <col min="25" max="25" width="1.53515625" style="2" customWidth="1"/>
    <col min="26" max="26" width="14.4609375" style="2" customWidth="1"/>
    <col min="27" max="27" width="1.53515625" style="2" customWidth="1"/>
    <col min="28" max="225" width="9.07421875" style="2"/>
    <col min="226" max="226" width="4.53515625" style="2" customWidth="1"/>
    <col min="227" max="227" width="1" style="2" customWidth="1"/>
    <col min="228" max="228" width="18" style="2" customWidth="1"/>
    <col min="229" max="229" width="1.84375" style="2" customWidth="1"/>
    <col min="230" max="230" width="12.53515625" style="2" customWidth="1"/>
    <col min="231" max="231" width="1.53515625" style="2" customWidth="1"/>
    <col min="232" max="232" width="9.53515625" style="2" customWidth="1"/>
    <col min="233" max="233" width="1.84375" style="2" customWidth="1"/>
    <col min="234" max="234" width="11.84375" style="2" customWidth="1"/>
    <col min="235" max="235" width="1.53515625" style="2" customWidth="1"/>
    <col min="236" max="236" width="10.07421875" style="2" customWidth="1"/>
    <col min="237" max="237" width="2" style="2" customWidth="1"/>
    <col min="238" max="238" width="9.53515625" style="2" customWidth="1"/>
    <col min="239" max="481" width="9.07421875" style="2"/>
    <col min="482" max="482" width="4.53515625" style="2" customWidth="1"/>
    <col min="483" max="483" width="1" style="2" customWidth="1"/>
    <col min="484" max="484" width="18" style="2" customWidth="1"/>
    <col min="485" max="485" width="1.84375" style="2" customWidth="1"/>
    <col min="486" max="486" width="12.53515625" style="2" customWidth="1"/>
    <col min="487" max="487" width="1.53515625" style="2" customWidth="1"/>
    <col min="488" max="488" width="9.53515625" style="2" customWidth="1"/>
    <col min="489" max="489" width="1.84375" style="2" customWidth="1"/>
    <col min="490" max="490" width="11.84375" style="2" customWidth="1"/>
    <col min="491" max="491" width="1.53515625" style="2" customWidth="1"/>
    <col min="492" max="492" width="10.07421875" style="2" customWidth="1"/>
    <col min="493" max="493" width="2" style="2" customWidth="1"/>
    <col min="494" max="494" width="9.53515625" style="2" customWidth="1"/>
    <col min="495" max="737" width="9.07421875" style="2"/>
    <col min="738" max="738" width="4.53515625" style="2" customWidth="1"/>
    <col min="739" max="739" width="1" style="2" customWidth="1"/>
    <col min="740" max="740" width="18" style="2" customWidth="1"/>
    <col min="741" max="741" width="1.84375" style="2" customWidth="1"/>
    <col min="742" max="742" width="12.53515625" style="2" customWidth="1"/>
    <col min="743" max="743" width="1.53515625" style="2" customWidth="1"/>
    <col min="744" max="744" width="9.53515625" style="2" customWidth="1"/>
    <col min="745" max="745" width="1.84375" style="2" customWidth="1"/>
    <col min="746" max="746" width="11.84375" style="2" customWidth="1"/>
    <col min="747" max="747" width="1.53515625" style="2" customWidth="1"/>
    <col min="748" max="748" width="10.07421875" style="2" customWidth="1"/>
    <col min="749" max="749" width="2" style="2" customWidth="1"/>
    <col min="750" max="750" width="9.53515625" style="2" customWidth="1"/>
    <col min="751" max="993" width="9.07421875" style="2"/>
    <col min="994" max="994" width="4.53515625" style="2" customWidth="1"/>
    <col min="995" max="995" width="1" style="2" customWidth="1"/>
    <col min="996" max="996" width="18" style="2" customWidth="1"/>
    <col min="997" max="997" width="1.84375" style="2" customWidth="1"/>
    <col min="998" max="998" width="12.53515625" style="2" customWidth="1"/>
    <col min="999" max="999" width="1.53515625" style="2" customWidth="1"/>
    <col min="1000" max="1000" width="9.53515625" style="2" customWidth="1"/>
    <col min="1001" max="1001" width="1.84375" style="2" customWidth="1"/>
    <col min="1002" max="1002" width="11.84375" style="2" customWidth="1"/>
    <col min="1003" max="1003" width="1.53515625" style="2" customWidth="1"/>
    <col min="1004" max="1004" width="10.07421875" style="2" customWidth="1"/>
    <col min="1005" max="1005" width="2" style="2" customWidth="1"/>
    <col min="1006" max="1006" width="9.53515625" style="2" customWidth="1"/>
    <col min="1007" max="1249" width="9.07421875" style="2"/>
    <col min="1250" max="1250" width="4.53515625" style="2" customWidth="1"/>
    <col min="1251" max="1251" width="1" style="2" customWidth="1"/>
    <col min="1252" max="1252" width="18" style="2" customWidth="1"/>
    <col min="1253" max="1253" width="1.84375" style="2" customWidth="1"/>
    <col min="1254" max="1254" width="12.53515625" style="2" customWidth="1"/>
    <col min="1255" max="1255" width="1.53515625" style="2" customWidth="1"/>
    <col min="1256" max="1256" width="9.53515625" style="2" customWidth="1"/>
    <col min="1257" max="1257" width="1.84375" style="2" customWidth="1"/>
    <col min="1258" max="1258" width="11.84375" style="2" customWidth="1"/>
    <col min="1259" max="1259" width="1.53515625" style="2" customWidth="1"/>
    <col min="1260" max="1260" width="10.07421875" style="2" customWidth="1"/>
    <col min="1261" max="1261" width="2" style="2" customWidth="1"/>
    <col min="1262" max="1262" width="9.53515625" style="2" customWidth="1"/>
    <col min="1263" max="1505" width="9.07421875" style="2"/>
    <col min="1506" max="1506" width="4.53515625" style="2" customWidth="1"/>
    <col min="1507" max="1507" width="1" style="2" customWidth="1"/>
    <col min="1508" max="1508" width="18" style="2" customWidth="1"/>
    <col min="1509" max="1509" width="1.84375" style="2" customWidth="1"/>
    <col min="1510" max="1510" width="12.53515625" style="2" customWidth="1"/>
    <col min="1511" max="1511" width="1.53515625" style="2" customWidth="1"/>
    <col min="1512" max="1512" width="9.53515625" style="2" customWidth="1"/>
    <col min="1513" max="1513" width="1.84375" style="2" customWidth="1"/>
    <col min="1514" max="1514" width="11.84375" style="2" customWidth="1"/>
    <col min="1515" max="1515" width="1.53515625" style="2" customWidth="1"/>
    <col min="1516" max="1516" width="10.07421875" style="2" customWidth="1"/>
    <col min="1517" max="1517" width="2" style="2" customWidth="1"/>
    <col min="1518" max="1518" width="9.53515625" style="2" customWidth="1"/>
    <col min="1519" max="1761" width="9.07421875" style="2"/>
    <col min="1762" max="1762" width="4.53515625" style="2" customWidth="1"/>
    <col min="1763" max="1763" width="1" style="2" customWidth="1"/>
    <col min="1764" max="1764" width="18" style="2" customWidth="1"/>
    <col min="1765" max="1765" width="1.84375" style="2" customWidth="1"/>
    <col min="1766" max="1766" width="12.53515625" style="2" customWidth="1"/>
    <col min="1767" max="1767" width="1.53515625" style="2" customWidth="1"/>
    <col min="1768" max="1768" width="9.53515625" style="2" customWidth="1"/>
    <col min="1769" max="1769" width="1.84375" style="2" customWidth="1"/>
    <col min="1770" max="1770" width="11.84375" style="2" customWidth="1"/>
    <col min="1771" max="1771" width="1.53515625" style="2" customWidth="1"/>
    <col min="1772" max="1772" width="10.07421875" style="2" customWidth="1"/>
    <col min="1773" max="1773" width="2" style="2" customWidth="1"/>
    <col min="1774" max="1774" width="9.53515625" style="2" customWidth="1"/>
    <col min="1775" max="2017" width="9.07421875" style="2"/>
    <col min="2018" max="2018" width="4.53515625" style="2" customWidth="1"/>
    <col min="2019" max="2019" width="1" style="2" customWidth="1"/>
    <col min="2020" max="2020" width="18" style="2" customWidth="1"/>
    <col min="2021" max="2021" width="1.84375" style="2" customWidth="1"/>
    <col min="2022" max="2022" width="12.53515625" style="2" customWidth="1"/>
    <col min="2023" max="2023" width="1.53515625" style="2" customWidth="1"/>
    <col min="2024" max="2024" width="9.53515625" style="2" customWidth="1"/>
    <col min="2025" max="2025" width="1.84375" style="2" customWidth="1"/>
    <col min="2026" max="2026" width="11.84375" style="2" customWidth="1"/>
    <col min="2027" max="2027" width="1.53515625" style="2" customWidth="1"/>
    <col min="2028" max="2028" width="10.07421875" style="2" customWidth="1"/>
    <col min="2029" max="2029" width="2" style="2" customWidth="1"/>
    <col min="2030" max="2030" width="9.53515625" style="2" customWidth="1"/>
    <col min="2031" max="2273" width="9.07421875" style="2"/>
    <col min="2274" max="2274" width="4.53515625" style="2" customWidth="1"/>
    <col min="2275" max="2275" width="1" style="2" customWidth="1"/>
    <col min="2276" max="2276" width="18" style="2" customWidth="1"/>
    <col min="2277" max="2277" width="1.84375" style="2" customWidth="1"/>
    <col min="2278" max="2278" width="12.53515625" style="2" customWidth="1"/>
    <col min="2279" max="2279" width="1.53515625" style="2" customWidth="1"/>
    <col min="2280" max="2280" width="9.53515625" style="2" customWidth="1"/>
    <col min="2281" max="2281" width="1.84375" style="2" customWidth="1"/>
    <col min="2282" max="2282" width="11.84375" style="2" customWidth="1"/>
    <col min="2283" max="2283" width="1.53515625" style="2" customWidth="1"/>
    <col min="2284" max="2284" width="10.07421875" style="2" customWidth="1"/>
    <col min="2285" max="2285" width="2" style="2" customWidth="1"/>
    <col min="2286" max="2286" width="9.53515625" style="2" customWidth="1"/>
    <col min="2287" max="2529" width="9.07421875" style="2"/>
    <col min="2530" max="2530" width="4.53515625" style="2" customWidth="1"/>
    <col min="2531" max="2531" width="1" style="2" customWidth="1"/>
    <col min="2532" max="2532" width="18" style="2" customWidth="1"/>
    <col min="2533" max="2533" width="1.84375" style="2" customWidth="1"/>
    <col min="2534" max="2534" width="12.53515625" style="2" customWidth="1"/>
    <col min="2535" max="2535" width="1.53515625" style="2" customWidth="1"/>
    <col min="2536" max="2536" width="9.53515625" style="2" customWidth="1"/>
    <col min="2537" max="2537" width="1.84375" style="2" customWidth="1"/>
    <col min="2538" max="2538" width="11.84375" style="2" customWidth="1"/>
    <col min="2539" max="2539" width="1.53515625" style="2" customWidth="1"/>
    <col min="2540" max="2540" width="10.07421875" style="2" customWidth="1"/>
    <col min="2541" max="2541" width="2" style="2" customWidth="1"/>
    <col min="2542" max="2542" width="9.53515625" style="2" customWidth="1"/>
    <col min="2543" max="2785" width="9.07421875" style="2"/>
    <col min="2786" max="2786" width="4.53515625" style="2" customWidth="1"/>
    <col min="2787" max="2787" width="1" style="2" customWidth="1"/>
    <col min="2788" max="2788" width="18" style="2" customWidth="1"/>
    <col min="2789" max="2789" width="1.84375" style="2" customWidth="1"/>
    <col min="2790" max="2790" width="12.53515625" style="2" customWidth="1"/>
    <col min="2791" max="2791" width="1.53515625" style="2" customWidth="1"/>
    <col min="2792" max="2792" width="9.53515625" style="2" customWidth="1"/>
    <col min="2793" max="2793" width="1.84375" style="2" customWidth="1"/>
    <col min="2794" max="2794" width="11.84375" style="2" customWidth="1"/>
    <col min="2795" max="2795" width="1.53515625" style="2" customWidth="1"/>
    <col min="2796" max="2796" width="10.07421875" style="2" customWidth="1"/>
    <col min="2797" max="2797" width="2" style="2" customWidth="1"/>
    <col min="2798" max="2798" width="9.53515625" style="2" customWidth="1"/>
    <col min="2799" max="3041" width="9.07421875" style="2"/>
    <col min="3042" max="3042" width="4.53515625" style="2" customWidth="1"/>
    <col min="3043" max="3043" width="1" style="2" customWidth="1"/>
    <col min="3044" max="3044" width="18" style="2" customWidth="1"/>
    <col min="3045" max="3045" width="1.84375" style="2" customWidth="1"/>
    <col min="3046" max="3046" width="12.53515625" style="2" customWidth="1"/>
    <col min="3047" max="3047" width="1.53515625" style="2" customWidth="1"/>
    <col min="3048" max="3048" width="9.53515625" style="2" customWidth="1"/>
    <col min="3049" max="3049" width="1.84375" style="2" customWidth="1"/>
    <col min="3050" max="3050" width="11.84375" style="2" customWidth="1"/>
    <col min="3051" max="3051" width="1.53515625" style="2" customWidth="1"/>
    <col min="3052" max="3052" width="10.07421875" style="2" customWidth="1"/>
    <col min="3053" max="3053" width="2" style="2" customWidth="1"/>
    <col min="3054" max="3054" width="9.53515625" style="2" customWidth="1"/>
    <col min="3055" max="3297" width="9.07421875" style="2"/>
    <col min="3298" max="3298" width="4.53515625" style="2" customWidth="1"/>
    <col min="3299" max="3299" width="1" style="2" customWidth="1"/>
    <col min="3300" max="3300" width="18" style="2" customWidth="1"/>
    <col min="3301" max="3301" width="1.84375" style="2" customWidth="1"/>
    <col min="3302" max="3302" width="12.53515625" style="2" customWidth="1"/>
    <col min="3303" max="3303" width="1.53515625" style="2" customWidth="1"/>
    <col min="3304" max="3304" width="9.53515625" style="2" customWidth="1"/>
    <col min="3305" max="3305" width="1.84375" style="2" customWidth="1"/>
    <col min="3306" max="3306" width="11.84375" style="2" customWidth="1"/>
    <col min="3307" max="3307" width="1.53515625" style="2" customWidth="1"/>
    <col min="3308" max="3308" width="10.07421875" style="2" customWidth="1"/>
    <col min="3309" max="3309" width="2" style="2" customWidth="1"/>
    <col min="3310" max="3310" width="9.53515625" style="2" customWidth="1"/>
    <col min="3311" max="3553" width="9.07421875" style="2"/>
    <col min="3554" max="3554" width="4.53515625" style="2" customWidth="1"/>
    <col min="3555" max="3555" width="1" style="2" customWidth="1"/>
    <col min="3556" max="3556" width="18" style="2" customWidth="1"/>
    <col min="3557" max="3557" width="1.84375" style="2" customWidth="1"/>
    <col min="3558" max="3558" width="12.53515625" style="2" customWidth="1"/>
    <col min="3559" max="3559" width="1.53515625" style="2" customWidth="1"/>
    <col min="3560" max="3560" width="9.53515625" style="2" customWidth="1"/>
    <col min="3561" max="3561" width="1.84375" style="2" customWidth="1"/>
    <col min="3562" max="3562" width="11.84375" style="2" customWidth="1"/>
    <col min="3563" max="3563" width="1.53515625" style="2" customWidth="1"/>
    <col min="3564" max="3564" width="10.07421875" style="2" customWidth="1"/>
    <col min="3565" max="3565" width="2" style="2" customWidth="1"/>
    <col min="3566" max="3566" width="9.53515625" style="2" customWidth="1"/>
    <col min="3567" max="3809" width="9.07421875" style="2"/>
    <col min="3810" max="3810" width="4.53515625" style="2" customWidth="1"/>
    <col min="3811" max="3811" width="1" style="2" customWidth="1"/>
    <col min="3812" max="3812" width="18" style="2" customWidth="1"/>
    <col min="3813" max="3813" width="1.84375" style="2" customWidth="1"/>
    <col min="3814" max="3814" width="12.53515625" style="2" customWidth="1"/>
    <col min="3815" max="3815" width="1.53515625" style="2" customWidth="1"/>
    <col min="3816" max="3816" width="9.53515625" style="2" customWidth="1"/>
    <col min="3817" max="3817" width="1.84375" style="2" customWidth="1"/>
    <col min="3818" max="3818" width="11.84375" style="2" customWidth="1"/>
    <col min="3819" max="3819" width="1.53515625" style="2" customWidth="1"/>
    <col min="3820" max="3820" width="10.07421875" style="2" customWidth="1"/>
    <col min="3821" max="3821" width="2" style="2" customWidth="1"/>
    <col min="3822" max="3822" width="9.53515625" style="2" customWidth="1"/>
    <col min="3823" max="4065" width="9.07421875" style="2"/>
    <col min="4066" max="4066" width="4.53515625" style="2" customWidth="1"/>
    <col min="4067" max="4067" width="1" style="2" customWidth="1"/>
    <col min="4068" max="4068" width="18" style="2" customWidth="1"/>
    <col min="4069" max="4069" width="1.84375" style="2" customWidth="1"/>
    <col min="4070" max="4070" width="12.53515625" style="2" customWidth="1"/>
    <col min="4071" max="4071" width="1.53515625" style="2" customWidth="1"/>
    <col min="4072" max="4072" width="9.53515625" style="2" customWidth="1"/>
    <col min="4073" max="4073" width="1.84375" style="2" customWidth="1"/>
    <col min="4074" max="4074" width="11.84375" style="2" customWidth="1"/>
    <col min="4075" max="4075" width="1.53515625" style="2" customWidth="1"/>
    <col min="4076" max="4076" width="10.07421875" style="2" customWidth="1"/>
    <col min="4077" max="4077" width="2" style="2" customWidth="1"/>
    <col min="4078" max="4078" width="9.53515625" style="2" customWidth="1"/>
    <col min="4079" max="4321" width="9.07421875" style="2"/>
    <col min="4322" max="4322" width="4.53515625" style="2" customWidth="1"/>
    <col min="4323" max="4323" width="1" style="2" customWidth="1"/>
    <col min="4324" max="4324" width="18" style="2" customWidth="1"/>
    <col min="4325" max="4325" width="1.84375" style="2" customWidth="1"/>
    <col min="4326" max="4326" width="12.53515625" style="2" customWidth="1"/>
    <col min="4327" max="4327" width="1.53515625" style="2" customWidth="1"/>
    <col min="4328" max="4328" width="9.53515625" style="2" customWidth="1"/>
    <col min="4329" max="4329" width="1.84375" style="2" customWidth="1"/>
    <col min="4330" max="4330" width="11.84375" style="2" customWidth="1"/>
    <col min="4331" max="4331" width="1.53515625" style="2" customWidth="1"/>
    <col min="4332" max="4332" width="10.07421875" style="2" customWidth="1"/>
    <col min="4333" max="4333" width="2" style="2" customWidth="1"/>
    <col min="4334" max="4334" width="9.53515625" style="2" customWidth="1"/>
    <col min="4335" max="4577" width="9.07421875" style="2"/>
    <col min="4578" max="4578" width="4.53515625" style="2" customWidth="1"/>
    <col min="4579" max="4579" width="1" style="2" customWidth="1"/>
    <col min="4580" max="4580" width="18" style="2" customWidth="1"/>
    <col min="4581" max="4581" width="1.84375" style="2" customWidth="1"/>
    <col min="4582" max="4582" width="12.53515625" style="2" customWidth="1"/>
    <col min="4583" max="4583" width="1.53515625" style="2" customWidth="1"/>
    <col min="4584" max="4584" width="9.53515625" style="2" customWidth="1"/>
    <col min="4585" max="4585" width="1.84375" style="2" customWidth="1"/>
    <col min="4586" max="4586" width="11.84375" style="2" customWidth="1"/>
    <col min="4587" max="4587" width="1.53515625" style="2" customWidth="1"/>
    <col min="4588" max="4588" width="10.07421875" style="2" customWidth="1"/>
    <col min="4589" max="4589" width="2" style="2" customWidth="1"/>
    <col min="4590" max="4590" width="9.53515625" style="2" customWidth="1"/>
    <col min="4591" max="4833" width="9.07421875" style="2"/>
    <col min="4834" max="4834" width="4.53515625" style="2" customWidth="1"/>
    <col min="4835" max="4835" width="1" style="2" customWidth="1"/>
    <col min="4836" max="4836" width="18" style="2" customWidth="1"/>
    <col min="4837" max="4837" width="1.84375" style="2" customWidth="1"/>
    <col min="4838" max="4838" width="12.53515625" style="2" customWidth="1"/>
    <col min="4839" max="4839" width="1.53515625" style="2" customWidth="1"/>
    <col min="4840" max="4840" width="9.53515625" style="2" customWidth="1"/>
    <col min="4841" max="4841" width="1.84375" style="2" customWidth="1"/>
    <col min="4842" max="4842" width="11.84375" style="2" customWidth="1"/>
    <col min="4843" max="4843" width="1.53515625" style="2" customWidth="1"/>
    <col min="4844" max="4844" width="10.07421875" style="2" customWidth="1"/>
    <col min="4845" max="4845" width="2" style="2" customWidth="1"/>
    <col min="4846" max="4846" width="9.53515625" style="2" customWidth="1"/>
    <col min="4847" max="5089" width="9.07421875" style="2"/>
    <col min="5090" max="5090" width="4.53515625" style="2" customWidth="1"/>
    <col min="5091" max="5091" width="1" style="2" customWidth="1"/>
    <col min="5092" max="5092" width="18" style="2" customWidth="1"/>
    <col min="5093" max="5093" width="1.84375" style="2" customWidth="1"/>
    <col min="5094" max="5094" width="12.53515625" style="2" customWidth="1"/>
    <col min="5095" max="5095" width="1.53515625" style="2" customWidth="1"/>
    <col min="5096" max="5096" width="9.53515625" style="2" customWidth="1"/>
    <col min="5097" max="5097" width="1.84375" style="2" customWidth="1"/>
    <col min="5098" max="5098" width="11.84375" style="2" customWidth="1"/>
    <col min="5099" max="5099" width="1.53515625" style="2" customWidth="1"/>
    <col min="5100" max="5100" width="10.07421875" style="2" customWidth="1"/>
    <col min="5101" max="5101" width="2" style="2" customWidth="1"/>
    <col min="5102" max="5102" width="9.53515625" style="2" customWidth="1"/>
    <col min="5103" max="5345" width="9.07421875" style="2"/>
    <col min="5346" max="5346" width="4.53515625" style="2" customWidth="1"/>
    <col min="5347" max="5347" width="1" style="2" customWidth="1"/>
    <col min="5348" max="5348" width="18" style="2" customWidth="1"/>
    <col min="5349" max="5349" width="1.84375" style="2" customWidth="1"/>
    <col min="5350" max="5350" width="12.53515625" style="2" customWidth="1"/>
    <col min="5351" max="5351" width="1.53515625" style="2" customWidth="1"/>
    <col min="5352" max="5352" width="9.53515625" style="2" customWidth="1"/>
    <col min="5353" max="5353" width="1.84375" style="2" customWidth="1"/>
    <col min="5354" max="5354" width="11.84375" style="2" customWidth="1"/>
    <col min="5355" max="5355" width="1.53515625" style="2" customWidth="1"/>
    <col min="5356" max="5356" width="10.07421875" style="2" customWidth="1"/>
    <col min="5357" max="5357" width="2" style="2" customWidth="1"/>
    <col min="5358" max="5358" width="9.53515625" style="2" customWidth="1"/>
    <col min="5359" max="5601" width="9.07421875" style="2"/>
    <col min="5602" max="5602" width="4.53515625" style="2" customWidth="1"/>
    <col min="5603" max="5603" width="1" style="2" customWidth="1"/>
    <col min="5604" max="5604" width="18" style="2" customWidth="1"/>
    <col min="5605" max="5605" width="1.84375" style="2" customWidth="1"/>
    <col min="5606" max="5606" width="12.53515625" style="2" customWidth="1"/>
    <col min="5607" max="5607" width="1.53515625" style="2" customWidth="1"/>
    <col min="5608" max="5608" width="9.53515625" style="2" customWidth="1"/>
    <col min="5609" max="5609" width="1.84375" style="2" customWidth="1"/>
    <col min="5610" max="5610" width="11.84375" style="2" customWidth="1"/>
    <col min="5611" max="5611" width="1.53515625" style="2" customWidth="1"/>
    <col min="5612" max="5612" width="10.07421875" style="2" customWidth="1"/>
    <col min="5613" max="5613" width="2" style="2" customWidth="1"/>
    <col min="5614" max="5614" width="9.53515625" style="2" customWidth="1"/>
    <col min="5615" max="5857" width="9.07421875" style="2"/>
    <col min="5858" max="5858" width="4.53515625" style="2" customWidth="1"/>
    <col min="5859" max="5859" width="1" style="2" customWidth="1"/>
    <col min="5860" max="5860" width="18" style="2" customWidth="1"/>
    <col min="5861" max="5861" width="1.84375" style="2" customWidth="1"/>
    <col min="5862" max="5862" width="12.53515625" style="2" customWidth="1"/>
    <col min="5863" max="5863" width="1.53515625" style="2" customWidth="1"/>
    <col min="5864" max="5864" width="9.53515625" style="2" customWidth="1"/>
    <col min="5865" max="5865" width="1.84375" style="2" customWidth="1"/>
    <col min="5866" max="5866" width="11.84375" style="2" customWidth="1"/>
    <col min="5867" max="5867" width="1.53515625" style="2" customWidth="1"/>
    <col min="5868" max="5868" width="10.07421875" style="2" customWidth="1"/>
    <col min="5869" max="5869" width="2" style="2" customWidth="1"/>
    <col min="5870" max="5870" width="9.53515625" style="2" customWidth="1"/>
    <col min="5871" max="6113" width="9.07421875" style="2"/>
    <col min="6114" max="6114" width="4.53515625" style="2" customWidth="1"/>
    <col min="6115" max="6115" width="1" style="2" customWidth="1"/>
    <col min="6116" max="6116" width="18" style="2" customWidth="1"/>
    <col min="6117" max="6117" width="1.84375" style="2" customWidth="1"/>
    <col min="6118" max="6118" width="12.53515625" style="2" customWidth="1"/>
    <col min="6119" max="6119" width="1.53515625" style="2" customWidth="1"/>
    <col min="6120" max="6120" width="9.53515625" style="2" customWidth="1"/>
    <col min="6121" max="6121" width="1.84375" style="2" customWidth="1"/>
    <col min="6122" max="6122" width="11.84375" style="2" customWidth="1"/>
    <col min="6123" max="6123" width="1.53515625" style="2" customWidth="1"/>
    <col min="6124" max="6124" width="10.07421875" style="2" customWidth="1"/>
    <col min="6125" max="6125" width="2" style="2" customWidth="1"/>
    <col min="6126" max="6126" width="9.53515625" style="2" customWidth="1"/>
    <col min="6127" max="6369" width="9.07421875" style="2"/>
    <col min="6370" max="6370" width="4.53515625" style="2" customWidth="1"/>
    <col min="6371" max="6371" width="1" style="2" customWidth="1"/>
    <col min="6372" max="6372" width="18" style="2" customWidth="1"/>
    <col min="6373" max="6373" width="1.84375" style="2" customWidth="1"/>
    <col min="6374" max="6374" width="12.53515625" style="2" customWidth="1"/>
    <col min="6375" max="6375" width="1.53515625" style="2" customWidth="1"/>
    <col min="6376" max="6376" width="9.53515625" style="2" customWidth="1"/>
    <col min="6377" max="6377" width="1.84375" style="2" customWidth="1"/>
    <col min="6378" max="6378" width="11.84375" style="2" customWidth="1"/>
    <col min="6379" max="6379" width="1.53515625" style="2" customWidth="1"/>
    <col min="6380" max="6380" width="10.07421875" style="2" customWidth="1"/>
    <col min="6381" max="6381" width="2" style="2" customWidth="1"/>
    <col min="6382" max="6382" width="9.53515625" style="2" customWidth="1"/>
    <col min="6383" max="6625" width="9.07421875" style="2"/>
    <col min="6626" max="6626" width="4.53515625" style="2" customWidth="1"/>
    <col min="6627" max="6627" width="1" style="2" customWidth="1"/>
    <col min="6628" max="6628" width="18" style="2" customWidth="1"/>
    <col min="6629" max="6629" width="1.84375" style="2" customWidth="1"/>
    <col min="6630" max="6630" width="12.53515625" style="2" customWidth="1"/>
    <col min="6631" max="6631" width="1.53515625" style="2" customWidth="1"/>
    <col min="6632" max="6632" width="9.53515625" style="2" customWidth="1"/>
    <col min="6633" max="6633" width="1.84375" style="2" customWidth="1"/>
    <col min="6634" max="6634" width="11.84375" style="2" customWidth="1"/>
    <col min="6635" max="6635" width="1.53515625" style="2" customWidth="1"/>
    <col min="6636" max="6636" width="10.07421875" style="2" customWidth="1"/>
    <col min="6637" max="6637" width="2" style="2" customWidth="1"/>
    <col min="6638" max="6638" width="9.53515625" style="2" customWidth="1"/>
    <col min="6639" max="6881" width="9.07421875" style="2"/>
    <col min="6882" max="6882" width="4.53515625" style="2" customWidth="1"/>
    <col min="6883" max="6883" width="1" style="2" customWidth="1"/>
    <col min="6884" max="6884" width="18" style="2" customWidth="1"/>
    <col min="6885" max="6885" width="1.84375" style="2" customWidth="1"/>
    <col min="6886" max="6886" width="12.53515625" style="2" customWidth="1"/>
    <col min="6887" max="6887" width="1.53515625" style="2" customWidth="1"/>
    <col min="6888" max="6888" width="9.53515625" style="2" customWidth="1"/>
    <col min="6889" max="6889" width="1.84375" style="2" customWidth="1"/>
    <col min="6890" max="6890" width="11.84375" style="2" customWidth="1"/>
    <col min="6891" max="6891" width="1.53515625" style="2" customWidth="1"/>
    <col min="6892" max="6892" width="10.07421875" style="2" customWidth="1"/>
    <col min="6893" max="6893" width="2" style="2" customWidth="1"/>
    <col min="6894" max="6894" width="9.53515625" style="2" customWidth="1"/>
    <col min="6895" max="7137" width="9.07421875" style="2"/>
    <col min="7138" max="7138" width="4.53515625" style="2" customWidth="1"/>
    <col min="7139" max="7139" width="1" style="2" customWidth="1"/>
    <col min="7140" max="7140" width="18" style="2" customWidth="1"/>
    <col min="7141" max="7141" width="1.84375" style="2" customWidth="1"/>
    <col min="7142" max="7142" width="12.53515625" style="2" customWidth="1"/>
    <col min="7143" max="7143" width="1.53515625" style="2" customWidth="1"/>
    <col min="7144" max="7144" width="9.53515625" style="2" customWidth="1"/>
    <col min="7145" max="7145" width="1.84375" style="2" customWidth="1"/>
    <col min="7146" max="7146" width="11.84375" style="2" customWidth="1"/>
    <col min="7147" max="7147" width="1.53515625" style="2" customWidth="1"/>
    <col min="7148" max="7148" width="10.07421875" style="2" customWidth="1"/>
    <col min="7149" max="7149" width="2" style="2" customWidth="1"/>
    <col min="7150" max="7150" width="9.53515625" style="2" customWidth="1"/>
    <col min="7151" max="7393" width="9.07421875" style="2"/>
    <col min="7394" max="7394" width="4.53515625" style="2" customWidth="1"/>
    <col min="7395" max="7395" width="1" style="2" customWidth="1"/>
    <col min="7396" max="7396" width="18" style="2" customWidth="1"/>
    <col min="7397" max="7397" width="1.84375" style="2" customWidth="1"/>
    <col min="7398" max="7398" width="12.53515625" style="2" customWidth="1"/>
    <col min="7399" max="7399" width="1.53515625" style="2" customWidth="1"/>
    <col min="7400" max="7400" width="9.53515625" style="2" customWidth="1"/>
    <col min="7401" max="7401" width="1.84375" style="2" customWidth="1"/>
    <col min="7402" max="7402" width="11.84375" style="2" customWidth="1"/>
    <col min="7403" max="7403" width="1.53515625" style="2" customWidth="1"/>
    <col min="7404" max="7404" width="10.07421875" style="2" customWidth="1"/>
    <col min="7405" max="7405" width="2" style="2" customWidth="1"/>
    <col min="7406" max="7406" width="9.53515625" style="2" customWidth="1"/>
    <col min="7407" max="7649" width="9.07421875" style="2"/>
    <col min="7650" max="7650" width="4.53515625" style="2" customWidth="1"/>
    <col min="7651" max="7651" width="1" style="2" customWidth="1"/>
    <col min="7652" max="7652" width="18" style="2" customWidth="1"/>
    <col min="7653" max="7653" width="1.84375" style="2" customWidth="1"/>
    <col min="7654" max="7654" width="12.53515625" style="2" customWidth="1"/>
    <col min="7655" max="7655" width="1.53515625" style="2" customWidth="1"/>
    <col min="7656" max="7656" width="9.53515625" style="2" customWidth="1"/>
    <col min="7657" max="7657" width="1.84375" style="2" customWidth="1"/>
    <col min="7658" max="7658" width="11.84375" style="2" customWidth="1"/>
    <col min="7659" max="7659" width="1.53515625" style="2" customWidth="1"/>
    <col min="7660" max="7660" width="10.07421875" style="2" customWidth="1"/>
    <col min="7661" max="7661" width="2" style="2" customWidth="1"/>
    <col min="7662" max="7662" width="9.53515625" style="2" customWidth="1"/>
    <col min="7663" max="7905" width="9.07421875" style="2"/>
    <col min="7906" max="7906" width="4.53515625" style="2" customWidth="1"/>
    <col min="7907" max="7907" width="1" style="2" customWidth="1"/>
    <col min="7908" max="7908" width="18" style="2" customWidth="1"/>
    <col min="7909" max="7909" width="1.84375" style="2" customWidth="1"/>
    <col min="7910" max="7910" width="12.53515625" style="2" customWidth="1"/>
    <col min="7911" max="7911" width="1.53515625" style="2" customWidth="1"/>
    <col min="7912" max="7912" width="9.53515625" style="2" customWidth="1"/>
    <col min="7913" max="7913" width="1.84375" style="2" customWidth="1"/>
    <col min="7914" max="7914" width="11.84375" style="2" customWidth="1"/>
    <col min="7915" max="7915" width="1.53515625" style="2" customWidth="1"/>
    <col min="7916" max="7916" width="10.07421875" style="2" customWidth="1"/>
    <col min="7917" max="7917" width="2" style="2" customWidth="1"/>
    <col min="7918" max="7918" width="9.53515625" style="2" customWidth="1"/>
    <col min="7919" max="8161" width="9.07421875" style="2"/>
    <col min="8162" max="8162" width="4.53515625" style="2" customWidth="1"/>
    <col min="8163" max="8163" width="1" style="2" customWidth="1"/>
    <col min="8164" max="8164" width="18" style="2" customWidth="1"/>
    <col min="8165" max="8165" width="1.84375" style="2" customWidth="1"/>
    <col min="8166" max="8166" width="12.53515625" style="2" customWidth="1"/>
    <col min="8167" max="8167" width="1.53515625" style="2" customWidth="1"/>
    <col min="8168" max="8168" width="9.53515625" style="2" customWidth="1"/>
    <col min="8169" max="8169" width="1.84375" style="2" customWidth="1"/>
    <col min="8170" max="8170" width="11.84375" style="2" customWidth="1"/>
    <col min="8171" max="8171" width="1.53515625" style="2" customWidth="1"/>
    <col min="8172" max="8172" width="10.07421875" style="2" customWidth="1"/>
    <col min="8173" max="8173" width="2" style="2" customWidth="1"/>
    <col min="8174" max="8174" width="9.53515625" style="2" customWidth="1"/>
    <col min="8175" max="8417" width="9.07421875" style="2"/>
    <col min="8418" max="8418" width="4.53515625" style="2" customWidth="1"/>
    <col min="8419" max="8419" width="1" style="2" customWidth="1"/>
    <col min="8420" max="8420" width="18" style="2" customWidth="1"/>
    <col min="8421" max="8421" width="1.84375" style="2" customWidth="1"/>
    <col min="8422" max="8422" width="12.53515625" style="2" customWidth="1"/>
    <col min="8423" max="8423" width="1.53515625" style="2" customWidth="1"/>
    <col min="8424" max="8424" width="9.53515625" style="2" customWidth="1"/>
    <col min="8425" max="8425" width="1.84375" style="2" customWidth="1"/>
    <col min="8426" max="8426" width="11.84375" style="2" customWidth="1"/>
    <col min="8427" max="8427" width="1.53515625" style="2" customWidth="1"/>
    <col min="8428" max="8428" width="10.07421875" style="2" customWidth="1"/>
    <col min="8429" max="8429" width="2" style="2" customWidth="1"/>
    <col min="8430" max="8430" width="9.53515625" style="2" customWidth="1"/>
    <col min="8431" max="8673" width="9.07421875" style="2"/>
    <col min="8674" max="8674" width="4.53515625" style="2" customWidth="1"/>
    <col min="8675" max="8675" width="1" style="2" customWidth="1"/>
    <col min="8676" max="8676" width="18" style="2" customWidth="1"/>
    <col min="8677" max="8677" width="1.84375" style="2" customWidth="1"/>
    <col min="8678" max="8678" width="12.53515625" style="2" customWidth="1"/>
    <col min="8679" max="8679" width="1.53515625" style="2" customWidth="1"/>
    <col min="8680" max="8680" width="9.53515625" style="2" customWidth="1"/>
    <col min="8681" max="8681" width="1.84375" style="2" customWidth="1"/>
    <col min="8682" max="8682" width="11.84375" style="2" customWidth="1"/>
    <col min="8683" max="8683" width="1.53515625" style="2" customWidth="1"/>
    <col min="8684" max="8684" width="10.07421875" style="2" customWidth="1"/>
    <col min="8685" max="8685" width="2" style="2" customWidth="1"/>
    <col min="8686" max="8686" width="9.53515625" style="2" customWidth="1"/>
    <col min="8687" max="8929" width="9.07421875" style="2"/>
    <col min="8930" max="8930" width="4.53515625" style="2" customWidth="1"/>
    <col min="8931" max="8931" width="1" style="2" customWidth="1"/>
    <col min="8932" max="8932" width="18" style="2" customWidth="1"/>
    <col min="8933" max="8933" width="1.84375" style="2" customWidth="1"/>
    <col min="8934" max="8934" width="12.53515625" style="2" customWidth="1"/>
    <col min="8935" max="8935" width="1.53515625" style="2" customWidth="1"/>
    <col min="8936" max="8936" width="9.53515625" style="2" customWidth="1"/>
    <col min="8937" max="8937" width="1.84375" style="2" customWidth="1"/>
    <col min="8938" max="8938" width="11.84375" style="2" customWidth="1"/>
    <col min="8939" max="8939" width="1.53515625" style="2" customWidth="1"/>
    <col min="8940" max="8940" width="10.07421875" style="2" customWidth="1"/>
    <col min="8941" max="8941" width="2" style="2" customWidth="1"/>
    <col min="8942" max="8942" width="9.53515625" style="2" customWidth="1"/>
    <col min="8943" max="9185" width="9.07421875" style="2"/>
    <col min="9186" max="9186" width="4.53515625" style="2" customWidth="1"/>
    <col min="9187" max="9187" width="1" style="2" customWidth="1"/>
    <col min="9188" max="9188" width="18" style="2" customWidth="1"/>
    <col min="9189" max="9189" width="1.84375" style="2" customWidth="1"/>
    <col min="9190" max="9190" width="12.53515625" style="2" customWidth="1"/>
    <col min="9191" max="9191" width="1.53515625" style="2" customWidth="1"/>
    <col min="9192" max="9192" width="9.53515625" style="2" customWidth="1"/>
    <col min="9193" max="9193" width="1.84375" style="2" customWidth="1"/>
    <col min="9194" max="9194" width="11.84375" style="2" customWidth="1"/>
    <col min="9195" max="9195" width="1.53515625" style="2" customWidth="1"/>
    <col min="9196" max="9196" width="10.07421875" style="2" customWidth="1"/>
    <col min="9197" max="9197" width="2" style="2" customWidth="1"/>
    <col min="9198" max="9198" width="9.53515625" style="2" customWidth="1"/>
    <col min="9199" max="9441" width="9.07421875" style="2"/>
    <col min="9442" max="9442" width="4.53515625" style="2" customWidth="1"/>
    <col min="9443" max="9443" width="1" style="2" customWidth="1"/>
    <col min="9444" max="9444" width="18" style="2" customWidth="1"/>
    <col min="9445" max="9445" width="1.84375" style="2" customWidth="1"/>
    <col min="9446" max="9446" width="12.53515625" style="2" customWidth="1"/>
    <col min="9447" max="9447" width="1.53515625" style="2" customWidth="1"/>
    <col min="9448" max="9448" width="9.53515625" style="2" customWidth="1"/>
    <col min="9449" max="9449" width="1.84375" style="2" customWidth="1"/>
    <col min="9450" max="9450" width="11.84375" style="2" customWidth="1"/>
    <col min="9451" max="9451" width="1.53515625" style="2" customWidth="1"/>
    <col min="9452" max="9452" width="10.07421875" style="2" customWidth="1"/>
    <col min="9453" max="9453" width="2" style="2" customWidth="1"/>
    <col min="9454" max="9454" width="9.53515625" style="2" customWidth="1"/>
    <col min="9455" max="9697" width="9.07421875" style="2"/>
    <col min="9698" max="9698" width="4.53515625" style="2" customWidth="1"/>
    <col min="9699" max="9699" width="1" style="2" customWidth="1"/>
    <col min="9700" max="9700" width="18" style="2" customWidth="1"/>
    <col min="9701" max="9701" width="1.84375" style="2" customWidth="1"/>
    <col min="9702" max="9702" width="12.53515625" style="2" customWidth="1"/>
    <col min="9703" max="9703" width="1.53515625" style="2" customWidth="1"/>
    <col min="9704" max="9704" width="9.53515625" style="2" customWidth="1"/>
    <col min="9705" max="9705" width="1.84375" style="2" customWidth="1"/>
    <col min="9706" max="9706" width="11.84375" style="2" customWidth="1"/>
    <col min="9707" max="9707" width="1.53515625" style="2" customWidth="1"/>
    <col min="9708" max="9708" width="10.07421875" style="2" customWidth="1"/>
    <col min="9709" max="9709" width="2" style="2" customWidth="1"/>
    <col min="9710" max="9710" width="9.53515625" style="2" customWidth="1"/>
    <col min="9711" max="9953" width="9.07421875" style="2"/>
    <col min="9954" max="9954" width="4.53515625" style="2" customWidth="1"/>
    <col min="9955" max="9955" width="1" style="2" customWidth="1"/>
    <col min="9956" max="9956" width="18" style="2" customWidth="1"/>
    <col min="9957" max="9957" width="1.84375" style="2" customWidth="1"/>
    <col min="9958" max="9958" width="12.53515625" style="2" customWidth="1"/>
    <col min="9959" max="9959" width="1.53515625" style="2" customWidth="1"/>
    <col min="9960" max="9960" width="9.53515625" style="2" customWidth="1"/>
    <col min="9961" max="9961" width="1.84375" style="2" customWidth="1"/>
    <col min="9962" max="9962" width="11.84375" style="2" customWidth="1"/>
    <col min="9963" max="9963" width="1.53515625" style="2" customWidth="1"/>
    <col min="9964" max="9964" width="10.07421875" style="2" customWidth="1"/>
    <col min="9965" max="9965" width="2" style="2" customWidth="1"/>
    <col min="9966" max="9966" width="9.53515625" style="2" customWidth="1"/>
    <col min="9967" max="10209" width="9.07421875" style="2"/>
    <col min="10210" max="10210" width="4.53515625" style="2" customWidth="1"/>
    <col min="10211" max="10211" width="1" style="2" customWidth="1"/>
    <col min="10212" max="10212" width="18" style="2" customWidth="1"/>
    <col min="10213" max="10213" width="1.84375" style="2" customWidth="1"/>
    <col min="10214" max="10214" width="12.53515625" style="2" customWidth="1"/>
    <col min="10215" max="10215" width="1.53515625" style="2" customWidth="1"/>
    <col min="10216" max="10216" width="9.53515625" style="2" customWidth="1"/>
    <col min="10217" max="10217" width="1.84375" style="2" customWidth="1"/>
    <col min="10218" max="10218" width="11.84375" style="2" customWidth="1"/>
    <col min="10219" max="10219" width="1.53515625" style="2" customWidth="1"/>
    <col min="10220" max="10220" width="10.07421875" style="2" customWidth="1"/>
    <col min="10221" max="10221" width="2" style="2" customWidth="1"/>
    <col min="10222" max="10222" width="9.53515625" style="2" customWidth="1"/>
    <col min="10223" max="10465" width="9.07421875" style="2"/>
    <col min="10466" max="10466" width="4.53515625" style="2" customWidth="1"/>
    <col min="10467" max="10467" width="1" style="2" customWidth="1"/>
    <col min="10468" max="10468" width="18" style="2" customWidth="1"/>
    <col min="10469" max="10469" width="1.84375" style="2" customWidth="1"/>
    <col min="10470" max="10470" width="12.53515625" style="2" customWidth="1"/>
    <col min="10471" max="10471" width="1.53515625" style="2" customWidth="1"/>
    <col min="10472" max="10472" width="9.53515625" style="2" customWidth="1"/>
    <col min="10473" max="10473" width="1.84375" style="2" customWidth="1"/>
    <col min="10474" max="10474" width="11.84375" style="2" customWidth="1"/>
    <col min="10475" max="10475" width="1.53515625" style="2" customWidth="1"/>
    <col min="10476" max="10476" width="10.07421875" style="2" customWidth="1"/>
    <col min="10477" max="10477" width="2" style="2" customWidth="1"/>
    <col min="10478" max="10478" width="9.53515625" style="2" customWidth="1"/>
    <col min="10479" max="10721" width="9.07421875" style="2"/>
    <col min="10722" max="10722" width="4.53515625" style="2" customWidth="1"/>
    <col min="10723" max="10723" width="1" style="2" customWidth="1"/>
    <col min="10724" max="10724" width="18" style="2" customWidth="1"/>
    <col min="10725" max="10725" width="1.84375" style="2" customWidth="1"/>
    <col min="10726" max="10726" width="12.53515625" style="2" customWidth="1"/>
    <col min="10727" max="10727" width="1.53515625" style="2" customWidth="1"/>
    <col min="10728" max="10728" width="9.53515625" style="2" customWidth="1"/>
    <col min="10729" max="10729" width="1.84375" style="2" customWidth="1"/>
    <col min="10730" max="10730" width="11.84375" style="2" customWidth="1"/>
    <col min="10731" max="10731" width="1.53515625" style="2" customWidth="1"/>
    <col min="10732" max="10732" width="10.07421875" style="2" customWidth="1"/>
    <col min="10733" max="10733" width="2" style="2" customWidth="1"/>
    <col min="10734" max="10734" width="9.53515625" style="2" customWidth="1"/>
    <col min="10735" max="10977" width="9.07421875" style="2"/>
    <col min="10978" max="10978" width="4.53515625" style="2" customWidth="1"/>
    <col min="10979" max="10979" width="1" style="2" customWidth="1"/>
    <col min="10980" max="10980" width="18" style="2" customWidth="1"/>
    <col min="10981" max="10981" width="1.84375" style="2" customWidth="1"/>
    <col min="10982" max="10982" width="12.53515625" style="2" customWidth="1"/>
    <col min="10983" max="10983" width="1.53515625" style="2" customWidth="1"/>
    <col min="10984" max="10984" width="9.53515625" style="2" customWidth="1"/>
    <col min="10985" max="10985" width="1.84375" style="2" customWidth="1"/>
    <col min="10986" max="10986" width="11.84375" style="2" customWidth="1"/>
    <col min="10987" max="10987" width="1.53515625" style="2" customWidth="1"/>
    <col min="10988" max="10988" width="10.07421875" style="2" customWidth="1"/>
    <col min="10989" max="10989" width="2" style="2" customWidth="1"/>
    <col min="10990" max="10990" width="9.53515625" style="2" customWidth="1"/>
    <col min="10991" max="11233" width="9.07421875" style="2"/>
    <col min="11234" max="11234" width="4.53515625" style="2" customWidth="1"/>
    <col min="11235" max="11235" width="1" style="2" customWidth="1"/>
    <col min="11236" max="11236" width="18" style="2" customWidth="1"/>
    <col min="11237" max="11237" width="1.84375" style="2" customWidth="1"/>
    <col min="11238" max="11238" width="12.53515625" style="2" customWidth="1"/>
    <col min="11239" max="11239" width="1.53515625" style="2" customWidth="1"/>
    <col min="11240" max="11240" width="9.53515625" style="2" customWidth="1"/>
    <col min="11241" max="11241" width="1.84375" style="2" customWidth="1"/>
    <col min="11242" max="11242" width="11.84375" style="2" customWidth="1"/>
    <col min="11243" max="11243" width="1.53515625" style="2" customWidth="1"/>
    <col min="11244" max="11244" width="10.07421875" style="2" customWidth="1"/>
    <col min="11245" max="11245" width="2" style="2" customWidth="1"/>
    <col min="11246" max="11246" width="9.53515625" style="2" customWidth="1"/>
    <col min="11247" max="11489" width="9.07421875" style="2"/>
    <col min="11490" max="11490" width="4.53515625" style="2" customWidth="1"/>
    <col min="11491" max="11491" width="1" style="2" customWidth="1"/>
    <col min="11492" max="11492" width="18" style="2" customWidth="1"/>
    <col min="11493" max="11493" width="1.84375" style="2" customWidth="1"/>
    <col min="11494" max="11494" width="12.53515625" style="2" customWidth="1"/>
    <col min="11495" max="11495" width="1.53515625" style="2" customWidth="1"/>
    <col min="11496" max="11496" width="9.53515625" style="2" customWidth="1"/>
    <col min="11497" max="11497" width="1.84375" style="2" customWidth="1"/>
    <col min="11498" max="11498" width="11.84375" style="2" customWidth="1"/>
    <col min="11499" max="11499" width="1.53515625" style="2" customWidth="1"/>
    <col min="11500" max="11500" width="10.07421875" style="2" customWidth="1"/>
    <col min="11501" max="11501" width="2" style="2" customWidth="1"/>
    <col min="11502" max="11502" width="9.53515625" style="2" customWidth="1"/>
    <col min="11503" max="11745" width="9.07421875" style="2"/>
    <col min="11746" max="11746" width="4.53515625" style="2" customWidth="1"/>
    <col min="11747" max="11747" width="1" style="2" customWidth="1"/>
    <col min="11748" max="11748" width="18" style="2" customWidth="1"/>
    <col min="11749" max="11749" width="1.84375" style="2" customWidth="1"/>
    <col min="11750" max="11750" width="12.53515625" style="2" customWidth="1"/>
    <col min="11751" max="11751" width="1.53515625" style="2" customWidth="1"/>
    <col min="11752" max="11752" width="9.53515625" style="2" customWidth="1"/>
    <col min="11753" max="11753" width="1.84375" style="2" customWidth="1"/>
    <col min="11754" max="11754" width="11.84375" style="2" customWidth="1"/>
    <col min="11755" max="11755" width="1.53515625" style="2" customWidth="1"/>
    <col min="11756" max="11756" width="10.07421875" style="2" customWidth="1"/>
    <col min="11757" max="11757" width="2" style="2" customWidth="1"/>
    <col min="11758" max="11758" width="9.53515625" style="2" customWidth="1"/>
    <col min="11759" max="12001" width="9.07421875" style="2"/>
    <col min="12002" max="12002" width="4.53515625" style="2" customWidth="1"/>
    <col min="12003" max="12003" width="1" style="2" customWidth="1"/>
    <col min="12004" max="12004" width="18" style="2" customWidth="1"/>
    <col min="12005" max="12005" width="1.84375" style="2" customWidth="1"/>
    <col min="12006" max="12006" width="12.53515625" style="2" customWidth="1"/>
    <col min="12007" max="12007" width="1.53515625" style="2" customWidth="1"/>
    <col min="12008" max="12008" width="9.53515625" style="2" customWidth="1"/>
    <col min="12009" max="12009" width="1.84375" style="2" customWidth="1"/>
    <col min="12010" max="12010" width="11.84375" style="2" customWidth="1"/>
    <col min="12011" max="12011" width="1.53515625" style="2" customWidth="1"/>
    <col min="12012" max="12012" width="10.07421875" style="2" customWidth="1"/>
    <col min="12013" max="12013" width="2" style="2" customWidth="1"/>
    <col min="12014" max="12014" width="9.53515625" style="2" customWidth="1"/>
    <col min="12015" max="12257" width="9.07421875" style="2"/>
    <col min="12258" max="12258" width="4.53515625" style="2" customWidth="1"/>
    <col min="12259" max="12259" width="1" style="2" customWidth="1"/>
    <col min="12260" max="12260" width="18" style="2" customWidth="1"/>
    <col min="12261" max="12261" width="1.84375" style="2" customWidth="1"/>
    <col min="12262" max="12262" width="12.53515625" style="2" customWidth="1"/>
    <col min="12263" max="12263" width="1.53515625" style="2" customWidth="1"/>
    <col min="12264" max="12264" width="9.53515625" style="2" customWidth="1"/>
    <col min="12265" max="12265" width="1.84375" style="2" customWidth="1"/>
    <col min="12266" max="12266" width="11.84375" style="2" customWidth="1"/>
    <col min="12267" max="12267" width="1.53515625" style="2" customWidth="1"/>
    <col min="12268" max="12268" width="10.07421875" style="2" customWidth="1"/>
    <col min="12269" max="12269" width="2" style="2" customWidth="1"/>
    <col min="12270" max="12270" width="9.53515625" style="2" customWidth="1"/>
    <col min="12271" max="12513" width="9.07421875" style="2"/>
    <col min="12514" max="12514" width="4.53515625" style="2" customWidth="1"/>
    <col min="12515" max="12515" width="1" style="2" customWidth="1"/>
    <col min="12516" max="12516" width="18" style="2" customWidth="1"/>
    <col min="12517" max="12517" width="1.84375" style="2" customWidth="1"/>
    <col min="12518" max="12518" width="12.53515625" style="2" customWidth="1"/>
    <col min="12519" max="12519" width="1.53515625" style="2" customWidth="1"/>
    <col min="12520" max="12520" width="9.53515625" style="2" customWidth="1"/>
    <col min="12521" max="12521" width="1.84375" style="2" customWidth="1"/>
    <col min="12522" max="12522" width="11.84375" style="2" customWidth="1"/>
    <col min="12523" max="12523" width="1.53515625" style="2" customWidth="1"/>
    <col min="12524" max="12524" width="10.07421875" style="2" customWidth="1"/>
    <col min="12525" max="12525" width="2" style="2" customWidth="1"/>
    <col min="12526" max="12526" width="9.53515625" style="2" customWidth="1"/>
    <col min="12527" max="12769" width="9.07421875" style="2"/>
    <col min="12770" max="12770" width="4.53515625" style="2" customWidth="1"/>
    <col min="12771" max="12771" width="1" style="2" customWidth="1"/>
    <col min="12772" max="12772" width="18" style="2" customWidth="1"/>
    <col min="12773" max="12773" width="1.84375" style="2" customWidth="1"/>
    <col min="12774" max="12774" width="12.53515625" style="2" customWidth="1"/>
    <col min="12775" max="12775" width="1.53515625" style="2" customWidth="1"/>
    <col min="12776" max="12776" width="9.53515625" style="2" customWidth="1"/>
    <col min="12777" max="12777" width="1.84375" style="2" customWidth="1"/>
    <col min="12778" max="12778" width="11.84375" style="2" customWidth="1"/>
    <col min="12779" max="12779" width="1.53515625" style="2" customWidth="1"/>
    <col min="12780" max="12780" width="10.07421875" style="2" customWidth="1"/>
    <col min="12781" max="12781" width="2" style="2" customWidth="1"/>
    <col min="12782" max="12782" width="9.53515625" style="2" customWidth="1"/>
    <col min="12783" max="13025" width="9.07421875" style="2"/>
    <col min="13026" max="13026" width="4.53515625" style="2" customWidth="1"/>
    <col min="13027" max="13027" width="1" style="2" customWidth="1"/>
    <col min="13028" max="13028" width="18" style="2" customWidth="1"/>
    <col min="13029" max="13029" width="1.84375" style="2" customWidth="1"/>
    <col min="13030" max="13030" width="12.53515625" style="2" customWidth="1"/>
    <col min="13031" max="13031" width="1.53515625" style="2" customWidth="1"/>
    <col min="13032" max="13032" width="9.53515625" style="2" customWidth="1"/>
    <col min="13033" max="13033" width="1.84375" style="2" customWidth="1"/>
    <col min="13034" max="13034" width="11.84375" style="2" customWidth="1"/>
    <col min="13035" max="13035" width="1.53515625" style="2" customWidth="1"/>
    <col min="13036" max="13036" width="10.07421875" style="2" customWidth="1"/>
    <col min="13037" max="13037" width="2" style="2" customWidth="1"/>
    <col min="13038" max="13038" width="9.53515625" style="2" customWidth="1"/>
    <col min="13039" max="13281" width="9.07421875" style="2"/>
    <col min="13282" max="13282" width="4.53515625" style="2" customWidth="1"/>
    <col min="13283" max="13283" width="1" style="2" customWidth="1"/>
    <col min="13284" max="13284" width="18" style="2" customWidth="1"/>
    <col min="13285" max="13285" width="1.84375" style="2" customWidth="1"/>
    <col min="13286" max="13286" width="12.53515625" style="2" customWidth="1"/>
    <col min="13287" max="13287" width="1.53515625" style="2" customWidth="1"/>
    <col min="13288" max="13288" width="9.53515625" style="2" customWidth="1"/>
    <col min="13289" max="13289" width="1.84375" style="2" customWidth="1"/>
    <col min="13290" max="13290" width="11.84375" style="2" customWidth="1"/>
    <col min="13291" max="13291" width="1.53515625" style="2" customWidth="1"/>
    <col min="13292" max="13292" width="10.07421875" style="2" customWidth="1"/>
    <col min="13293" max="13293" width="2" style="2" customWidth="1"/>
    <col min="13294" max="13294" width="9.53515625" style="2" customWidth="1"/>
    <col min="13295" max="13537" width="9.07421875" style="2"/>
    <col min="13538" max="13538" width="4.53515625" style="2" customWidth="1"/>
    <col min="13539" max="13539" width="1" style="2" customWidth="1"/>
    <col min="13540" max="13540" width="18" style="2" customWidth="1"/>
    <col min="13541" max="13541" width="1.84375" style="2" customWidth="1"/>
    <col min="13542" max="13542" width="12.53515625" style="2" customWidth="1"/>
    <col min="13543" max="13543" width="1.53515625" style="2" customWidth="1"/>
    <col min="13544" max="13544" width="9.53515625" style="2" customWidth="1"/>
    <col min="13545" max="13545" width="1.84375" style="2" customWidth="1"/>
    <col min="13546" max="13546" width="11.84375" style="2" customWidth="1"/>
    <col min="13547" max="13547" width="1.53515625" style="2" customWidth="1"/>
    <col min="13548" max="13548" width="10.07421875" style="2" customWidth="1"/>
    <col min="13549" max="13549" width="2" style="2" customWidth="1"/>
    <col min="13550" max="13550" width="9.53515625" style="2" customWidth="1"/>
    <col min="13551" max="13793" width="9.07421875" style="2"/>
    <col min="13794" max="13794" width="4.53515625" style="2" customWidth="1"/>
    <col min="13795" max="13795" width="1" style="2" customWidth="1"/>
    <col min="13796" max="13796" width="18" style="2" customWidth="1"/>
    <col min="13797" max="13797" width="1.84375" style="2" customWidth="1"/>
    <col min="13798" max="13798" width="12.53515625" style="2" customWidth="1"/>
    <col min="13799" max="13799" width="1.53515625" style="2" customWidth="1"/>
    <col min="13800" max="13800" width="9.53515625" style="2" customWidth="1"/>
    <col min="13801" max="13801" width="1.84375" style="2" customWidth="1"/>
    <col min="13802" max="13802" width="11.84375" style="2" customWidth="1"/>
    <col min="13803" max="13803" width="1.53515625" style="2" customWidth="1"/>
    <col min="13804" max="13804" width="10.07421875" style="2" customWidth="1"/>
    <col min="13805" max="13805" width="2" style="2" customWidth="1"/>
    <col min="13806" max="13806" width="9.53515625" style="2" customWidth="1"/>
    <col min="13807" max="14049" width="9.07421875" style="2"/>
    <col min="14050" max="14050" width="4.53515625" style="2" customWidth="1"/>
    <col min="14051" max="14051" width="1" style="2" customWidth="1"/>
    <col min="14052" max="14052" width="18" style="2" customWidth="1"/>
    <col min="14053" max="14053" width="1.84375" style="2" customWidth="1"/>
    <col min="14054" max="14054" width="12.53515625" style="2" customWidth="1"/>
    <col min="14055" max="14055" width="1.53515625" style="2" customWidth="1"/>
    <col min="14056" max="14056" width="9.53515625" style="2" customWidth="1"/>
    <col min="14057" max="14057" width="1.84375" style="2" customWidth="1"/>
    <col min="14058" max="14058" width="11.84375" style="2" customWidth="1"/>
    <col min="14059" max="14059" width="1.53515625" style="2" customWidth="1"/>
    <col min="14060" max="14060" width="10.07421875" style="2" customWidth="1"/>
    <col min="14061" max="14061" width="2" style="2" customWidth="1"/>
    <col min="14062" max="14062" width="9.53515625" style="2" customWidth="1"/>
    <col min="14063" max="14305" width="9.07421875" style="2"/>
    <col min="14306" max="14306" width="4.53515625" style="2" customWidth="1"/>
    <col min="14307" max="14307" width="1" style="2" customWidth="1"/>
    <col min="14308" max="14308" width="18" style="2" customWidth="1"/>
    <col min="14309" max="14309" width="1.84375" style="2" customWidth="1"/>
    <col min="14310" max="14310" width="12.53515625" style="2" customWidth="1"/>
    <col min="14311" max="14311" width="1.53515625" style="2" customWidth="1"/>
    <col min="14312" max="14312" width="9.53515625" style="2" customWidth="1"/>
    <col min="14313" max="14313" width="1.84375" style="2" customWidth="1"/>
    <col min="14314" max="14314" width="11.84375" style="2" customWidth="1"/>
    <col min="14315" max="14315" width="1.53515625" style="2" customWidth="1"/>
    <col min="14316" max="14316" width="10.07421875" style="2" customWidth="1"/>
    <col min="14317" max="14317" width="2" style="2" customWidth="1"/>
    <col min="14318" max="14318" width="9.53515625" style="2" customWidth="1"/>
    <col min="14319" max="14561" width="9.07421875" style="2"/>
    <col min="14562" max="14562" width="4.53515625" style="2" customWidth="1"/>
    <col min="14563" max="14563" width="1" style="2" customWidth="1"/>
    <col min="14564" max="14564" width="18" style="2" customWidth="1"/>
    <col min="14565" max="14565" width="1.84375" style="2" customWidth="1"/>
    <col min="14566" max="14566" width="12.53515625" style="2" customWidth="1"/>
    <col min="14567" max="14567" width="1.53515625" style="2" customWidth="1"/>
    <col min="14568" max="14568" width="9.53515625" style="2" customWidth="1"/>
    <col min="14569" max="14569" width="1.84375" style="2" customWidth="1"/>
    <col min="14570" max="14570" width="11.84375" style="2" customWidth="1"/>
    <col min="14571" max="14571" width="1.53515625" style="2" customWidth="1"/>
    <col min="14572" max="14572" width="10.07421875" style="2" customWidth="1"/>
    <col min="14573" max="14573" width="2" style="2" customWidth="1"/>
    <col min="14574" max="14574" width="9.53515625" style="2" customWidth="1"/>
    <col min="14575" max="14817" width="9.07421875" style="2"/>
    <col min="14818" max="14818" width="4.53515625" style="2" customWidth="1"/>
    <col min="14819" max="14819" width="1" style="2" customWidth="1"/>
    <col min="14820" max="14820" width="18" style="2" customWidth="1"/>
    <col min="14821" max="14821" width="1.84375" style="2" customWidth="1"/>
    <col min="14822" max="14822" width="12.53515625" style="2" customWidth="1"/>
    <col min="14823" max="14823" width="1.53515625" style="2" customWidth="1"/>
    <col min="14824" max="14824" width="9.53515625" style="2" customWidth="1"/>
    <col min="14825" max="14825" width="1.84375" style="2" customWidth="1"/>
    <col min="14826" max="14826" width="11.84375" style="2" customWidth="1"/>
    <col min="14827" max="14827" width="1.53515625" style="2" customWidth="1"/>
    <col min="14828" max="14828" width="10.07421875" style="2" customWidth="1"/>
    <col min="14829" max="14829" width="2" style="2" customWidth="1"/>
    <col min="14830" max="14830" width="9.53515625" style="2" customWidth="1"/>
    <col min="14831" max="15073" width="9.07421875" style="2"/>
    <col min="15074" max="15074" width="4.53515625" style="2" customWidth="1"/>
    <col min="15075" max="15075" width="1" style="2" customWidth="1"/>
    <col min="15076" max="15076" width="18" style="2" customWidth="1"/>
    <col min="15077" max="15077" width="1.84375" style="2" customWidth="1"/>
    <col min="15078" max="15078" width="12.53515625" style="2" customWidth="1"/>
    <col min="15079" max="15079" width="1.53515625" style="2" customWidth="1"/>
    <col min="15080" max="15080" width="9.53515625" style="2" customWidth="1"/>
    <col min="15081" max="15081" width="1.84375" style="2" customWidth="1"/>
    <col min="15082" max="15082" width="11.84375" style="2" customWidth="1"/>
    <col min="15083" max="15083" width="1.53515625" style="2" customWidth="1"/>
    <col min="15084" max="15084" width="10.07421875" style="2" customWidth="1"/>
    <col min="15085" max="15085" width="2" style="2" customWidth="1"/>
    <col min="15086" max="15086" width="9.53515625" style="2" customWidth="1"/>
    <col min="15087" max="15329" width="9.07421875" style="2"/>
    <col min="15330" max="15330" width="4.53515625" style="2" customWidth="1"/>
    <col min="15331" max="15331" width="1" style="2" customWidth="1"/>
    <col min="15332" max="15332" width="18" style="2" customWidth="1"/>
    <col min="15333" max="15333" width="1.84375" style="2" customWidth="1"/>
    <col min="15334" max="15334" width="12.53515625" style="2" customWidth="1"/>
    <col min="15335" max="15335" width="1.53515625" style="2" customWidth="1"/>
    <col min="15336" max="15336" width="9.53515625" style="2" customWidth="1"/>
    <col min="15337" max="15337" width="1.84375" style="2" customWidth="1"/>
    <col min="15338" max="15338" width="11.84375" style="2" customWidth="1"/>
    <col min="15339" max="15339" width="1.53515625" style="2" customWidth="1"/>
    <col min="15340" max="15340" width="10.07421875" style="2" customWidth="1"/>
    <col min="15341" max="15341" width="2" style="2" customWidth="1"/>
    <col min="15342" max="15342" width="9.53515625" style="2" customWidth="1"/>
    <col min="15343" max="15585" width="9.07421875" style="2"/>
    <col min="15586" max="15586" width="4.53515625" style="2" customWidth="1"/>
    <col min="15587" max="15587" width="1" style="2" customWidth="1"/>
    <col min="15588" max="15588" width="18" style="2" customWidth="1"/>
    <col min="15589" max="15589" width="1.84375" style="2" customWidth="1"/>
    <col min="15590" max="15590" width="12.53515625" style="2" customWidth="1"/>
    <col min="15591" max="15591" width="1.53515625" style="2" customWidth="1"/>
    <col min="15592" max="15592" width="9.53515625" style="2" customWidth="1"/>
    <col min="15593" max="15593" width="1.84375" style="2" customWidth="1"/>
    <col min="15594" max="15594" width="11.84375" style="2" customWidth="1"/>
    <col min="15595" max="15595" width="1.53515625" style="2" customWidth="1"/>
    <col min="15596" max="15596" width="10.07421875" style="2" customWidth="1"/>
    <col min="15597" max="15597" width="2" style="2" customWidth="1"/>
    <col min="15598" max="15598" width="9.53515625" style="2" customWidth="1"/>
    <col min="15599" max="15841" width="9.07421875" style="2"/>
    <col min="15842" max="15842" width="4.53515625" style="2" customWidth="1"/>
    <col min="15843" max="15843" width="1" style="2" customWidth="1"/>
    <col min="15844" max="15844" width="18" style="2" customWidth="1"/>
    <col min="15845" max="15845" width="1.84375" style="2" customWidth="1"/>
    <col min="15846" max="15846" width="12.53515625" style="2" customWidth="1"/>
    <col min="15847" max="15847" width="1.53515625" style="2" customWidth="1"/>
    <col min="15848" max="15848" width="9.53515625" style="2" customWidth="1"/>
    <col min="15849" max="15849" width="1.84375" style="2" customWidth="1"/>
    <col min="15850" max="15850" width="11.84375" style="2" customWidth="1"/>
    <col min="15851" max="15851" width="1.53515625" style="2" customWidth="1"/>
    <col min="15852" max="15852" width="10.07421875" style="2" customWidth="1"/>
    <col min="15853" max="15853" width="2" style="2" customWidth="1"/>
    <col min="15854" max="15854" width="9.53515625" style="2" customWidth="1"/>
    <col min="15855" max="16097" width="9.07421875" style="2"/>
    <col min="16098" max="16098" width="4.53515625" style="2" customWidth="1"/>
    <col min="16099" max="16099" width="1" style="2" customWidth="1"/>
    <col min="16100" max="16100" width="18" style="2" customWidth="1"/>
    <col min="16101" max="16101" width="1.84375" style="2" customWidth="1"/>
    <col min="16102" max="16102" width="12.53515625" style="2" customWidth="1"/>
    <col min="16103" max="16103" width="1.53515625" style="2" customWidth="1"/>
    <col min="16104" max="16104" width="9.53515625" style="2" customWidth="1"/>
    <col min="16105" max="16105" width="1.84375" style="2" customWidth="1"/>
    <col min="16106" max="16106" width="11.84375" style="2" customWidth="1"/>
    <col min="16107" max="16107" width="1.53515625" style="2" customWidth="1"/>
    <col min="16108" max="16108" width="10.07421875" style="2" customWidth="1"/>
    <col min="16109" max="16109" width="2" style="2" customWidth="1"/>
    <col min="16110" max="16110" width="9.53515625" style="2" customWidth="1"/>
    <col min="16111" max="16368" width="9.07421875" style="2"/>
    <col min="16369" max="16371" width="9.07421875" style="2" customWidth="1"/>
    <col min="16372" max="16384" width="9.07421875" style="2"/>
  </cols>
  <sheetData>
    <row r="8" spans="2:26" ht="15" customHeight="1" x14ac:dyDescent="0.3">
      <c r="B8" s="97" t="s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2:26" x14ac:dyDescent="0.3">
      <c r="B9" s="97" t="s">
        <v>1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2:26" x14ac:dyDescent="0.3">
      <c r="B10" s="56"/>
      <c r="C10" s="56"/>
      <c r="D10" s="56"/>
      <c r="E10" s="56"/>
      <c r="F10" s="57"/>
      <c r="G10" s="56"/>
      <c r="H10" s="57"/>
      <c r="I10" s="56"/>
      <c r="J10" s="57"/>
      <c r="K10" s="57"/>
      <c r="L10" s="57"/>
      <c r="M10" s="57"/>
      <c r="N10" s="57"/>
      <c r="O10" s="56"/>
      <c r="P10" s="56"/>
      <c r="Q10" s="56"/>
      <c r="R10" s="56"/>
      <c r="S10" s="56"/>
      <c r="T10" s="56"/>
      <c r="U10" s="56"/>
      <c r="V10" s="56"/>
      <c r="W10" s="56"/>
      <c r="X10" s="3"/>
      <c r="Z10" s="3"/>
    </row>
    <row r="11" spans="2:26" x14ac:dyDescent="0.3">
      <c r="B11" s="57"/>
      <c r="C11" s="57"/>
      <c r="D11" s="57"/>
      <c r="E11" s="57"/>
      <c r="F11" s="56"/>
      <c r="G11" s="57"/>
      <c r="H11" s="56"/>
      <c r="I11" s="57"/>
      <c r="J11" s="58" t="s">
        <v>2</v>
      </c>
      <c r="K11" s="58"/>
      <c r="L11" s="58"/>
      <c r="M11" s="57"/>
      <c r="N11" s="57"/>
      <c r="O11" s="57"/>
      <c r="P11" s="58" t="s">
        <v>3</v>
      </c>
      <c r="Q11" s="58"/>
      <c r="R11" s="58"/>
      <c r="S11" s="58"/>
      <c r="T11" s="58"/>
      <c r="U11" s="58"/>
      <c r="V11" s="58"/>
      <c r="W11" s="58"/>
      <c r="X11" s="4"/>
      <c r="Y11" s="4"/>
      <c r="Z11" s="4"/>
    </row>
    <row r="12" spans="2:26" x14ac:dyDescent="0.3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3"/>
      <c r="Z12" s="3"/>
    </row>
    <row r="13" spans="2:26" s="5" customFormat="1" ht="37.299999999999997" x14ac:dyDescent="0.3">
      <c r="B13" s="59" t="s">
        <v>4</v>
      </c>
      <c r="C13" s="59"/>
      <c r="D13" s="59"/>
      <c r="E13" s="59"/>
      <c r="F13" s="60" t="s">
        <v>5</v>
      </c>
      <c r="G13" s="59"/>
      <c r="H13" s="5" t="s">
        <v>6</v>
      </c>
      <c r="I13" s="59"/>
      <c r="J13" s="5" t="s">
        <v>7</v>
      </c>
      <c r="L13" s="5" t="s">
        <v>8</v>
      </c>
      <c r="M13" s="59"/>
      <c r="N13" s="5" t="s">
        <v>9</v>
      </c>
      <c r="O13" s="59"/>
      <c r="P13" s="59" t="s">
        <v>10</v>
      </c>
      <c r="Q13" s="59"/>
      <c r="R13" s="5" t="s">
        <v>11</v>
      </c>
      <c r="S13" s="59"/>
      <c r="T13" s="5" t="s">
        <v>7</v>
      </c>
      <c r="U13" s="59"/>
      <c r="V13" s="5" t="s">
        <v>8</v>
      </c>
      <c r="W13" s="59"/>
      <c r="X13" s="59" t="s">
        <v>12</v>
      </c>
      <c r="Y13" s="59"/>
      <c r="Z13" s="59" t="s">
        <v>13</v>
      </c>
    </row>
    <row r="14" spans="2:26" ht="14.15" x14ac:dyDescent="0.3">
      <c r="B14" s="61" t="s">
        <v>14</v>
      </c>
      <c r="C14" s="62"/>
      <c r="D14" s="63" t="s">
        <v>15</v>
      </c>
      <c r="E14" s="60"/>
      <c r="F14" s="61" t="s">
        <v>16</v>
      </c>
      <c r="G14" s="60"/>
      <c r="H14" s="61" t="s">
        <v>17</v>
      </c>
      <c r="I14" s="60"/>
      <c r="J14" s="61" t="s">
        <v>18</v>
      </c>
      <c r="L14" s="61" t="s">
        <v>19</v>
      </c>
      <c r="M14" s="60"/>
      <c r="N14" s="61" t="s">
        <v>18</v>
      </c>
      <c r="O14" s="60"/>
      <c r="P14" s="61" t="s">
        <v>18</v>
      </c>
      <c r="Q14" s="60"/>
      <c r="R14" s="61" t="s">
        <v>18</v>
      </c>
      <c r="S14" s="60"/>
      <c r="T14" s="61" t="s">
        <v>18</v>
      </c>
      <c r="U14" s="60"/>
      <c r="V14" s="61" t="s">
        <v>19</v>
      </c>
      <c r="W14" s="60"/>
      <c r="X14" s="61" t="s">
        <v>20</v>
      </c>
      <c r="Y14" s="60"/>
      <c r="Z14" s="61" t="s">
        <v>21</v>
      </c>
    </row>
    <row r="15" spans="2:26" x14ac:dyDescent="0.3">
      <c r="B15" s="60"/>
      <c r="C15" s="62"/>
      <c r="D15" s="62"/>
      <c r="E15" s="60"/>
      <c r="F15" s="60"/>
      <c r="G15" s="60"/>
      <c r="H15" s="60" t="s">
        <v>22</v>
      </c>
      <c r="I15" s="60"/>
      <c r="J15" s="60" t="s">
        <v>23</v>
      </c>
      <c r="K15" s="60"/>
      <c r="L15" s="60" t="s">
        <v>24</v>
      </c>
      <c r="M15" s="60"/>
      <c r="N15" s="60" t="s">
        <v>25</v>
      </c>
      <c r="O15" s="60"/>
      <c r="P15" s="60" t="s">
        <v>26</v>
      </c>
      <c r="Q15" s="60"/>
      <c r="R15" s="60" t="s">
        <v>27</v>
      </c>
      <c r="S15" s="60"/>
      <c r="T15" s="64" t="s">
        <v>28</v>
      </c>
      <c r="U15" s="60"/>
      <c r="V15" s="64" t="s">
        <v>29</v>
      </c>
      <c r="W15" s="60"/>
      <c r="X15" s="64" t="s">
        <v>30</v>
      </c>
      <c r="Y15" s="60"/>
      <c r="Z15" s="64" t="s">
        <v>31</v>
      </c>
    </row>
    <row r="16" spans="2:26" x14ac:dyDescent="0.3">
      <c r="B16" s="60"/>
      <c r="C16" s="62"/>
      <c r="D16" s="62"/>
      <c r="E16" s="60"/>
      <c r="F16" s="6"/>
      <c r="G16" s="60"/>
      <c r="H16" s="6"/>
      <c r="I16" s="60"/>
      <c r="J16" s="6"/>
      <c r="K16" s="60"/>
      <c r="L16" s="60"/>
      <c r="M16" s="60"/>
      <c r="N16" s="6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2:26" x14ac:dyDescent="0.3">
      <c r="B17" s="60"/>
      <c r="C17" s="62"/>
      <c r="D17" s="7" t="s">
        <v>32</v>
      </c>
      <c r="E17" s="60"/>
      <c r="F17" s="6"/>
      <c r="G17" s="60"/>
      <c r="H17" s="6"/>
      <c r="I17" s="60"/>
      <c r="J17" s="6"/>
      <c r="K17" s="60"/>
      <c r="L17" s="60"/>
      <c r="M17" s="60"/>
      <c r="N17" s="8"/>
      <c r="O17" s="60"/>
      <c r="P17" s="9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2:26" x14ac:dyDescent="0.3">
      <c r="B18" s="60"/>
      <c r="C18" s="62"/>
      <c r="D18" s="10" t="s">
        <v>33</v>
      </c>
      <c r="E18" s="60"/>
      <c r="G18" s="60"/>
      <c r="H18" s="11"/>
      <c r="I18" s="72"/>
      <c r="J18" s="11"/>
      <c r="K18" s="67"/>
      <c r="L18" s="11"/>
      <c r="M18" s="67"/>
      <c r="N18" s="11"/>
      <c r="O18" s="12"/>
      <c r="Q18" s="12"/>
      <c r="R18" s="11"/>
      <c r="S18" s="67"/>
      <c r="T18" s="11"/>
      <c r="U18" s="67"/>
      <c r="V18" s="85"/>
      <c r="W18" s="67"/>
      <c r="X18" s="13"/>
      <c r="Y18" s="14"/>
      <c r="Z18" s="15"/>
    </row>
    <row r="19" spans="2:26" x14ac:dyDescent="0.3">
      <c r="B19" s="60">
        <v>1</v>
      </c>
      <c r="C19" s="62"/>
      <c r="D19" s="16" t="s">
        <v>34</v>
      </c>
      <c r="E19" s="60"/>
      <c r="F19" s="17" t="s">
        <v>35</v>
      </c>
      <c r="G19" s="60"/>
      <c r="H19" s="11">
        <v>9056375.211896237</v>
      </c>
      <c r="I19" s="72"/>
      <c r="J19" s="11"/>
      <c r="K19" s="67"/>
      <c r="L19" s="11"/>
      <c r="M19" s="67"/>
      <c r="N19" s="11"/>
      <c r="O19" s="12"/>
      <c r="P19" s="11">
        <v>263518.87535024568</v>
      </c>
      <c r="Q19" s="12"/>
      <c r="R19" s="11">
        <f>ROUND(T19-P19,0)</f>
        <v>0</v>
      </c>
      <c r="S19" s="67"/>
      <c r="T19" s="67">
        <f>V19*H19/1000</f>
        <v>263518.87535024568</v>
      </c>
      <c r="U19" s="84"/>
      <c r="V19" s="68">
        <v>29.097610156886343</v>
      </c>
      <c r="W19" s="67"/>
      <c r="X19" s="13">
        <f>T19/P19</f>
        <v>1</v>
      </c>
      <c r="Y19" s="14"/>
      <c r="Z19" s="15"/>
    </row>
    <row r="20" spans="2:26" x14ac:dyDescent="0.3">
      <c r="B20" s="60">
        <f>MAX(B$19:B19)+1</f>
        <v>2</v>
      </c>
      <c r="C20" s="62"/>
      <c r="D20" s="16" t="s">
        <v>36</v>
      </c>
      <c r="E20" s="60"/>
      <c r="F20" s="17" t="s">
        <v>35</v>
      </c>
      <c r="G20" s="60"/>
      <c r="H20" s="11">
        <v>36979295.677631304</v>
      </c>
      <c r="I20" s="72"/>
      <c r="J20" s="11"/>
      <c r="K20" s="67"/>
      <c r="L20" s="11"/>
      <c r="M20" s="67"/>
      <c r="N20" s="11"/>
      <c r="O20" s="12"/>
      <c r="P20" s="11">
        <v>1076009.1295039479</v>
      </c>
      <c r="Q20" s="12"/>
      <c r="R20" s="11">
        <f t="shared" ref="R20" si="0">T20-P20</f>
        <v>0</v>
      </c>
      <c r="S20" s="67"/>
      <c r="T20" s="67">
        <f>V20*H20/1000</f>
        <v>1076009.1295039479</v>
      </c>
      <c r="U20" s="84"/>
      <c r="V20" s="68">
        <v>29.097610156886343</v>
      </c>
      <c r="W20" s="67"/>
      <c r="X20" s="13">
        <f t="shared" ref="X20" si="1">T20/P20</f>
        <v>1</v>
      </c>
      <c r="Y20" s="14"/>
      <c r="Z20" s="15"/>
    </row>
    <row r="21" spans="2:26" x14ac:dyDescent="0.3">
      <c r="B21" s="60"/>
      <c r="C21" s="62"/>
      <c r="D21" s="10" t="s">
        <v>37</v>
      </c>
      <c r="E21" s="60"/>
      <c r="F21" s="17"/>
      <c r="G21" s="60"/>
      <c r="H21" s="11"/>
      <c r="I21" s="72"/>
      <c r="J21" s="11"/>
      <c r="K21" s="67"/>
      <c r="L21" s="11"/>
      <c r="M21" s="67"/>
      <c r="N21" s="11"/>
      <c r="O21" s="12"/>
      <c r="Q21" s="12"/>
      <c r="R21" s="11"/>
      <c r="S21" s="67"/>
      <c r="T21" s="11"/>
      <c r="U21" s="67"/>
      <c r="V21" s="27"/>
      <c r="W21" s="67"/>
      <c r="X21" s="13"/>
      <c r="Y21" s="14"/>
      <c r="Z21" s="15"/>
    </row>
    <row r="22" spans="2:26" x14ac:dyDescent="0.3">
      <c r="B22" s="60">
        <f>MAX(B$19:B21)+1</f>
        <v>3</v>
      </c>
      <c r="C22" s="62"/>
      <c r="D22" s="16" t="s">
        <v>34</v>
      </c>
      <c r="E22" s="60"/>
      <c r="F22" s="17" t="s">
        <v>38</v>
      </c>
      <c r="G22" s="60"/>
      <c r="H22" s="11">
        <v>1691744.2069005587</v>
      </c>
      <c r="I22" s="72"/>
      <c r="J22" s="11"/>
      <c r="K22" s="67"/>
      <c r="L22" s="11"/>
      <c r="M22" s="67"/>
      <c r="N22" s="11"/>
      <c r="O22" s="12"/>
      <c r="P22" s="11">
        <v>1130.8683742336946</v>
      </c>
      <c r="Q22" s="12"/>
      <c r="R22" s="11">
        <f t="shared" ref="R22:R23" si="2">T22-P22</f>
        <v>0</v>
      </c>
      <c r="S22" s="67"/>
      <c r="T22" s="11">
        <f>$H22*V22/100</f>
        <v>1130.8683742336946</v>
      </c>
      <c r="U22" s="67"/>
      <c r="V22" s="27">
        <v>6.6846298017213632E-2</v>
      </c>
      <c r="W22" s="67"/>
      <c r="X22" s="13">
        <f t="shared" ref="X22:X26" si="3">T22/P22</f>
        <v>1</v>
      </c>
      <c r="Y22" s="14"/>
      <c r="Z22" s="15"/>
    </row>
    <row r="23" spans="2:26" x14ac:dyDescent="0.3">
      <c r="B23" s="60">
        <f>MAX(B$19:B22)+1</f>
        <v>4</v>
      </c>
      <c r="C23" s="62"/>
      <c r="D23" s="16" t="s">
        <v>36</v>
      </c>
      <c r="E23" s="60"/>
      <c r="F23" s="17" t="s">
        <v>38</v>
      </c>
      <c r="G23" s="60"/>
      <c r="H23" s="11">
        <v>7448402.1398053784</v>
      </c>
      <c r="I23" s="72"/>
      <c r="J23" s="11"/>
      <c r="K23" s="67"/>
      <c r="L23" s="11"/>
      <c r="M23" s="67"/>
      <c r="N23" s="11"/>
      <c r="O23" s="12"/>
      <c r="P23" s="11">
        <v>4978.9810918948206</v>
      </c>
      <c r="Q23" s="12"/>
      <c r="R23" s="11">
        <f t="shared" si="2"/>
        <v>0</v>
      </c>
      <c r="S23" s="67"/>
      <c r="T23" s="11">
        <f t="shared" ref="T23" si="4">$H23*V23/100</f>
        <v>4978.9810918948206</v>
      </c>
      <c r="U23" s="67"/>
      <c r="V23" s="27">
        <v>6.6846298017213632E-2</v>
      </c>
      <c r="W23" s="67"/>
      <c r="X23" s="13">
        <f t="shared" si="3"/>
        <v>1</v>
      </c>
      <c r="Y23" s="14"/>
      <c r="Z23" s="15"/>
    </row>
    <row r="24" spans="2:26" x14ac:dyDescent="0.3">
      <c r="B24" s="60"/>
      <c r="C24" s="62"/>
      <c r="D24" s="10" t="s">
        <v>39</v>
      </c>
      <c r="E24" s="60"/>
      <c r="F24" s="17"/>
      <c r="G24" s="60"/>
      <c r="H24" s="11"/>
      <c r="I24" s="72"/>
      <c r="J24" s="11"/>
      <c r="K24" s="67"/>
      <c r="L24" s="11"/>
      <c r="M24" s="67"/>
      <c r="N24" s="11"/>
      <c r="O24" s="12"/>
      <c r="P24" s="11"/>
      <c r="Q24" s="12"/>
      <c r="R24" s="11"/>
      <c r="S24" s="67"/>
      <c r="T24" s="11"/>
      <c r="U24" s="67"/>
      <c r="V24" s="27"/>
      <c r="W24" s="67"/>
      <c r="X24" s="13"/>
      <c r="Y24" s="14"/>
      <c r="Z24" s="15"/>
    </row>
    <row r="25" spans="2:26" x14ac:dyDescent="0.3">
      <c r="B25" s="60">
        <f>MAX(B$19:B24)+1</f>
        <v>5</v>
      </c>
      <c r="C25" s="62"/>
      <c r="D25" s="16" t="s">
        <v>34</v>
      </c>
      <c r="E25" s="60"/>
      <c r="F25" s="17" t="s">
        <v>40</v>
      </c>
      <c r="G25" s="60"/>
      <c r="H25" s="11">
        <v>202329.27117195126</v>
      </c>
      <c r="I25" s="72"/>
      <c r="J25" s="11"/>
      <c r="K25" s="67"/>
      <c r="L25" s="11"/>
      <c r="M25" s="67"/>
      <c r="N25" s="11"/>
      <c r="O25" s="12"/>
      <c r="P25" s="11">
        <v>121179.14334016771</v>
      </c>
      <c r="Q25" s="12"/>
      <c r="R25" s="11">
        <f>T25-P25</f>
        <v>-1569.9943212610524</v>
      </c>
      <c r="S25" s="67"/>
      <c r="T25" s="11">
        <f>$H25*V25/100</f>
        <v>119609.14901890665</v>
      </c>
      <c r="U25" s="67"/>
      <c r="V25" s="27">
        <v>59.116087517191616</v>
      </c>
      <c r="W25" s="67"/>
      <c r="X25" s="13">
        <f t="shared" si="3"/>
        <v>0.98704402194976859</v>
      </c>
      <c r="Y25" s="14"/>
      <c r="Z25" s="15"/>
    </row>
    <row r="26" spans="2:26" x14ac:dyDescent="0.3">
      <c r="B26" s="60">
        <f>MAX(B$19:B25)+1</f>
        <v>6</v>
      </c>
      <c r="C26" s="62"/>
      <c r="D26" s="16" t="s">
        <v>36</v>
      </c>
      <c r="E26" s="60"/>
      <c r="F26" s="17" t="s">
        <v>40</v>
      </c>
      <c r="G26" s="60"/>
      <c r="H26" s="11">
        <v>884798.19610456936</v>
      </c>
      <c r="I26" s="72"/>
      <c r="J26" s="11"/>
      <c r="K26" s="67"/>
      <c r="L26" s="11"/>
      <c r="M26" s="67"/>
      <c r="N26" s="11"/>
      <c r="O26" s="12"/>
      <c r="P26" s="11">
        <v>543908.95256449096</v>
      </c>
      <c r="Q26" s="12"/>
      <c r="R26" s="11">
        <f t="shared" ref="R26" si="5">T26-P26</f>
        <v>-6778.4838331924984</v>
      </c>
      <c r="S26" s="67"/>
      <c r="T26" s="11">
        <f t="shared" ref="T26" si="6">$H26*V26/100</f>
        <v>537130.46873129846</v>
      </c>
      <c r="U26" s="67"/>
      <c r="V26" s="27">
        <v>60.706551063969165</v>
      </c>
      <c r="W26" s="67"/>
      <c r="X26" s="13">
        <f t="shared" si="3"/>
        <v>0.98753746596515379</v>
      </c>
      <c r="Y26" s="14"/>
      <c r="Z26" s="15"/>
    </row>
    <row r="27" spans="2:26" x14ac:dyDescent="0.3">
      <c r="B27" s="60">
        <f>MAX(B$19:B26)+1</f>
        <v>7</v>
      </c>
      <c r="C27" s="62"/>
      <c r="D27" s="10" t="s">
        <v>41</v>
      </c>
      <c r="E27" s="60"/>
      <c r="F27" s="17"/>
      <c r="G27" s="60"/>
      <c r="H27" s="76">
        <f>SUM(H22:H23)</f>
        <v>9140146.3467059378</v>
      </c>
      <c r="I27" s="72"/>
      <c r="J27" s="19"/>
      <c r="K27" s="67"/>
      <c r="L27" s="72"/>
      <c r="M27" s="67"/>
      <c r="N27" s="20"/>
      <c r="O27" s="12"/>
      <c r="P27" s="76">
        <f>SUM(P19:P20,P22:P23,P25:P26)</f>
        <v>2010725.9502249807</v>
      </c>
      <c r="Q27" s="12"/>
      <c r="R27" s="76">
        <f>SUM(R19:R26)</f>
        <v>-8348.4781544535508</v>
      </c>
      <c r="S27" s="67"/>
      <c r="T27" s="76">
        <f>SUM(T19:T20,T22:T23,T25:T26)</f>
        <v>2002377.4720705273</v>
      </c>
      <c r="U27" s="67"/>
      <c r="V27" s="21">
        <f>T27/$H27*100</f>
        <v>21.907499028089127</v>
      </c>
      <c r="W27" s="67"/>
      <c r="X27" s="77">
        <f>T27/P27</f>
        <v>0.99584802784610238</v>
      </c>
      <c r="Y27" s="14"/>
      <c r="Z27" s="15"/>
    </row>
    <row r="28" spans="2:26" x14ac:dyDescent="0.3">
      <c r="B28" s="60"/>
      <c r="E28" s="60"/>
      <c r="F28" s="17"/>
      <c r="G28" s="60"/>
      <c r="H28" s="11"/>
      <c r="I28" s="72"/>
      <c r="J28" s="19"/>
      <c r="K28" s="67"/>
      <c r="L28" s="72"/>
      <c r="M28" s="67"/>
      <c r="N28" s="20"/>
      <c r="O28" s="12"/>
      <c r="P28" s="11"/>
      <c r="Q28" s="12"/>
      <c r="R28" s="11"/>
      <c r="S28" s="67"/>
      <c r="T28" s="11"/>
      <c r="U28" s="67"/>
      <c r="V28" s="27"/>
      <c r="W28" s="67"/>
      <c r="X28" s="13"/>
      <c r="Y28" s="14"/>
      <c r="Z28" s="15"/>
    </row>
    <row r="29" spans="2:26" x14ac:dyDescent="0.3">
      <c r="B29" s="60"/>
      <c r="C29" s="62"/>
      <c r="D29" s="10" t="s">
        <v>42</v>
      </c>
      <c r="E29" s="60"/>
      <c r="F29" s="84"/>
      <c r="G29" s="60"/>
      <c r="H29" s="11"/>
      <c r="I29" s="72"/>
      <c r="J29" s="19"/>
      <c r="K29" s="67"/>
      <c r="L29" s="72"/>
      <c r="M29" s="67"/>
      <c r="N29" s="20"/>
      <c r="O29" s="12"/>
      <c r="P29" s="11"/>
      <c r="Q29" s="12"/>
      <c r="R29" s="11"/>
      <c r="S29" s="67"/>
      <c r="T29" s="11"/>
      <c r="U29" s="67"/>
      <c r="V29" s="22"/>
      <c r="W29" s="67"/>
      <c r="X29" s="13"/>
      <c r="Y29" s="14"/>
      <c r="Z29" s="15"/>
    </row>
    <row r="30" spans="2:26" x14ac:dyDescent="0.3">
      <c r="B30" s="60"/>
      <c r="C30" s="62"/>
      <c r="D30" s="23" t="s">
        <v>43</v>
      </c>
      <c r="E30" s="60"/>
      <c r="F30" s="84"/>
      <c r="G30" s="60"/>
      <c r="H30" s="11"/>
      <c r="I30" s="72"/>
      <c r="J30" s="11"/>
      <c r="K30" s="67"/>
      <c r="L30" s="11"/>
      <c r="M30" s="67"/>
      <c r="N30" s="11"/>
      <c r="O30" s="67"/>
      <c r="P30" s="11"/>
      <c r="Q30" s="67"/>
      <c r="R30" s="11"/>
      <c r="S30" s="67"/>
      <c r="T30" s="11"/>
      <c r="U30" s="67"/>
      <c r="V30" s="27"/>
      <c r="W30" s="67"/>
      <c r="X30" s="11"/>
      <c r="Y30" s="67"/>
      <c r="Z30" s="11"/>
    </row>
    <row r="31" spans="2:26" x14ac:dyDescent="0.3">
      <c r="B31" s="60">
        <f>MAX(B$19:B30)+1</f>
        <v>8</v>
      </c>
      <c r="C31" s="62"/>
      <c r="D31" s="16" t="s">
        <v>34</v>
      </c>
      <c r="E31" s="60"/>
      <c r="F31" s="84" t="s">
        <v>38</v>
      </c>
      <c r="G31" s="60"/>
      <c r="H31" s="11">
        <v>1676334.5954655632</v>
      </c>
      <c r="I31" s="72"/>
      <c r="J31" s="11"/>
      <c r="K31" s="67"/>
      <c r="M31" s="67"/>
      <c r="N31" s="11"/>
      <c r="O31" s="67"/>
      <c r="P31" s="11">
        <v>139369.13187180628</v>
      </c>
      <c r="Q31" s="67"/>
      <c r="R31" s="11">
        <f>T31-P31</f>
        <v>0</v>
      </c>
      <c r="S31" s="67"/>
      <c r="T31" s="11">
        <f>H31*V31/100</f>
        <v>139369.13187180625</v>
      </c>
      <c r="U31" s="67"/>
      <c r="V31" s="27">
        <v>8.3139208752713056</v>
      </c>
      <c r="W31" s="67"/>
      <c r="X31" s="13">
        <f>T31/P31</f>
        <v>0.99999999999999978</v>
      </c>
      <c r="Y31" s="67"/>
      <c r="Z31" s="11"/>
    </row>
    <row r="32" spans="2:26" x14ac:dyDescent="0.3">
      <c r="B32" s="60">
        <f>MAX(B$19:B31)+1</f>
        <v>9</v>
      </c>
      <c r="C32" s="62"/>
      <c r="D32" s="16" t="s">
        <v>36</v>
      </c>
      <c r="E32" s="60"/>
      <c r="F32" s="84" t="s">
        <v>38</v>
      </c>
      <c r="G32" s="60"/>
      <c r="H32" s="11">
        <v>7418998.8439362729</v>
      </c>
      <c r="I32" s="72"/>
      <c r="J32" s="11"/>
      <c r="K32" s="67"/>
      <c r="L32" s="11"/>
      <c r="M32" s="67"/>
      <c r="N32" s="11"/>
      <c r="O32" s="67"/>
      <c r="P32" s="11">
        <v>49577.726780382931</v>
      </c>
      <c r="Q32" s="67"/>
      <c r="R32" s="11">
        <f t="shared" ref="R32:R35" si="7">T32-P32</f>
        <v>0</v>
      </c>
      <c r="S32" s="67"/>
      <c r="T32" s="11">
        <f t="shared" ref="T32:T35" si="8">H32*V32/100</f>
        <v>49577.726780382938</v>
      </c>
      <c r="U32" s="67"/>
      <c r="V32" s="27">
        <v>0.66825359894622449</v>
      </c>
      <c r="W32" s="67"/>
      <c r="X32" s="13">
        <f t="shared" ref="X32:X35" si="9">T32/P32</f>
        <v>1.0000000000000002</v>
      </c>
      <c r="Y32" s="67"/>
      <c r="Z32" s="11"/>
    </row>
    <row r="33" spans="2:26" x14ac:dyDescent="0.3">
      <c r="B33" s="60"/>
      <c r="C33" s="62"/>
      <c r="D33" s="23" t="s">
        <v>44</v>
      </c>
      <c r="E33" s="60"/>
      <c r="F33" s="84"/>
      <c r="G33" s="60"/>
      <c r="H33" s="11"/>
      <c r="I33" s="72"/>
      <c r="J33" s="11"/>
      <c r="K33" s="67"/>
      <c r="L33" s="11"/>
      <c r="M33" s="67"/>
      <c r="N33" s="11"/>
      <c r="O33" s="67"/>
      <c r="P33" s="11"/>
      <c r="Q33" s="67"/>
      <c r="R33" s="11"/>
      <c r="S33" s="67"/>
      <c r="T33" s="11"/>
      <c r="U33" s="67"/>
      <c r="V33" s="27"/>
      <c r="W33" s="67"/>
      <c r="X33" s="13"/>
      <c r="Y33" s="67"/>
      <c r="Z33" s="11"/>
    </row>
    <row r="34" spans="2:26" x14ac:dyDescent="0.3">
      <c r="B34" s="60">
        <f>MAX(B$19:B33)+1</f>
        <v>10</v>
      </c>
      <c r="C34" s="62"/>
      <c r="D34" s="16" t="s">
        <v>34</v>
      </c>
      <c r="E34" s="60"/>
      <c r="F34" s="84" t="s">
        <v>38</v>
      </c>
      <c r="G34" s="60"/>
      <c r="H34" s="11">
        <v>15409.61143499547</v>
      </c>
      <c r="I34" s="72"/>
      <c r="J34" s="11"/>
      <c r="K34" s="67"/>
      <c r="L34" s="11"/>
      <c r="M34" s="67"/>
      <c r="N34" s="11"/>
      <c r="O34" s="67"/>
      <c r="P34" s="11">
        <v>1680.5454671267798</v>
      </c>
      <c r="Q34" s="67"/>
      <c r="R34" s="11">
        <f t="shared" si="7"/>
        <v>0</v>
      </c>
      <c r="S34" s="67"/>
      <c r="T34" s="11">
        <f t="shared" si="8"/>
        <v>1680.5454671267798</v>
      </c>
      <c r="U34" s="67"/>
      <c r="V34" s="27">
        <v>10.905826368277104</v>
      </c>
      <c r="W34" s="67"/>
      <c r="X34" s="13">
        <f t="shared" si="9"/>
        <v>1</v>
      </c>
      <c r="Y34" s="67"/>
      <c r="Z34" s="11"/>
    </row>
    <row r="35" spans="2:26" x14ac:dyDescent="0.3">
      <c r="B35" s="60">
        <f>MAX(B$19:B34)+1</f>
        <v>11</v>
      </c>
      <c r="C35" s="62"/>
      <c r="D35" s="16" t="s">
        <v>36</v>
      </c>
      <c r="E35" s="60"/>
      <c r="F35" s="84" t="s">
        <v>38</v>
      </c>
      <c r="G35" s="60"/>
      <c r="H35" s="11">
        <v>29403.295869105365</v>
      </c>
      <c r="I35" s="72"/>
      <c r="J35" s="11"/>
      <c r="K35" s="67"/>
      <c r="L35" s="11"/>
      <c r="M35" s="67"/>
      <c r="N35" s="11"/>
      <c r="O35" s="67"/>
      <c r="P35" s="11">
        <v>958.59422361019233</v>
      </c>
      <c r="Q35" s="67"/>
      <c r="R35" s="11">
        <f t="shared" si="7"/>
        <v>0</v>
      </c>
      <c r="S35" s="67"/>
      <c r="T35" s="11">
        <f t="shared" si="8"/>
        <v>958.59422361019244</v>
      </c>
      <c r="U35" s="67"/>
      <c r="V35" s="27">
        <v>3.260159091952024</v>
      </c>
      <c r="W35" s="67"/>
      <c r="X35" s="13">
        <f t="shared" si="9"/>
        <v>1.0000000000000002</v>
      </c>
      <c r="Y35" s="67"/>
      <c r="Z35" s="11"/>
    </row>
    <row r="36" spans="2:26" x14ac:dyDescent="0.3">
      <c r="B36" s="60">
        <f>MAX(B$19:B35)+1</f>
        <v>12</v>
      </c>
      <c r="C36" s="62"/>
      <c r="D36" s="10" t="s">
        <v>42</v>
      </c>
      <c r="E36" s="60"/>
      <c r="F36" s="17" t="s">
        <v>45</v>
      </c>
      <c r="G36" s="60"/>
      <c r="H36" s="76">
        <f>SUM(H31:H35)</f>
        <v>9140146.3467059359</v>
      </c>
      <c r="I36" s="72"/>
      <c r="J36" s="19"/>
      <c r="K36" s="67"/>
      <c r="L36" s="72"/>
      <c r="M36" s="67"/>
      <c r="N36" s="20"/>
      <c r="O36" s="12"/>
      <c r="P36" s="76">
        <f>SUM(P31:P35)</f>
        <v>191585.99834292615</v>
      </c>
      <c r="Q36" s="12"/>
      <c r="R36" s="76">
        <f>SUM(R31:R35)</f>
        <v>0</v>
      </c>
      <c r="S36" s="67"/>
      <c r="T36" s="76">
        <f>SUM(T31:T35)</f>
        <v>191585.99834292615</v>
      </c>
      <c r="U36" s="67"/>
      <c r="V36" s="21">
        <f>T36/$H36*100</f>
        <v>2.0960933345664952</v>
      </c>
      <c r="W36" s="67"/>
      <c r="X36" s="77">
        <f>T36/P36</f>
        <v>1</v>
      </c>
      <c r="Y36" s="14"/>
      <c r="Z36" s="15"/>
    </row>
    <row r="37" spans="2:26" x14ac:dyDescent="0.3">
      <c r="B37" s="60"/>
      <c r="H37" s="14"/>
      <c r="I37" s="14"/>
      <c r="J37" s="19"/>
      <c r="K37" s="14"/>
      <c r="L37" s="72"/>
      <c r="M37" s="14"/>
      <c r="N37" s="20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38" spans="2:26" x14ac:dyDescent="0.3">
      <c r="B38" s="60"/>
      <c r="C38" s="62"/>
      <c r="D38" s="24" t="s">
        <v>46</v>
      </c>
      <c r="E38" s="60"/>
      <c r="F38" s="17"/>
      <c r="G38" s="60"/>
      <c r="H38" s="11"/>
      <c r="I38" s="72"/>
      <c r="J38" s="19"/>
      <c r="K38" s="67"/>
      <c r="L38" s="72"/>
      <c r="M38" s="67"/>
      <c r="N38" s="20"/>
      <c r="O38" s="12"/>
      <c r="P38" s="11"/>
      <c r="Q38" s="12"/>
      <c r="R38" s="11"/>
      <c r="S38" s="67"/>
      <c r="T38" s="11"/>
      <c r="U38" s="67"/>
      <c r="V38" s="27"/>
      <c r="W38" s="67"/>
      <c r="X38" s="13"/>
      <c r="Y38" s="14"/>
      <c r="Z38" s="15"/>
    </row>
    <row r="39" spans="2:26" x14ac:dyDescent="0.3">
      <c r="B39" s="60">
        <f>MAX(B$19:B38)+1</f>
        <v>13</v>
      </c>
      <c r="C39" s="62"/>
      <c r="D39" s="16" t="s">
        <v>34</v>
      </c>
      <c r="E39" s="60"/>
      <c r="F39" s="17" t="s">
        <v>38</v>
      </c>
      <c r="G39" s="60"/>
      <c r="H39" s="11">
        <v>1600988.2578342555</v>
      </c>
      <c r="I39" s="72"/>
      <c r="J39" s="19"/>
      <c r="K39" s="67"/>
      <c r="L39" s="72"/>
      <c r="M39" s="67"/>
      <c r="N39" s="20"/>
      <c r="O39" s="12"/>
      <c r="P39" s="11">
        <v>181286.10828852531</v>
      </c>
      <c r="Q39" s="12"/>
      <c r="R39" s="11">
        <f>T39-P39</f>
        <v>150.25402018017485</v>
      </c>
      <c r="S39" s="67"/>
      <c r="T39" s="11">
        <f>H39*V39/100</f>
        <v>181436.36230870549</v>
      </c>
      <c r="U39" s="67"/>
      <c r="V39" s="27">
        <v>11.332772830835399</v>
      </c>
      <c r="W39" s="67"/>
      <c r="X39" s="13">
        <f>T39/P39</f>
        <v>1.0008288225810498</v>
      </c>
      <c r="Y39" s="14"/>
      <c r="Z39" s="15"/>
    </row>
    <row r="40" spans="2:26" x14ac:dyDescent="0.3">
      <c r="B40" s="60">
        <f>MAX(B$19:B39)+1</f>
        <v>14</v>
      </c>
      <c r="C40" s="62"/>
      <c r="D40" s="16" t="s">
        <v>36</v>
      </c>
      <c r="E40" s="60"/>
      <c r="F40" s="17" t="s">
        <v>38</v>
      </c>
      <c r="G40" s="60"/>
      <c r="H40" s="11">
        <v>7052128.3166810488</v>
      </c>
      <c r="I40" s="72"/>
      <c r="J40" s="19"/>
      <c r="K40" s="67"/>
      <c r="L40" s="72"/>
      <c r="M40" s="67"/>
      <c r="N40" s="20"/>
      <c r="O40" s="12"/>
      <c r="P40" s="11">
        <v>1064626.5091713064</v>
      </c>
      <c r="Q40" s="12"/>
      <c r="R40" s="11">
        <f t="shared" ref="R40" si="10">T40-P40</f>
        <v>-199.2161631193012</v>
      </c>
      <c r="S40" s="67"/>
      <c r="T40" s="11">
        <f>H40*V40/100</f>
        <v>1064427.2930081871</v>
      </c>
      <c r="U40" s="67"/>
      <c r="V40" s="27">
        <v>15.093702854078806</v>
      </c>
      <c r="W40" s="67"/>
      <c r="X40" s="13">
        <f t="shared" ref="X40" si="11">T40/P40</f>
        <v>0.99981287694660692</v>
      </c>
      <c r="Y40" s="14"/>
      <c r="Z40" s="15"/>
    </row>
    <row r="41" spans="2:26" x14ac:dyDescent="0.3">
      <c r="B41" s="60"/>
      <c r="C41" s="62"/>
      <c r="D41" s="10"/>
      <c r="E41" s="60"/>
      <c r="F41" s="17"/>
      <c r="G41" s="60"/>
      <c r="H41" s="11"/>
      <c r="I41" s="72"/>
      <c r="J41" s="11"/>
      <c r="K41" s="67"/>
      <c r="L41" s="27"/>
      <c r="M41" s="67"/>
      <c r="N41" s="20"/>
      <c r="O41" s="12"/>
      <c r="P41" s="11"/>
      <c r="Q41" s="12"/>
      <c r="R41" s="11"/>
      <c r="S41" s="67"/>
      <c r="T41" s="11"/>
      <c r="U41" s="67"/>
      <c r="V41" s="27"/>
      <c r="W41" s="67"/>
      <c r="X41" s="13"/>
      <c r="Y41" s="14"/>
      <c r="Z41" s="15"/>
    </row>
    <row r="42" spans="2:26" ht="12.9" thickBot="1" x14ac:dyDescent="0.35">
      <c r="B42" s="60">
        <f>MAX(B$19:B41)+1</f>
        <v>15</v>
      </c>
      <c r="C42" s="62"/>
      <c r="D42" s="25" t="s">
        <v>47</v>
      </c>
      <c r="E42" s="60"/>
      <c r="F42" s="17"/>
      <c r="G42" s="60"/>
      <c r="H42" s="71">
        <f>H27</f>
        <v>9140146.3467059378</v>
      </c>
      <c r="I42" s="72"/>
      <c r="J42" s="71">
        <v>3492378.9351526839</v>
      </c>
      <c r="K42" s="67"/>
      <c r="L42" s="26">
        <f>J42/$H42*100</f>
        <v>38.209223383073287</v>
      </c>
      <c r="M42" s="67"/>
      <c r="N42" s="71">
        <f>J42-P42</f>
        <v>44154.369124945719</v>
      </c>
      <c r="O42" s="12"/>
      <c r="P42" s="71">
        <f>SUM(P27,P36,P39:P40)</f>
        <v>3448224.5660277382</v>
      </c>
      <c r="Q42" s="12"/>
      <c r="R42" s="71">
        <f>R27+R39+R40</f>
        <v>-8397.4402973926772</v>
      </c>
      <c r="S42" s="67"/>
      <c r="T42" s="71">
        <f>SUM(T27,T36,T39:T40)</f>
        <v>3439827.125730346</v>
      </c>
      <c r="U42" s="67"/>
      <c r="V42" s="26">
        <f>T42/$H42*100</f>
        <v>37.634267496931734</v>
      </c>
      <c r="W42" s="67"/>
      <c r="X42" s="73">
        <f>T42/P42</f>
        <v>0.99756470608668457</v>
      </c>
      <c r="Y42" s="14"/>
      <c r="Z42" s="74">
        <f>V42/L42-1</f>
        <v>-1.5047567975334908E-2</v>
      </c>
    </row>
    <row r="43" spans="2:26" ht="12.9" thickTop="1" x14ac:dyDescent="0.3">
      <c r="B43" s="60"/>
      <c r="C43" s="62"/>
      <c r="D43" s="25"/>
      <c r="E43" s="60"/>
      <c r="F43" s="17"/>
      <c r="G43" s="60"/>
      <c r="H43" s="67"/>
      <c r="I43" s="72"/>
      <c r="J43" s="67"/>
      <c r="K43" s="67"/>
      <c r="L43" s="27"/>
      <c r="M43" s="67"/>
      <c r="N43" s="67"/>
      <c r="O43" s="12"/>
      <c r="P43" s="67"/>
      <c r="Q43" s="12"/>
      <c r="R43" s="67"/>
      <c r="S43" s="67"/>
      <c r="T43" s="67"/>
      <c r="U43" s="67"/>
      <c r="V43" s="27"/>
      <c r="W43" s="67"/>
      <c r="X43" s="86"/>
      <c r="Y43" s="14"/>
      <c r="Z43" s="36"/>
    </row>
    <row r="44" spans="2:26" x14ac:dyDescent="0.3">
      <c r="B44" s="60">
        <f>MAX(B$19:B43)+1</f>
        <v>16</v>
      </c>
      <c r="C44" s="62"/>
      <c r="D44" s="2" t="s">
        <v>48</v>
      </c>
      <c r="E44" s="60"/>
      <c r="F44" s="84"/>
      <c r="G44" s="60"/>
      <c r="H44" s="11">
        <f>H22</f>
        <v>1691744.2069005587</v>
      </c>
      <c r="I44" s="60"/>
      <c r="J44" s="11">
        <v>716211.00692641782</v>
      </c>
      <c r="K44" s="84"/>
      <c r="L44" s="28">
        <f>J44/$H44*100</f>
        <v>42.33565594639078</v>
      </c>
      <c r="M44" s="84"/>
      <c r="N44" s="67">
        <f>J44-P44</f>
        <v>8046.3342343124095</v>
      </c>
      <c r="O44" s="29"/>
      <c r="P44" s="11">
        <f>P19+P22+P25+P31+P34+P39</f>
        <v>708164.67269210541</v>
      </c>
      <c r="Q44" s="11"/>
      <c r="R44" s="11">
        <f>R25+R39</f>
        <v>-1419.7403010808775</v>
      </c>
      <c r="S44" s="11"/>
      <c r="T44" s="11">
        <f>T19+T22+T25+T31+T34+T39</f>
        <v>706744.93239102454</v>
      </c>
      <c r="V44" s="28">
        <f>T44/$H44*100</f>
        <v>41.776110685542143</v>
      </c>
      <c r="W44" s="84"/>
      <c r="X44" s="86">
        <f>T44/P44</f>
        <v>0.99799518338625437</v>
      </c>
      <c r="Z44" s="36">
        <f>V44/L44-1</f>
        <v>-1.3216879444532093E-2</v>
      </c>
    </row>
    <row r="45" spans="2:26" x14ac:dyDescent="0.3">
      <c r="B45" s="60">
        <f>MAX(B$19:B44)+1</f>
        <v>17</v>
      </c>
      <c r="C45" s="62"/>
      <c r="D45" s="62" t="s">
        <v>49</v>
      </c>
      <c r="E45" s="60"/>
      <c r="F45" s="30"/>
      <c r="G45" s="60"/>
      <c r="H45" s="11">
        <f>H23</f>
        <v>7448402.1398053784</v>
      </c>
      <c r="I45" s="60"/>
      <c r="J45" s="11">
        <v>2776167.9282262661</v>
      </c>
      <c r="K45" s="84"/>
      <c r="L45" s="28">
        <f t="shared" ref="L45" si="12">J45/$H45*100</f>
        <v>37.271993054590972</v>
      </c>
      <c r="M45" s="84"/>
      <c r="N45" s="67">
        <f>J45-P45</f>
        <v>36108.034890633076</v>
      </c>
      <c r="O45" s="84"/>
      <c r="P45" s="11">
        <f>P20+P23+P26+P32+P35+P40</f>
        <v>2740059.893335633</v>
      </c>
      <c r="Q45" s="11"/>
      <c r="R45" s="11">
        <f>R26+R40</f>
        <v>-6977.6999963117996</v>
      </c>
      <c r="S45" s="11"/>
      <c r="T45" s="11">
        <f>T20+T23+T26+T32+T35+T40</f>
        <v>2733082.1933393218</v>
      </c>
      <c r="V45" s="28">
        <f t="shared" ref="V45" si="13">T45/$H45*100</f>
        <v>36.693536976653299</v>
      </c>
      <c r="W45" s="84"/>
      <c r="X45" s="86">
        <f t="shared" ref="X45" si="14">T45/P45</f>
        <v>0.99745344982666895</v>
      </c>
      <c r="Y45" s="60"/>
      <c r="Z45" s="36">
        <f t="shared" ref="Z45" si="15">V45/L45-1</f>
        <v>-1.5519859029014871E-2</v>
      </c>
    </row>
    <row r="46" spans="2:26" x14ac:dyDescent="0.3">
      <c r="B46" s="60"/>
      <c r="C46" s="62"/>
      <c r="D46" s="62"/>
      <c r="E46" s="60"/>
      <c r="F46" s="30"/>
      <c r="G46" s="60"/>
      <c r="H46" s="11"/>
      <c r="I46" s="60"/>
      <c r="J46" s="11"/>
      <c r="K46" s="84"/>
      <c r="L46" s="28"/>
      <c r="M46" s="84"/>
      <c r="N46" s="67"/>
      <c r="O46" s="84"/>
      <c r="P46" s="11"/>
      <c r="Q46" s="11"/>
      <c r="R46" s="11"/>
      <c r="S46" s="11"/>
      <c r="T46" s="11"/>
      <c r="V46" s="28"/>
      <c r="W46" s="84"/>
      <c r="X46" s="86"/>
      <c r="Y46" s="60"/>
      <c r="Z46" s="36"/>
    </row>
    <row r="47" spans="2:26" x14ac:dyDescent="0.3">
      <c r="B47" s="60"/>
      <c r="C47" s="62"/>
      <c r="D47" s="62"/>
      <c r="E47" s="60"/>
      <c r="F47" s="30"/>
      <c r="G47" s="60"/>
      <c r="H47" s="11"/>
      <c r="I47" s="60"/>
      <c r="J47" s="11"/>
      <c r="K47" s="84"/>
      <c r="L47" s="28"/>
      <c r="M47" s="84"/>
      <c r="N47" s="67"/>
      <c r="O47" s="84"/>
      <c r="P47" s="11"/>
      <c r="Q47" s="11"/>
      <c r="R47" s="11"/>
      <c r="S47" s="11"/>
      <c r="T47" s="11"/>
      <c r="V47" s="28"/>
      <c r="W47" s="84"/>
      <c r="X47" s="86"/>
      <c r="Y47" s="60"/>
      <c r="Z47" s="36"/>
    </row>
    <row r="48" spans="2:26" x14ac:dyDescent="0.3">
      <c r="B48" s="60"/>
      <c r="C48" s="62"/>
      <c r="D48" s="7" t="s">
        <v>50</v>
      </c>
      <c r="E48" s="60"/>
      <c r="F48" s="6"/>
      <c r="G48" s="60"/>
      <c r="H48" s="19"/>
      <c r="I48" s="72"/>
      <c r="J48" s="22"/>
      <c r="K48" s="67"/>
      <c r="L48" s="22"/>
      <c r="M48" s="72"/>
      <c r="N48" s="22"/>
      <c r="O48" s="72"/>
      <c r="P48" s="31"/>
      <c r="Q48" s="72"/>
      <c r="R48" s="67"/>
      <c r="S48" s="72"/>
      <c r="T48" s="67"/>
      <c r="U48" s="72"/>
      <c r="V48" s="72"/>
      <c r="W48" s="72"/>
      <c r="X48" s="72"/>
      <c r="Y48" s="72"/>
      <c r="Z48" s="67"/>
    </row>
    <row r="49" spans="2:26" x14ac:dyDescent="0.3">
      <c r="B49" s="60"/>
      <c r="C49" s="62"/>
      <c r="D49" s="10" t="s">
        <v>33</v>
      </c>
      <c r="E49" s="60"/>
      <c r="F49" s="17"/>
      <c r="G49" s="60"/>
      <c r="H49" s="11"/>
      <c r="I49" s="72"/>
      <c r="J49" s="11"/>
      <c r="K49" s="72"/>
      <c r="L49" s="11"/>
      <c r="M49" s="67"/>
      <c r="N49" s="11"/>
      <c r="O49" s="12"/>
      <c r="P49" s="18"/>
      <c r="Q49" s="12"/>
      <c r="R49" s="11"/>
      <c r="S49" s="67"/>
      <c r="T49" s="11"/>
      <c r="U49" s="67"/>
      <c r="V49" s="18"/>
      <c r="W49" s="67"/>
      <c r="X49" s="13"/>
      <c r="Y49" s="14"/>
      <c r="Z49" s="11"/>
    </row>
    <row r="50" spans="2:26" x14ac:dyDescent="0.3">
      <c r="B50" s="60">
        <f>MAX(B$18:B49)+1</f>
        <v>18</v>
      </c>
      <c r="C50" s="62"/>
      <c r="D50" s="16" t="s">
        <v>34</v>
      </c>
      <c r="E50" s="60"/>
      <c r="F50" s="17" t="s">
        <v>35</v>
      </c>
      <c r="G50" s="60"/>
      <c r="H50" s="11">
        <v>177992.75614420278</v>
      </c>
      <c r="I50" s="72"/>
      <c r="J50" s="11"/>
      <c r="K50" s="72"/>
      <c r="L50" s="11"/>
      <c r="M50" s="67"/>
      <c r="N50" s="11"/>
      <c r="O50" s="12"/>
      <c r="P50" s="11">
        <v>19800.493249397558</v>
      </c>
      <c r="Q50" s="12"/>
      <c r="R50" s="11">
        <f t="shared" ref="R50:R51" si="16">T50-P50</f>
        <v>-14621.329420363807</v>
      </c>
      <c r="S50" s="67"/>
      <c r="T50" s="11">
        <f>V50*H50/1000</f>
        <v>5179.1638290337496</v>
      </c>
      <c r="U50" s="67"/>
      <c r="V50" s="68">
        <v>29.097610156886343</v>
      </c>
      <c r="W50" s="67"/>
      <c r="X50" s="13">
        <f>T50/P50</f>
        <v>0.26156741470020345</v>
      </c>
      <c r="Y50" s="14"/>
      <c r="Z50" s="11"/>
    </row>
    <row r="51" spans="2:26" x14ac:dyDescent="0.3">
      <c r="B51" s="60">
        <f>MAX(B$18:B50)+1</f>
        <v>19</v>
      </c>
      <c r="C51" s="62"/>
      <c r="D51" s="16" t="s">
        <v>36</v>
      </c>
      <c r="E51" s="60"/>
      <c r="F51" s="17" t="s">
        <v>35</v>
      </c>
      <c r="G51" s="60"/>
      <c r="H51" s="11">
        <v>843305.43332122045</v>
      </c>
      <c r="I51" s="72"/>
      <c r="J51" s="11"/>
      <c r="K51" s="72"/>
      <c r="L51" s="11"/>
      <c r="M51" s="67"/>
      <c r="N51" s="11"/>
      <c r="O51" s="12"/>
      <c r="P51" s="11">
        <v>93812.039890708518</v>
      </c>
      <c r="Q51" s="12"/>
      <c r="R51" s="11">
        <f t="shared" si="16"/>
        <v>-69273.867148743535</v>
      </c>
      <c r="S51" s="67"/>
      <c r="T51" s="11">
        <f t="shared" ref="T51" si="17">V51*H51/1000</f>
        <v>24538.172741964983</v>
      </c>
      <c r="U51" s="67"/>
      <c r="V51" s="68">
        <v>29.097610156886343</v>
      </c>
      <c r="W51" s="67"/>
      <c r="X51" s="13">
        <f t="shared" ref="X51" si="18">T51/P51</f>
        <v>0.26156741470020345</v>
      </c>
      <c r="Y51" s="14"/>
      <c r="Z51" s="11"/>
    </row>
    <row r="52" spans="2:26" x14ac:dyDescent="0.3">
      <c r="B52" s="60"/>
      <c r="C52" s="62"/>
      <c r="D52" s="10" t="s">
        <v>37</v>
      </c>
      <c r="E52" s="60"/>
      <c r="F52" s="17"/>
      <c r="G52" s="60"/>
      <c r="H52" s="11"/>
      <c r="I52" s="72"/>
      <c r="J52" s="11"/>
      <c r="K52" s="72"/>
      <c r="L52" s="11"/>
      <c r="M52" s="67"/>
      <c r="N52" s="11"/>
      <c r="O52" s="12"/>
      <c r="P52" s="11"/>
      <c r="Q52" s="12"/>
      <c r="R52" s="11"/>
      <c r="S52" s="67"/>
      <c r="T52" s="11"/>
      <c r="U52" s="67"/>
      <c r="V52" s="27"/>
      <c r="W52" s="67"/>
      <c r="X52" s="13"/>
      <c r="Y52" s="14"/>
      <c r="Z52" s="11"/>
    </row>
    <row r="53" spans="2:26" x14ac:dyDescent="0.3">
      <c r="B53" s="60">
        <f>MAX(B$18:B52)+1</f>
        <v>20</v>
      </c>
      <c r="C53" s="62"/>
      <c r="D53" s="16" t="s">
        <v>34</v>
      </c>
      <c r="E53" s="60"/>
      <c r="F53" s="17" t="s">
        <v>38</v>
      </c>
      <c r="G53" s="60"/>
      <c r="H53" s="11">
        <v>982063.55868365674</v>
      </c>
      <c r="I53" s="72"/>
      <c r="J53" s="11"/>
      <c r="K53" s="72"/>
      <c r="L53" s="11"/>
      <c r="M53" s="67"/>
      <c r="N53" s="11"/>
      <c r="O53" s="12"/>
      <c r="P53" s="11">
        <v>656.47313315613076</v>
      </c>
      <c r="Q53" s="12"/>
      <c r="R53" s="11">
        <f t="shared" ref="R53:R57" si="19">T53-P53</f>
        <v>0</v>
      </c>
      <c r="S53" s="67"/>
      <c r="T53" s="11">
        <f>H53*V53/100</f>
        <v>656.47313315613098</v>
      </c>
      <c r="U53" s="67"/>
      <c r="V53" s="27">
        <v>6.6846298017213632E-2</v>
      </c>
      <c r="W53" s="67"/>
      <c r="X53" s="13">
        <f t="shared" ref="X53:X57" si="20">T53/P53</f>
        <v>1.0000000000000004</v>
      </c>
      <c r="Y53" s="14"/>
      <c r="Z53" s="11"/>
    </row>
    <row r="54" spans="2:26" x14ac:dyDescent="0.3">
      <c r="B54" s="60">
        <f>MAX(B$18:B53)+1</f>
        <v>21</v>
      </c>
      <c r="C54" s="62"/>
      <c r="D54" s="16" t="s">
        <v>36</v>
      </c>
      <c r="E54" s="60"/>
      <c r="F54" s="17" t="s">
        <v>38</v>
      </c>
      <c r="G54" s="60"/>
      <c r="H54" s="11">
        <v>5588995.5264765844</v>
      </c>
      <c r="I54" s="72"/>
      <c r="J54" s="11"/>
      <c r="K54" s="72"/>
      <c r="L54" s="11"/>
      <c r="M54" s="67"/>
      <c r="N54" s="11"/>
      <c r="O54" s="12"/>
      <c r="P54" s="11">
        <v>3736.0366057972751</v>
      </c>
      <c r="Q54" s="12"/>
      <c r="R54" s="11">
        <f t="shared" si="19"/>
        <v>0</v>
      </c>
      <c r="S54" s="67"/>
      <c r="T54" s="11">
        <f t="shared" ref="T54" si="21">H54*V54/100</f>
        <v>3736.0366057972756</v>
      </c>
      <c r="U54" s="67"/>
      <c r="V54" s="27">
        <v>6.6846298017213632E-2</v>
      </c>
      <c r="W54" s="67"/>
      <c r="X54" s="13">
        <f t="shared" si="20"/>
        <v>1.0000000000000002</v>
      </c>
      <c r="Y54" s="14"/>
      <c r="Z54" s="11"/>
    </row>
    <row r="55" spans="2:26" x14ac:dyDescent="0.3">
      <c r="B55" s="60"/>
      <c r="C55" s="62"/>
      <c r="D55" s="10" t="s">
        <v>39</v>
      </c>
      <c r="E55" s="60"/>
      <c r="F55" s="17"/>
      <c r="G55" s="60"/>
      <c r="H55" s="11"/>
      <c r="I55" s="72"/>
      <c r="J55" s="11"/>
      <c r="K55" s="72"/>
      <c r="L55" s="11"/>
      <c r="M55" s="67"/>
      <c r="N55" s="11"/>
      <c r="O55" s="12"/>
      <c r="P55" s="11"/>
      <c r="Q55" s="12"/>
      <c r="R55" s="11"/>
      <c r="S55" s="67"/>
      <c r="T55" s="11"/>
      <c r="U55" s="67"/>
      <c r="V55" s="27"/>
      <c r="W55" s="67"/>
      <c r="X55" s="13"/>
      <c r="Y55" s="14"/>
      <c r="Z55" s="11"/>
    </row>
    <row r="56" spans="2:26" x14ac:dyDescent="0.3">
      <c r="B56" s="60">
        <f>MAX(B$18:B55)+1</f>
        <v>22</v>
      </c>
      <c r="C56" s="62"/>
      <c r="D56" s="16" t="s">
        <v>34</v>
      </c>
      <c r="E56" s="60"/>
      <c r="F56" s="17" t="s">
        <v>40</v>
      </c>
      <c r="G56" s="60"/>
      <c r="H56" s="11">
        <v>130797.31707772793</v>
      </c>
      <c r="I56" s="72"/>
      <c r="J56" s="11"/>
      <c r="K56" s="72"/>
      <c r="L56" s="11"/>
      <c r="M56" s="67"/>
      <c r="N56" s="11"/>
      <c r="O56" s="12"/>
      <c r="P56" s="11">
        <v>67673.899254241463</v>
      </c>
      <c r="Q56" s="12"/>
      <c r="R56" s="11">
        <f t="shared" si="19"/>
        <v>13647.773386734159</v>
      </c>
      <c r="S56" s="67"/>
      <c r="T56" s="11">
        <f>H56*V56/100</f>
        <v>81321.672640975623</v>
      </c>
      <c r="U56" s="67"/>
      <c r="V56" s="27">
        <v>62.173807886785021</v>
      </c>
      <c r="W56" s="67"/>
      <c r="X56" s="13">
        <f t="shared" si="20"/>
        <v>1.201669676745851</v>
      </c>
      <c r="Y56" s="14"/>
      <c r="Z56" s="11"/>
    </row>
    <row r="57" spans="2:26" x14ac:dyDescent="0.3">
      <c r="B57" s="60">
        <f>MAX(B$18:B56)+1</f>
        <v>23</v>
      </c>
      <c r="C57" s="62"/>
      <c r="D57" s="16" t="s">
        <v>36</v>
      </c>
      <c r="E57" s="60"/>
      <c r="F57" s="17" t="s">
        <v>40</v>
      </c>
      <c r="G57" s="60"/>
      <c r="H57" s="11">
        <v>641801.68292227224</v>
      </c>
      <c r="I57" s="72"/>
      <c r="J57" s="11"/>
      <c r="K57" s="72"/>
      <c r="L57" s="11"/>
      <c r="M57" s="67"/>
      <c r="N57" s="11"/>
      <c r="O57" s="12"/>
      <c r="P57" s="11">
        <v>329268.09904854739</v>
      </c>
      <c r="Q57" s="12"/>
      <c r="R57" s="11">
        <f t="shared" si="19"/>
        <v>65114.663405458909</v>
      </c>
      <c r="S57" s="67"/>
      <c r="T57" s="11">
        <f t="shared" ref="T57" si="22">H57*V57/100</f>
        <v>394382.7624540063</v>
      </c>
      <c r="U57" s="67"/>
      <c r="V57" s="27">
        <v>61.449318839160711</v>
      </c>
      <c r="W57" s="67"/>
      <c r="X57" s="13">
        <f t="shared" si="20"/>
        <v>1.1977557607117548</v>
      </c>
      <c r="Y57" s="14"/>
      <c r="Z57" s="11"/>
    </row>
    <row r="58" spans="2:26" x14ac:dyDescent="0.3">
      <c r="B58" s="60">
        <f>MAX(B$18:B57)+1</f>
        <v>24</v>
      </c>
      <c r="C58" s="62"/>
      <c r="D58" s="10" t="s">
        <v>41</v>
      </c>
      <c r="E58" s="60"/>
      <c r="F58" s="17"/>
      <c r="G58" s="60"/>
      <c r="H58" s="76">
        <f>SUM(H53:H54)</f>
        <v>6571059.0851602415</v>
      </c>
      <c r="I58" s="72"/>
      <c r="J58" s="11"/>
      <c r="K58" s="72"/>
      <c r="L58" s="11"/>
      <c r="M58" s="67"/>
      <c r="N58" s="11"/>
      <c r="O58" s="12"/>
      <c r="P58" s="76">
        <f>SUM(P50:P51,P53:P54,P56:P57)</f>
        <v>514947.04118184833</v>
      </c>
      <c r="Q58" s="67"/>
      <c r="R58" s="76">
        <f>SUM(R50:R57)</f>
        <v>-5132.759776914274</v>
      </c>
      <c r="S58" s="67"/>
      <c r="T58" s="76">
        <f>SUM(T50:T51,T53:T54,T56:T57)</f>
        <v>509814.28140493407</v>
      </c>
      <c r="U58" s="67"/>
      <c r="V58" s="21">
        <f>T58/$H58*100</f>
        <v>7.7584796422889237</v>
      </c>
      <c r="W58" s="67"/>
      <c r="X58" s="77">
        <f>T58/P58</f>
        <v>0.99003245117180572</v>
      </c>
      <c r="Y58" s="14"/>
      <c r="Z58" s="11"/>
    </row>
    <row r="59" spans="2:26" x14ac:dyDescent="0.3">
      <c r="E59" s="60"/>
      <c r="F59" s="17"/>
      <c r="G59" s="60"/>
      <c r="H59" s="11"/>
      <c r="I59" s="72"/>
      <c r="J59" s="22"/>
      <c r="K59" s="67"/>
      <c r="L59" s="22"/>
      <c r="M59" s="67"/>
      <c r="N59" s="22"/>
      <c r="O59" s="12"/>
      <c r="P59" s="11"/>
      <c r="Q59" s="12"/>
      <c r="R59" s="11"/>
      <c r="S59" s="67"/>
      <c r="T59" s="11"/>
      <c r="U59" s="67"/>
      <c r="V59" s="27"/>
      <c r="W59" s="67"/>
      <c r="X59" s="13"/>
      <c r="Y59" s="14"/>
      <c r="Z59" s="72"/>
    </row>
    <row r="60" spans="2:26" x14ac:dyDescent="0.3">
      <c r="B60" s="60"/>
      <c r="C60" s="62"/>
      <c r="D60" s="10" t="s">
        <v>42</v>
      </c>
      <c r="E60" s="60"/>
      <c r="F60" s="84"/>
      <c r="G60" s="60"/>
      <c r="H60" s="11"/>
      <c r="I60" s="72"/>
      <c r="J60" s="22"/>
      <c r="K60" s="67"/>
      <c r="L60" s="22"/>
      <c r="M60" s="67"/>
      <c r="N60" s="22"/>
      <c r="O60" s="12"/>
      <c r="P60" s="11"/>
      <c r="Q60" s="12"/>
      <c r="R60" s="11"/>
      <c r="S60" s="67"/>
      <c r="T60" s="11"/>
      <c r="U60" s="67"/>
      <c r="V60" s="22"/>
      <c r="W60" s="67"/>
      <c r="X60" s="13"/>
      <c r="Y60" s="14"/>
      <c r="Z60" s="72"/>
    </row>
    <row r="61" spans="2:26" x14ac:dyDescent="0.3">
      <c r="B61" s="60"/>
      <c r="C61" s="62"/>
      <c r="D61" s="23" t="s">
        <v>43</v>
      </c>
      <c r="E61" s="60"/>
      <c r="F61" s="84"/>
      <c r="G61" s="60"/>
      <c r="H61" s="11"/>
      <c r="I61" s="72"/>
      <c r="J61" s="11"/>
      <c r="K61" s="67"/>
      <c r="L61" s="11"/>
      <c r="M61" s="67"/>
      <c r="N61" s="11"/>
      <c r="O61" s="67"/>
      <c r="P61" s="11"/>
      <c r="Q61" s="67"/>
      <c r="R61" s="11"/>
      <c r="S61" s="67"/>
      <c r="T61" s="11"/>
      <c r="U61" s="67"/>
      <c r="V61" s="27"/>
      <c r="W61" s="67"/>
      <c r="X61" s="11"/>
      <c r="Y61" s="72"/>
      <c r="Z61" s="11"/>
    </row>
    <row r="62" spans="2:26" x14ac:dyDescent="0.3">
      <c r="B62" s="60">
        <f>MAX(B$18:B61)+1</f>
        <v>25</v>
      </c>
      <c r="C62" s="62"/>
      <c r="D62" s="16" t="s">
        <v>34</v>
      </c>
      <c r="E62" s="60"/>
      <c r="F62" s="84" t="s">
        <v>38</v>
      </c>
      <c r="G62" s="60"/>
      <c r="H62" s="11">
        <v>925764.09009210975</v>
      </c>
      <c r="I62" s="72"/>
      <c r="J62" s="11"/>
      <c r="K62" s="67"/>
      <c r="L62" s="11"/>
      <c r="M62" s="67"/>
      <c r="N62" s="11"/>
      <c r="O62" s="67"/>
      <c r="P62" s="11">
        <v>85634.507649120962</v>
      </c>
      <c r="Q62" s="67"/>
      <c r="R62" s="11">
        <f>T62-P62</f>
        <v>0</v>
      </c>
      <c r="S62" s="67"/>
      <c r="T62" s="11">
        <f>H62*V62/100</f>
        <v>85634.507649120991</v>
      </c>
      <c r="U62" s="67"/>
      <c r="V62" s="27">
        <v>9.2501435911821446</v>
      </c>
      <c r="W62" s="67"/>
      <c r="X62" s="13">
        <f>T62/P62</f>
        <v>1.0000000000000004</v>
      </c>
      <c r="Y62" s="72"/>
      <c r="Z62" s="11"/>
    </row>
    <row r="63" spans="2:26" x14ac:dyDescent="0.3">
      <c r="B63" s="60">
        <f>MAX(B$18:B62)+1</f>
        <v>26</v>
      </c>
      <c r="C63" s="62"/>
      <c r="D63" s="16" t="s">
        <v>36</v>
      </c>
      <c r="E63" s="60"/>
      <c r="F63" s="84" t="s">
        <v>38</v>
      </c>
      <c r="G63" s="60"/>
      <c r="H63" s="11">
        <v>5445792.1021920303</v>
      </c>
      <c r="I63" s="72"/>
      <c r="J63" s="11"/>
      <c r="K63" s="67"/>
      <c r="L63" s="11"/>
      <c r="M63" s="67"/>
      <c r="N63" s="11"/>
      <c r="O63" s="67"/>
      <c r="P63" s="11">
        <v>33590.213244641993</v>
      </c>
      <c r="Q63" s="67"/>
      <c r="R63" s="11">
        <f t="shared" ref="R63:R66" si="23">T63-P63</f>
        <v>0</v>
      </c>
      <c r="S63" s="67"/>
      <c r="T63" s="11">
        <f t="shared" ref="T63:T66" si="24">H63*V63/100</f>
        <v>33590.213244642015</v>
      </c>
      <c r="U63" s="67"/>
      <c r="V63" s="27">
        <v>0.616810421960863</v>
      </c>
      <c r="W63" s="67"/>
      <c r="X63" s="13">
        <f t="shared" ref="X63:X66" si="25">T63/P63</f>
        <v>1.0000000000000007</v>
      </c>
      <c r="Y63" s="72"/>
      <c r="Z63" s="11"/>
    </row>
    <row r="64" spans="2:26" x14ac:dyDescent="0.3">
      <c r="B64" s="60"/>
      <c r="C64" s="62"/>
      <c r="D64" s="23" t="s">
        <v>44</v>
      </c>
      <c r="E64" s="60"/>
      <c r="F64" s="84"/>
      <c r="G64" s="60"/>
      <c r="H64" s="11"/>
      <c r="I64" s="72"/>
      <c r="J64" s="11"/>
      <c r="K64" s="67"/>
      <c r="L64" s="11"/>
      <c r="M64" s="67"/>
      <c r="N64" s="11"/>
      <c r="O64" s="67"/>
      <c r="P64" s="11"/>
      <c r="Q64" s="67"/>
      <c r="R64" s="11"/>
      <c r="S64" s="67"/>
      <c r="T64" s="11"/>
      <c r="U64" s="67"/>
      <c r="V64" s="27"/>
      <c r="W64" s="67"/>
      <c r="X64" s="13"/>
      <c r="Y64" s="72"/>
      <c r="Z64" s="11"/>
    </row>
    <row r="65" spans="2:26" x14ac:dyDescent="0.3">
      <c r="B65" s="60">
        <f>MAX(B$18:B64)+1</f>
        <v>27</v>
      </c>
      <c r="C65" s="62"/>
      <c r="D65" s="16" t="s">
        <v>34</v>
      </c>
      <c r="E65" s="60"/>
      <c r="F65" s="84" t="s">
        <v>38</v>
      </c>
      <c r="G65" s="60"/>
      <c r="H65" s="11">
        <v>52418.459222521546</v>
      </c>
      <c r="I65" s="72"/>
      <c r="J65" s="11"/>
      <c r="K65" s="67"/>
      <c r="L65" s="11"/>
      <c r="M65" s="67"/>
      <c r="N65" s="11"/>
      <c r="O65" s="67"/>
      <c r="P65" s="11">
        <v>6207.4196703060443</v>
      </c>
      <c r="Q65" s="67"/>
      <c r="R65" s="11">
        <f t="shared" si="23"/>
        <v>0</v>
      </c>
      <c r="S65" s="67"/>
      <c r="T65" s="11">
        <f t="shared" si="24"/>
        <v>6207.4196703060434</v>
      </c>
      <c r="U65" s="67"/>
      <c r="V65" s="27">
        <v>11.842049084187945</v>
      </c>
      <c r="W65" s="67"/>
      <c r="X65" s="13">
        <f t="shared" si="25"/>
        <v>0.99999999999999989</v>
      </c>
      <c r="Y65" s="72"/>
      <c r="Z65" s="11"/>
    </row>
    <row r="66" spans="2:26" x14ac:dyDescent="0.3">
      <c r="B66" s="60">
        <f>MAX(B$18:B65)+1</f>
        <v>28</v>
      </c>
      <c r="C66" s="62"/>
      <c r="D66" s="16" t="s">
        <v>36</v>
      </c>
      <c r="E66" s="60"/>
      <c r="F66" s="84" t="s">
        <v>38</v>
      </c>
      <c r="G66" s="60"/>
      <c r="H66" s="11">
        <v>143203.42428455449</v>
      </c>
      <c r="I66" s="72"/>
      <c r="J66" s="11"/>
      <c r="K66" s="67"/>
      <c r="L66" s="11"/>
      <c r="M66" s="67"/>
      <c r="N66" s="11"/>
      <c r="O66" s="67"/>
      <c r="P66" s="11">
        <v>4594.9910657957344</v>
      </c>
      <c r="Q66" s="67"/>
      <c r="R66" s="11">
        <f t="shared" si="23"/>
        <v>0</v>
      </c>
      <c r="S66" s="67"/>
      <c r="T66" s="11">
        <f t="shared" si="24"/>
        <v>4594.9910657957344</v>
      </c>
      <c r="U66" s="67"/>
      <c r="V66" s="27">
        <v>3.2087159149666626</v>
      </c>
      <c r="W66" s="67"/>
      <c r="X66" s="13">
        <f t="shared" si="25"/>
        <v>1</v>
      </c>
      <c r="Y66" s="72"/>
      <c r="Z66" s="11"/>
    </row>
    <row r="67" spans="2:26" x14ac:dyDescent="0.3">
      <c r="B67" s="60">
        <f>MAX(B$18:B66)+1</f>
        <v>29</v>
      </c>
      <c r="C67" s="62"/>
      <c r="D67" s="10" t="s">
        <v>42</v>
      </c>
      <c r="E67" s="60"/>
      <c r="F67" s="17"/>
      <c r="G67" s="60"/>
      <c r="H67" s="76">
        <f>SUM(H62:H66)</f>
        <v>6567178.0757912155</v>
      </c>
      <c r="I67" s="72"/>
      <c r="J67" s="11"/>
      <c r="K67" s="67"/>
      <c r="L67" s="11"/>
      <c r="M67" s="67"/>
      <c r="N67" s="11"/>
      <c r="O67" s="12"/>
      <c r="P67" s="76">
        <f>SUM(P62:P66)</f>
        <v>130027.13162986473</v>
      </c>
      <c r="Q67" s="12"/>
      <c r="R67" s="76">
        <f>SUM(R61:R66)</f>
        <v>0</v>
      </c>
      <c r="S67" s="67"/>
      <c r="T67" s="76">
        <f>SUM(T62:T66)</f>
        <v>130027.13162986479</v>
      </c>
      <c r="U67" s="67"/>
      <c r="V67" s="21">
        <f>T67/$H67*100</f>
        <v>1.9799544055183713</v>
      </c>
      <c r="W67" s="67"/>
      <c r="X67" s="77">
        <f>T67/P67</f>
        <v>1.0000000000000004</v>
      </c>
      <c r="Y67" s="14"/>
      <c r="Z67" s="11"/>
    </row>
    <row r="68" spans="2:26" x14ac:dyDescent="0.3">
      <c r="B68" s="60"/>
      <c r="H68" s="14"/>
      <c r="I68" s="14"/>
      <c r="J68" s="22"/>
      <c r="K68" s="67"/>
      <c r="L68" s="22"/>
      <c r="M68" s="14"/>
      <c r="N68" s="22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72"/>
    </row>
    <row r="69" spans="2:26" x14ac:dyDescent="0.3">
      <c r="B69" s="60"/>
      <c r="C69" s="62"/>
      <c r="D69" s="24" t="s">
        <v>46</v>
      </c>
      <c r="E69" s="60"/>
      <c r="F69" s="17"/>
      <c r="G69" s="60"/>
      <c r="H69" s="11"/>
      <c r="I69" s="72"/>
      <c r="J69" s="11"/>
      <c r="K69" s="67"/>
      <c r="L69" s="11"/>
      <c r="M69" s="67"/>
      <c r="N69" s="11"/>
      <c r="O69" s="12"/>
      <c r="P69" s="11"/>
      <c r="Q69" s="12"/>
      <c r="R69" s="11"/>
      <c r="S69" s="67"/>
      <c r="T69" s="11"/>
      <c r="U69" s="67"/>
      <c r="V69" s="27"/>
      <c r="W69" s="67"/>
      <c r="X69" s="13"/>
      <c r="Y69" s="14"/>
      <c r="Z69" s="11"/>
    </row>
    <row r="70" spans="2:26" x14ac:dyDescent="0.3">
      <c r="B70" s="60">
        <f>MAX(B$18:B69)+1</f>
        <v>30</v>
      </c>
      <c r="C70" s="62"/>
      <c r="D70" s="16" t="s">
        <v>34</v>
      </c>
      <c r="E70" s="60"/>
      <c r="F70" s="17" t="s">
        <v>38</v>
      </c>
      <c r="G70" s="60"/>
      <c r="H70" s="11">
        <v>620986.57963316736</v>
      </c>
      <c r="I70" s="72"/>
      <c r="J70" s="11"/>
      <c r="K70" s="67"/>
      <c r="L70" s="11"/>
      <c r="M70" s="67"/>
      <c r="N70" s="11"/>
      <c r="O70" s="12"/>
      <c r="P70" s="11">
        <v>70316.718295852683</v>
      </c>
      <c r="Q70" s="12"/>
      <c r="R70" s="11">
        <f t="shared" ref="R70:R71" si="26">T70-P70</f>
        <v>58.280083948935498</v>
      </c>
      <c r="S70" s="67"/>
      <c r="T70" s="11">
        <f>H70*V70/100</f>
        <v>70374.998379801618</v>
      </c>
      <c r="U70" s="67"/>
      <c r="V70" s="27">
        <v>11.332772830835399</v>
      </c>
      <c r="W70" s="67"/>
      <c r="X70" s="13">
        <f>T70/P70</f>
        <v>1.00082882258105</v>
      </c>
      <c r="Y70" s="14"/>
      <c r="Z70" s="11"/>
    </row>
    <row r="71" spans="2:26" x14ac:dyDescent="0.3">
      <c r="B71" s="60">
        <f>MAX(B$18:B70)+1</f>
        <v>31</v>
      </c>
      <c r="C71" s="62"/>
      <c r="D71" s="16" t="s">
        <v>36</v>
      </c>
      <c r="E71" s="60"/>
      <c r="F71" s="17" t="s">
        <v>38</v>
      </c>
      <c r="G71" s="60"/>
      <c r="H71" s="11">
        <v>3492999.8952274523</v>
      </c>
      <c r="I71" s="72"/>
      <c r="J71" s="11"/>
      <c r="K71" s="67"/>
      <c r="L71" s="11"/>
      <c r="M71" s="67"/>
      <c r="N71" s="11"/>
      <c r="O71" s="12"/>
      <c r="P71" s="11">
        <v>527321.69892533892</v>
      </c>
      <c r="Q71" s="12"/>
      <c r="R71" s="11">
        <f t="shared" si="26"/>
        <v>-98.674046423169784</v>
      </c>
      <c r="S71" s="67"/>
      <c r="T71" s="11">
        <f t="shared" ref="T71" si="27">H71*V71/100</f>
        <v>527223.02487891575</v>
      </c>
      <c r="U71" s="67"/>
      <c r="V71" s="27">
        <v>15.093702854078806</v>
      </c>
      <c r="W71" s="67"/>
      <c r="X71" s="13">
        <f t="shared" ref="X71" si="28">T71/P71</f>
        <v>0.99981287694660725</v>
      </c>
      <c r="Y71" s="14"/>
      <c r="Z71" s="11"/>
    </row>
    <row r="72" spans="2:26" x14ac:dyDescent="0.3">
      <c r="B72" s="60"/>
      <c r="C72" s="62"/>
      <c r="D72" s="10"/>
      <c r="E72" s="60"/>
      <c r="F72" s="17"/>
      <c r="G72" s="60"/>
      <c r="H72" s="11"/>
      <c r="I72" s="72"/>
      <c r="J72" s="11"/>
      <c r="K72" s="67"/>
      <c r="L72" s="27"/>
      <c r="M72" s="67"/>
      <c r="N72" s="11"/>
      <c r="O72" s="12"/>
      <c r="P72" s="11"/>
      <c r="Q72" s="12"/>
      <c r="R72" s="11"/>
      <c r="S72" s="67"/>
      <c r="T72" s="11"/>
      <c r="U72" s="67"/>
      <c r="V72" s="27"/>
      <c r="W72" s="67"/>
      <c r="X72" s="13"/>
      <c r="Y72" s="14"/>
      <c r="Z72" s="15"/>
    </row>
    <row r="73" spans="2:26" ht="12.9" thickBot="1" x14ac:dyDescent="0.35">
      <c r="B73" s="60">
        <f>MAX(B$18:B72)+1</f>
        <v>32</v>
      </c>
      <c r="C73" s="62"/>
      <c r="D73" s="25" t="s">
        <v>51</v>
      </c>
      <c r="E73" s="60"/>
      <c r="F73" s="17"/>
      <c r="G73" s="60"/>
      <c r="H73" s="71">
        <f>H58</f>
        <v>6571059.0851602415</v>
      </c>
      <c r="I73" s="72"/>
      <c r="J73" s="71">
        <v>1227458.9350106884</v>
      </c>
      <c r="K73" s="67"/>
      <c r="L73" s="26">
        <f>J73/$H73*100</f>
        <v>18.679773216203788</v>
      </c>
      <c r="M73" s="67"/>
      <c r="N73" s="71">
        <f>J73-P73</f>
        <v>-15153.655022216262</v>
      </c>
      <c r="O73" s="12"/>
      <c r="P73" s="71">
        <f>SUM(P58,P67,P70:P71)</f>
        <v>1242612.5900329046</v>
      </c>
      <c r="Q73" s="12"/>
      <c r="R73" s="71">
        <f>R58+R70+R71</f>
        <v>-5173.1537393885083</v>
      </c>
      <c r="S73" s="67"/>
      <c r="T73" s="71">
        <f>SUM(T58,T67,T70:T71)</f>
        <v>1237439.4362935163</v>
      </c>
      <c r="U73" s="67"/>
      <c r="V73" s="26">
        <f>T73/$H73*100</f>
        <v>18.831658949591386</v>
      </c>
      <c r="W73" s="67"/>
      <c r="X73" s="73">
        <f t="shared" ref="X73" si="29">T73/P73</f>
        <v>0.99583687322912817</v>
      </c>
      <c r="Y73" s="14"/>
      <c r="Z73" s="32">
        <f>V73/L73-1</f>
        <v>8.131026625946669E-3</v>
      </c>
    </row>
    <row r="74" spans="2:26" ht="12.9" thickTop="1" x14ac:dyDescent="0.3">
      <c r="B74" s="60"/>
      <c r="C74" s="62"/>
      <c r="D74" s="57"/>
      <c r="F74" s="84"/>
      <c r="H74" s="67"/>
      <c r="I74" s="14"/>
      <c r="J74" s="67"/>
      <c r="K74" s="67"/>
      <c r="L74" s="22"/>
      <c r="M74" s="67"/>
      <c r="N74" s="67"/>
      <c r="O74" s="67"/>
      <c r="P74" s="67"/>
      <c r="Q74" s="67"/>
      <c r="R74" s="67"/>
      <c r="S74" s="67"/>
      <c r="T74" s="67"/>
      <c r="U74" s="67"/>
      <c r="V74" s="22"/>
      <c r="W74" s="67"/>
      <c r="X74" s="86"/>
      <c r="Y74" s="72"/>
      <c r="Z74" s="22"/>
    </row>
    <row r="75" spans="2:26" x14ac:dyDescent="0.3">
      <c r="B75" s="60">
        <f>MAX(B$18:B74)+1</f>
        <v>33</v>
      </c>
      <c r="C75" s="62"/>
      <c r="D75" s="2" t="s">
        <v>52</v>
      </c>
      <c r="F75" s="84"/>
      <c r="H75" s="11">
        <f>H53</f>
        <v>982063.55868365674</v>
      </c>
      <c r="I75" s="14"/>
      <c r="J75" s="11">
        <v>212685.59774762159</v>
      </c>
      <c r="K75" s="67"/>
      <c r="L75" s="87">
        <f>J75/$H75*100</f>
        <v>21.657009453919883</v>
      </c>
      <c r="M75" s="67"/>
      <c r="N75" s="67">
        <f>J75-P75</f>
        <v>-37603.91350445323</v>
      </c>
      <c r="O75" s="67"/>
      <c r="P75" s="67">
        <f>P50+P53+P56+P62+P65+P70</f>
        <v>250289.51125207482</v>
      </c>
      <c r="Q75" s="67"/>
      <c r="R75" s="67">
        <f>R50+R56+R70</f>
        <v>-915.27594968071207</v>
      </c>
      <c r="S75" s="67"/>
      <c r="T75" s="67">
        <f>T50+T53+T56+T62+T65+T70</f>
        <v>249374.23530239414</v>
      </c>
      <c r="U75" s="67"/>
      <c r="V75" s="87">
        <f>T75/$H75*100</f>
        <v>25.392881458370336</v>
      </c>
      <c r="W75" s="67"/>
      <c r="X75" s="86">
        <f>T75/P75</f>
        <v>0.99634313102014538</v>
      </c>
      <c r="Y75" s="72"/>
      <c r="Z75" s="36">
        <f>V75/L75-1</f>
        <v>0.17250174879404989</v>
      </c>
    </row>
    <row r="76" spans="2:26" x14ac:dyDescent="0.3">
      <c r="B76" s="60">
        <f>MAX(B$18:B75)+1</f>
        <v>34</v>
      </c>
      <c r="C76" s="62"/>
      <c r="D76" s="62" t="s">
        <v>53</v>
      </c>
      <c r="F76" s="84"/>
      <c r="H76" s="11">
        <f>H54</f>
        <v>5588995.5264765844</v>
      </c>
      <c r="I76" s="14"/>
      <c r="J76" s="11">
        <v>1014773.3372630667</v>
      </c>
      <c r="K76" s="67"/>
      <c r="L76" s="87">
        <f t="shared" ref="L76" si="30">J76/$H76*100</f>
        <v>18.156631767833964</v>
      </c>
      <c r="M76" s="67"/>
      <c r="N76" s="67">
        <f>J76-P76</f>
        <v>22450.258482236764</v>
      </c>
      <c r="O76" s="67"/>
      <c r="P76" s="67">
        <f>P51+P54+P57+P63+P66+P71</f>
        <v>992323.07878082991</v>
      </c>
      <c r="Q76" s="67"/>
      <c r="R76" s="67">
        <f>R51+R57+R71</f>
        <v>-4257.8777897077962</v>
      </c>
      <c r="S76" s="67"/>
      <c r="T76" s="67">
        <f>T51+T54+T57+T63+T66+T71</f>
        <v>988065.20099112205</v>
      </c>
      <c r="U76" s="67"/>
      <c r="V76" s="87">
        <f>T76/$H76*100</f>
        <v>17.678761707902428</v>
      </c>
      <c r="W76" s="67"/>
      <c r="X76" s="86">
        <f t="shared" ref="X76" si="31">T76/P76</f>
        <v>0.9957091819380649</v>
      </c>
      <c r="Y76" s="72"/>
      <c r="Z76" s="36">
        <f t="shared" ref="Z76" si="32">V76/L76-1</f>
        <v>-2.6319312196336098E-2</v>
      </c>
    </row>
    <row r="77" spans="2:26" x14ac:dyDescent="0.3">
      <c r="B77" s="25"/>
      <c r="C77" s="62"/>
      <c r="D77" s="62"/>
      <c r="F77" s="62"/>
      <c r="H77" s="88"/>
      <c r="J77" s="89"/>
      <c r="K77" s="62"/>
      <c r="L77" s="33"/>
      <c r="M77" s="62"/>
      <c r="N77" s="89"/>
      <c r="O77" s="62"/>
      <c r="P77" s="89"/>
      <c r="Q77" s="62"/>
      <c r="R77" s="89"/>
      <c r="S77" s="62"/>
      <c r="T77" s="89"/>
      <c r="U77" s="62"/>
      <c r="V77" s="33"/>
      <c r="W77" s="60"/>
      <c r="X77" s="60"/>
      <c r="Y77" s="60"/>
      <c r="Z77" s="30"/>
    </row>
    <row r="78" spans="2:26" x14ac:dyDescent="0.3">
      <c r="B78" s="60"/>
      <c r="C78" s="62"/>
      <c r="D78" s="62"/>
      <c r="E78" s="60"/>
      <c r="F78" s="90"/>
      <c r="G78" s="60"/>
      <c r="H78" s="90"/>
      <c r="I78" s="60"/>
      <c r="J78" s="90"/>
      <c r="K78" s="60"/>
      <c r="L78" s="30"/>
      <c r="M78" s="60"/>
      <c r="N78" s="60"/>
      <c r="O78" s="60"/>
      <c r="P78" s="60"/>
      <c r="Q78" s="60"/>
      <c r="R78" s="60"/>
      <c r="S78" s="60"/>
      <c r="T78" s="84"/>
      <c r="U78" s="60"/>
      <c r="V78" s="60"/>
      <c r="W78" s="60"/>
      <c r="X78" s="60"/>
      <c r="Y78" s="60"/>
      <c r="Z78" s="60"/>
    </row>
    <row r="79" spans="2:26" x14ac:dyDescent="0.3">
      <c r="B79" s="60"/>
      <c r="C79" s="62"/>
      <c r="D79" s="7" t="s">
        <v>54</v>
      </c>
      <c r="E79" s="60"/>
      <c r="F79" s="6"/>
      <c r="G79" s="60"/>
      <c r="H79" s="19"/>
      <c r="I79" s="72"/>
      <c r="J79" s="19"/>
      <c r="K79" s="72"/>
      <c r="L79" s="72"/>
      <c r="M79" s="72"/>
      <c r="N79" s="20"/>
      <c r="O79" s="72"/>
      <c r="P79" s="31"/>
      <c r="Q79" s="72"/>
      <c r="R79" s="67"/>
      <c r="S79" s="72"/>
      <c r="T79" s="67"/>
      <c r="U79" s="72"/>
      <c r="V79" s="72"/>
      <c r="W79" s="72"/>
      <c r="X79" s="72"/>
      <c r="Y79" s="72"/>
      <c r="Z79" s="72"/>
    </row>
    <row r="80" spans="2:26" x14ac:dyDescent="0.3">
      <c r="B80" s="60"/>
      <c r="C80" s="62"/>
      <c r="D80" s="10" t="s">
        <v>33</v>
      </c>
      <c r="E80" s="60"/>
      <c r="F80" s="17"/>
      <c r="G80" s="60"/>
      <c r="H80" s="11"/>
      <c r="I80" s="72"/>
      <c r="J80" s="11"/>
      <c r="K80" s="72"/>
      <c r="L80" s="11"/>
      <c r="M80" s="67"/>
      <c r="N80" s="11"/>
      <c r="O80" s="12"/>
      <c r="P80" s="11"/>
      <c r="Q80" s="12"/>
      <c r="R80" s="11"/>
      <c r="S80" s="67"/>
      <c r="T80" s="11"/>
      <c r="U80" s="67"/>
      <c r="V80" s="68"/>
      <c r="W80" s="67"/>
      <c r="X80" s="13"/>
      <c r="Y80" s="14"/>
      <c r="Z80" s="11"/>
    </row>
    <row r="81" spans="2:26" x14ac:dyDescent="0.3">
      <c r="B81" s="60">
        <f>MAX(B$18:B80)+1</f>
        <v>35</v>
      </c>
      <c r="C81" s="62"/>
      <c r="D81" s="16" t="s">
        <v>34</v>
      </c>
      <c r="E81" s="60"/>
      <c r="F81" s="17" t="s">
        <v>35</v>
      </c>
      <c r="G81" s="60"/>
      <c r="H81" s="11">
        <v>936</v>
      </c>
      <c r="I81" s="72"/>
      <c r="J81" s="11"/>
      <c r="K81" s="72"/>
      <c r="L81" s="11"/>
      <c r="M81" s="67"/>
      <c r="N81" s="11"/>
      <c r="O81" s="12"/>
      <c r="P81" s="11">
        <v>2339.7406684446937</v>
      </c>
      <c r="Q81" s="12"/>
      <c r="R81" s="11">
        <f>T81-P81</f>
        <v>-1871.7406684446937</v>
      </c>
      <c r="S81" s="67"/>
      <c r="T81" s="11">
        <f>H81*V81/1000</f>
        <v>468</v>
      </c>
      <c r="U81" s="67"/>
      <c r="V81" s="68">
        <v>500</v>
      </c>
      <c r="W81" s="67"/>
      <c r="X81" s="13">
        <f>T81/P81</f>
        <v>0.20002216754692551</v>
      </c>
      <c r="Y81" s="14"/>
      <c r="Z81" s="11"/>
    </row>
    <row r="82" spans="2:26" x14ac:dyDescent="0.3">
      <c r="B82" s="60">
        <f>MAX(B$18:B81)+1</f>
        <v>36</v>
      </c>
      <c r="C82" s="62"/>
      <c r="D82" s="16" t="s">
        <v>36</v>
      </c>
      <c r="E82" s="60"/>
      <c r="F82" s="17" t="s">
        <v>35</v>
      </c>
      <c r="G82" s="60"/>
      <c r="H82" s="11">
        <v>8244</v>
      </c>
      <c r="I82" s="72"/>
      <c r="J82" s="11"/>
      <c r="K82" s="72"/>
      <c r="L82" s="11"/>
      <c r="M82" s="67"/>
      <c r="N82" s="11"/>
      <c r="O82" s="12"/>
      <c r="P82" s="11">
        <v>20607.715887455186</v>
      </c>
      <c r="Q82" s="12"/>
      <c r="R82" s="11">
        <f t="shared" ref="R82" si="33">T82-P82</f>
        <v>-16485.715887455186</v>
      </c>
      <c r="S82" s="67"/>
      <c r="T82" s="11">
        <f t="shared" ref="T82" si="34">H82*V82/1000</f>
        <v>4122</v>
      </c>
      <c r="U82" s="67"/>
      <c r="V82" s="68">
        <v>500</v>
      </c>
      <c r="W82" s="67"/>
      <c r="X82" s="13">
        <f t="shared" ref="X82" si="35">T82/P82</f>
        <v>0.20002216754692551</v>
      </c>
      <c r="Y82" s="14"/>
      <c r="Z82" s="11"/>
    </row>
    <row r="83" spans="2:26" x14ac:dyDescent="0.3">
      <c r="B83" s="60"/>
      <c r="C83" s="62"/>
      <c r="D83" s="10" t="s">
        <v>37</v>
      </c>
      <c r="E83" s="60"/>
      <c r="F83" s="17"/>
      <c r="G83" s="60"/>
      <c r="H83" s="11"/>
      <c r="I83" s="72"/>
      <c r="J83" s="11"/>
      <c r="K83" s="72"/>
      <c r="L83" s="11"/>
      <c r="M83" s="67"/>
      <c r="N83" s="11"/>
      <c r="O83" s="12"/>
      <c r="P83" s="11"/>
      <c r="Q83" s="12"/>
      <c r="R83" s="11"/>
      <c r="S83" s="67"/>
      <c r="T83" s="11"/>
      <c r="U83" s="67"/>
      <c r="V83" s="27"/>
      <c r="W83" s="67"/>
      <c r="X83" s="13"/>
      <c r="Y83" s="14"/>
      <c r="Z83" s="11"/>
    </row>
    <row r="84" spans="2:26" x14ac:dyDescent="0.3">
      <c r="B84" s="60">
        <f>MAX(B$18:B83)+1</f>
        <v>37</v>
      </c>
      <c r="C84" s="62"/>
      <c r="D84" s="16" t="s">
        <v>34</v>
      </c>
      <c r="E84" s="60"/>
      <c r="F84" s="17" t="s">
        <v>38</v>
      </c>
      <c r="G84" s="60"/>
      <c r="H84" s="11">
        <v>318399.39711540058</v>
      </c>
      <c r="I84" s="72"/>
      <c r="J84" s="11"/>
      <c r="K84" s="72"/>
      <c r="L84" s="11"/>
      <c r="M84" s="67"/>
      <c r="N84" s="11"/>
      <c r="O84" s="12"/>
      <c r="P84" s="11">
        <v>212.83820988077218</v>
      </c>
      <c r="Q84" s="12"/>
      <c r="R84" s="11">
        <f>T84-P84</f>
        <v>0</v>
      </c>
      <c r="S84" s="67"/>
      <c r="T84" s="11">
        <f>$H84*V84/100</f>
        <v>212.83820988077218</v>
      </c>
      <c r="U84" s="67"/>
      <c r="V84" s="27">
        <v>6.6846298017213632E-2</v>
      </c>
      <c r="W84" s="67"/>
      <c r="X84" s="13">
        <f t="shared" ref="X84" si="36">T84/P84</f>
        <v>1</v>
      </c>
      <c r="Y84" s="14"/>
      <c r="Z84" s="11"/>
    </row>
    <row r="85" spans="2:26" x14ac:dyDescent="0.3">
      <c r="B85" s="60">
        <f>MAX(B$18:B84)+1</f>
        <v>38</v>
      </c>
      <c r="C85" s="62"/>
      <c r="D85" s="16" t="s">
        <v>36</v>
      </c>
      <c r="E85" s="60"/>
      <c r="F85" s="17" t="s">
        <v>38</v>
      </c>
      <c r="G85" s="60"/>
      <c r="H85" s="11">
        <v>2606103.8155579944</v>
      </c>
      <c r="I85" s="72"/>
      <c r="J85" s="11"/>
      <c r="K85" s="72"/>
      <c r="L85" s="11"/>
      <c r="M85" s="67"/>
      <c r="N85" s="11"/>
      <c r="O85" s="12"/>
      <c r="P85" s="11">
        <v>1742.0839231858727</v>
      </c>
      <c r="Q85" s="12"/>
      <c r="R85" s="11">
        <f t="shared" ref="R85" si="37">T85-P85</f>
        <v>0</v>
      </c>
      <c r="S85" s="67"/>
      <c r="T85" s="11">
        <f t="shared" ref="T85" si="38">$H85*V85/100</f>
        <v>1742.0839231858727</v>
      </c>
      <c r="U85" s="67"/>
      <c r="V85" s="27">
        <v>6.6846298017213632E-2</v>
      </c>
      <c r="W85" s="67"/>
      <c r="X85" s="13">
        <f>T85/P85</f>
        <v>1</v>
      </c>
      <c r="Y85" s="14"/>
      <c r="Z85" s="11"/>
    </row>
    <row r="86" spans="2:26" x14ac:dyDescent="0.3">
      <c r="B86" s="60"/>
      <c r="C86" s="62"/>
      <c r="D86" s="16"/>
      <c r="E86" s="60"/>
      <c r="F86" s="17"/>
      <c r="G86" s="60"/>
      <c r="H86" s="11"/>
      <c r="I86" s="72"/>
      <c r="J86" s="11"/>
      <c r="K86" s="72"/>
      <c r="L86" s="11"/>
      <c r="M86" s="67"/>
      <c r="N86" s="11"/>
      <c r="O86" s="12"/>
      <c r="P86" s="11"/>
      <c r="Q86" s="12"/>
      <c r="R86" s="11"/>
      <c r="S86" s="67"/>
      <c r="T86" s="11"/>
      <c r="U86" s="67"/>
      <c r="V86" s="27"/>
      <c r="W86" s="67"/>
      <c r="X86" s="13"/>
      <c r="Y86" s="14"/>
      <c r="Z86" s="11"/>
    </row>
    <row r="87" spans="2:26" x14ac:dyDescent="0.3">
      <c r="B87" s="60"/>
      <c r="C87" s="62"/>
      <c r="D87" s="10" t="s">
        <v>55</v>
      </c>
      <c r="E87" s="60"/>
      <c r="F87" s="17"/>
      <c r="G87" s="60"/>
      <c r="H87" s="11"/>
      <c r="I87" s="72"/>
      <c r="J87" s="19"/>
      <c r="K87" s="72"/>
      <c r="L87" s="72"/>
      <c r="M87" s="67"/>
      <c r="N87" s="20"/>
      <c r="O87" s="12"/>
      <c r="P87" s="11"/>
      <c r="Q87" s="12"/>
      <c r="R87" s="11"/>
      <c r="S87" s="67"/>
      <c r="T87" s="11"/>
      <c r="U87" s="67"/>
      <c r="V87" s="27"/>
      <c r="W87" s="67"/>
      <c r="X87" s="13"/>
      <c r="Y87" s="14"/>
      <c r="Z87" s="20"/>
    </row>
    <row r="88" spans="2:26" ht="14.15" x14ac:dyDescent="0.3">
      <c r="B88" s="60">
        <f>MAX(B$18:B87)+1</f>
        <v>39</v>
      </c>
      <c r="C88" s="62"/>
      <c r="D88" s="23" t="s">
        <v>56</v>
      </c>
      <c r="E88" s="60"/>
      <c r="F88" s="17" t="s">
        <v>40</v>
      </c>
      <c r="G88" s="60"/>
      <c r="H88" s="11">
        <v>11804.394</v>
      </c>
      <c r="I88" s="72"/>
      <c r="J88" s="11"/>
      <c r="K88" s="72"/>
      <c r="L88" s="11"/>
      <c r="M88" s="67"/>
      <c r="N88" s="11"/>
      <c r="O88" s="12"/>
      <c r="P88" s="11">
        <v>5024.5794929386338</v>
      </c>
      <c r="Q88" s="12"/>
      <c r="R88" s="11">
        <f>T88-P88</f>
        <v>1039.8560977615962</v>
      </c>
      <c r="S88" s="67"/>
      <c r="T88" s="11">
        <f>$H88*V88/100</f>
        <v>6064.43559070023</v>
      </c>
      <c r="U88" s="67"/>
      <c r="V88" s="27">
        <v>51.374391524886668</v>
      </c>
      <c r="W88" s="67"/>
      <c r="X88" s="13"/>
      <c r="Y88" s="14"/>
      <c r="Z88" s="11"/>
    </row>
    <row r="89" spans="2:26" ht="14.15" x14ac:dyDescent="0.3">
      <c r="B89" s="60">
        <f>MAX(B$18:B88)+1</f>
        <v>40</v>
      </c>
      <c r="C89" s="62"/>
      <c r="D89" s="23" t="s">
        <v>57</v>
      </c>
      <c r="E89" s="60"/>
      <c r="F89" s="17" t="s">
        <v>40</v>
      </c>
      <c r="G89" s="60"/>
      <c r="H89" s="11">
        <v>9841.3739999999998</v>
      </c>
      <c r="I89" s="72"/>
      <c r="J89" s="11"/>
      <c r="K89" s="72"/>
      <c r="L89" s="11"/>
      <c r="M89" s="67"/>
      <c r="N89" s="11"/>
      <c r="O89" s="12"/>
      <c r="P89" s="11">
        <v>3364.091170370787</v>
      </c>
      <c r="Q89" s="12"/>
      <c r="R89" s="11">
        <f t="shared" ref="R89" si="39">T89-P89</f>
        <v>692.76057704086679</v>
      </c>
      <c r="S89" s="67"/>
      <c r="T89" s="11">
        <f>$H89*V89/100</f>
        <v>4056.8517474116538</v>
      </c>
      <c r="U89" s="67"/>
      <c r="V89" s="27">
        <v>41.222412108427683</v>
      </c>
      <c r="W89" s="67"/>
      <c r="X89" s="13"/>
      <c r="Y89" s="14"/>
      <c r="Z89" s="11"/>
    </row>
    <row r="90" spans="2:26" x14ac:dyDescent="0.3">
      <c r="B90" s="60">
        <f>MAX(B$18:B89)+1</f>
        <v>41</v>
      </c>
      <c r="C90" s="62"/>
      <c r="D90" s="10" t="s">
        <v>55</v>
      </c>
      <c r="E90" s="60"/>
      <c r="F90" s="17"/>
      <c r="G90" s="60"/>
      <c r="H90" s="76">
        <f>SUM(H88:H89)</f>
        <v>21645.768</v>
      </c>
      <c r="I90" s="72"/>
      <c r="J90" s="11"/>
      <c r="K90" s="72"/>
      <c r="L90" s="11"/>
      <c r="M90" s="67"/>
      <c r="N90" s="11"/>
      <c r="O90" s="12"/>
      <c r="P90" s="76">
        <f>SUM(P88:P89)</f>
        <v>8388.6706633094218</v>
      </c>
      <c r="Q90" s="12"/>
      <c r="R90" s="76">
        <f>SUM(R88:R89)</f>
        <v>1732.616674802463</v>
      </c>
      <c r="S90" s="67"/>
      <c r="T90" s="76">
        <f>SUM(T88:T89)</f>
        <v>10121.287338111884</v>
      </c>
      <c r="U90" s="67"/>
      <c r="V90" s="21">
        <f>T90/$H90*100</f>
        <v>46.758735186073714</v>
      </c>
      <c r="W90" s="67"/>
      <c r="X90" s="77">
        <f>T90/P90</f>
        <v>1.2065424599848251</v>
      </c>
      <c r="Y90" s="14"/>
      <c r="Z90" s="11"/>
    </row>
    <row r="91" spans="2:26" x14ac:dyDescent="0.3">
      <c r="B91" s="60"/>
      <c r="C91" s="62"/>
      <c r="D91" s="10"/>
      <c r="E91" s="60"/>
      <c r="F91" s="17"/>
      <c r="G91" s="60"/>
      <c r="H91" s="67"/>
      <c r="I91" s="72"/>
      <c r="J91" s="11"/>
      <c r="K91" s="72"/>
      <c r="L91" s="11"/>
      <c r="M91" s="67"/>
      <c r="N91" s="11"/>
      <c r="O91" s="12"/>
      <c r="P91" s="67"/>
      <c r="Q91" s="12"/>
      <c r="R91" s="67"/>
      <c r="S91" s="67"/>
      <c r="T91" s="67"/>
      <c r="U91" s="67"/>
      <c r="V91" s="27"/>
      <c r="W91" s="67"/>
      <c r="X91" s="86"/>
      <c r="Y91" s="14"/>
      <c r="Z91" s="11"/>
    </row>
    <row r="92" spans="2:26" x14ac:dyDescent="0.3">
      <c r="B92" s="60"/>
      <c r="C92" s="62"/>
      <c r="D92" s="10" t="s">
        <v>58</v>
      </c>
      <c r="E92" s="60"/>
      <c r="F92" s="17"/>
      <c r="G92" s="60"/>
      <c r="H92" s="67"/>
      <c r="I92" s="72"/>
      <c r="J92" s="11"/>
      <c r="K92" s="72"/>
      <c r="L92" s="11"/>
      <c r="M92" s="67"/>
      <c r="N92" s="11"/>
      <c r="O92" s="12"/>
      <c r="P92" s="67"/>
      <c r="Q92" s="12"/>
      <c r="R92" s="67"/>
      <c r="S92" s="67"/>
      <c r="T92" s="67"/>
      <c r="U92" s="67"/>
      <c r="V92" s="27"/>
      <c r="W92" s="67"/>
      <c r="X92" s="86"/>
      <c r="Y92" s="14"/>
      <c r="Z92" s="11"/>
    </row>
    <row r="93" spans="2:26" ht="14.15" x14ac:dyDescent="0.3">
      <c r="B93" s="60">
        <f>MAX(B$18:B92)+1</f>
        <v>42</v>
      </c>
      <c r="C93" s="62"/>
      <c r="D93" s="23" t="s">
        <v>56</v>
      </c>
      <c r="E93" s="60"/>
      <c r="F93" s="17" t="s">
        <v>40</v>
      </c>
      <c r="G93" s="60"/>
      <c r="H93" s="91">
        <v>100070.23380000002</v>
      </c>
      <c r="I93" s="72"/>
      <c r="J93" s="11"/>
      <c r="K93" s="72"/>
      <c r="L93" s="11"/>
      <c r="M93" s="67"/>
      <c r="N93" s="11"/>
      <c r="O93" s="12"/>
      <c r="P93" s="11">
        <v>50552.298556716021</v>
      </c>
      <c r="Q93" s="12"/>
      <c r="R93" s="67">
        <f>T93-P93</f>
        <v>10485.048050169738</v>
      </c>
      <c r="S93" s="67"/>
      <c r="T93" s="67">
        <f>$H93*V93/100</f>
        <v>61037.34660688576</v>
      </c>
      <c r="U93" s="67"/>
      <c r="V93" s="27">
        <v>60.994507846234043</v>
      </c>
      <c r="W93" s="67"/>
      <c r="X93" s="86"/>
      <c r="Y93" s="14"/>
      <c r="Z93" s="11"/>
    </row>
    <row r="94" spans="2:26" ht="14.15" x14ac:dyDescent="0.3">
      <c r="B94" s="60">
        <f>MAX(B$18:B93)+1</f>
        <v>43</v>
      </c>
      <c r="C94" s="62"/>
      <c r="D94" s="23" t="s">
        <v>57</v>
      </c>
      <c r="E94" s="60"/>
      <c r="F94" s="17" t="s">
        <v>40</v>
      </c>
      <c r="G94" s="60"/>
      <c r="H94" s="11">
        <v>100586.9662</v>
      </c>
      <c r="I94" s="72"/>
      <c r="J94" s="11"/>
      <c r="K94" s="72"/>
      <c r="L94" s="11"/>
      <c r="M94" s="67"/>
      <c r="N94" s="11"/>
      <c r="O94" s="12"/>
      <c r="P94" s="11">
        <v>34008.435140558788</v>
      </c>
      <c r="Q94" s="12"/>
      <c r="R94" s="67">
        <f>T94-P94</f>
        <v>6990.0320334464996</v>
      </c>
      <c r="S94" s="67"/>
      <c r="T94" s="67">
        <f>$H94*V94/100</f>
        <v>40998.467174005287</v>
      </c>
      <c r="U94" s="67"/>
      <c r="V94" s="27">
        <v>40.759224303958867</v>
      </c>
      <c r="W94" s="67"/>
      <c r="X94" s="86"/>
      <c r="Y94" s="14"/>
      <c r="Z94" s="11"/>
    </row>
    <row r="95" spans="2:26" x14ac:dyDescent="0.3">
      <c r="B95" s="60">
        <f>MAX(B$18:B94)+1</f>
        <v>44</v>
      </c>
      <c r="C95" s="62"/>
      <c r="D95" s="10" t="s">
        <v>58</v>
      </c>
      <c r="E95" s="60"/>
      <c r="F95" s="17"/>
      <c r="G95" s="60"/>
      <c r="H95" s="76">
        <f>SUM(H93:H94)</f>
        <v>200657.2</v>
      </c>
      <c r="I95" s="72"/>
      <c r="J95" s="11"/>
      <c r="K95" s="72"/>
      <c r="L95" s="11"/>
      <c r="M95" s="67"/>
      <c r="N95" s="11"/>
      <c r="O95" s="12"/>
      <c r="P95" s="76">
        <v>86778.880368405851</v>
      </c>
      <c r="Q95" s="12"/>
      <c r="R95" s="76">
        <v>15256.725887623525</v>
      </c>
      <c r="S95" s="67"/>
      <c r="T95" s="76">
        <f>SUM(T93:T94)</f>
        <v>102035.81378089104</v>
      </c>
      <c r="U95" s="67"/>
      <c r="V95" s="21">
        <f>T95/$H95*100</f>
        <v>50.850811125088477</v>
      </c>
      <c r="W95" s="67"/>
      <c r="X95" s="77">
        <f>T95/P95</f>
        <v>1.1758139001991534</v>
      </c>
      <c r="Y95" s="14"/>
      <c r="Z95" s="11"/>
    </row>
    <row r="96" spans="2:26" x14ac:dyDescent="0.3">
      <c r="B96" s="60"/>
      <c r="C96" s="62"/>
      <c r="D96" s="10"/>
      <c r="E96" s="60"/>
      <c r="F96" s="17"/>
      <c r="G96" s="60"/>
      <c r="H96" s="67"/>
      <c r="I96" s="72"/>
      <c r="J96" s="11"/>
      <c r="K96" s="72"/>
      <c r="L96" s="11"/>
      <c r="M96" s="67"/>
      <c r="N96" s="11"/>
      <c r="O96" s="12"/>
      <c r="P96" s="67"/>
      <c r="Q96" s="12"/>
      <c r="R96" s="67"/>
      <c r="S96" s="67"/>
      <c r="U96" s="67"/>
      <c r="V96" s="27"/>
      <c r="W96" s="67"/>
      <c r="X96" s="86"/>
      <c r="Y96" s="14"/>
      <c r="Z96" s="11"/>
    </row>
    <row r="97" spans="2:26" x14ac:dyDescent="0.3">
      <c r="B97" s="60">
        <f>MAX(B$18:B96)+1</f>
        <v>45</v>
      </c>
      <c r="C97" s="62"/>
      <c r="D97" s="10" t="s">
        <v>41</v>
      </c>
      <c r="E97" s="60"/>
      <c r="F97" s="17"/>
      <c r="G97" s="60"/>
      <c r="H97" s="76">
        <f>SUM(H84:H85)</f>
        <v>2924503.2126733949</v>
      </c>
      <c r="I97" s="72"/>
      <c r="J97" s="11"/>
      <c r="K97" s="72"/>
      <c r="L97" s="11"/>
      <c r="M97" s="67"/>
      <c r="N97" s="11"/>
      <c r="O97" s="12"/>
      <c r="P97" s="76">
        <f>SUM(P81:P82,P84:P85,P90,P95)</f>
        <v>120069.9297206818</v>
      </c>
      <c r="Q97" s="67"/>
      <c r="R97" s="76">
        <f>SUM(R81:R82,R84:R85,R90,R95)</f>
        <v>-1368.1139934738931</v>
      </c>
      <c r="S97" s="67"/>
      <c r="T97" s="76">
        <f>SUM(T81:T82,T84:T85,T90,T95)</f>
        <v>118702.02325206957</v>
      </c>
      <c r="U97" s="67"/>
      <c r="V97" s="21">
        <f>T97/$H97*100</f>
        <v>4.0588781963949261</v>
      </c>
      <c r="W97" s="67"/>
      <c r="X97" s="77">
        <f>T97/P97</f>
        <v>0.98860741842862421</v>
      </c>
      <c r="Y97" s="14"/>
      <c r="Z97" s="11"/>
    </row>
    <row r="98" spans="2:26" x14ac:dyDescent="0.3">
      <c r="E98" s="60"/>
      <c r="F98" s="17"/>
      <c r="G98" s="60"/>
      <c r="H98" s="11"/>
      <c r="I98" s="72"/>
      <c r="J98" s="19"/>
      <c r="K98" s="72"/>
      <c r="L98" s="72"/>
      <c r="M98" s="67"/>
      <c r="N98" s="20"/>
      <c r="O98" s="12"/>
      <c r="P98" s="11"/>
      <c r="Q98" s="12"/>
      <c r="R98" s="11"/>
      <c r="S98" s="67"/>
      <c r="T98" s="11"/>
      <c r="U98" s="67"/>
      <c r="V98" s="27"/>
      <c r="W98" s="67"/>
      <c r="X98" s="13"/>
      <c r="Y98" s="14"/>
      <c r="Z98" s="20"/>
    </row>
    <row r="99" spans="2:26" x14ac:dyDescent="0.3">
      <c r="B99" s="60"/>
      <c r="C99" s="62"/>
      <c r="D99" s="10" t="s">
        <v>42</v>
      </c>
      <c r="E99" s="60"/>
      <c r="F99" s="84"/>
      <c r="G99" s="60"/>
      <c r="H99" s="11"/>
      <c r="I99" s="72"/>
      <c r="J99" s="19"/>
      <c r="K99" s="72"/>
      <c r="L99" s="72"/>
      <c r="M99" s="67"/>
      <c r="N99" s="20"/>
      <c r="O99" s="12"/>
      <c r="P99" s="11"/>
      <c r="Q99" s="12"/>
      <c r="R99" s="11"/>
      <c r="S99" s="67"/>
      <c r="T99" s="11"/>
      <c r="U99" s="67"/>
      <c r="V99" s="22"/>
      <c r="W99" s="67"/>
      <c r="X99" s="13"/>
      <c r="Y99" s="14"/>
      <c r="Z99" s="20"/>
    </row>
    <row r="100" spans="2:26" x14ac:dyDescent="0.3">
      <c r="B100" s="60"/>
      <c r="C100" s="62"/>
      <c r="D100" s="23" t="s">
        <v>43</v>
      </c>
      <c r="E100" s="60"/>
      <c r="F100" s="84"/>
      <c r="G100" s="60"/>
      <c r="H100" s="11"/>
      <c r="I100" s="72"/>
      <c r="J100" s="11"/>
      <c r="K100" s="72"/>
      <c r="L100" s="11"/>
      <c r="M100" s="67"/>
      <c r="N100" s="11"/>
      <c r="O100" s="67"/>
      <c r="P100" s="11"/>
      <c r="Q100" s="67"/>
      <c r="R100" s="11"/>
      <c r="S100" s="67"/>
      <c r="T100" s="11"/>
      <c r="U100" s="67"/>
      <c r="V100" s="27"/>
      <c r="W100" s="67"/>
      <c r="X100" s="86"/>
      <c r="Y100" s="72"/>
      <c r="Z100" s="11"/>
    </row>
    <row r="101" spans="2:26" x14ac:dyDescent="0.3">
      <c r="B101" s="60">
        <f>MAX(B$18:B100)+1</f>
        <v>46</v>
      </c>
      <c r="C101" s="62"/>
      <c r="D101" s="16" t="s">
        <v>34</v>
      </c>
      <c r="E101" s="60"/>
      <c r="F101" s="84" t="s">
        <v>38</v>
      </c>
      <c r="G101" s="60"/>
      <c r="H101" s="11">
        <v>288183.7110790466</v>
      </c>
      <c r="I101" s="72"/>
      <c r="J101" s="11"/>
      <c r="K101" s="72"/>
      <c r="L101" s="11"/>
      <c r="M101" s="67"/>
      <c r="N101" s="11"/>
      <c r="O101" s="67"/>
      <c r="P101" s="11">
        <v>16212.268991994821</v>
      </c>
      <c r="Q101" s="67"/>
      <c r="R101" s="11">
        <f>T101-P101</f>
        <v>0</v>
      </c>
      <c r="S101" s="67"/>
      <c r="T101" s="11">
        <f>$H101*V101/100</f>
        <v>16212.268991994821</v>
      </c>
      <c r="U101" s="67"/>
      <c r="V101" s="27">
        <v>5.6256715312920367</v>
      </c>
      <c r="W101" s="67"/>
      <c r="X101" s="86">
        <f>T101/P101</f>
        <v>1</v>
      </c>
      <c r="Y101" s="72"/>
      <c r="Z101" s="11"/>
    </row>
    <row r="102" spans="2:26" x14ac:dyDescent="0.3">
      <c r="B102" s="60">
        <f>MAX(B$18:B101)+1</f>
        <v>47</v>
      </c>
      <c r="C102" s="62"/>
      <c r="D102" s="16" t="s">
        <v>36</v>
      </c>
      <c r="E102" s="60"/>
      <c r="F102" s="84" t="s">
        <v>38</v>
      </c>
      <c r="G102" s="60"/>
      <c r="H102" s="11">
        <v>2595913.164817994</v>
      </c>
      <c r="I102" s="72"/>
      <c r="J102" s="11"/>
      <c r="K102" s="72"/>
      <c r="L102" s="11"/>
      <c r="M102" s="67"/>
      <c r="N102" s="11"/>
      <c r="O102" s="67"/>
      <c r="P102" s="11">
        <v>10338.00635402861</v>
      </c>
      <c r="Q102" s="67"/>
      <c r="R102" s="11">
        <f t="shared" ref="R102:R105" si="40">T102-P102</f>
        <v>0</v>
      </c>
      <c r="S102" s="67"/>
      <c r="T102" s="11">
        <f t="shared" ref="T102:T105" si="41">$H102*V102/100</f>
        <v>10338.006354028612</v>
      </c>
      <c r="U102" s="67"/>
      <c r="V102" s="27">
        <v>0.39824160893122307</v>
      </c>
      <c r="W102" s="67"/>
      <c r="X102" s="86">
        <f>T102/P102</f>
        <v>1.0000000000000002</v>
      </c>
      <c r="Y102" s="72"/>
      <c r="Z102" s="11"/>
    </row>
    <row r="103" spans="2:26" x14ac:dyDescent="0.3">
      <c r="B103" s="60"/>
      <c r="C103" s="62"/>
      <c r="D103" s="23" t="s">
        <v>44</v>
      </c>
      <c r="E103" s="60"/>
      <c r="F103" s="84"/>
      <c r="G103" s="60"/>
      <c r="H103" s="11"/>
      <c r="I103" s="72"/>
      <c r="J103" s="11"/>
      <c r="K103" s="72"/>
      <c r="L103" s="11"/>
      <c r="M103" s="67"/>
      <c r="N103" s="11"/>
      <c r="O103" s="67"/>
      <c r="P103" s="11"/>
      <c r="Q103" s="67"/>
      <c r="R103" s="11"/>
      <c r="S103" s="67"/>
      <c r="T103" s="11"/>
      <c r="U103" s="67"/>
      <c r="V103" s="27"/>
      <c r="W103" s="67"/>
      <c r="X103" s="86"/>
      <c r="Y103" s="72"/>
      <c r="Z103" s="11"/>
    </row>
    <row r="104" spans="2:26" x14ac:dyDescent="0.3">
      <c r="B104" s="60">
        <f>MAX(B$18:B103)+1</f>
        <v>48</v>
      </c>
      <c r="C104" s="62"/>
      <c r="D104" s="16" t="s">
        <v>34</v>
      </c>
      <c r="E104" s="60"/>
      <c r="F104" s="84" t="s">
        <v>38</v>
      </c>
      <c r="G104" s="60"/>
      <c r="H104" s="11">
        <v>30215.686036353993</v>
      </c>
      <c r="I104" s="72"/>
      <c r="J104" s="11"/>
      <c r="K104" s="72"/>
      <c r="L104" s="11"/>
      <c r="M104" s="67"/>
      <c r="N104" s="11"/>
      <c r="O104" s="67"/>
      <c r="P104" s="11">
        <v>2482.9972734573948</v>
      </c>
      <c r="Q104" s="67"/>
      <c r="R104" s="11">
        <f t="shared" si="40"/>
        <v>0</v>
      </c>
      <c r="S104" s="67"/>
      <c r="T104" s="11">
        <f t="shared" si="41"/>
        <v>2482.9972734573948</v>
      </c>
      <c r="U104" s="67"/>
      <c r="V104" s="27">
        <v>8.2175770242978352</v>
      </c>
      <c r="W104" s="67"/>
      <c r="X104" s="86">
        <f t="shared" ref="X104:X105" si="42">T104/P104</f>
        <v>1</v>
      </c>
      <c r="Y104" s="72"/>
      <c r="Z104" s="11"/>
    </row>
    <row r="105" spans="2:26" x14ac:dyDescent="0.3">
      <c r="B105" s="60">
        <f>MAX(B$18:B104)+1</f>
        <v>49</v>
      </c>
      <c r="C105" s="62"/>
      <c r="D105" s="16" t="s">
        <v>36</v>
      </c>
      <c r="E105" s="60"/>
      <c r="F105" s="84" t="s">
        <v>38</v>
      </c>
      <c r="G105" s="60"/>
      <c r="H105" s="11">
        <v>10190.650740000001</v>
      </c>
      <c r="I105" s="72"/>
      <c r="J105" s="11"/>
      <c r="K105" s="72"/>
      <c r="L105" s="11"/>
      <c r="M105" s="67"/>
      <c r="N105" s="11"/>
      <c r="O105" s="67"/>
      <c r="P105" s="11">
        <v>304.71544777063372</v>
      </c>
      <c r="Q105" s="67"/>
      <c r="R105" s="11">
        <f t="shared" si="40"/>
        <v>0</v>
      </c>
      <c r="S105" s="67"/>
      <c r="T105" s="11">
        <f t="shared" si="41"/>
        <v>304.71544777063372</v>
      </c>
      <c r="U105" s="67"/>
      <c r="V105" s="27">
        <v>2.9901471019370223</v>
      </c>
      <c r="W105" s="67"/>
      <c r="X105" s="86">
        <f t="shared" si="42"/>
        <v>1</v>
      </c>
      <c r="Y105" s="72"/>
      <c r="Z105" s="11"/>
    </row>
    <row r="106" spans="2:26" x14ac:dyDescent="0.3">
      <c r="B106" s="60">
        <f>MAX(B$18:B105)+1</f>
        <v>50</v>
      </c>
      <c r="C106" s="62"/>
      <c r="D106" s="10" t="s">
        <v>42</v>
      </c>
      <c r="E106" s="60"/>
      <c r="F106" s="17"/>
      <c r="G106" s="60"/>
      <c r="H106" s="76">
        <f>SUM(H101:H105)</f>
        <v>2924503.2126733945</v>
      </c>
      <c r="I106" s="72"/>
      <c r="J106" s="11"/>
      <c r="K106" s="72"/>
      <c r="L106" s="11"/>
      <c r="M106" s="67"/>
      <c r="N106" s="11"/>
      <c r="O106" s="12"/>
      <c r="P106" s="76">
        <f>SUM(P101:P105)</f>
        <v>29337.988067251463</v>
      </c>
      <c r="Q106" s="12"/>
      <c r="R106" s="76">
        <f>SUM(R101:R105)</f>
        <v>0</v>
      </c>
      <c r="S106" s="67"/>
      <c r="T106" s="76">
        <f>SUM(T101:T105)</f>
        <v>29337.988067251463</v>
      </c>
      <c r="U106" s="67"/>
      <c r="V106" s="21">
        <f>T106/$H106*100</f>
        <v>1.003178520718141</v>
      </c>
      <c r="W106" s="67"/>
      <c r="X106" s="77">
        <f>T106/P106</f>
        <v>1</v>
      </c>
      <c r="Y106" s="14"/>
      <c r="Z106" s="11"/>
    </row>
    <row r="107" spans="2:26" x14ac:dyDescent="0.3">
      <c r="H107" s="14"/>
      <c r="I107" s="14"/>
      <c r="J107" s="19"/>
      <c r="K107" s="72"/>
      <c r="L107" s="72"/>
      <c r="M107" s="14"/>
      <c r="N107" s="20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5"/>
    </row>
    <row r="108" spans="2:26" x14ac:dyDescent="0.3">
      <c r="B108" s="60"/>
      <c r="C108" s="62"/>
      <c r="D108" s="24" t="s">
        <v>46</v>
      </c>
      <c r="E108" s="60"/>
      <c r="F108" s="17"/>
      <c r="G108" s="60"/>
      <c r="H108" s="11"/>
      <c r="I108" s="72"/>
      <c r="J108" s="11"/>
      <c r="K108" s="72"/>
      <c r="L108" s="11"/>
      <c r="M108" s="67"/>
      <c r="N108" s="11"/>
      <c r="O108" s="12"/>
      <c r="P108" s="11"/>
      <c r="Q108" s="12"/>
      <c r="R108" s="11"/>
      <c r="S108" s="67"/>
      <c r="T108" s="11"/>
      <c r="U108" s="67"/>
      <c r="V108" s="27"/>
      <c r="W108" s="67"/>
      <c r="X108" s="13"/>
      <c r="Y108" s="14"/>
      <c r="Z108" s="11"/>
    </row>
    <row r="109" spans="2:26" x14ac:dyDescent="0.3">
      <c r="B109" s="60">
        <f>MAX(B$18:B108)+1</f>
        <v>51</v>
      </c>
      <c r="C109" s="62"/>
      <c r="D109" s="16" t="s">
        <v>34</v>
      </c>
      <c r="E109" s="60"/>
      <c r="F109" s="17" t="s">
        <v>38</v>
      </c>
      <c r="G109" s="60"/>
      <c r="H109" s="11">
        <v>56360.79763002001</v>
      </c>
      <c r="I109" s="72"/>
      <c r="J109" s="11"/>
      <c r="K109" s="72"/>
      <c r="L109" s="11"/>
      <c r="M109" s="67"/>
      <c r="N109" s="11"/>
      <c r="O109" s="12"/>
      <c r="P109" s="11">
        <v>6381.9516554138527</v>
      </c>
      <c r="Q109" s="12"/>
      <c r="R109" s="11">
        <f t="shared" ref="R109:R110" si="43">ROUND(T109,0)-ROUND(P109,0)</f>
        <v>5</v>
      </c>
      <c r="S109" s="67"/>
      <c r="T109" s="11">
        <f>$H109*V109/100</f>
        <v>6387.2411610570298</v>
      </c>
      <c r="U109" s="67"/>
      <c r="V109" s="27">
        <v>11.332772830835399</v>
      </c>
      <c r="W109" s="67"/>
      <c r="X109" s="13">
        <f>T109/P109</f>
        <v>1.0008288225810502</v>
      </c>
      <c r="Y109" s="14"/>
      <c r="Z109" s="11"/>
    </row>
    <row r="110" spans="2:26" x14ac:dyDescent="0.3">
      <c r="B110" s="60">
        <f>MAX(B$18:B109)+1</f>
        <v>52</v>
      </c>
      <c r="C110" s="62"/>
      <c r="D110" s="16" t="s">
        <v>36</v>
      </c>
      <c r="E110" s="60"/>
      <c r="F110" s="17" t="s">
        <v>38</v>
      </c>
      <c r="G110" s="60"/>
      <c r="H110" s="11">
        <v>170984.92396999997</v>
      </c>
      <c r="I110" s="72"/>
      <c r="J110" s="11"/>
      <c r="K110" s="72"/>
      <c r="L110" s="11"/>
      <c r="M110" s="67"/>
      <c r="N110" s="11"/>
      <c r="O110" s="12"/>
      <c r="P110" s="11">
        <v>25812.786516733955</v>
      </c>
      <c r="Q110" s="12"/>
      <c r="R110" s="11">
        <f t="shared" si="43"/>
        <v>-5</v>
      </c>
      <c r="S110" s="67"/>
      <c r="T110" s="11">
        <f t="shared" ref="T110" si="44">$H110*V110/100</f>
        <v>25807.956349304364</v>
      </c>
      <c r="U110" s="67"/>
      <c r="V110" s="27">
        <v>15.093702854078806</v>
      </c>
      <c r="W110" s="67"/>
      <c r="X110" s="13">
        <f t="shared" ref="X110" si="45">T110/P110</f>
        <v>0.99981287694660703</v>
      </c>
      <c r="Y110" s="14"/>
      <c r="Z110" s="11"/>
    </row>
    <row r="111" spans="2:26" x14ac:dyDescent="0.3">
      <c r="B111" s="60"/>
      <c r="C111" s="62"/>
      <c r="D111" s="10"/>
      <c r="E111" s="60"/>
      <c r="F111" s="17"/>
      <c r="G111" s="60"/>
      <c r="H111" s="11"/>
      <c r="I111" s="72"/>
      <c r="J111" s="11"/>
      <c r="K111" s="67"/>
      <c r="L111" s="27"/>
      <c r="M111" s="67"/>
      <c r="N111" s="20"/>
      <c r="O111" s="12"/>
      <c r="P111" s="11"/>
      <c r="Q111" s="12"/>
      <c r="R111" s="11"/>
      <c r="S111" s="67"/>
      <c r="T111" s="11"/>
      <c r="U111" s="67"/>
      <c r="V111" s="27"/>
      <c r="W111" s="67"/>
      <c r="X111" s="13"/>
      <c r="Y111" s="14"/>
      <c r="Z111" s="15"/>
    </row>
    <row r="112" spans="2:26" ht="12.9" thickBot="1" x14ac:dyDescent="0.35">
      <c r="B112" s="60">
        <f>MAX(B$18:B111)+1</f>
        <v>53</v>
      </c>
      <c r="C112" s="62"/>
      <c r="D112" s="25" t="s">
        <v>59</v>
      </c>
      <c r="E112" s="60"/>
      <c r="F112" s="17"/>
      <c r="G112" s="60"/>
      <c r="H112" s="71">
        <f>H97</f>
        <v>2924503.2126733949</v>
      </c>
      <c r="I112" s="72"/>
      <c r="J112" s="71">
        <v>167443.08358699313</v>
      </c>
      <c r="K112" s="67"/>
      <c r="L112" s="26">
        <f>J112/$H112*100</f>
        <v>5.7255222993558386</v>
      </c>
      <c r="M112" s="67"/>
      <c r="N112" s="71">
        <f>J112-P112</f>
        <v>-14159.572373087925</v>
      </c>
      <c r="O112" s="12"/>
      <c r="P112" s="71">
        <f>SUM(P97,P106,P109:P110)</f>
        <v>181602.65596008106</v>
      </c>
      <c r="Q112" s="12"/>
      <c r="R112" s="71">
        <f>R97+R109+R110</f>
        <v>-1368.1139934738931</v>
      </c>
      <c r="S112" s="67"/>
      <c r="T112" s="71">
        <f>SUM(T97,T106,T109:T110)</f>
        <v>180235.20882968241</v>
      </c>
      <c r="U112" s="67"/>
      <c r="V112" s="26">
        <f>T112/$H112*100</f>
        <v>6.162934205325179</v>
      </c>
      <c r="W112" s="67"/>
      <c r="X112" s="73">
        <f>T112/P112</f>
        <v>0.99247011491561421</v>
      </c>
      <c r="Y112" s="14"/>
      <c r="Z112" s="32">
        <f>V112/L112-1</f>
        <v>7.6396856583468731E-2</v>
      </c>
    </row>
    <row r="113" spans="2:26" ht="12.9" thickTop="1" x14ac:dyDescent="0.3">
      <c r="B113" s="60"/>
    </row>
    <row r="114" spans="2:26" x14ac:dyDescent="0.3">
      <c r="B114" s="60">
        <f>MAX(B$18:B113)+1</f>
        <v>54</v>
      </c>
      <c r="D114" s="2" t="s">
        <v>60</v>
      </c>
      <c r="H114" s="11">
        <f>H84</f>
        <v>318399.39711540058</v>
      </c>
      <c r="J114" s="11">
        <v>24971.44079150664</v>
      </c>
      <c r="L114" s="28">
        <f>J114/$H114*100</f>
        <v>7.8428040435189637</v>
      </c>
      <c r="N114" s="18">
        <f>J114-P114</f>
        <v>-11047.026670994317</v>
      </c>
      <c r="P114" s="18">
        <f>P81+P84+P90+P101+P104+P109</f>
        <v>36018.467462500957</v>
      </c>
      <c r="Q114" s="18"/>
      <c r="R114" s="18">
        <f>R81+R90+R109</f>
        <v>-134.12399364223074</v>
      </c>
      <c r="S114" s="18"/>
      <c r="T114" s="18">
        <f>ROUND(T81+T84+T90+T101+T104+T109,0)</f>
        <v>35885</v>
      </c>
      <c r="V114" s="28">
        <f>T114/$H114*100</f>
        <v>11.270435913229401</v>
      </c>
      <c r="X114" s="34">
        <f>T114/P114</f>
        <v>0.99629447136694782</v>
      </c>
      <c r="Z114" s="36">
        <f>V114/L114-1</f>
        <v>0.43704163086197712</v>
      </c>
    </row>
    <row r="115" spans="2:26" x14ac:dyDescent="0.3">
      <c r="B115" s="60">
        <f>MAX(B$18:B114)+1</f>
        <v>55</v>
      </c>
      <c r="D115" s="62" t="s">
        <v>61</v>
      </c>
      <c r="H115" s="11">
        <f>H85</f>
        <v>2606103.8155579944</v>
      </c>
      <c r="J115" s="11">
        <v>142471.64279548649</v>
      </c>
      <c r="L115" s="28">
        <f t="shared" ref="L115" si="46">J115/$H115*100</f>
        <v>5.466844488118821</v>
      </c>
      <c r="N115" s="18">
        <f>J115-P115</f>
        <v>-3112.5457020936301</v>
      </c>
      <c r="P115" s="18">
        <f>P82+P85+P102+P95+P105+P110</f>
        <v>145584.18849758012</v>
      </c>
      <c r="Q115" s="18"/>
      <c r="R115" s="18">
        <f>R82+R95+R110</f>
        <v>-1233.9899998316614</v>
      </c>
      <c r="S115" s="18"/>
      <c r="T115" s="18">
        <f>ROUND(T82+T85+T95+T102+T105+T110,0)-0.55</f>
        <v>144350.45000000001</v>
      </c>
      <c r="V115" s="28">
        <f t="shared" ref="V115" si="47">T115/$H115*100</f>
        <v>5.5389370576203643</v>
      </c>
      <c r="X115" s="34">
        <f>T115/P115</f>
        <v>0.99152560102637366</v>
      </c>
      <c r="Z115" s="36">
        <f t="shared" ref="Z115" si="48">V115/L115-1</f>
        <v>1.3187236194156071E-2</v>
      </c>
    </row>
    <row r="118" spans="2:26" x14ac:dyDescent="0.3">
      <c r="B118" s="60"/>
      <c r="C118" s="62"/>
      <c r="D118" s="7" t="s">
        <v>62</v>
      </c>
      <c r="E118" s="60"/>
      <c r="F118" s="6"/>
      <c r="G118" s="60"/>
      <c r="H118" s="19"/>
      <c r="I118" s="72"/>
      <c r="J118" s="14"/>
      <c r="K118" s="14"/>
      <c r="L118" s="14"/>
      <c r="M118" s="14"/>
      <c r="N118" s="14"/>
      <c r="O118" s="72"/>
      <c r="P118" s="31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2:26" x14ac:dyDescent="0.3">
      <c r="D119" s="35" t="s">
        <v>43</v>
      </c>
      <c r="F119" s="46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2:26" x14ac:dyDescent="0.3">
      <c r="B120" s="60">
        <f>MAX(B$18:B118)+1</f>
        <v>56</v>
      </c>
      <c r="C120" s="62"/>
      <c r="D120" s="10" t="s">
        <v>33</v>
      </c>
      <c r="E120" s="60"/>
      <c r="F120" s="17" t="s">
        <v>35</v>
      </c>
      <c r="G120" s="60"/>
      <c r="H120" s="11">
        <v>960</v>
      </c>
      <c r="I120" s="72"/>
      <c r="J120" s="11"/>
      <c r="K120" s="14"/>
      <c r="L120" s="11"/>
      <c r="M120" s="14"/>
      <c r="N120" s="11"/>
      <c r="O120" s="12"/>
      <c r="P120" s="11">
        <v>5701.9434817514411</v>
      </c>
      <c r="Q120" s="12"/>
      <c r="R120" s="11">
        <f>T120-P120</f>
        <v>-2821.9434817514411</v>
      </c>
      <c r="S120" s="67"/>
      <c r="T120" s="11">
        <f>$H120*V120/1000</f>
        <v>2880</v>
      </c>
      <c r="U120" s="67"/>
      <c r="V120" s="68">
        <v>3000</v>
      </c>
      <c r="W120" s="67"/>
      <c r="X120" s="13">
        <f>T120/P120</f>
        <v>0.50509094122331832</v>
      </c>
      <c r="Y120" s="14"/>
      <c r="Z120" s="11"/>
    </row>
    <row r="121" spans="2:26" x14ac:dyDescent="0.3">
      <c r="B121" s="60">
        <f>MAX(B$18:B120)+1</f>
        <v>57</v>
      </c>
      <c r="C121" s="62"/>
      <c r="D121" s="10" t="s">
        <v>63</v>
      </c>
      <c r="E121" s="60"/>
      <c r="F121" s="17" t="s">
        <v>38</v>
      </c>
      <c r="G121" s="60"/>
      <c r="H121" s="11">
        <v>3996534.1677636793</v>
      </c>
      <c r="I121" s="72"/>
      <c r="J121" s="11"/>
      <c r="K121" s="14"/>
      <c r="L121" s="11"/>
      <c r="M121" s="14"/>
      <c r="N121" s="11"/>
      <c r="O121" s="12"/>
      <c r="P121" s="11">
        <v>0</v>
      </c>
      <c r="Q121" s="12"/>
      <c r="R121" s="11">
        <f t="shared" ref="R121:R126" si="49">T121-P121</f>
        <v>0</v>
      </c>
      <c r="S121" s="67"/>
      <c r="T121" s="11">
        <f t="shared" ref="T121" si="50">$H121*V121/1000</f>
        <v>0</v>
      </c>
      <c r="U121" s="67"/>
      <c r="V121" s="27">
        <v>0</v>
      </c>
      <c r="W121" s="67"/>
      <c r="X121" s="11">
        <v>0</v>
      </c>
      <c r="Y121" s="14"/>
      <c r="Z121" s="11"/>
    </row>
    <row r="122" spans="2:26" x14ac:dyDescent="0.3">
      <c r="B122" s="60">
        <f>MAX(B$18:B121)+1</f>
        <v>58</v>
      </c>
      <c r="C122" s="62"/>
      <c r="D122" s="10" t="s">
        <v>64</v>
      </c>
      <c r="E122" s="60"/>
      <c r="F122" s="17"/>
      <c r="G122" s="60"/>
      <c r="H122" s="11"/>
      <c r="I122" s="72"/>
      <c r="J122" s="11"/>
      <c r="K122" s="14"/>
      <c r="L122" s="11"/>
      <c r="M122" s="14"/>
      <c r="N122" s="11"/>
      <c r="O122" s="12"/>
      <c r="P122" s="11">
        <v>4216.5409316753658</v>
      </c>
      <c r="Q122" s="12"/>
      <c r="R122" s="11">
        <f t="shared" si="49"/>
        <v>0</v>
      </c>
      <c r="S122" s="67"/>
      <c r="T122" s="11">
        <v>4216.5409316753658</v>
      </c>
      <c r="U122" s="67"/>
      <c r="V122" s="92">
        <v>7.3737843648335223E-3</v>
      </c>
      <c r="W122" s="67"/>
      <c r="X122" s="13"/>
      <c r="Y122" s="36"/>
      <c r="Z122" s="11"/>
    </row>
    <row r="123" spans="2:26" x14ac:dyDescent="0.3">
      <c r="B123" s="60"/>
      <c r="C123" s="62"/>
      <c r="D123" s="10" t="s">
        <v>65</v>
      </c>
      <c r="E123" s="60"/>
      <c r="F123" s="17"/>
      <c r="G123" s="60"/>
      <c r="H123" s="11"/>
      <c r="I123" s="72"/>
      <c r="J123" s="11"/>
      <c r="K123" s="14"/>
      <c r="L123" s="11"/>
      <c r="M123" s="14"/>
      <c r="N123" s="11"/>
      <c r="O123" s="12"/>
      <c r="P123" s="11"/>
      <c r="Q123" s="12"/>
      <c r="R123" s="11"/>
      <c r="S123" s="67"/>
      <c r="T123" s="11"/>
      <c r="U123" s="67"/>
      <c r="V123" s="27"/>
      <c r="W123" s="67"/>
      <c r="X123" s="13"/>
      <c r="Y123" s="14"/>
      <c r="Z123" s="11"/>
    </row>
    <row r="124" spans="2:26" ht="14.15" x14ac:dyDescent="0.3">
      <c r="B124" s="60">
        <f>MAX(B$18:B123)+1</f>
        <v>59</v>
      </c>
      <c r="C124" s="62"/>
      <c r="D124" s="23" t="s">
        <v>66</v>
      </c>
      <c r="E124" s="60"/>
      <c r="F124" s="17" t="s">
        <v>40</v>
      </c>
      <c r="G124" s="60"/>
      <c r="H124" s="11">
        <v>26927.364000000001</v>
      </c>
      <c r="I124" s="72"/>
      <c r="J124" s="11"/>
      <c r="K124" s="14"/>
      <c r="L124" s="11"/>
      <c r="M124" s="14"/>
      <c r="N124" s="11"/>
      <c r="O124" s="12"/>
      <c r="P124" s="11">
        <v>14032.956118426069</v>
      </c>
      <c r="Q124" s="12"/>
      <c r="R124" s="11">
        <f t="shared" si="49"/>
        <v>-354.81492589523259</v>
      </c>
      <c r="S124" s="67"/>
      <c r="T124" s="11">
        <f>$H124*V124/100</f>
        <v>13678.141192530837</v>
      </c>
      <c r="U124" s="67"/>
      <c r="V124" s="27">
        <v>50.796435895213641</v>
      </c>
      <c r="W124" s="67"/>
      <c r="X124" s="13"/>
      <c r="Y124" s="14"/>
      <c r="Z124" s="11"/>
    </row>
    <row r="125" spans="2:26" ht="14.15" x14ac:dyDescent="0.3">
      <c r="B125" s="60">
        <f>MAX(B$18:B124)+1</f>
        <v>60</v>
      </c>
      <c r="C125" s="62"/>
      <c r="D125" s="23" t="s">
        <v>67</v>
      </c>
      <c r="E125" s="60"/>
      <c r="F125" s="17" t="s">
        <v>40</v>
      </c>
      <c r="G125" s="60"/>
      <c r="H125" s="11">
        <v>50942.423999999999</v>
      </c>
      <c r="I125" s="72"/>
      <c r="J125" s="11"/>
      <c r="K125" s="14"/>
      <c r="L125" s="11"/>
      <c r="M125" s="14"/>
      <c r="N125" s="11"/>
      <c r="O125" s="12"/>
      <c r="P125" s="11">
        <v>17682.064726290144</v>
      </c>
      <c r="Q125" s="12"/>
      <c r="R125" s="11">
        <f t="shared" si="49"/>
        <v>-514.17523057221115</v>
      </c>
      <c r="S125" s="67"/>
      <c r="T125" s="11">
        <f t="shared" ref="T125:T126" si="51">$H125*V125/100</f>
        <v>17167.889495717933</v>
      </c>
      <c r="U125" s="67"/>
      <c r="V125" s="27">
        <v>33.70057438907488</v>
      </c>
      <c r="W125" s="67"/>
      <c r="X125" s="13"/>
      <c r="Y125" s="14"/>
      <c r="Z125" s="11"/>
    </row>
    <row r="126" spans="2:26" ht="14.15" x14ac:dyDescent="0.3">
      <c r="B126" s="60">
        <f>MAX(B$18:B125)+1</f>
        <v>61</v>
      </c>
      <c r="C126" s="62"/>
      <c r="D126" s="23" t="s">
        <v>68</v>
      </c>
      <c r="E126" s="60"/>
      <c r="F126" s="17" t="s">
        <v>40</v>
      </c>
      <c r="G126" s="60"/>
      <c r="H126" s="11">
        <v>136172.00399999999</v>
      </c>
      <c r="I126" s="72"/>
      <c r="J126" s="11"/>
      <c r="K126" s="14"/>
      <c r="L126" s="11"/>
      <c r="M126" s="14"/>
      <c r="N126" s="11"/>
      <c r="O126" s="12"/>
      <c r="P126" s="11">
        <v>39096.962384677092</v>
      </c>
      <c r="Q126" s="12"/>
      <c r="R126" s="11">
        <f t="shared" si="49"/>
        <v>-1229.7047429256636</v>
      </c>
      <c r="S126" s="67"/>
      <c r="T126" s="11">
        <f t="shared" si="51"/>
        <v>37867.257641751428</v>
      </c>
      <c r="U126" s="67"/>
      <c r="V126" s="27">
        <v>27.808401528519351</v>
      </c>
      <c r="W126" s="67"/>
      <c r="X126" s="13"/>
      <c r="Y126" s="14"/>
      <c r="Z126" s="11"/>
    </row>
    <row r="127" spans="2:26" x14ac:dyDescent="0.3">
      <c r="B127" s="60">
        <f>MAX(B$18:B126)+1</f>
        <v>62</v>
      </c>
      <c r="C127" s="62"/>
      <c r="D127" s="10" t="s">
        <v>65</v>
      </c>
      <c r="E127" s="60"/>
      <c r="F127" s="17"/>
      <c r="G127" s="60"/>
      <c r="H127" s="76">
        <f>SUM(H124:H126)</f>
        <v>214041.79199999999</v>
      </c>
      <c r="I127" s="72"/>
      <c r="J127" s="14"/>
      <c r="K127" s="14"/>
      <c r="L127" s="14"/>
      <c r="M127" s="14"/>
      <c r="N127" s="14"/>
      <c r="O127" s="12"/>
      <c r="P127" s="76">
        <f>SUM(P124:P126)</f>
        <v>70811.983229393314</v>
      </c>
      <c r="Q127" s="12"/>
      <c r="R127" s="76">
        <f>SUM(R124:R126)</f>
        <v>-2098.6948993931073</v>
      </c>
      <c r="S127" s="67"/>
      <c r="T127" s="76">
        <f>SUM(T124:T126)</f>
        <v>68713.288330000199</v>
      </c>
      <c r="U127" s="67"/>
      <c r="V127" s="21">
        <f>T127/$H127*100</f>
        <v>32.10274390246191</v>
      </c>
      <c r="W127" s="67"/>
      <c r="X127" s="77">
        <f t="shared" ref="X127" si="52">T127/P127</f>
        <v>0.97036243297134528</v>
      </c>
      <c r="Y127" s="14"/>
      <c r="Z127" s="72"/>
    </row>
    <row r="128" spans="2:26" x14ac:dyDescent="0.3">
      <c r="B128" s="60"/>
      <c r="C128" s="62"/>
      <c r="D128" s="10"/>
      <c r="E128" s="60"/>
      <c r="F128" s="17"/>
      <c r="G128" s="60"/>
      <c r="H128" s="11"/>
      <c r="I128" s="72"/>
      <c r="J128" s="14"/>
      <c r="K128" s="14"/>
      <c r="L128" s="14"/>
      <c r="M128" s="14"/>
      <c r="N128" s="14"/>
      <c r="O128" s="12"/>
      <c r="P128" s="11"/>
      <c r="Q128" s="12"/>
      <c r="R128" s="11"/>
      <c r="S128" s="67"/>
      <c r="T128" s="11"/>
      <c r="U128" s="67"/>
      <c r="V128" s="27"/>
      <c r="W128" s="67"/>
      <c r="X128" s="13"/>
      <c r="Y128" s="14"/>
      <c r="Z128" s="72"/>
    </row>
    <row r="129" spans="2:26" x14ac:dyDescent="0.3">
      <c r="B129" s="60">
        <f>MAX(B$18:B128)+1</f>
        <v>63</v>
      </c>
      <c r="C129" s="62"/>
      <c r="D129" s="10" t="s">
        <v>69</v>
      </c>
      <c r="E129" s="60"/>
      <c r="F129" s="17" t="s">
        <v>40</v>
      </c>
      <c r="G129" s="60"/>
      <c r="H129" s="11">
        <v>34996.836000000003</v>
      </c>
      <c r="I129" s="72"/>
      <c r="J129" s="11"/>
      <c r="K129" s="14"/>
      <c r="L129" s="11"/>
      <c r="M129" s="14"/>
      <c r="N129" s="11"/>
      <c r="O129" s="12"/>
      <c r="P129" s="11">
        <v>334.08509644356332</v>
      </c>
      <c r="Q129" s="12"/>
      <c r="R129" s="11">
        <f>T129-P129</f>
        <v>0</v>
      </c>
      <c r="S129" s="67"/>
      <c r="T129" s="11">
        <f>$H129*V129/100</f>
        <v>334.08509644356332</v>
      </c>
      <c r="U129" s="67"/>
      <c r="V129" s="27">
        <v>0.9546151441906443</v>
      </c>
      <c r="W129" s="67"/>
      <c r="X129" s="13">
        <f>T129/P129</f>
        <v>1</v>
      </c>
      <c r="Y129" s="14"/>
      <c r="Z129" s="72"/>
    </row>
    <row r="130" spans="2:26" x14ac:dyDescent="0.3">
      <c r="B130" s="60">
        <f>MAX(B$18:B129)+1</f>
        <v>64</v>
      </c>
      <c r="C130" s="62"/>
      <c r="D130" s="10" t="s">
        <v>70</v>
      </c>
      <c r="E130" s="60"/>
      <c r="F130" s="84" t="s">
        <v>38</v>
      </c>
      <c r="G130" s="60"/>
      <c r="H130" s="11">
        <v>13096.011469999999</v>
      </c>
      <c r="I130" s="72"/>
      <c r="J130" s="11"/>
      <c r="K130" s="14"/>
      <c r="L130" s="11"/>
      <c r="M130" s="14"/>
      <c r="N130" s="11"/>
      <c r="O130" s="12"/>
      <c r="P130" s="11">
        <v>0</v>
      </c>
      <c r="Q130" s="12"/>
      <c r="R130" s="11">
        <f>T130-P130</f>
        <v>4.1101317954267556</v>
      </c>
      <c r="S130" s="67"/>
      <c r="T130" s="11">
        <f>$H130*V130/100</f>
        <v>4.1101317954267556</v>
      </c>
      <c r="U130" s="67"/>
      <c r="V130" s="27">
        <v>3.1384607480240363E-2</v>
      </c>
      <c r="W130" s="67"/>
      <c r="X130" s="13"/>
      <c r="Y130" s="14"/>
      <c r="Z130" s="72"/>
    </row>
    <row r="131" spans="2:26" x14ac:dyDescent="0.3">
      <c r="B131" s="60">
        <f>MAX(B$18:B130)+1</f>
        <v>65</v>
      </c>
      <c r="C131" s="62"/>
      <c r="D131" s="10" t="s">
        <v>71</v>
      </c>
      <c r="E131" s="60"/>
      <c r="F131" s="84" t="s">
        <v>38</v>
      </c>
      <c r="G131" s="60"/>
      <c r="H131" s="11">
        <v>0</v>
      </c>
      <c r="I131" s="72"/>
      <c r="J131" s="11"/>
      <c r="K131" s="14"/>
      <c r="L131" s="11"/>
      <c r="M131" s="14"/>
      <c r="N131" s="11"/>
      <c r="O131" s="12"/>
      <c r="P131" s="11"/>
      <c r="Q131" s="12"/>
      <c r="R131" s="11"/>
      <c r="S131" s="67"/>
      <c r="T131" s="11"/>
      <c r="U131" s="67"/>
      <c r="V131" s="27">
        <v>0</v>
      </c>
      <c r="W131" s="67"/>
      <c r="X131" s="13"/>
      <c r="Y131" s="14"/>
      <c r="Z131" s="72"/>
    </row>
    <row r="132" spans="2:26" x14ac:dyDescent="0.3">
      <c r="B132" s="60"/>
      <c r="C132" s="62"/>
      <c r="D132" s="10"/>
      <c r="E132" s="60"/>
      <c r="F132" s="17"/>
      <c r="G132" s="60"/>
      <c r="H132" s="11"/>
      <c r="I132" s="72"/>
      <c r="J132" s="14"/>
      <c r="K132" s="14"/>
      <c r="L132" s="14"/>
      <c r="M132" s="14"/>
      <c r="N132" s="14"/>
      <c r="O132" s="12"/>
      <c r="P132" s="11"/>
      <c r="Q132" s="12"/>
      <c r="R132" s="11"/>
      <c r="S132" s="67"/>
      <c r="T132" s="11"/>
      <c r="U132" s="67"/>
      <c r="V132" s="27"/>
      <c r="W132" s="67"/>
      <c r="X132" s="13"/>
      <c r="Y132" s="14"/>
      <c r="Z132" s="72"/>
    </row>
    <row r="133" spans="2:26" x14ac:dyDescent="0.3">
      <c r="B133" s="60">
        <f>MAX(B$18:B132)+1</f>
        <v>66</v>
      </c>
      <c r="C133" s="62"/>
      <c r="D133" s="10" t="s">
        <v>72</v>
      </c>
      <c r="E133" s="60"/>
      <c r="F133" s="17"/>
      <c r="G133" s="60"/>
      <c r="H133" s="76">
        <f>H121+H130</f>
        <v>4009630.1792336791</v>
      </c>
      <c r="I133" s="72"/>
      <c r="J133" s="14"/>
      <c r="K133" s="14"/>
      <c r="L133" s="14"/>
      <c r="M133" s="14"/>
      <c r="N133" s="14"/>
      <c r="O133" s="12"/>
      <c r="P133" s="76">
        <f>SUM(P120,P121:P122,P127,P129,P130)</f>
        <v>81064.552739263687</v>
      </c>
      <c r="Q133" s="12"/>
      <c r="R133" s="76">
        <f>SUM(R120,R121:R122,R127,R129,R130)</f>
        <v>-4916.5282493491213</v>
      </c>
      <c r="S133" s="67"/>
      <c r="T133" s="76">
        <f>SUM(T120,T121:T122,T127,T129,T130)</f>
        <v>76148.024489914562</v>
      </c>
      <c r="U133" s="67"/>
      <c r="V133" s="21">
        <f>T133/$H133*100</f>
        <v>1.8991283755866979</v>
      </c>
      <c r="W133" s="67"/>
      <c r="X133" s="77">
        <f t="shared" ref="X133" si="53">T133/P133</f>
        <v>0.93935045487560187</v>
      </c>
      <c r="Y133" s="14"/>
      <c r="Z133" s="72"/>
    </row>
    <row r="134" spans="2:26" x14ac:dyDescent="0.3">
      <c r="E134" s="60"/>
      <c r="F134" s="17"/>
      <c r="G134" s="60"/>
      <c r="H134" s="11"/>
      <c r="I134" s="72"/>
      <c r="J134" s="14"/>
      <c r="K134" s="14"/>
      <c r="L134" s="14"/>
      <c r="M134" s="14"/>
      <c r="N134" s="14"/>
      <c r="O134" s="12"/>
      <c r="P134" s="11"/>
      <c r="Q134" s="12"/>
      <c r="R134" s="11"/>
      <c r="S134" s="67"/>
      <c r="T134" s="11"/>
      <c r="U134" s="67"/>
      <c r="V134" s="27"/>
      <c r="W134" s="67"/>
      <c r="X134" s="13"/>
      <c r="Y134" s="14"/>
      <c r="Z134" s="72"/>
    </row>
    <row r="135" spans="2:26" x14ac:dyDescent="0.3">
      <c r="B135" s="60"/>
      <c r="C135" s="62"/>
      <c r="D135" s="35" t="s">
        <v>73</v>
      </c>
      <c r="E135" s="60"/>
      <c r="F135" s="84"/>
      <c r="G135" s="60"/>
      <c r="H135" s="11"/>
      <c r="I135" s="72"/>
      <c r="J135" s="14"/>
      <c r="K135" s="14"/>
      <c r="L135" s="14"/>
      <c r="M135" s="14"/>
      <c r="N135" s="14"/>
      <c r="O135" s="12"/>
      <c r="P135" s="11"/>
      <c r="Q135" s="12"/>
      <c r="R135" s="11"/>
      <c r="S135" s="67"/>
      <c r="T135" s="11"/>
      <c r="U135" s="67"/>
      <c r="V135" s="22"/>
      <c r="W135" s="67"/>
      <c r="X135" s="13"/>
      <c r="Y135" s="14"/>
      <c r="Z135" s="72"/>
    </row>
    <row r="136" spans="2:26" x14ac:dyDescent="0.3">
      <c r="B136" s="60">
        <f>MAX(B$18:B135)+1</f>
        <v>67</v>
      </c>
      <c r="C136" s="62"/>
      <c r="D136" s="23" t="s">
        <v>74</v>
      </c>
      <c r="E136" s="60"/>
      <c r="F136" s="84" t="s">
        <v>75</v>
      </c>
      <c r="G136" s="60"/>
      <c r="H136" s="11">
        <v>102195366</v>
      </c>
      <c r="I136" s="72"/>
      <c r="J136" s="11"/>
      <c r="K136" s="14"/>
      <c r="L136" s="11"/>
      <c r="M136" s="14"/>
      <c r="N136" s="11"/>
      <c r="O136" s="12"/>
      <c r="P136" s="11">
        <v>1524.1658705596692</v>
      </c>
      <c r="Q136" s="12"/>
      <c r="R136" s="11">
        <f>T136-P136</f>
        <v>3.5226378818661033</v>
      </c>
      <c r="S136" s="67"/>
      <c r="T136" s="11">
        <f>$H136*V136/1000</f>
        <v>1527.6885084415353</v>
      </c>
      <c r="U136" s="67"/>
      <c r="V136" s="70">
        <v>1.4948706269534132E-2</v>
      </c>
      <c r="W136" s="67"/>
      <c r="X136" s="13">
        <f>T136/P136</f>
        <v>1.0023111906321407</v>
      </c>
      <c r="Y136" s="14"/>
      <c r="Z136" s="11"/>
    </row>
    <row r="137" spans="2:26" x14ac:dyDescent="0.3">
      <c r="B137" s="60"/>
      <c r="C137" s="62"/>
      <c r="D137" s="23" t="s">
        <v>76</v>
      </c>
      <c r="E137" s="60"/>
      <c r="F137" s="84"/>
      <c r="G137" s="60"/>
      <c r="H137" s="11"/>
      <c r="I137" s="72"/>
      <c r="J137" s="14"/>
      <c r="K137" s="14"/>
      <c r="L137" s="14"/>
      <c r="M137" s="14"/>
      <c r="N137" s="14"/>
      <c r="O137" s="12"/>
      <c r="P137" s="11"/>
      <c r="Q137" s="12"/>
      <c r="R137" s="11">
        <f t="shared" ref="R137:R142" si="54">T137-P137</f>
        <v>0</v>
      </c>
      <c r="S137" s="67"/>
      <c r="T137" s="11">
        <f t="shared" ref="T137:T141" si="55">$H137*V137/1000</f>
        <v>0</v>
      </c>
      <c r="U137" s="67"/>
      <c r="V137" s="22"/>
      <c r="W137" s="67"/>
      <c r="X137" s="13"/>
      <c r="Y137" s="14"/>
      <c r="Z137" s="14"/>
    </row>
    <row r="138" spans="2:26" x14ac:dyDescent="0.3">
      <c r="B138" s="60">
        <f>MAX(B$18:B137)+1</f>
        <v>68</v>
      </c>
      <c r="C138" s="62"/>
      <c r="D138" s="16" t="s">
        <v>77</v>
      </c>
      <c r="E138" s="60"/>
      <c r="F138" s="84" t="s">
        <v>75</v>
      </c>
      <c r="G138" s="60"/>
      <c r="H138" s="11">
        <v>2690346</v>
      </c>
      <c r="I138" s="72"/>
      <c r="J138" s="11"/>
      <c r="K138" s="14"/>
      <c r="L138" s="11"/>
      <c r="M138" s="14"/>
      <c r="N138" s="11"/>
      <c r="O138" s="12"/>
      <c r="P138" s="11">
        <v>4556.6500013295999</v>
      </c>
      <c r="Q138" s="12"/>
      <c r="R138" s="11">
        <f t="shared" si="54"/>
        <v>2366.3768431851968</v>
      </c>
      <c r="S138" s="67"/>
      <c r="T138" s="11">
        <f t="shared" si="55"/>
        <v>6923.0268445147967</v>
      </c>
      <c r="U138" s="67"/>
      <c r="V138" s="70">
        <v>2.5732849397493096</v>
      </c>
      <c r="W138" s="67"/>
      <c r="X138" s="13">
        <f>T138/P138</f>
        <v>1.5193238108028275</v>
      </c>
      <c r="Y138" s="14"/>
      <c r="Z138" s="11"/>
    </row>
    <row r="139" spans="2:26" x14ac:dyDescent="0.3">
      <c r="B139" s="60">
        <f>MAX(B$18:B138)+1</f>
        <v>69</v>
      </c>
      <c r="C139" s="62"/>
      <c r="D139" s="16" t="s">
        <v>78</v>
      </c>
      <c r="E139" s="60"/>
      <c r="F139" s="84" t="s">
        <v>75</v>
      </c>
      <c r="G139" s="60"/>
      <c r="H139" s="11">
        <v>910476</v>
      </c>
      <c r="I139" s="72"/>
      <c r="J139" s="11"/>
      <c r="K139" s="14"/>
      <c r="L139" s="11"/>
      <c r="M139" s="14"/>
      <c r="N139" s="11"/>
      <c r="O139" s="12"/>
      <c r="P139" s="11">
        <v>1542.0769174710495</v>
      </c>
      <c r="Q139" s="12"/>
      <c r="R139" s="11">
        <f t="shared" si="54"/>
        <v>638.51190201747067</v>
      </c>
      <c r="S139" s="67"/>
      <c r="T139" s="11">
        <f t="shared" si="55"/>
        <v>2180.5888194885201</v>
      </c>
      <c r="U139" s="67"/>
      <c r="V139" s="70">
        <v>2.3949986814463209</v>
      </c>
      <c r="W139" s="67"/>
      <c r="X139" s="13">
        <f t="shared" ref="X139:X140" si="56">T139/P139</f>
        <v>1.4140596975309163</v>
      </c>
      <c r="Y139" s="14"/>
      <c r="Z139" s="11"/>
    </row>
    <row r="140" spans="2:26" x14ac:dyDescent="0.3">
      <c r="B140" s="60">
        <f>MAX(B$18:B139)+1</f>
        <v>70</v>
      </c>
      <c r="C140" s="62"/>
      <c r="D140" s="16" t="s">
        <v>79</v>
      </c>
      <c r="E140" s="60"/>
      <c r="F140" s="84" t="s">
        <v>75</v>
      </c>
      <c r="G140" s="60"/>
      <c r="H140" s="11">
        <v>12000</v>
      </c>
      <c r="I140" s="72"/>
      <c r="J140" s="11"/>
      <c r="K140" s="14"/>
      <c r="L140" s="11"/>
      <c r="M140" s="14"/>
      <c r="N140" s="11"/>
      <c r="O140" s="12"/>
      <c r="P140" s="11">
        <v>20.324448980151693</v>
      </c>
      <c r="Q140" s="12"/>
      <c r="R140" s="11">
        <f t="shared" si="54"/>
        <v>8.4155351972041572</v>
      </c>
      <c r="S140" s="67"/>
      <c r="T140" s="11">
        <f t="shared" si="55"/>
        <v>28.739984177355851</v>
      </c>
      <c r="U140" s="67"/>
      <c r="V140" s="70">
        <v>2.3949986814463209</v>
      </c>
      <c r="W140" s="67"/>
      <c r="X140" s="13">
        <f t="shared" si="56"/>
        <v>1.4140596975309165</v>
      </c>
      <c r="Y140" s="14"/>
      <c r="Z140" s="11"/>
    </row>
    <row r="141" spans="2:26" x14ac:dyDescent="0.3">
      <c r="B141" s="60">
        <f>MAX(B$18:B140)+1</f>
        <v>71</v>
      </c>
      <c r="D141" s="23" t="s">
        <v>80</v>
      </c>
      <c r="F141" s="1" t="s">
        <v>81</v>
      </c>
      <c r="H141" s="11">
        <v>22553384.649308</v>
      </c>
      <c r="I141" s="72"/>
      <c r="J141" s="11"/>
      <c r="K141" s="14"/>
      <c r="L141" s="11"/>
      <c r="M141" s="14"/>
      <c r="N141" s="11"/>
      <c r="O141" s="12"/>
      <c r="P141" s="11">
        <v>0</v>
      </c>
      <c r="Q141" s="12"/>
      <c r="R141" s="11">
        <f t="shared" si="54"/>
        <v>0</v>
      </c>
      <c r="S141" s="67"/>
      <c r="T141" s="11">
        <f t="shared" si="55"/>
        <v>0</v>
      </c>
      <c r="U141" s="67"/>
      <c r="V141" s="70">
        <v>0</v>
      </c>
      <c r="W141" s="67"/>
      <c r="X141" s="11">
        <v>0</v>
      </c>
      <c r="Y141" s="14"/>
      <c r="Z141" s="11"/>
    </row>
    <row r="142" spans="2:26" x14ac:dyDescent="0.3">
      <c r="B142" s="60">
        <f>MAX(B$18:B141)+1</f>
        <v>72</v>
      </c>
      <c r="C142" s="62"/>
      <c r="D142" s="23" t="s">
        <v>82</v>
      </c>
      <c r="E142" s="60"/>
      <c r="F142" s="17"/>
      <c r="G142" s="60"/>
      <c r="H142" s="11"/>
      <c r="I142" s="72"/>
      <c r="J142" s="11"/>
      <c r="K142" s="14"/>
      <c r="L142" s="11"/>
      <c r="M142" s="14"/>
      <c r="N142" s="11"/>
      <c r="O142" s="12"/>
      <c r="P142" s="11">
        <v>657.97517548256747</v>
      </c>
      <c r="Q142" s="12"/>
      <c r="R142" s="11">
        <f t="shared" si="54"/>
        <v>-7.0631440774832299E-2</v>
      </c>
      <c r="S142" s="67"/>
      <c r="T142" s="11">
        <v>657.90454404179263</v>
      </c>
      <c r="U142" s="67"/>
      <c r="V142" s="92">
        <v>7.9936318892803813E-3</v>
      </c>
      <c r="W142" s="67"/>
      <c r="X142" s="11"/>
      <c r="Y142" s="14"/>
      <c r="Z142" s="11"/>
    </row>
    <row r="143" spans="2:26" x14ac:dyDescent="0.3">
      <c r="B143" s="60"/>
      <c r="C143" s="62"/>
      <c r="D143" s="10"/>
      <c r="E143" s="60"/>
      <c r="F143" s="17"/>
      <c r="G143" s="60"/>
      <c r="H143" s="11"/>
      <c r="I143" s="72"/>
      <c r="J143" s="14"/>
      <c r="K143" s="14"/>
      <c r="L143" s="14"/>
      <c r="M143" s="14"/>
      <c r="N143" s="14"/>
      <c r="O143" s="12"/>
      <c r="P143" s="11"/>
      <c r="Q143" s="12"/>
      <c r="R143" s="11"/>
      <c r="S143" s="67"/>
      <c r="T143" s="11"/>
      <c r="U143" s="67"/>
      <c r="V143" s="27"/>
      <c r="W143" s="67"/>
      <c r="X143" s="13"/>
      <c r="Y143" s="14"/>
      <c r="Z143" s="72"/>
    </row>
    <row r="144" spans="2:26" x14ac:dyDescent="0.3">
      <c r="B144" s="60">
        <f>MAX(B$18:B143)+1</f>
        <v>73</v>
      </c>
      <c r="C144" s="62"/>
      <c r="D144" s="10" t="s">
        <v>83</v>
      </c>
      <c r="E144" s="60"/>
      <c r="F144" s="17"/>
      <c r="G144" s="60"/>
      <c r="H144" s="76">
        <f>H133</f>
        <v>4009630.1792336791</v>
      </c>
      <c r="I144" s="72"/>
      <c r="J144" s="11"/>
      <c r="K144" s="14"/>
      <c r="L144" s="11"/>
      <c r="M144" s="14"/>
      <c r="N144" s="11"/>
      <c r="O144" s="12"/>
      <c r="P144" s="76">
        <f>SUM(P136:P142)</f>
        <v>8301.1924138230388</v>
      </c>
      <c r="Q144" s="12"/>
      <c r="R144" s="76">
        <f>SUM(R136:R142)</f>
        <v>3016.7562868409627</v>
      </c>
      <c r="S144" s="67"/>
      <c r="T144" s="76">
        <f>SUM(T136:T142)</f>
        <v>11317.948700664001</v>
      </c>
      <c r="U144" s="67"/>
      <c r="V144" s="21">
        <f>T144/$H144*100</f>
        <v>0.28226914190941893</v>
      </c>
      <c r="W144" s="67"/>
      <c r="X144" s="77">
        <f t="shared" ref="X144" si="57">T144/P144</f>
        <v>1.3634124034780231</v>
      </c>
      <c r="Y144" s="14"/>
      <c r="Z144" s="72"/>
    </row>
    <row r="145" spans="2:26" x14ac:dyDescent="0.3">
      <c r="E145" s="60"/>
      <c r="F145" s="17"/>
      <c r="G145" s="60"/>
      <c r="H145" s="11"/>
      <c r="I145" s="72"/>
      <c r="J145" s="11"/>
      <c r="K145" s="67"/>
      <c r="L145" s="27"/>
      <c r="M145" s="67"/>
      <c r="N145" s="11"/>
      <c r="O145" s="12"/>
      <c r="P145" s="11"/>
      <c r="Q145" s="12"/>
      <c r="R145" s="11"/>
      <c r="S145" s="67"/>
      <c r="T145" s="11"/>
      <c r="U145" s="67"/>
      <c r="V145" s="27"/>
      <c r="W145" s="67"/>
      <c r="X145" s="13"/>
      <c r="Y145" s="14"/>
      <c r="Z145" s="15"/>
    </row>
    <row r="146" spans="2:26" ht="12.9" thickBot="1" x14ac:dyDescent="0.35">
      <c r="B146" s="60">
        <f>MAX(B$18:B145)+1</f>
        <v>74</v>
      </c>
      <c r="C146" s="62"/>
      <c r="D146" s="25" t="s">
        <v>84</v>
      </c>
      <c r="E146" s="60"/>
      <c r="F146" s="17"/>
      <c r="G146" s="60"/>
      <c r="H146" s="71">
        <f>H133</f>
        <v>4009630.1792336791</v>
      </c>
      <c r="I146" s="72"/>
      <c r="J146" s="71">
        <v>70374.889700499247</v>
      </c>
      <c r="K146" s="67"/>
      <c r="L146" s="26">
        <f>J146/$H146*100</f>
        <v>1.7551466483113238</v>
      </c>
      <c r="M146" s="67"/>
      <c r="N146" s="71">
        <f>J146-P146</f>
        <v>-18990.855452587479</v>
      </c>
      <c r="O146" s="12"/>
      <c r="P146" s="71">
        <f>P133+P144</f>
        <v>89365.745153086726</v>
      </c>
      <c r="Q146" s="12"/>
      <c r="R146" s="71">
        <f>R133+R144</f>
        <v>-1899.7719625081586</v>
      </c>
      <c r="S146" s="67"/>
      <c r="T146" s="71">
        <f>T133+T144</f>
        <v>87465.973190578559</v>
      </c>
      <c r="U146" s="67"/>
      <c r="V146" s="26">
        <f>T146/$H146*100</f>
        <v>2.1813975174961162</v>
      </c>
      <c r="W146" s="67"/>
      <c r="X146" s="73">
        <f>T146/P146</f>
        <v>0.97874160888768069</v>
      </c>
      <c r="Y146" s="14"/>
      <c r="Z146" s="32">
        <f>V146/L146-1</f>
        <v>0.2428576948797414</v>
      </c>
    </row>
    <row r="147" spans="2:26" ht="12.9" thickTop="1" x14ac:dyDescent="0.3">
      <c r="B147" s="60"/>
    </row>
    <row r="148" spans="2:26" x14ac:dyDescent="0.3">
      <c r="B148" s="60"/>
    </row>
    <row r="149" spans="2:26" ht="11.4" customHeight="1" x14ac:dyDescent="0.3">
      <c r="B149" s="60"/>
      <c r="C149" s="25"/>
      <c r="D149" s="7" t="s">
        <v>85</v>
      </c>
      <c r="E149" s="25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2:26" ht="11.4" customHeight="1" x14ac:dyDescent="0.3">
      <c r="B150" s="60">
        <f>MAX(B$18:B149)+1</f>
        <v>75</v>
      </c>
      <c r="C150" s="25"/>
      <c r="D150" s="10" t="s">
        <v>33</v>
      </c>
      <c r="F150" s="46" t="s">
        <v>35</v>
      </c>
      <c r="G150" s="25"/>
      <c r="H150" s="11">
        <v>588</v>
      </c>
      <c r="I150" s="14"/>
      <c r="J150" s="11"/>
      <c r="K150" s="14"/>
      <c r="L150" s="11"/>
      <c r="M150" s="14"/>
      <c r="N150" s="11"/>
      <c r="O150" s="14"/>
      <c r="P150" s="11">
        <v>1741.5762536866764</v>
      </c>
      <c r="Q150" s="14"/>
      <c r="R150" s="11">
        <f>T150-P150</f>
        <v>-859.57625368667641</v>
      </c>
      <c r="S150" s="67"/>
      <c r="T150" s="11">
        <f>$H150*V150/1000</f>
        <v>882</v>
      </c>
      <c r="U150" s="14"/>
      <c r="V150" s="68">
        <v>1500</v>
      </c>
      <c r="W150" s="14"/>
      <c r="X150" s="13"/>
      <c r="Y150" s="14"/>
      <c r="Z150" s="11"/>
    </row>
    <row r="151" spans="2:26" ht="11.4" customHeight="1" x14ac:dyDescent="0.3">
      <c r="B151" s="60"/>
      <c r="C151" s="25"/>
      <c r="D151" s="10"/>
      <c r="F151" s="46"/>
      <c r="H151" s="11"/>
      <c r="I151" s="14"/>
      <c r="J151" s="11"/>
      <c r="K151" s="14"/>
      <c r="L151" s="11"/>
      <c r="M151" s="14"/>
      <c r="N151" s="11"/>
      <c r="O151" s="14"/>
      <c r="P151" s="11"/>
      <c r="Q151" s="14"/>
      <c r="R151" s="11"/>
      <c r="S151" s="67"/>
      <c r="T151" s="11"/>
      <c r="U151" s="14"/>
      <c r="V151" s="68"/>
      <c r="W151" s="14"/>
      <c r="X151" s="13"/>
      <c r="Y151" s="14"/>
      <c r="Z151" s="11"/>
    </row>
    <row r="152" spans="2:26" x14ac:dyDescent="0.3">
      <c r="B152" s="60">
        <f>MAX(B$18:B151)+1</f>
        <v>76</v>
      </c>
      <c r="D152" s="10" t="s">
        <v>63</v>
      </c>
      <c r="F152" s="46" t="s">
        <v>38</v>
      </c>
      <c r="H152" s="11">
        <v>981552.0399894116</v>
      </c>
      <c r="I152" s="14"/>
      <c r="J152" s="11"/>
      <c r="K152" s="14"/>
      <c r="L152" s="11"/>
      <c r="M152" s="14"/>
      <c r="N152" s="11"/>
      <c r="O152" s="14"/>
      <c r="P152" s="11">
        <v>656.13120184536206</v>
      </c>
      <c r="Q152" s="14"/>
      <c r="R152" s="11">
        <f t="shared" ref="R152" si="58">T152-P152</f>
        <v>0</v>
      </c>
      <c r="S152" s="67"/>
      <c r="T152" s="11">
        <f>$H152*V152/100</f>
        <v>656.13120184536194</v>
      </c>
      <c r="U152" s="14"/>
      <c r="V152" s="92">
        <v>6.6846298017213632E-2</v>
      </c>
      <c r="W152" s="14"/>
      <c r="X152" s="13"/>
      <c r="Y152" s="14"/>
      <c r="Z152" s="11"/>
    </row>
    <row r="153" spans="2:26" x14ac:dyDescent="0.3">
      <c r="B153" s="60"/>
      <c r="D153" s="10"/>
      <c r="F153" s="46"/>
      <c r="H153" s="11"/>
      <c r="I153" s="14"/>
      <c r="J153" s="11"/>
      <c r="K153" s="14"/>
      <c r="L153" s="11"/>
      <c r="M153" s="14"/>
      <c r="N153" s="11"/>
      <c r="O153" s="14"/>
      <c r="P153" s="11"/>
      <c r="Q153" s="14"/>
      <c r="R153" s="11"/>
      <c r="S153" s="67"/>
      <c r="T153" s="11"/>
      <c r="U153" s="14"/>
      <c r="V153" s="92"/>
      <c r="W153" s="14"/>
      <c r="X153" s="13"/>
      <c r="Y153" s="14"/>
      <c r="Z153" s="11"/>
    </row>
    <row r="154" spans="2:26" x14ac:dyDescent="0.3">
      <c r="B154" s="60"/>
      <c r="D154" s="10" t="s">
        <v>86</v>
      </c>
      <c r="F154" s="46" t="s">
        <v>40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37"/>
      <c r="W154" s="14"/>
      <c r="X154" s="14"/>
      <c r="Y154" s="14"/>
      <c r="Z154" s="14"/>
    </row>
    <row r="155" spans="2:26" x14ac:dyDescent="0.3">
      <c r="B155" s="60">
        <f>MAX(B$18:B154)+1</f>
        <v>77</v>
      </c>
      <c r="D155" s="23" t="s">
        <v>87</v>
      </c>
      <c r="F155" s="46" t="s">
        <v>40</v>
      </c>
      <c r="H155" s="11">
        <v>13312.763999999999</v>
      </c>
      <c r="I155" s="14"/>
      <c r="J155" s="11"/>
      <c r="K155" s="14"/>
      <c r="L155" s="11"/>
      <c r="M155" s="14"/>
      <c r="N155" s="11"/>
      <c r="O155" s="14"/>
      <c r="P155" s="11">
        <v>3203.485433348364</v>
      </c>
      <c r="Q155" s="14"/>
      <c r="R155" s="11">
        <f>T155-P155</f>
        <v>210.16270701228905</v>
      </c>
      <c r="S155" s="67"/>
      <c r="T155" s="11">
        <f>$H155*V155/100</f>
        <v>3413.6481403606531</v>
      </c>
      <c r="U155" s="14"/>
      <c r="V155" s="27">
        <v>25.641918840900757</v>
      </c>
      <c r="W155" s="14"/>
      <c r="X155" s="11"/>
      <c r="Y155" s="14"/>
      <c r="Z155" s="11"/>
    </row>
    <row r="156" spans="2:26" x14ac:dyDescent="0.3">
      <c r="B156" s="60">
        <f>MAX(B$18:B155)+1</f>
        <v>78</v>
      </c>
      <c r="D156" s="23" t="s">
        <v>88</v>
      </c>
      <c r="F156" s="46" t="s">
        <v>40</v>
      </c>
      <c r="H156" s="11">
        <v>49393.440000000002</v>
      </c>
      <c r="I156" s="14"/>
      <c r="J156" s="11"/>
      <c r="K156" s="14"/>
      <c r="L156" s="11"/>
      <c r="M156" s="14"/>
      <c r="N156" s="11"/>
      <c r="O156" s="14"/>
      <c r="P156" s="11">
        <v>6045.7146380485992</v>
      </c>
      <c r="Q156" s="14"/>
      <c r="R156" s="11">
        <f>T156-P156</f>
        <v>388.41583030660058</v>
      </c>
      <c r="S156" s="67"/>
      <c r="T156" s="11">
        <f>$H156*V156/100</f>
        <v>6434.1304683551998</v>
      </c>
      <c r="U156" s="14"/>
      <c r="V156" s="27">
        <v>13.026285410279582</v>
      </c>
      <c r="W156" s="14"/>
      <c r="X156" s="11"/>
      <c r="Y156" s="14"/>
      <c r="Z156" s="11"/>
    </row>
    <row r="157" spans="2:26" x14ac:dyDescent="0.3">
      <c r="B157" s="60">
        <f>MAX(B$18:B156)+1</f>
        <v>79</v>
      </c>
      <c r="D157" s="10" t="s">
        <v>86</v>
      </c>
      <c r="H157" s="76">
        <f>SUM(H155:H156)</f>
        <v>62706.203999999998</v>
      </c>
      <c r="I157" s="72"/>
      <c r="J157" s="14"/>
      <c r="K157" s="14"/>
      <c r="L157" s="14"/>
      <c r="M157" s="14"/>
      <c r="N157" s="14"/>
      <c r="O157" s="12"/>
      <c r="P157" s="76">
        <f>SUM(P155:P156)</f>
        <v>9249.2000713969628</v>
      </c>
      <c r="Q157" s="12"/>
      <c r="R157" s="76">
        <f>SUM(R155:R156)</f>
        <v>598.57853731888963</v>
      </c>
      <c r="S157" s="67"/>
      <c r="T157" s="76">
        <f>SUM(T155:T156)</f>
        <v>9847.7786087158529</v>
      </c>
      <c r="U157" s="67"/>
      <c r="V157" s="21">
        <f>T157/$H157*100</f>
        <v>15.704632046800111</v>
      </c>
      <c r="W157" s="67"/>
      <c r="X157" s="77">
        <f>T157/P157</f>
        <v>1.0647167898519123</v>
      </c>
      <c r="Y157" s="14"/>
      <c r="Z157" s="14"/>
    </row>
    <row r="158" spans="2:26" x14ac:dyDescent="0.3">
      <c r="B158" s="60"/>
      <c r="D158" s="10"/>
      <c r="H158" s="67"/>
      <c r="I158" s="14"/>
      <c r="J158" s="14"/>
      <c r="K158" s="14"/>
      <c r="L158" s="14"/>
      <c r="M158" s="14"/>
      <c r="N158" s="14"/>
      <c r="O158" s="14"/>
      <c r="P158" s="67"/>
      <c r="Q158" s="14"/>
      <c r="R158" s="67"/>
      <c r="S158" s="14"/>
      <c r="T158" s="67"/>
      <c r="U158" s="14"/>
      <c r="V158" s="67"/>
      <c r="W158" s="14"/>
      <c r="X158" s="67"/>
      <c r="Y158" s="14"/>
      <c r="Z158" s="14"/>
    </row>
    <row r="159" spans="2:26" x14ac:dyDescent="0.3">
      <c r="B159" s="60">
        <f>MAX(B$18:B158)+1</f>
        <v>80</v>
      </c>
      <c r="D159" s="10" t="s">
        <v>69</v>
      </c>
      <c r="F159" s="46" t="s">
        <v>40</v>
      </c>
      <c r="H159" s="11">
        <v>67936.392000000007</v>
      </c>
      <c r="I159" s="14"/>
      <c r="J159" s="11"/>
      <c r="K159" s="14"/>
      <c r="L159" s="11"/>
      <c r="M159" s="14"/>
      <c r="N159" s="11"/>
      <c r="O159" s="14"/>
      <c r="P159" s="11">
        <v>597.40556051101646</v>
      </c>
      <c r="Q159" s="14"/>
      <c r="R159" s="11">
        <f>T159-P159</f>
        <v>0</v>
      </c>
      <c r="S159" s="67"/>
      <c r="T159" s="11">
        <f>$H159*V159/100</f>
        <v>597.40556051101646</v>
      </c>
      <c r="U159" s="14"/>
      <c r="V159" s="27">
        <v>0.87936015281914937</v>
      </c>
      <c r="W159" s="14"/>
      <c r="X159" s="13"/>
      <c r="Y159" s="14"/>
      <c r="Z159" s="11"/>
    </row>
    <row r="160" spans="2:26" x14ac:dyDescent="0.3">
      <c r="B160" s="60"/>
      <c r="D160" s="10"/>
      <c r="F160" s="46"/>
      <c r="H160" s="11"/>
      <c r="I160" s="14"/>
      <c r="J160" s="11"/>
      <c r="K160" s="14"/>
      <c r="L160" s="11"/>
      <c r="M160" s="14"/>
      <c r="N160" s="11"/>
      <c r="O160" s="14"/>
      <c r="P160" s="11"/>
      <c r="Q160" s="14"/>
      <c r="R160" s="11"/>
      <c r="S160" s="67"/>
      <c r="T160" s="11"/>
      <c r="U160" s="14"/>
      <c r="V160" s="27"/>
      <c r="W160" s="14"/>
      <c r="X160" s="13"/>
      <c r="Y160" s="14"/>
      <c r="Z160" s="11"/>
    </row>
    <row r="161" spans="2:26" x14ac:dyDescent="0.3">
      <c r="B161" s="60">
        <f>MAX(B$18:B160)+1</f>
        <v>81</v>
      </c>
      <c r="D161" s="10" t="s">
        <v>70</v>
      </c>
      <c r="F161" s="46" t="s">
        <v>38</v>
      </c>
      <c r="H161" s="11">
        <v>0</v>
      </c>
      <c r="I161" s="14"/>
      <c r="J161" s="11"/>
      <c r="K161" s="14"/>
      <c r="L161" s="11"/>
      <c r="M161" s="14"/>
      <c r="N161" s="11"/>
      <c r="O161" s="14"/>
      <c r="P161" s="11">
        <v>0</v>
      </c>
      <c r="Q161" s="14"/>
      <c r="R161" s="11">
        <v>0</v>
      </c>
      <c r="S161" s="14"/>
      <c r="T161" s="11">
        <f t="shared" ref="T161" si="59">$H161*V161/100</f>
        <v>0</v>
      </c>
      <c r="U161" s="14"/>
      <c r="V161" s="27">
        <v>0</v>
      </c>
      <c r="W161" s="14"/>
      <c r="X161" s="11"/>
      <c r="Y161" s="14"/>
      <c r="Z161" s="11"/>
    </row>
    <row r="162" spans="2:26" x14ac:dyDescent="0.3">
      <c r="B162" s="60"/>
      <c r="D162" s="10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2:26" ht="12.9" thickBot="1" x14ac:dyDescent="0.35">
      <c r="B163" s="60">
        <f>MAX(B$18:B162)+1</f>
        <v>82</v>
      </c>
      <c r="D163" s="25" t="s">
        <v>89</v>
      </c>
      <c r="H163" s="71">
        <f>H152</f>
        <v>981552.0399894116</v>
      </c>
      <c r="I163" s="72"/>
      <c r="J163" s="71">
        <v>22727.163198775015</v>
      </c>
      <c r="K163" s="67"/>
      <c r="L163" s="26">
        <f>J163/$H163*100</f>
        <v>2.3154313039806</v>
      </c>
      <c r="M163" s="67"/>
      <c r="N163" s="71">
        <f>J163-P163</f>
        <v>10482.850111334998</v>
      </c>
      <c r="O163" s="12"/>
      <c r="P163" s="71">
        <f>SUM(P150:P152,P157,P159:P161)</f>
        <v>12244.313087440018</v>
      </c>
      <c r="Q163" s="67"/>
      <c r="R163" s="71">
        <f>SUM(R150:R152,R157,R159:R161)</f>
        <v>-260.99771636778678</v>
      </c>
      <c r="S163" s="67"/>
      <c r="T163" s="71">
        <f>SUM(T150:T152,T157,T159:T161)</f>
        <v>11983.315371072231</v>
      </c>
      <c r="U163" s="67"/>
      <c r="V163" s="26">
        <f>T163/$H163*100</f>
        <v>1.2208537991731443</v>
      </c>
      <c r="W163" s="67"/>
      <c r="X163" s="73">
        <f>T163/P163</f>
        <v>0.97868416835604166</v>
      </c>
      <c r="Y163" s="14"/>
      <c r="Z163" s="74">
        <f>V163/L163-1</f>
        <v>-0.47273158263244541</v>
      </c>
    </row>
    <row r="164" spans="2:26" ht="12.9" thickTop="1" x14ac:dyDescent="0.3">
      <c r="B164" s="60"/>
      <c r="D164" s="10"/>
    </row>
    <row r="165" spans="2:26" x14ac:dyDescent="0.3">
      <c r="D165" s="10"/>
      <c r="V165" s="28"/>
    </row>
    <row r="166" spans="2:26" x14ac:dyDescent="0.3">
      <c r="D166" s="38" t="s">
        <v>90</v>
      </c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2:26" x14ac:dyDescent="0.3">
      <c r="B167" s="60"/>
      <c r="D167" s="10" t="s">
        <v>33</v>
      </c>
      <c r="F167" s="46"/>
      <c r="H167" s="11"/>
      <c r="I167" s="14"/>
      <c r="J167" s="11"/>
      <c r="K167" s="14"/>
      <c r="L167" s="11"/>
      <c r="M167" s="14"/>
      <c r="N167" s="11"/>
      <c r="O167" s="14"/>
      <c r="P167" s="11"/>
      <c r="Q167" s="14"/>
      <c r="R167" s="11"/>
      <c r="S167" s="67"/>
      <c r="T167" s="11"/>
      <c r="U167" s="14"/>
      <c r="V167" s="68"/>
      <c r="W167" s="14"/>
      <c r="X167" s="13"/>
      <c r="Y167" s="14"/>
      <c r="Z167" s="11"/>
    </row>
    <row r="168" spans="2:26" x14ac:dyDescent="0.3">
      <c r="B168" s="60">
        <f>MAX(B$18:B167)+1</f>
        <v>83</v>
      </c>
      <c r="D168" s="16" t="s">
        <v>34</v>
      </c>
      <c r="F168" s="46" t="s">
        <v>35</v>
      </c>
      <c r="H168" s="11">
        <v>36</v>
      </c>
      <c r="I168" s="14"/>
      <c r="J168" s="11"/>
      <c r="K168" s="14"/>
      <c r="L168" s="11"/>
      <c r="M168" s="14"/>
      <c r="N168" s="11"/>
      <c r="O168" s="14"/>
      <c r="P168" s="11">
        <v>499.6252531889495</v>
      </c>
      <c r="Q168" s="14"/>
      <c r="R168" s="11">
        <f t="shared" ref="R168:R169" si="60">T168-P168</f>
        <v>0</v>
      </c>
      <c r="S168" s="67"/>
      <c r="T168" s="11">
        <f t="shared" ref="T168:T169" si="61">$H168*V168/1000</f>
        <v>499.62525318894956</v>
      </c>
      <c r="U168" s="14"/>
      <c r="V168" s="68">
        <v>13878.479255248598</v>
      </c>
      <c r="W168" s="14"/>
      <c r="X168" s="13">
        <f t="shared" ref="X168:X169" si="62">T168/P168</f>
        <v>1.0000000000000002</v>
      </c>
      <c r="Y168" s="14"/>
      <c r="Z168" s="11"/>
    </row>
    <row r="169" spans="2:26" x14ac:dyDescent="0.3">
      <c r="B169" s="60">
        <f>MAX(B$18:B168)+1</f>
        <v>84</v>
      </c>
      <c r="D169" s="16" t="s">
        <v>36</v>
      </c>
      <c r="F169" s="46" t="s">
        <v>35</v>
      </c>
      <c r="H169" s="11">
        <v>132</v>
      </c>
      <c r="I169" s="14"/>
      <c r="J169" s="11"/>
      <c r="K169" s="14"/>
      <c r="L169" s="11"/>
      <c r="M169" s="14"/>
      <c r="N169" s="11"/>
      <c r="O169" s="14"/>
      <c r="P169" s="11">
        <v>1831.9592616928148</v>
      </c>
      <c r="Q169" s="14"/>
      <c r="R169" s="11">
        <f t="shared" si="60"/>
        <v>0</v>
      </c>
      <c r="S169" s="67"/>
      <c r="T169" s="11">
        <f t="shared" si="61"/>
        <v>1831.9592616928151</v>
      </c>
      <c r="U169" s="14"/>
      <c r="V169" s="68">
        <v>13878.479255248598</v>
      </c>
      <c r="W169" s="14"/>
      <c r="X169" s="13">
        <f t="shared" si="62"/>
        <v>1.0000000000000002</v>
      </c>
      <c r="Y169" s="14"/>
      <c r="Z169" s="11"/>
    </row>
    <row r="170" spans="2:26" x14ac:dyDescent="0.3">
      <c r="B170" s="60"/>
      <c r="D170" s="10" t="s">
        <v>63</v>
      </c>
      <c r="F170" s="46"/>
      <c r="H170" s="11"/>
      <c r="I170" s="14"/>
      <c r="J170" s="11"/>
      <c r="K170" s="14"/>
      <c r="L170" s="11"/>
      <c r="M170" s="14"/>
      <c r="N170" s="11"/>
      <c r="O170" s="14"/>
      <c r="P170" s="11"/>
      <c r="Q170" s="14"/>
      <c r="R170" s="11"/>
      <c r="S170" s="67"/>
      <c r="T170" s="11"/>
      <c r="U170" s="14"/>
      <c r="V170" s="27"/>
      <c r="W170" s="14"/>
      <c r="X170" s="13"/>
      <c r="Y170" s="14"/>
      <c r="Z170" s="11"/>
    </row>
    <row r="171" spans="2:26" x14ac:dyDescent="0.3">
      <c r="B171" s="60">
        <f>MAX(B$18:B170)+1</f>
        <v>85</v>
      </c>
      <c r="D171" s="16" t="s">
        <v>34</v>
      </c>
      <c r="F171" s="46" t="s">
        <v>38</v>
      </c>
      <c r="H171" s="11">
        <v>1009730.1449434099</v>
      </c>
      <c r="I171" s="14"/>
      <c r="J171" s="11"/>
      <c r="K171" s="14"/>
      <c r="L171" s="11"/>
      <c r="M171" s="14"/>
      <c r="N171" s="11"/>
      <c r="O171" s="14"/>
      <c r="P171" s="11">
        <v>53.569723268375036</v>
      </c>
      <c r="Q171" s="14"/>
      <c r="R171" s="11">
        <f t="shared" ref="R171:R172" si="63">T171-P171</f>
        <v>0</v>
      </c>
      <c r="S171" s="67"/>
      <c r="T171" s="11">
        <f t="shared" ref="T171:T172" si="64">$H171*V171/100</f>
        <v>53.569723268375036</v>
      </c>
      <c r="U171" s="14"/>
      <c r="V171" s="27">
        <v>5.3053504975210317E-3</v>
      </c>
      <c r="W171" s="14"/>
      <c r="X171" s="13">
        <f t="shared" ref="X171:X172" si="65">T171/P171</f>
        <v>1</v>
      </c>
      <c r="Y171" s="14"/>
      <c r="Z171" s="11"/>
    </row>
    <row r="172" spans="2:26" x14ac:dyDescent="0.3">
      <c r="B172" s="60">
        <f>MAX(B$18:B171)+1</f>
        <v>86</v>
      </c>
      <c r="D172" s="16" t="s">
        <v>36</v>
      </c>
      <c r="F172" s="46" t="s">
        <v>38</v>
      </c>
      <c r="H172" s="11">
        <v>2252273.3511090004</v>
      </c>
      <c r="I172" s="14"/>
      <c r="J172" s="11"/>
      <c r="K172" s="14"/>
      <c r="L172" s="11"/>
      <c r="M172" s="14"/>
      <c r="N172" s="11"/>
      <c r="O172" s="14"/>
      <c r="P172" s="11">
        <v>119.49099543859498</v>
      </c>
      <c r="Q172" s="14"/>
      <c r="R172" s="11">
        <f t="shared" si="63"/>
        <v>0</v>
      </c>
      <c r="S172" s="67"/>
      <c r="T172" s="11">
        <f t="shared" si="64"/>
        <v>119.49099543859496</v>
      </c>
      <c r="U172" s="14"/>
      <c r="V172" s="27">
        <v>5.3053504975210317E-3</v>
      </c>
      <c r="W172" s="14"/>
      <c r="X172" s="13">
        <f t="shared" si="65"/>
        <v>0.99999999999999989</v>
      </c>
      <c r="Y172" s="14"/>
      <c r="Z172" s="11"/>
    </row>
    <row r="173" spans="2:26" x14ac:dyDescent="0.3">
      <c r="B173" s="60"/>
      <c r="D173" s="10" t="s">
        <v>64</v>
      </c>
      <c r="F173" s="46"/>
      <c r="H173" s="11"/>
      <c r="I173" s="14"/>
      <c r="J173" s="14"/>
      <c r="K173" s="14"/>
      <c r="L173" s="14"/>
      <c r="M173" s="14"/>
      <c r="N173" s="14"/>
      <c r="O173" s="14"/>
      <c r="P173" s="11"/>
      <c r="Q173" s="14"/>
      <c r="R173" s="11"/>
      <c r="S173" s="14"/>
      <c r="T173" s="11"/>
      <c r="U173" s="14"/>
      <c r="V173" s="92"/>
      <c r="W173" s="67"/>
      <c r="X173" s="13"/>
      <c r="Y173" s="14"/>
      <c r="Z173" s="14"/>
    </row>
    <row r="174" spans="2:26" x14ac:dyDescent="0.3">
      <c r="B174" s="60">
        <f>MAX(B$18:B173)+1</f>
        <v>87</v>
      </c>
      <c r="D174" s="16" t="s">
        <v>34</v>
      </c>
      <c r="F174" s="46"/>
      <c r="H174" s="11"/>
      <c r="I174" s="14"/>
      <c r="J174" s="14"/>
      <c r="K174" s="14"/>
      <c r="L174" s="14"/>
      <c r="M174" s="14"/>
      <c r="N174" s="14"/>
      <c r="O174" s="14"/>
      <c r="P174" s="11">
        <v>611.47065825243089</v>
      </c>
      <c r="Q174" s="14"/>
      <c r="R174" s="11">
        <f>ROUND(T174-P174,0)</f>
        <v>0</v>
      </c>
      <c r="S174" s="14"/>
      <c r="T174" s="11">
        <v>611.47065825243101</v>
      </c>
      <c r="U174" s="14"/>
      <c r="V174" s="92">
        <v>4.2462810021565781E-3</v>
      </c>
      <c r="W174" s="67"/>
      <c r="Y174" s="14"/>
      <c r="Z174" s="14"/>
    </row>
    <row r="175" spans="2:26" x14ac:dyDescent="0.3">
      <c r="B175" s="60">
        <f>MAX(B$18:B174)+1</f>
        <v>88</v>
      </c>
      <c r="D175" s="16" t="s">
        <v>36</v>
      </c>
      <c r="F175" s="46"/>
      <c r="H175" s="11"/>
      <c r="I175" s="14"/>
      <c r="J175" s="14"/>
      <c r="K175" s="14"/>
      <c r="L175" s="14"/>
      <c r="M175" s="14"/>
      <c r="N175" s="14"/>
      <c r="O175" s="14"/>
      <c r="P175" s="11">
        <v>1055.100657982553</v>
      </c>
      <c r="Q175" s="14"/>
      <c r="R175" s="11">
        <f>ROUND(T175-P175,0)</f>
        <v>0</v>
      </c>
      <c r="S175" s="14"/>
      <c r="T175" s="11">
        <v>1055.100657982553</v>
      </c>
      <c r="U175" s="14"/>
      <c r="V175" s="92">
        <v>4.2462810021565781E-3</v>
      </c>
      <c r="W175" s="67"/>
      <c r="Y175" s="14"/>
      <c r="Z175" s="14"/>
    </row>
    <row r="176" spans="2:26" x14ac:dyDescent="0.3">
      <c r="B176" s="60"/>
      <c r="D176" s="10" t="s">
        <v>91</v>
      </c>
      <c r="F176" s="46"/>
      <c r="H176" s="11"/>
      <c r="I176" s="14"/>
      <c r="J176" s="11"/>
      <c r="K176" s="14"/>
      <c r="L176" s="11"/>
      <c r="M176" s="14"/>
      <c r="N176" s="11"/>
      <c r="O176" s="14"/>
      <c r="P176" s="11"/>
      <c r="Q176" s="14"/>
      <c r="R176" s="11"/>
      <c r="S176" s="67"/>
      <c r="T176" s="11"/>
      <c r="U176" s="14"/>
      <c r="V176" s="27"/>
      <c r="W176" s="14"/>
      <c r="X176" s="13"/>
      <c r="Y176" s="14"/>
      <c r="Z176" s="11"/>
    </row>
    <row r="177" spans="2:26" x14ac:dyDescent="0.3">
      <c r="B177" s="60">
        <f>MAX(B$18:B176)+1</f>
        <v>89</v>
      </c>
      <c r="D177" s="16" t="s">
        <v>34</v>
      </c>
      <c r="F177" s="46" t="s">
        <v>40</v>
      </c>
      <c r="H177" s="11">
        <v>62520</v>
      </c>
      <c r="I177" s="14"/>
      <c r="J177" s="11"/>
      <c r="K177" s="14"/>
      <c r="L177" s="11"/>
      <c r="M177" s="14"/>
      <c r="N177" s="11"/>
      <c r="O177" s="14"/>
      <c r="P177" s="11">
        <v>7396.2990199942242</v>
      </c>
      <c r="Q177" s="14"/>
      <c r="R177" s="11">
        <f>T177-P177</f>
        <v>-271.46446401369121</v>
      </c>
      <c r="S177" s="67"/>
      <c r="T177" s="11">
        <f t="shared" ref="T177:T178" si="66">$H177*V177/100</f>
        <v>7124.834555980533</v>
      </c>
      <c r="U177" s="14"/>
      <c r="V177" s="27">
        <v>11.396088541235658</v>
      </c>
      <c r="W177" s="14"/>
      <c r="X177" s="13">
        <f t="shared" ref="X177:X184" si="67">T177/P177</f>
        <v>0.96329725673883004</v>
      </c>
      <c r="Y177" s="14"/>
      <c r="Z177" s="11"/>
    </row>
    <row r="178" spans="2:26" x14ac:dyDescent="0.3">
      <c r="B178" s="60">
        <f>MAX(B$18:B177)+1</f>
        <v>90</v>
      </c>
      <c r="D178" s="16" t="s">
        <v>36</v>
      </c>
      <c r="F178" s="46" t="s">
        <v>40</v>
      </c>
      <c r="H178" s="11">
        <v>232335.764</v>
      </c>
      <c r="I178" s="14"/>
      <c r="J178" s="11"/>
      <c r="K178" s="14"/>
      <c r="L178" s="11"/>
      <c r="M178" s="14"/>
      <c r="N178" s="11"/>
      <c r="O178" s="14"/>
      <c r="P178" s="11">
        <v>27486.001016999504</v>
      </c>
      <c r="Q178" s="14"/>
      <c r="R178" s="11">
        <f>T178-P178</f>
        <v>-1008.8116386031834</v>
      </c>
      <c r="S178" s="67"/>
      <c r="T178" s="11">
        <f t="shared" si="66"/>
        <v>26477.189378396321</v>
      </c>
      <c r="U178" s="14"/>
      <c r="V178" s="27">
        <v>11.396088541235658</v>
      </c>
      <c r="W178" s="14"/>
      <c r="X178" s="13">
        <f t="shared" si="67"/>
        <v>0.96329725673883027</v>
      </c>
      <c r="Y178" s="14"/>
      <c r="Z178" s="11"/>
    </row>
    <row r="179" spans="2:26" x14ac:dyDescent="0.3">
      <c r="B179" s="60"/>
      <c r="D179" s="10" t="s">
        <v>92</v>
      </c>
      <c r="F179" s="46"/>
      <c r="H179" s="11"/>
      <c r="I179" s="14"/>
      <c r="J179" s="11"/>
      <c r="K179" s="14"/>
      <c r="L179" s="11"/>
      <c r="M179" s="14"/>
      <c r="N179" s="11"/>
      <c r="O179" s="14"/>
      <c r="P179" s="11"/>
      <c r="Q179" s="14"/>
      <c r="R179" s="11"/>
      <c r="S179" s="67"/>
      <c r="T179" s="11"/>
      <c r="U179" s="14"/>
      <c r="V179" s="27"/>
      <c r="W179" s="14"/>
      <c r="X179" s="13"/>
      <c r="Y179" s="14"/>
      <c r="Z179" s="11"/>
    </row>
    <row r="180" spans="2:26" x14ac:dyDescent="0.3">
      <c r="B180" s="60">
        <f>MAX(B$18:B179)+1</f>
        <v>91</v>
      </c>
      <c r="D180" s="16" t="s">
        <v>34</v>
      </c>
      <c r="F180" s="46" t="s">
        <v>40</v>
      </c>
      <c r="H180" s="11">
        <v>141702.81599999999</v>
      </c>
      <c r="I180" s="14"/>
      <c r="J180" s="11"/>
      <c r="K180" s="14"/>
      <c r="L180" s="11"/>
      <c r="M180" s="14"/>
      <c r="N180" s="11"/>
      <c r="O180" s="14"/>
      <c r="P180" s="11">
        <v>1030.2250956464159</v>
      </c>
      <c r="Q180" s="14"/>
      <c r="R180" s="11">
        <f t="shared" ref="R180:R181" si="68">T180-P180</f>
        <v>0</v>
      </c>
      <c r="S180" s="67"/>
      <c r="T180" s="11">
        <f t="shared" ref="T180:T181" si="69">$H180*V180/100</f>
        <v>1030.2250956464161</v>
      </c>
      <c r="U180" s="14"/>
      <c r="V180" s="27">
        <v>0.72703219648536554</v>
      </c>
      <c r="W180" s="14"/>
      <c r="X180" s="13">
        <f t="shared" si="67"/>
        <v>1.0000000000000002</v>
      </c>
      <c r="Y180" s="14"/>
      <c r="Z180" s="11"/>
    </row>
    <row r="181" spans="2:26" x14ac:dyDescent="0.3">
      <c r="B181" s="60">
        <f>MAX(B$18:B180)+1</f>
        <v>92</v>
      </c>
      <c r="D181" s="16" t="s">
        <v>36</v>
      </c>
      <c r="F181" s="46" t="s">
        <v>40</v>
      </c>
      <c r="H181" s="11">
        <v>21953.835999999999</v>
      </c>
      <c r="I181" s="14"/>
      <c r="J181" s="11"/>
      <c r="K181" s="14"/>
      <c r="L181" s="11"/>
      <c r="M181" s="14"/>
      <c r="N181" s="11"/>
      <c r="O181" s="14"/>
      <c r="P181" s="11">
        <v>159.61145608359487</v>
      </c>
      <c r="Q181" s="14"/>
      <c r="R181" s="11">
        <f t="shared" si="68"/>
        <v>0</v>
      </c>
      <c r="S181" s="67"/>
      <c r="T181" s="11">
        <f t="shared" si="69"/>
        <v>159.6114560835949</v>
      </c>
      <c r="U181" s="14"/>
      <c r="V181" s="27">
        <v>0.72703219648536554</v>
      </c>
      <c r="W181" s="14"/>
      <c r="X181" s="13">
        <f t="shared" si="67"/>
        <v>1.0000000000000002</v>
      </c>
      <c r="Y181" s="14"/>
      <c r="Z181" s="11"/>
    </row>
    <row r="182" spans="2:26" x14ac:dyDescent="0.3">
      <c r="B182" s="60"/>
      <c r="D182" s="16"/>
      <c r="F182" s="46"/>
      <c r="H182" s="11"/>
      <c r="I182" s="14"/>
      <c r="J182" s="11"/>
      <c r="K182" s="14"/>
      <c r="L182" s="11"/>
      <c r="M182" s="14"/>
      <c r="N182" s="11"/>
      <c r="O182" s="14"/>
      <c r="P182" s="11"/>
      <c r="Q182" s="14"/>
      <c r="R182" s="11"/>
      <c r="S182" s="67"/>
      <c r="T182" s="11"/>
      <c r="U182" s="14"/>
      <c r="V182" s="27"/>
      <c r="W182" s="14"/>
      <c r="X182" s="13"/>
      <c r="Y182" s="14"/>
      <c r="Z182" s="11"/>
    </row>
    <row r="183" spans="2:26" x14ac:dyDescent="0.3">
      <c r="B183" s="60">
        <f>MAX(B$18:B182)+1</f>
        <v>93</v>
      </c>
      <c r="D183" s="10" t="s">
        <v>70</v>
      </c>
      <c r="F183" s="46" t="s">
        <v>38</v>
      </c>
      <c r="H183" s="11">
        <v>0</v>
      </c>
      <c r="I183" s="14"/>
      <c r="J183" s="11"/>
      <c r="K183" s="14"/>
      <c r="L183" s="11"/>
      <c r="M183" s="14"/>
      <c r="N183" s="11"/>
      <c r="O183" s="14"/>
      <c r="P183" s="11">
        <v>0</v>
      </c>
      <c r="Q183" s="14"/>
      <c r="R183" s="11">
        <f>T183-P183</f>
        <v>0</v>
      </c>
      <c r="S183" s="14"/>
      <c r="T183" s="11">
        <f>$H183*V183/100</f>
        <v>0</v>
      </c>
      <c r="U183" s="14"/>
      <c r="V183" s="27">
        <v>2.920777887512209E-2</v>
      </c>
      <c r="W183" s="14"/>
      <c r="X183" s="13"/>
      <c r="Y183" s="14"/>
      <c r="Z183" s="11"/>
    </row>
    <row r="184" spans="2:26" x14ac:dyDescent="0.3">
      <c r="B184" s="60">
        <f>MAX(B$18:B183)+1</f>
        <v>94</v>
      </c>
      <c r="D184" s="10" t="s">
        <v>93</v>
      </c>
      <c r="F184" s="46" t="s">
        <v>40</v>
      </c>
      <c r="H184" s="11">
        <v>121211.48000000001</v>
      </c>
      <c r="I184" s="14"/>
      <c r="J184" s="11"/>
      <c r="K184" s="14"/>
      <c r="L184" s="11"/>
      <c r="M184" s="14"/>
      <c r="N184" s="11"/>
      <c r="O184" s="14"/>
      <c r="P184" s="11">
        <v>20847.842280190234</v>
      </c>
      <c r="Q184" s="14"/>
      <c r="R184" s="11">
        <f>T184-P184</f>
        <v>0</v>
      </c>
      <c r="S184" s="67"/>
      <c r="T184" s="11">
        <f>$H184*V184/100</f>
        <v>20847.842280190234</v>
      </c>
      <c r="U184" s="14"/>
      <c r="V184" s="27">
        <v>17.199560866833927</v>
      </c>
      <c r="W184" s="14"/>
      <c r="X184" s="13">
        <f t="shared" si="67"/>
        <v>1</v>
      </c>
      <c r="Y184" s="14"/>
      <c r="Z184" s="11"/>
    </row>
    <row r="185" spans="2:26" x14ac:dyDescent="0.3">
      <c r="B185" s="60">
        <f>MAX(B$18:B184)+1</f>
        <v>95</v>
      </c>
      <c r="D185" s="10" t="s">
        <v>94</v>
      </c>
      <c r="H185" s="11">
        <v>1427302.6369889998</v>
      </c>
      <c r="I185" s="14"/>
      <c r="J185" s="11"/>
      <c r="K185" s="14"/>
      <c r="L185" s="11"/>
      <c r="M185" s="14"/>
      <c r="N185" s="11"/>
      <c r="O185" s="14"/>
      <c r="P185" s="11">
        <v>546.85740361885064</v>
      </c>
      <c r="Q185" s="14"/>
      <c r="R185" s="11">
        <f>T185-P185</f>
        <v>0</v>
      </c>
      <c r="S185" s="67"/>
      <c r="T185" s="11">
        <v>546.85740361885064</v>
      </c>
      <c r="U185" s="14"/>
      <c r="V185" s="92">
        <v>2.686559470901084E-3</v>
      </c>
      <c r="W185" s="14"/>
      <c r="X185" s="13">
        <f>T185/P185</f>
        <v>1</v>
      </c>
      <c r="Y185" s="14"/>
      <c r="Z185" s="11"/>
    </row>
    <row r="186" spans="2:26" x14ac:dyDescent="0.3">
      <c r="B186" s="60"/>
      <c r="D186" s="10"/>
      <c r="F186" s="46"/>
      <c r="H186" s="11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2:26" ht="12.9" thickBot="1" x14ac:dyDescent="0.35">
      <c r="B187" s="60">
        <f>MAX(B$18:B186)+1</f>
        <v>96</v>
      </c>
      <c r="D187" s="25" t="s">
        <v>95</v>
      </c>
      <c r="H187" s="71">
        <f>SUM(H171:H172)</f>
        <v>3262003.4960524105</v>
      </c>
      <c r="I187" s="72"/>
      <c r="J187" s="71">
        <v>58361.83919911967</v>
      </c>
      <c r="K187" s="67"/>
      <c r="L187" s="26">
        <f>J187/$H187*100</f>
        <v>1.7891409150771178</v>
      </c>
      <c r="M187" s="67"/>
      <c r="N187" s="71">
        <f>J187-P187</f>
        <v>-3276.2136232368721</v>
      </c>
      <c r="O187" s="12"/>
      <c r="P187" s="71">
        <f>SUM(P167:P185)</f>
        <v>61638.052822356542</v>
      </c>
      <c r="Q187" s="12"/>
      <c r="R187" s="71">
        <f>SUM(R168:R185)</f>
        <v>-1280.2761026168746</v>
      </c>
      <c r="S187" s="67"/>
      <c r="T187" s="71">
        <f>SUM(T167:T185)</f>
        <v>60357.776719739668</v>
      </c>
      <c r="U187" s="67"/>
      <c r="V187" s="26">
        <f>T187/$H187*100</f>
        <v>1.8503283884515462</v>
      </c>
      <c r="W187" s="67"/>
      <c r="X187" s="73">
        <f t="shared" ref="X187" si="70">T187/P187</f>
        <v>0.97922912804681417</v>
      </c>
      <c r="Y187" s="14"/>
      <c r="Z187" s="74">
        <f>V187/L187-1</f>
        <v>3.4199359513161109E-2</v>
      </c>
    </row>
    <row r="188" spans="2:26" ht="12.9" thickTop="1" x14ac:dyDescent="0.3">
      <c r="B188" s="60"/>
      <c r="D188" s="10"/>
    </row>
    <row r="189" spans="2:26" x14ac:dyDescent="0.3">
      <c r="B189" s="60">
        <f>MAX(B$18:B188)+1</f>
        <v>97</v>
      </c>
      <c r="D189" s="2" t="s">
        <v>96</v>
      </c>
      <c r="H189" s="11">
        <f>H171</f>
        <v>1009730.1449434099</v>
      </c>
      <c r="J189" s="11">
        <v>18856.815072511035</v>
      </c>
      <c r="L189" s="39">
        <f>J189/$H189*100</f>
        <v>1.8675103607576122</v>
      </c>
      <c r="N189" s="18">
        <f>J189-P189</f>
        <v>9265.6253221606403</v>
      </c>
      <c r="P189" s="18">
        <f>P168+P171+P174+P177+P180</f>
        <v>9591.1897503503951</v>
      </c>
      <c r="Q189" s="18"/>
      <c r="R189" s="18">
        <f>R174+R177</f>
        <v>-271.46446401369121</v>
      </c>
      <c r="S189" s="18"/>
      <c r="T189" s="18">
        <f>T168+T171+T174+T177+T180</f>
        <v>9319.7252863367048</v>
      </c>
      <c r="V189" s="39">
        <f>T189/$H189*100</f>
        <v>0.92299168574976298</v>
      </c>
      <c r="X189" s="13">
        <f>T189/P189</f>
        <v>0.9716964765498699</v>
      </c>
      <c r="Z189" s="36">
        <f>V189/L189-1</f>
        <v>-0.5057635528322727</v>
      </c>
    </row>
    <row r="190" spans="2:26" x14ac:dyDescent="0.3">
      <c r="B190" s="60">
        <f>MAX(B$18:B189)+1</f>
        <v>98</v>
      </c>
      <c r="D190" s="62" t="s">
        <v>97</v>
      </c>
      <c r="H190" s="11">
        <f>H172</f>
        <v>2252273.3511090004</v>
      </c>
      <c r="J190" s="11">
        <v>39505.02412660863</v>
      </c>
      <c r="L190" s="39">
        <f t="shared" ref="L190" si="71">J190/$H190*100</f>
        <v>1.7540066398759588</v>
      </c>
      <c r="N190" s="18">
        <f t="shared" ref="N190" si="72">J190-P190</f>
        <v>-12541.838945397518</v>
      </c>
      <c r="P190" s="18">
        <f>P169+P172+P175+P178+P181+P184+P185</f>
        <v>52046.863072006148</v>
      </c>
      <c r="Q190" s="18"/>
      <c r="R190" s="18">
        <f>R175+R178</f>
        <v>-1008.8116386031834</v>
      </c>
      <c r="S190" s="18"/>
      <c r="T190" s="18">
        <f>T169+T172+T175+T178+T181+T184+T185</f>
        <v>51038.051433402965</v>
      </c>
      <c r="V190" s="39">
        <f t="shared" ref="V190" si="73">T190/$H190*100</f>
        <v>2.2660682553595128</v>
      </c>
      <c r="X190" s="13">
        <f t="shared" ref="X190" si="74">T190/P190</f>
        <v>0.98061724417074847</v>
      </c>
      <c r="Z190" s="36">
        <f t="shared" ref="Z190" si="75">V190/L190-1</f>
        <v>0.29193824233172028</v>
      </c>
    </row>
    <row r="191" spans="2:26" x14ac:dyDescent="0.3">
      <c r="D191" s="10"/>
    </row>
    <row r="192" spans="2:26" x14ac:dyDescent="0.3">
      <c r="D192" s="10"/>
    </row>
    <row r="193" spans="2:26" x14ac:dyDescent="0.3">
      <c r="D193" s="38" t="s">
        <v>98</v>
      </c>
    </row>
    <row r="194" spans="2:26" x14ac:dyDescent="0.3">
      <c r="B194" s="60"/>
      <c r="D194" s="10" t="s">
        <v>33</v>
      </c>
      <c r="F194" s="46"/>
      <c r="H194" s="11"/>
      <c r="I194" s="14"/>
      <c r="J194" s="11"/>
      <c r="K194" s="14"/>
      <c r="L194" s="11"/>
      <c r="M194" s="14"/>
      <c r="N194" s="11"/>
      <c r="O194" s="14"/>
      <c r="P194" s="11"/>
      <c r="Q194" s="14"/>
      <c r="R194" s="11"/>
      <c r="S194" s="14"/>
      <c r="T194" s="11"/>
      <c r="U194" s="14"/>
      <c r="V194" s="68"/>
      <c r="W194" s="14"/>
      <c r="X194" s="13"/>
      <c r="Y194" s="14"/>
      <c r="Z194" s="11"/>
    </row>
    <row r="195" spans="2:26" x14ac:dyDescent="0.3">
      <c r="B195" s="60">
        <f>MAX(B$18:B194)+1</f>
        <v>99</v>
      </c>
      <c r="D195" s="16" t="s">
        <v>34</v>
      </c>
      <c r="F195" s="46" t="s">
        <v>35</v>
      </c>
      <c r="H195" s="11">
        <v>48</v>
      </c>
      <c r="I195" s="14"/>
      <c r="J195" s="11"/>
      <c r="K195" s="14"/>
      <c r="L195" s="11"/>
      <c r="M195" s="14"/>
      <c r="N195" s="11"/>
      <c r="O195" s="14"/>
      <c r="P195" s="11">
        <v>144.55373542708776</v>
      </c>
      <c r="Q195" s="14"/>
      <c r="R195" s="11">
        <f t="shared" ref="R195:R196" si="76">T195-P195</f>
        <v>-120.55373542708776</v>
      </c>
      <c r="S195" s="14"/>
      <c r="T195" s="11">
        <f t="shared" ref="T195:T196" si="77">$H195*V195/1000</f>
        <v>24</v>
      </c>
      <c r="U195" s="14"/>
      <c r="V195" s="68">
        <v>500</v>
      </c>
      <c r="W195" s="14"/>
      <c r="X195" s="13">
        <f>IFERROR(T195/P195,"-")</f>
        <v>0.16602822423849081</v>
      </c>
      <c r="Y195" s="14"/>
      <c r="Z195" s="11"/>
    </row>
    <row r="196" spans="2:26" x14ac:dyDescent="0.3">
      <c r="B196" s="60">
        <f>MAX(B$18:B195)+1</f>
        <v>100</v>
      </c>
      <c r="D196" s="16" t="s">
        <v>36</v>
      </c>
      <c r="F196" s="46" t="s">
        <v>35</v>
      </c>
      <c r="H196" s="11">
        <v>576</v>
      </c>
      <c r="I196" s="14"/>
      <c r="J196" s="11"/>
      <c r="K196" s="14"/>
      <c r="L196" s="11"/>
      <c r="M196" s="14"/>
      <c r="N196" s="11"/>
      <c r="O196" s="14"/>
      <c r="P196" s="11">
        <v>1734.6448251250533</v>
      </c>
      <c r="Q196" s="14"/>
      <c r="R196" s="11">
        <f t="shared" si="76"/>
        <v>-1446.6448251250533</v>
      </c>
      <c r="S196" s="14"/>
      <c r="T196" s="11">
        <f t="shared" si="77"/>
        <v>288</v>
      </c>
      <c r="U196" s="14"/>
      <c r="V196" s="68">
        <v>500</v>
      </c>
      <c r="W196" s="14"/>
      <c r="X196" s="13">
        <f t="shared" ref="X196:X202" si="78">T196/P196</f>
        <v>0.16602822423849078</v>
      </c>
      <c r="Y196" s="14"/>
      <c r="Z196" s="11"/>
    </row>
    <row r="197" spans="2:26" x14ac:dyDescent="0.3">
      <c r="B197" s="60"/>
      <c r="D197" s="10" t="s">
        <v>99</v>
      </c>
      <c r="F197" s="46"/>
      <c r="H197" s="11"/>
      <c r="I197" s="14"/>
      <c r="J197" s="11"/>
      <c r="K197" s="14"/>
      <c r="L197" s="11"/>
      <c r="M197" s="14"/>
      <c r="N197" s="11"/>
      <c r="O197" s="14"/>
      <c r="P197" s="11"/>
      <c r="Q197" s="14"/>
      <c r="R197" s="11"/>
      <c r="S197" s="14"/>
      <c r="T197" s="11"/>
      <c r="U197" s="14"/>
      <c r="V197" s="27"/>
      <c r="W197" s="14"/>
      <c r="X197" s="13"/>
      <c r="Y197" s="14"/>
      <c r="Z197" s="11"/>
    </row>
    <row r="198" spans="2:26" x14ac:dyDescent="0.3">
      <c r="B198" s="60">
        <f>MAX(B$18:B197)+1</f>
        <v>101</v>
      </c>
      <c r="D198" s="16" t="s">
        <v>34</v>
      </c>
      <c r="F198" s="46" t="s">
        <v>38</v>
      </c>
      <c r="H198" s="11">
        <v>43599.897200360007</v>
      </c>
      <c r="I198" s="14"/>
      <c r="J198" s="11"/>
      <c r="K198" s="14"/>
      <c r="L198" s="11"/>
      <c r="M198" s="14"/>
      <c r="N198" s="11"/>
      <c r="O198" s="14"/>
      <c r="P198" s="11">
        <v>29.144917217751438</v>
      </c>
      <c r="Q198" s="14"/>
      <c r="R198" s="11">
        <f t="shared" ref="R198:R205" si="79">T198-P198</f>
        <v>0</v>
      </c>
      <c r="S198" s="14"/>
      <c r="T198" s="11">
        <f t="shared" ref="T198:T205" si="80">$H198*V198/100</f>
        <v>29.144917217751441</v>
      </c>
      <c r="U198" s="14"/>
      <c r="V198" s="27">
        <v>6.6846298017213646E-2</v>
      </c>
      <c r="W198" s="14"/>
      <c r="X198" s="13">
        <f t="shared" si="78"/>
        <v>1.0000000000000002</v>
      </c>
      <c r="Y198" s="14"/>
      <c r="Z198" s="11"/>
    </row>
    <row r="199" spans="2:26" x14ac:dyDescent="0.3">
      <c r="B199" s="60">
        <f>MAX(B$18:B198)+1</f>
        <v>102</v>
      </c>
      <c r="D199" s="16" t="s">
        <v>36</v>
      </c>
      <c r="F199" s="46" t="s">
        <v>38</v>
      </c>
      <c r="H199" s="11">
        <v>430430.13289000001</v>
      </c>
      <c r="I199" s="14"/>
      <c r="J199" s="11"/>
      <c r="K199" s="14"/>
      <c r="L199" s="11"/>
      <c r="M199" s="14"/>
      <c r="N199" s="11"/>
      <c r="O199" s="14"/>
      <c r="P199" s="11">
        <v>287.72660938753813</v>
      </c>
      <c r="Q199" s="14"/>
      <c r="R199" s="11">
        <f t="shared" si="79"/>
        <v>0</v>
      </c>
      <c r="S199" s="14"/>
      <c r="T199" s="11">
        <f t="shared" si="80"/>
        <v>287.72660938753813</v>
      </c>
      <c r="U199" s="14"/>
      <c r="V199" s="27">
        <v>6.6846298017213646E-2</v>
      </c>
      <c r="W199" s="14"/>
      <c r="X199" s="13">
        <f t="shared" si="78"/>
        <v>1</v>
      </c>
      <c r="Y199" s="14"/>
      <c r="Z199" s="11"/>
    </row>
    <row r="200" spans="2:26" x14ac:dyDescent="0.3">
      <c r="B200" s="60"/>
      <c r="D200" s="10" t="s">
        <v>100</v>
      </c>
      <c r="F200" s="46"/>
      <c r="H200" s="11"/>
      <c r="I200" s="14"/>
      <c r="J200" s="11"/>
      <c r="K200" s="14"/>
      <c r="L200" s="11"/>
      <c r="M200" s="14"/>
      <c r="N200" s="11"/>
      <c r="O200" s="14"/>
      <c r="P200" s="11"/>
      <c r="Q200" s="14"/>
      <c r="R200" s="11"/>
      <c r="S200" s="14"/>
      <c r="T200" s="11"/>
      <c r="U200" s="14"/>
      <c r="V200" s="27"/>
      <c r="W200" s="14"/>
      <c r="X200" s="13"/>
      <c r="Y200" s="14"/>
      <c r="Z200" s="11"/>
    </row>
    <row r="201" spans="2:26" x14ac:dyDescent="0.3">
      <c r="B201" s="60">
        <f>MAX(B$18:B200)+1</f>
        <v>103</v>
      </c>
      <c r="D201" s="16" t="s">
        <v>34</v>
      </c>
      <c r="F201" s="46" t="s">
        <v>40</v>
      </c>
      <c r="H201" s="11">
        <v>8599.0560000000005</v>
      </c>
      <c r="I201" s="14"/>
      <c r="J201" s="11"/>
      <c r="K201" s="14"/>
      <c r="L201" s="11"/>
      <c r="M201" s="14"/>
      <c r="N201" s="11"/>
      <c r="O201" s="14"/>
      <c r="P201" s="11">
        <v>337.20637188503468</v>
      </c>
      <c r="Q201" s="14"/>
      <c r="R201" s="11">
        <f t="shared" si="79"/>
        <v>333.02409818783525</v>
      </c>
      <c r="S201" s="14"/>
      <c r="T201" s="11">
        <f t="shared" si="80"/>
        <v>670.23047007286993</v>
      </c>
      <c r="U201" s="14"/>
      <c r="V201" s="27">
        <v>7.7942331120168289</v>
      </c>
      <c r="W201" s="14"/>
      <c r="X201" s="13">
        <f t="shared" si="78"/>
        <v>1.9875972874598429</v>
      </c>
      <c r="Y201" s="14"/>
      <c r="Z201" s="11"/>
    </row>
    <row r="202" spans="2:26" x14ac:dyDescent="0.3">
      <c r="B202" s="60">
        <f>MAX(B$18:B201)+1</f>
        <v>104</v>
      </c>
      <c r="D202" s="16" t="s">
        <v>36</v>
      </c>
      <c r="F202" s="46" t="s">
        <v>40</v>
      </c>
      <c r="H202" s="11">
        <v>52360.224000000002</v>
      </c>
      <c r="I202" s="14"/>
      <c r="J202" s="11"/>
      <c r="K202" s="14"/>
      <c r="L202" s="11"/>
      <c r="M202" s="14"/>
      <c r="N202" s="11"/>
      <c r="O202" s="14"/>
      <c r="P202" s="11">
        <v>1979.1111944480624</v>
      </c>
      <c r="Q202" s="14"/>
      <c r="R202" s="11">
        <f t="shared" si="79"/>
        <v>2314.8953497549301</v>
      </c>
      <c r="S202" s="14"/>
      <c r="T202" s="11">
        <f t="shared" si="80"/>
        <v>4294.0065442029927</v>
      </c>
      <c r="U202" s="14"/>
      <c r="V202" s="27">
        <v>8.2008941447672044</v>
      </c>
      <c r="W202" s="14"/>
      <c r="X202" s="13">
        <f t="shared" si="78"/>
        <v>2.1696641180388614</v>
      </c>
      <c r="Y202" s="14"/>
      <c r="Z202" s="11"/>
    </row>
    <row r="203" spans="2:26" x14ac:dyDescent="0.3">
      <c r="B203" s="60"/>
      <c r="D203" s="10" t="s">
        <v>101</v>
      </c>
      <c r="F203" s="46"/>
      <c r="H203" s="11"/>
      <c r="I203" s="14"/>
      <c r="J203" s="11"/>
      <c r="K203" s="14"/>
      <c r="L203" s="11"/>
      <c r="M203" s="14"/>
      <c r="N203" s="11"/>
      <c r="O203" s="14"/>
      <c r="P203" s="11"/>
      <c r="Q203" s="14"/>
      <c r="R203" s="11"/>
      <c r="S203" s="14"/>
      <c r="T203" s="11"/>
      <c r="U203" s="14"/>
      <c r="V203" s="27"/>
      <c r="W203" s="14"/>
      <c r="X203" s="13"/>
      <c r="Y203" s="14"/>
      <c r="Z203" s="11"/>
    </row>
    <row r="204" spans="2:26" x14ac:dyDescent="0.3">
      <c r="B204" s="60">
        <f>MAX(B$18:B203)+1</f>
        <v>105</v>
      </c>
      <c r="D204" s="16" t="s">
        <v>34</v>
      </c>
      <c r="F204" s="46" t="s">
        <v>40</v>
      </c>
      <c r="H204" s="11">
        <v>0</v>
      </c>
      <c r="I204" s="14"/>
      <c r="J204" s="11"/>
      <c r="K204" s="14"/>
      <c r="L204" s="11"/>
      <c r="M204" s="14"/>
      <c r="N204" s="11"/>
      <c r="O204" s="14"/>
      <c r="P204" s="11">
        <v>0</v>
      </c>
      <c r="Q204" s="14"/>
      <c r="R204" s="11">
        <f t="shared" si="79"/>
        <v>0</v>
      </c>
      <c r="S204" s="14"/>
      <c r="T204" s="11">
        <f t="shared" si="80"/>
        <v>0</v>
      </c>
      <c r="U204" s="14"/>
      <c r="V204" s="27">
        <v>62.173807886785021</v>
      </c>
      <c r="W204" s="14"/>
      <c r="X204" s="13" t="str">
        <f>IFERROR(T204/P204,"-")</f>
        <v>-</v>
      </c>
      <c r="Y204" s="14"/>
      <c r="Z204" s="11"/>
    </row>
    <row r="205" spans="2:26" x14ac:dyDescent="0.3">
      <c r="B205" s="60">
        <f>MAX(B$18:B204)+1</f>
        <v>106</v>
      </c>
      <c r="D205" s="16" t="s">
        <v>36</v>
      </c>
      <c r="F205" s="46" t="s">
        <v>40</v>
      </c>
      <c r="H205" s="11">
        <v>16.8</v>
      </c>
      <c r="I205" s="14"/>
      <c r="J205" s="11"/>
      <c r="K205" s="14"/>
      <c r="L205" s="11"/>
      <c r="M205" s="14"/>
      <c r="N205" s="11"/>
      <c r="O205" s="14"/>
      <c r="P205" s="11">
        <v>66.682904983935927</v>
      </c>
      <c r="Q205" s="14"/>
      <c r="R205" s="11">
        <f t="shared" si="79"/>
        <v>-56.359419418956925</v>
      </c>
      <c r="S205" s="14"/>
      <c r="T205" s="11">
        <f t="shared" si="80"/>
        <v>10.323485564979</v>
      </c>
      <c r="U205" s="14"/>
      <c r="V205" s="27">
        <v>61.449318839160711</v>
      </c>
      <c r="W205" s="14"/>
      <c r="X205" s="13">
        <f t="shared" ref="X205" si="81">IFERROR(T205/P205,"-")</f>
        <v>0.1548145745519928</v>
      </c>
      <c r="Y205" s="14"/>
      <c r="Z205" s="11"/>
    </row>
    <row r="206" spans="2:26" x14ac:dyDescent="0.3">
      <c r="B206" s="60">
        <f>MAX(B$18:B205)+1</f>
        <v>107</v>
      </c>
      <c r="C206" s="62"/>
      <c r="D206" s="10" t="s">
        <v>41</v>
      </c>
      <c r="E206" s="60"/>
      <c r="F206" s="17"/>
      <c r="G206" s="60"/>
      <c r="H206" s="76">
        <f>SUM(H198:H199)</f>
        <v>474030.03009036003</v>
      </c>
      <c r="I206" s="72"/>
      <c r="J206" s="11"/>
      <c r="K206" s="72"/>
      <c r="L206" s="11"/>
      <c r="M206" s="67"/>
      <c r="N206" s="11"/>
      <c r="O206" s="12"/>
      <c r="P206" s="76">
        <f>SUM(P195:P205)</f>
        <v>4579.0705584744637</v>
      </c>
      <c r="Q206" s="12"/>
      <c r="R206" s="76">
        <f>SUM(R195:R205)</f>
        <v>1024.3614679716673</v>
      </c>
      <c r="S206" s="67"/>
      <c r="T206" s="76">
        <f>SUM(T195:T205)</f>
        <v>5603.4320264461312</v>
      </c>
      <c r="U206" s="67"/>
      <c r="V206" s="21">
        <f>T206/$H206*100</f>
        <v>1.1820837648994518</v>
      </c>
      <c r="W206" s="67"/>
      <c r="X206" s="77">
        <f t="shared" ref="X206" si="82">T206/P206</f>
        <v>1.2237051067221243</v>
      </c>
      <c r="Y206" s="14"/>
      <c r="Z206" s="11"/>
    </row>
    <row r="207" spans="2:26" x14ac:dyDescent="0.3">
      <c r="B207" s="60"/>
      <c r="C207" s="62"/>
      <c r="D207" s="10"/>
      <c r="E207" s="60"/>
      <c r="F207" s="17"/>
      <c r="G207" s="60"/>
      <c r="H207" s="67"/>
      <c r="I207" s="72"/>
      <c r="J207" s="11"/>
      <c r="K207" s="72"/>
      <c r="L207" s="11"/>
      <c r="M207" s="67"/>
      <c r="N207" s="11"/>
      <c r="O207" s="12"/>
      <c r="P207" s="67"/>
      <c r="Q207" s="12"/>
      <c r="R207" s="67"/>
      <c r="S207" s="67"/>
      <c r="T207" s="67"/>
      <c r="U207" s="67"/>
      <c r="V207" s="27"/>
      <c r="W207" s="67"/>
      <c r="X207" s="86"/>
      <c r="Y207" s="14"/>
      <c r="Z207" s="11"/>
    </row>
    <row r="208" spans="2:26" x14ac:dyDescent="0.3">
      <c r="B208" s="60"/>
      <c r="C208" s="62"/>
      <c r="D208" s="10" t="s">
        <v>70</v>
      </c>
      <c r="E208" s="60"/>
      <c r="F208" s="17"/>
      <c r="G208" s="60"/>
      <c r="H208" s="67"/>
      <c r="I208" s="72"/>
      <c r="J208" s="11"/>
      <c r="K208" s="72"/>
      <c r="L208" s="11"/>
      <c r="M208" s="67"/>
      <c r="N208" s="11"/>
      <c r="O208" s="12"/>
      <c r="P208" s="67"/>
      <c r="Q208" s="12"/>
      <c r="R208" s="67"/>
      <c r="S208" s="67"/>
      <c r="T208" s="67"/>
      <c r="U208" s="67"/>
      <c r="V208" s="27"/>
      <c r="W208" s="67"/>
      <c r="X208" s="86"/>
      <c r="Y208" s="14"/>
      <c r="Z208" s="11"/>
    </row>
    <row r="209" spans="2:26" x14ac:dyDescent="0.3">
      <c r="B209" s="60">
        <f>MAX(B$18:B208)+1</f>
        <v>108</v>
      </c>
      <c r="C209" s="62"/>
      <c r="D209" s="16" t="s">
        <v>34</v>
      </c>
      <c r="E209" s="60"/>
      <c r="F209" s="17"/>
      <c r="G209" s="60"/>
      <c r="H209" s="67"/>
      <c r="I209" s="72"/>
      <c r="J209" s="11"/>
      <c r="K209" s="72"/>
      <c r="L209" s="11"/>
      <c r="M209" s="67"/>
      <c r="N209" s="11"/>
      <c r="O209" s="12"/>
      <c r="P209" s="67"/>
      <c r="Q209" s="12"/>
      <c r="R209" s="67"/>
      <c r="S209" s="67"/>
      <c r="T209" s="67"/>
      <c r="U209" s="67"/>
      <c r="V209" s="27">
        <v>0.32309505786434228</v>
      </c>
      <c r="W209" s="67"/>
      <c r="X209" s="86"/>
      <c r="Y209" s="14"/>
      <c r="Z209" s="11"/>
    </row>
    <row r="210" spans="2:26" x14ac:dyDescent="0.3">
      <c r="B210" s="60">
        <f>MAX(B$18:B209)+1</f>
        <v>109</v>
      </c>
      <c r="C210" s="62"/>
      <c r="D210" s="16" t="s">
        <v>36</v>
      </c>
      <c r="E210" s="60"/>
      <c r="F210" s="17"/>
      <c r="G210" s="60"/>
      <c r="H210" s="67"/>
      <c r="I210" s="72"/>
      <c r="J210" s="11"/>
      <c r="K210" s="72"/>
      <c r="L210" s="11"/>
      <c r="M210" s="67"/>
      <c r="N210" s="11"/>
      <c r="O210" s="12"/>
      <c r="P210" s="67"/>
      <c r="Q210" s="12"/>
      <c r="R210" s="67"/>
      <c r="S210" s="67"/>
      <c r="T210" s="67"/>
      <c r="U210" s="67"/>
      <c r="V210" s="27">
        <v>0.33646473565339569</v>
      </c>
      <c r="W210" s="67"/>
      <c r="X210" s="86"/>
      <c r="Y210" s="14"/>
      <c r="Z210" s="11"/>
    </row>
    <row r="211" spans="2:26" x14ac:dyDescent="0.3">
      <c r="B211" s="60"/>
      <c r="C211" s="62"/>
      <c r="D211" s="10"/>
      <c r="E211" s="60"/>
      <c r="F211" s="17"/>
      <c r="G211" s="60"/>
      <c r="H211" s="67"/>
      <c r="I211" s="72"/>
      <c r="J211" s="11"/>
      <c r="K211" s="72"/>
      <c r="L211" s="11"/>
      <c r="M211" s="67"/>
      <c r="N211" s="11"/>
      <c r="O211" s="12"/>
      <c r="P211" s="67"/>
      <c r="Q211" s="12"/>
      <c r="R211" s="67"/>
      <c r="S211" s="67"/>
      <c r="T211" s="67"/>
      <c r="U211" s="67"/>
      <c r="V211" s="27"/>
      <c r="W211" s="67"/>
      <c r="X211" s="86"/>
      <c r="Y211" s="14"/>
      <c r="Z211" s="11"/>
    </row>
    <row r="212" spans="2:26" x14ac:dyDescent="0.3">
      <c r="B212" s="60"/>
      <c r="C212" s="62"/>
      <c r="D212" s="10" t="s">
        <v>42</v>
      </c>
      <c r="E212" s="60"/>
      <c r="F212" s="84"/>
      <c r="G212" s="60"/>
      <c r="H212" s="11"/>
      <c r="I212" s="72"/>
      <c r="J212" s="19"/>
      <c r="K212" s="72"/>
      <c r="L212" s="72"/>
      <c r="M212" s="67"/>
      <c r="N212" s="20"/>
      <c r="O212" s="12"/>
      <c r="P212" s="11"/>
      <c r="Q212" s="12"/>
      <c r="R212" s="11"/>
      <c r="S212" s="67"/>
      <c r="T212" s="11"/>
      <c r="U212" s="67"/>
      <c r="V212" s="22"/>
      <c r="W212" s="67"/>
      <c r="X212" s="13"/>
      <c r="Y212" s="14"/>
      <c r="Z212" s="20"/>
    </row>
    <row r="213" spans="2:26" x14ac:dyDescent="0.3">
      <c r="B213" s="60"/>
      <c r="D213" s="23" t="s">
        <v>43</v>
      </c>
      <c r="E213" s="60"/>
      <c r="F213" s="84"/>
      <c r="H213" s="11"/>
      <c r="I213" s="14"/>
      <c r="J213" s="11"/>
      <c r="K213" s="14"/>
      <c r="L213" s="11"/>
      <c r="M213" s="14"/>
      <c r="N213" s="11"/>
      <c r="O213" s="14"/>
      <c r="Y213" s="14"/>
      <c r="Z213" s="11"/>
    </row>
    <row r="214" spans="2:26" x14ac:dyDescent="0.3">
      <c r="B214" s="60">
        <f>MAX(B$18:B213)+1</f>
        <v>110</v>
      </c>
      <c r="D214" s="16" t="s">
        <v>34</v>
      </c>
      <c r="E214" s="60"/>
      <c r="F214" s="84" t="s">
        <v>38</v>
      </c>
      <c r="H214" s="11">
        <v>43599.897200360007</v>
      </c>
      <c r="I214" s="14"/>
      <c r="J214" s="11"/>
      <c r="K214" s="14"/>
      <c r="L214" s="11"/>
      <c r="M214" s="14"/>
      <c r="N214" s="11"/>
      <c r="O214" s="14"/>
      <c r="P214" s="11">
        <v>1847.2922643126385</v>
      </c>
      <c r="Q214" s="14"/>
      <c r="R214" s="11">
        <f>T214-P214</f>
        <v>0</v>
      </c>
      <c r="S214" s="14"/>
      <c r="T214" s="11">
        <f>$H214*V214/100</f>
        <v>1847.2922643126385</v>
      </c>
      <c r="U214" s="14"/>
      <c r="V214" s="27">
        <v>4.2369188528668946</v>
      </c>
      <c r="W214" s="14"/>
      <c r="X214" s="13">
        <f>T214/P214</f>
        <v>1</v>
      </c>
      <c r="Y214" s="14"/>
      <c r="Z214" s="11"/>
    </row>
    <row r="215" spans="2:26" x14ac:dyDescent="0.3">
      <c r="B215" s="60">
        <f>MAX(B$18:B214)+1</f>
        <v>111</v>
      </c>
      <c r="D215" s="16" t="s">
        <v>36</v>
      </c>
      <c r="E215" s="60"/>
      <c r="F215" s="84" t="s">
        <v>38</v>
      </c>
      <c r="H215" s="11">
        <v>430430.13289000001</v>
      </c>
      <c r="I215" s="14"/>
      <c r="J215" s="11"/>
      <c r="K215" s="14"/>
      <c r="L215" s="11"/>
      <c r="M215" s="14"/>
      <c r="N215" s="11"/>
      <c r="O215" s="14"/>
      <c r="P215" s="11">
        <v>1463.1094209550779</v>
      </c>
      <c r="Q215" s="14"/>
      <c r="R215" s="11">
        <f>T215-P215</f>
        <v>0</v>
      </c>
      <c r="S215" s="14"/>
      <c r="T215" s="11">
        <f t="shared" ref="T215" si="83">$H215*V215/100</f>
        <v>1463.1094209550779</v>
      </c>
      <c r="U215" s="14"/>
      <c r="V215" s="27">
        <v>0.33991798184096639</v>
      </c>
      <c r="W215" s="14"/>
      <c r="X215" s="13">
        <f>T215/P215</f>
        <v>1</v>
      </c>
      <c r="Y215" s="14"/>
      <c r="Z215" s="11"/>
    </row>
    <row r="216" spans="2:26" x14ac:dyDescent="0.3">
      <c r="B216" s="60"/>
      <c r="D216" s="23" t="s">
        <v>44</v>
      </c>
      <c r="E216" s="60"/>
      <c r="F216" s="84"/>
      <c r="H216" s="11"/>
      <c r="I216" s="14"/>
      <c r="J216" s="11"/>
      <c r="K216" s="14"/>
      <c r="L216" s="11"/>
      <c r="M216" s="14"/>
      <c r="N216" s="11"/>
      <c r="O216" s="14"/>
      <c r="P216" s="11"/>
      <c r="Q216" s="14"/>
      <c r="R216" s="11"/>
      <c r="S216" s="14"/>
      <c r="T216" s="11"/>
      <c r="U216" s="14"/>
      <c r="V216" s="27"/>
      <c r="W216" s="14"/>
      <c r="X216" s="11"/>
      <c r="Y216" s="14"/>
      <c r="Z216" s="11"/>
    </row>
    <row r="217" spans="2:26" x14ac:dyDescent="0.3">
      <c r="B217" s="60">
        <f>MAX(B$18:B216)+1</f>
        <v>112</v>
      </c>
      <c r="D217" s="16" t="s">
        <v>34</v>
      </c>
      <c r="E217" s="60"/>
      <c r="F217" s="84" t="s">
        <v>38</v>
      </c>
      <c r="H217" s="11">
        <v>0</v>
      </c>
      <c r="I217" s="14"/>
      <c r="J217" s="11"/>
      <c r="K217" s="14"/>
      <c r="L217" s="11"/>
      <c r="M217" s="14"/>
      <c r="N217" s="11"/>
      <c r="O217" s="14"/>
      <c r="P217" s="11">
        <v>0</v>
      </c>
      <c r="Q217" s="14"/>
      <c r="R217" s="11">
        <f t="shared" ref="R217:R218" si="84">T217-P217</f>
        <v>0</v>
      </c>
      <c r="S217" s="14"/>
      <c r="T217" s="11">
        <f t="shared" ref="T217:T218" si="85">$H217*V217/100</f>
        <v>0</v>
      </c>
      <c r="U217" s="14"/>
      <c r="V217" s="27">
        <v>6.8288243458726949</v>
      </c>
      <c r="W217" s="14"/>
      <c r="X217" s="11" t="str">
        <f>IFERROR(T217/P217,"-")</f>
        <v>-</v>
      </c>
      <c r="Y217" s="14"/>
      <c r="Z217" s="11"/>
    </row>
    <row r="218" spans="2:26" x14ac:dyDescent="0.3">
      <c r="B218" s="60">
        <f>MAX(B$18:B217)+1</f>
        <v>113</v>
      </c>
      <c r="D218" s="16" t="s">
        <v>36</v>
      </c>
      <c r="E218" s="60"/>
      <c r="F218" s="84" t="s">
        <v>38</v>
      </c>
      <c r="H218" s="11">
        <v>0</v>
      </c>
      <c r="I218" s="14"/>
      <c r="J218" s="11"/>
      <c r="K218" s="14"/>
      <c r="L218" s="11"/>
      <c r="M218" s="14"/>
      <c r="N218" s="11"/>
      <c r="O218" s="14"/>
      <c r="P218" s="11">
        <v>0</v>
      </c>
      <c r="Q218" s="14"/>
      <c r="R218" s="11">
        <f t="shared" si="84"/>
        <v>0</v>
      </c>
      <c r="S218" s="14"/>
      <c r="T218" s="11">
        <f t="shared" si="85"/>
        <v>0</v>
      </c>
      <c r="U218" s="14"/>
      <c r="V218" s="27">
        <v>2.9318234748467655</v>
      </c>
      <c r="W218" s="14"/>
      <c r="X218" s="11" t="str">
        <f t="shared" ref="X218" si="86">IFERROR(T218/P218,"-")</f>
        <v>-</v>
      </c>
      <c r="Y218" s="14"/>
      <c r="Z218" s="11"/>
    </row>
    <row r="219" spans="2:26" x14ac:dyDescent="0.3">
      <c r="B219" s="60">
        <f>MAX(B$18:B218)+1</f>
        <v>114</v>
      </c>
      <c r="C219" s="62"/>
      <c r="D219" s="10" t="s">
        <v>42</v>
      </c>
      <c r="E219" s="60"/>
      <c r="F219" s="17"/>
      <c r="G219" s="60"/>
      <c r="H219" s="76">
        <f>SUM(H214:H215)</f>
        <v>474030.03009036003</v>
      </c>
      <c r="I219" s="72"/>
      <c r="J219" s="11"/>
      <c r="K219" s="72"/>
      <c r="L219" s="11"/>
      <c r="M219" s="67"/>
      <c r="N219" s="11"/>
      <c r="O219" s="12"/>
      <c r="P219" s="76">
        <f>SUM(P214:P218)</f>
        <v>3310.4016852677164</v>
      </c>
      <c r="Q219" s="12"/>
      <c r="R219" s="76">
        <f>SUM(R214:R218)</f>
        <v>0</v>
      </c>
      <c r="S219" s="67"/>
      <c r="T219" s="76">
        <f>SUM(T214:T218)</f>
        <v>3310.4016852677164</v>
      </c>
      <c r="U219" s="67"/>
      <c r="V219" s="21">
        <f>T219/$H219*100</f>
        <v>0.69835273614135474</v>
      </c>
      <c r="W219" s="67"/>
      <c r="X219" s="77">
        <f t="shared" ref="X219" si="87">T219/P219</f>
        <v>1</v>
      </c>
      <c r="Y219" s="14"/>
      <c r="Z219" s="11"/>
    </row>
    <row r="220" spans="2:26" x14ac:dyDescent="0.3">
      <c r="B220" s="60"/>
      <c r="D220" s="24"/>
      <c r="F220" s="46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37"/>
      <c r="W220" s="14"/>
      <c r="X220" s="14"/>
      <c r="Y220" s="14"/>
      <c r="Z220" s="14"/>
    </row>
    <row r="221" spans="2:26" x14ac:dyDescent="0.3">
      <c r="B221" s="60"/>
      <c r="D221" s="24" t="s">
        <v>46</v>
      </c>
      <c r="F221" s="46"/>
      <c r="H221" s="11"/>
      <c r="I221" s="14"/>
      <c r="J221" s="11"/>
      <c r="K221" s="14"/>
      <c r="L221" s="11"/>
      <c r="M221" s="14"/>
      <c r="N221" s="11"/>
      <c r="O221" s="14"/>
      <c r="P221" s="11"/>
      <c r="Q221" s="14"/>
      <c r="R221" s="11"/>
      <c r="S221" s="14"/>
      <c r="T221" s="11"/>
      <c r="U221" s="14"/>
      <c r="V221" s="27"/>
      <c r="W221" s="14"/>
      <c r="X221" s="13"/>
      <c r="Y221" s="14"/>
      <c r="Z221" s="11"/>
    </row>
    <row r="222" spans="2:26" x14ac:dyDescent="0.3">
      <c r="B222" s="60">
        <f>MAX(B$18:B221)+1</f>
        <v>115</v>
      </c>
      <c r="D222" s="16" t="s">
        <v>34</v>
      </c>
      <c r="F222" s="46" t="s">
        <v>38</v>
      </c>
      <c r="H222" s="11">
        <v>5702.756940360001</v>
      </c>
      <c r="I222" s="14"/>
      <c r="J222" s="11"/>
      <c r="K222" s="14"/>
      <c r="L222" s="11"/>
      <c r="M222" s="14"/>
      <c r="N222" s="11"/>
      <c r="O222" s="14"/>
      <c r="P222" s="11">
        <v>645.74528087530234</v>
      </c>
      <c r="Q222" s="14"/>
      <c r="R222" s="11">
        <f t="shared" ref="R222:R223" si="88">T222-P222</f>
        <v>0.53520827039596952</v>
      </c>
      <c r="S222" s="14"/>
      <c r="T222" s="11">
        <f>$H222*V222/100</f>
        <v>646.28048914569831</v>
      </c>
      <c r="U222" s="14"/>
      <c r="V222" s="27">
        <v>11.332772830835399</v>
      </c>
      <c r="W222" s="14"/>
      <c r="X222" s="13">
        <f t="shared" ref="X222" si="89">T222/P222</f>
        <v>1.00082882258105</v>
      </c>
      <c r="Y222" s="14"/>
      <c r="Z222" s="11"/>
    </row>
    <row r="223" spans="2:26" x14ac:dyDescent="0.3">
      <c r="B223" s="60">
        <f>MAX(B$18:B222)+1</f>
        <v>116</v>
      </c>
      <c r="D223" s="16" t="s">
        <v>36</v>
      </c>
      <c r="F223" s="46" t="s">
        <v>38</v>
      </c>
      <c r="H223" s="11">
        <v>7794.0499</v>
      </c>
      <c r="I223" s="14"/>
      <c r="J223" s="11"/>
      <c r="K223" s="14"/>
      <c r="L223" s="11"/>
      <c r="M223" s="14"/>
      <c r="N223" s="11"/>
      <c r="O223" s="14"/>
      <c r="P223" s="11">
        <v>1176.6309069726553</v>
      </c>
      <c r="Q223" s="14"/>
      <c r="R223" s="11">
        <f t="shared" si="88"/>
        <v>-0.22017476802898273</v>
      </c>
      <c r="S223" s="14"/>
      <c r="T223" s="11">
        <f t="shared" ref="T223" si="90">$H223*V223/100</f>
        <v>1176.4107322046264</v>
      </c>
      <c r="U223" s="14"/>
      <c r="V223" s="27">
        <v>15.093702854078806</v>
      </c>
      <c r="W223" s="14"/>
      <c r="X223" s="13">
        <f>T223/P223</f>
        <v>0.99981287694660725</v>
      </c>
      <c r="Y223" s="14"/>
      <c r="Z223" s="11"/>
    </row>
    <row r="224" spans="2:26" x14ac:dyDescent="0.3">
      <c r="B224" s="60"/>
      <c r="D224" s="2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2:26" ht="12.9" thickBot="1" x14ac:dyDescent="0.35">
      <c r="B225" s="60">
        <f>MAX(B$18:B224)+1</f>
        <v>117</v>
      </c>
      <c r="D225" s="25" t="s">
        <v>102</v>
      </c>
      <c r="H225" s="71">
        <f>H206</f>
        <v>474030.03009036003</v>
      </c>
      <c r="I225" s="72"/>
      <c r="J225" s="71">
        <v>8682.7110475291411</v>
      </c>
      <c r="K225" s="67"/>
      <c r="L225" s="26">
        <f>J225/$H225*100</f>
        <v>1.8316795342847869</v>
      </c>
      <c r="M225" s="67"/>
      <c r="N225" s="71">
        <f>J225-P225</f>
        <v>-1029.1373840609976</v>
      </c>
      <c r="O225" s="12"/>
      <c r="P225" s="71">
        <f>SUM(P206,P219,P222:P223)</f>
        <v>9711.8484315901387</v>
      </c>
      <c r="Q225" s="12"/>
      <c r="R225" s="71">
        <f>SUM(R206,R219,R222:R223)</f>
        <v>1024.6765014740342</v>
      </c>
      <c r="S225" s="67"/>
      <c r="T225" s="71">
        <f>SUM(T206,T219,T222:T223)</f>
        <v>10736.524933064171</v>
      </c>
      <c r="U225" s="67"/>
      <c r="V225" s="26">
        <f>T225/$H225*100</f>
        <v>2.2649461535206039</v>
      </c>
      <c r="W225" s="67"/>
      <c r="X225" s="73">
        <f t="shared" ref="X225" si="91">T225/P225</f>
        <v>1.1055078761465247</v>
      </c>
      <c r="Y225" s="14"/>
      <c r="Z225" s="32">
        <f>V225/L225-1</f>
        <v>0.23654062357856387</v>
      </c>
    </row>
    <row r="226" spans="2:26" ht="12.9" thickTop="1" x14ac:dyDescent="0.3">
      <c r="B226" s="60"/>
    </row>
    <row r="227" spans="2:26" x14ac:dyDescent="0.3">
      <c r="B227" s="60">
        <f>MAX(B$18:B226)+1</f>
        <v>118</v>
      </c>
      <c r="D227" s="2" t="s">
        <v>103</v>
      </c>
      <c r="H227" s="11">
        <f>H198</f>
        <v>43599.897200360007</v>
      </c>
      <c r="J227" s="11">
        <v>1420.8748884348875</v>
      </c>
      <c r="L227" s="28">
        <f>J227/$H227*100</f>
        <v>3.2588950425854564</v>
      </c>
      <c r="N227" s="18">
        <f>J227-P227</f>
        <v>-1583.0676812829274</v>
      </c>
      <c r="P227" s="18">
        <f>P195+P198+P201+P204+P214+P217+P222</f>
        <v>3003.9425697178149</v>
      </c>
      <c r="Q227" s="18"/>
      <c r="R227" s="18">
        <f>R195+R198+R201+R204+R214+R217+R222</f>
        <v>213.00557103114346</v>
      </c>
      <c r="S227" s="18"/>
      <c r="T227" s="18">
        <f>T195+T198+T201+T204+T214+T217+T222</f>
        <v>3216.9481407489584</v>
      </c>
      <c r="U227" s="18"/>
      <c r="V227" s="28">
        <f>T227/$H227*100</f>
        <v>7.3783388203089526</v>
      </c>
      <c r="X227" s="13">
        <f>T227/P227</f>
        <v>1.0709086695526115</v>
      </c>
      <c r="Z227" s="36">
        <f>V227/L227-1</f>
        <v>1.2640615067048371</v>
      </c>
    </row>
    <row r="228" spans="2:26" x14ac:dyDescent="0.3">
      <c r="B228" s="60">
        <f>MAX(B$18:B227)+1</f>
        <v>119</v>
      </c>
      <c r="D228" s="62" t="s">
        <v>104</v>
      </c>
      <c r="H228" s="11">
        <f>H199</f>
        <v>430430.13289000001</v>
      </c>
      <c r="J228" s="11">
        <v>7261.8361590942532</v>
      </c>
      <c r="L228" s="28">
        <f t="shared" ref="L228" si="92">J228/$H228*100</f>
        <v>1.6871114738962931</v>
      </c>
      <c r="N228" s="18">
        <f t="shared" ref="N228" si="93">J228-P228</f>
        <v>553.93029722193023</v>
      </c>
      <c r="P228" s="18">
        <f>P196+P199+P202+P205+P215+P218+P223</f>
        <v>6707.9058618723229</v>
      </c>
      <c r="Q228" s="18"/>
      <c r="R228" s="18">
        <f>R196+R199+R202+R205+R215+R218+R223</f>
        <v>811.67093044289084</v>
      </c>
      <c r="S228" s="18"/>
      <c r="T228" s="18">
        <f>T196+T199+T202+T205+T215+T218+T223</f>
        <v>7519.5767923152134</v>
      </c>
      <c r="V228" s="28">
        <f>T228/$H228*100</f>
        <v>1.7469912577512094</v>
      </c>
      <c r="X228" s="13">
        <f t="shared" ref="X228" si="94">T228/P228</f>
        <v>1.121002134966804</v>
      </c>
      <c r="Z228" s="36">
        <f t="shared" ref="Z228" si="95">V228/L228-1</f>
        <v>3.549248806697225E-2</v>
      </c>
    </row>
    <row r="229" spans="2:26" x14ac:dyDescent="0.3">
      <c r="D229" s="62"/>
    </row>
    <row r="230" spans="2:26" x14ac:dyDescent="0.3">
      <c r="D230" s="10"/>
    </row>
    <row r="231" spans="2:26" x14ac:dyDescent="0.3">
      <c r="D231" s="38" t="s">
        <v>105</v>
      </c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2:26" x14ac:dyDescent="0.3">
      <c r="B232" s="60"/>
      <c r="D232" s="10" t="s">
        <v>33</v>
      </c>
      <c r="F232" s="46"/>
      <c r="H232" s="11"/>
      <c r="I232" s="14"/>
      <c r="J232" s="11"/>
      <c r="K232" s="14"/>
      <c r="L232" s="11"/>
      <c r="M232" s="14"/>
      <c r="N232" s="11"/>
      <c r="O232" s="14"/>
      <c r="P232" s="11"/>
      <c r="Q232" s="14"/>
      <c r="R232" s="11"/>
      <c r="S232" s="14"/>
      <c r="T232" s="11"/>
      <c r="U232" s="14"/>
      <c r="V232" s="68"/>
      <c r="W232" s="14"/>
      <c r="X232" s="13"/>
      <c r="Y232" s="14"/>
      <c r="Z232" s="11"/>
    </row>
    <row r="233" spans="2:26" x14ac:dyDescent="0.3">
      <c r="B233" s="60">
        <f>MAX(B$18:B232)+1</f>
        <v>120</v>
      </c>
      <c r="D233" s="16" t="s">
        <v>34</v>
      </c>
      <c r="F233" s="46" t="s">
        <v>35</v>
      </c>
      <c r="H233" s="11">
        <v>96</v>
      </c>
      <c r="I233" s="14"/>
      <c r="J233" s="11"/>
      <c r="K233" s="14"/>
      <c r="L233" s="11"/>
      <c r="M233" s="14"/>
      <c r="N233" s="11"/>
      <c r="O233" s="14"/>
      <c r="P233" s="11">
        <v>261.24404239764539</v>
      </c>
      <c r="Q233" s="14"/>
      <c r="R233" s="11">
        <f t="shared" ref="R233:R234" si="96">T233-P233</f>
        <v>-213.24404239764539</v>
      </c>
      <c r="S233" s="14"/>
      <c r="T233" s="11">
        <f t="shared" ref="T233:T234" si="97">$H233*V233/1000</f>
        <v>48</v>
      </c>
      <c r="U233" s="14"/>
      <c r="V233" s="68">
        <v>500</v>
      </c>
      <c r="W233" s="14"/>
      <c r="X233" s="13">
        <f>IFERROR(T233/P233,"-")</f>
        <v>0.18373624737799046</v>
      </c>
      <c r="Y233" s="14"/>
      <c r="Z233" s="11"/>
    </row>
    <row r="234" spans="2:26" x14ac:dyDescent="0.3">
      <c r="B234" s="60">
        <f>MAX(B$18:B233)+1</f>
        <v>121</v>
      </c>
      <c r="D234" s="16" t="s">
        <v>36</v>
      </c>
      <c r="F234" s="46" t="s">
        <v>35</v>
      </c>
      <c r="H234" s="11">
        <v>396</v>
      </c>
      <c r="I234" s="14"/>
      <c r="J234" s="11"/>
      <c r="K234" s="14"/>
      <c r="L234" s="11"/>
      <c r="M234" s="14"/>
      <c r="N234" s="11"/>
      <c r="O234" s="14"/>
      <c r="P234" s="11">
        <v>1077.6316748902875</v>
      </c>
      <c r="Q234" s="14"/>
      <c r="R234" s="11">
        <f t="shared" si="96"/>
        <v>-879.63167489028751</v>
      </c>
      <c r="S234" s="14"/>
      <c r="T234" s="11">
        <f t="shared" si="97"/>
        <v>198</v>
      </c>
      <c r="U234" s="14"/>
      <c r="V234" s="68">
        <v>500</v>
      </c>
      <c r="W234" s="14"/>
      <c r="X234" s="13">
        <f t="shared" ref="X234:X240" si="98">IFERROR(T234/P234,"-")</f>
        <v>0.18373624737799041</v>
      </c>
      <c r="Y234" s="14"/>
      <c r="Z234" s="11"/>
    </row>
    <row r="235" spans="2:26" x14ac:dyDescent="0.3">
      <c r="B235" s="60"/>
      <c r="D235" s="10" t="s">
        <v>99</v>
      </c>
      <c r="F235" s="46"/>
      <c r="H235" s="11"/>
      <c r="I235" s="14"/>
      <c r="J235" s="11"/>
      <c r="K235" s="14"/>
      <c r="L235" s="11"/>
      <c r="M235" s="14"/>
      <c r="N235" s="11"/>
      <c r="O235" s="14"/>
      <c r="P235" s="11"/>
      <c r="Q235" s="14"/>
      <c r="R235" s="11"/>
      <c r="S235" s="14"/>
      <c r="T235" s="11"/>
      <c r="U235" s="14"/>
      <c r="V235" s="27"/>
      <c r="W235" s="14"/>
      <c r="X235" s="13"/>
      <c r="Y235" s="14"/>
      <c r="Z235" s="11"/>
    </row>
    <row r="236" spans="2:26" x14ac:dyDescent="0.3">
      <c r="B236" s="60">
        <f>MAX(B$18:B235)+1</f>
        <v>122</v>
      </c>
      <c r="D236" s="16" t="s">
        <v>34</v>
      </c>
      <c r="F236" s="46" t="s">
        <v>38</v>
      </c>
      <c r="H236" s="11">
        <v>8461.6675999999989</v>
      </c>
      <c r="I236" s="14"/>
      <c r="J236" s="11"/>
      <c r="K236" s="14"/>
      <c r="L236" s="11"/>
      <c r="M236" s="14"/>
      <c r="N236" s="11"/>
      <c r="O236" s="14"/>
      <c r="P236" s="11">
        <v>5.6563115411220082</v>
      </c>
      <c r="Q236" s="14"/>
      <c r="R236" s="11">
        <f t="shared" ref="R236:R237" si="99">T236-P236</f>
        <v>0</v>
      </c>
      <c r="S236" s="14"/>
      <c r="T236" s="11">
        <f t="shared" ref="T236:T237" si="100">$H236*V236/100</f>
        <v>5.6563115411220073</v>
      </c>
      <c r="U236" s="14"/>
      <c r="V236" s="27">
        <v>6.6846298017213632E-2</v>
      </c>
      <c r="W236" s="14"/>
      <c r="X236" s="13">
        <f t="shared" si="98"/>
        <v>0.99999999999999989</v>
      </c>
      <c r="Y236" s="14"/>
      <c r="Z236" s="11"/>
    </row>
    <row r="237" spans="2:26" x14ac:dyDescent="0.3">
      <c r="B237" s="60">
        <f>MAX(B$18:B236)+1</f>
        <v>123</v>
      </c>
      <c r="D237" s="16" t="s">
        <v>36</v>
      </c>
      <c r="F237" s="46" t="s">
        <v>38</v>
      </c>
      <c r="H237" s="11">
        <v>46358.848420000002</v>
      </c>
      <c r="I237" s="14"/>
      <c r="J237" s="11"/>
      <c r="K237" s="14"/>
      <c r="L237" s="11"/>
      <c r="M237" s="14"/>
      <c r="N237" s="11"/>
      <c r="O237" s="14"/>
      <c r="P237" s="11">
        <v>30.989173972181536</v>
      </c>
      <c r="Q237" s="14"/>
      <c r="R237" s="11">
        <f t="shared" si="99"/>
        <v>0</v>
      </c>
      <c r="S237" s="14"/>
      <c r="T237" s="11">
        <f t="shared" si="100"/>
        <v>30.989173972181533</v>
      </c>
      <c r="U237" s="14"/>
      <c r="V237" s="27">
        <v>6.6846298017213632E-2</v>
      </c>
      <c r="W237" s="14"/>
      <c r="X237" s="13">
        <f t="shared" si="98"/>
        <v>0.99999999999999989</v>
      </c>
      <c r="Y237" s="14"/>
      <c r="Z237" s="11"/>
    </row>
    <row r="238" spans="2:26" x14ac:dyDescent="0.3">
      <c r="B238" s="60"/>
      <c r="D238" s="10" t="s">
        <v>106</v>
      </c>
      <c r="F238" s="46"/>
      <c r="H238" s="11"/>
      <c r="I238" s="14"/>
      <c r="J238" s="11"/>
      <c r="K238" s="14"/>
      <c r="L238" s="11"/>
      <c r="M238" s="14"/>
      <c r="N238" s="11"/>
      <c r="O238" s="14"/>
      <c r="P238" s="11"/>
      <c r="Q238" s="14"/>
      <c r="R238" s="11"/>
      <c r="S238" s="14"/>
      <c r="T238" s="11"/>
      <c r="U238" s="14"/>
      <c r="V238" s="27"/>
      <c r="W238" s="14"/>
      <c r="X238" s="13"/>
      <c r="Y238" s="14"/>
      <c r="Z238" s="11"/>
    </row>
    <row r="239" spans="2:26" x14ac:dyDescent="0.3">
      <c r="B239" s="60">
        <f>MAX(B$18:B238)+1</f>
        <v>124</v>
      </c>
      <c r="D239" s="16" t="s">
        <v>34</v>
      </c>
      <c r="F239" s="46" t="s">
        <v>40</v>
      </c>
      <c r="H239" s="11">
        <v>1600.2</v>
      </c>
      <c r="I239" s="14"/>
      <c r="J239" s="11"/>
      <c r="K239" s="14"/>
      <c r="L239" s="11"/>
      <c r="M239" s="14"/>
      <c r="N239" s="11"/>
      <c r="O239" s="14"/>
      <c r="P239" s="11">
        <v>177.41306663730285</v>
      </c>
      <c r="Q239" s="14"/>
      <c r="R239" s="11">
        <f t="shared" ref="R239:R240" si="101">T239-P239</f>
        <v>0.24404239764541558</v>
      </c>
      <c r="S239" s="14"/>
      <c r="T239" s="11">
        <f t="shared" ref="T239:T240" si="102">$H239*V239/100</f>
        <v>177.65710903494826</v>
      </c>
      <c r="U239" s="14"/>
      <c r="V239" s="27">
        <v>11.102181541991516</v>
      </c>
      <c r="W239" s="14"/>
      <c r="X239" s="13">
        <f t="shared" si="98"/>
        <v>1.0013755604492443</v>
      </c>
      <c r="Y239" s="14"/>
      <c r="Z239" s="11"/>
    </row>
    <row r="240" spans="2:26" x14ac:dyDescent="0.3">
      <c r="B240" s="60">
        <f>MAX(B$18:B239)+1</f>
        <v>125</v>
      </c>
      <c r="D240" s="16" t="s">
        <v>36</v>
      </c>
      <c r="F240" s="46" t="s">
        <v>40</v>
      </c>
      <c r="H240" s="11">
        <v>10405.9228</v>
      </c>
      <c r="I240" s="14"/>
      <c r="J240" s="11"/>
      <c r="K240" s="14"/>
      <c r="L240" s="11"/>
      <c r="M240" s="14"/>
      <c r="N240" s="11"/>
      <c r="O240" s="14"/>
      <c r="P240" s="11">
        <v>1154.5709845318102</v>
      </c>
      <c r="Q240" s="14"/>
      <c r="R240" s="11">
        <f t="shared" si="101"/>
        <v>60.631674890287286</v>
      </c>
      <c r="S240" s="14"/>
      <c r="T240" s="11">
        <f t="shared" si="102"/>
        <v>1215.2026594220974</v>
      </c>
      <c r="U240" s="14"/>
      <c r="V240" s="27">
        <v>11.6779903404828</v>
      </c>
      <c r="W240" s="14"/>
      <c r="X240" s="13">
        <f t="shared" si="98"/>
        <v>1.0525144626901168</v>
      </c>
      <c r="Y240" s="14"/>
      <c r="Z240" s="11"/>
    </row>
    <row r="241" spans="2:26" x14ac:dyDescent="0.3">
      <c r="B241" s="60">
        <f>MAX(B$18:B240)+1</f>
        <v>126</v>
      </c>
      <c r="C241" s="62"/>
      <c r="D241" s="10" t="s">
        <v>41</v>
      </c>
      <c r="E241" s="60"/>
      <c r="F241" s="17"/>
      <c r="G241" s="60"/>
      <c r="H241" s="76">
        <f>SUM(H236:H237)</f>
        <v>54820.516020000003</v>
      </c>
      <c r="I241" s="72"/>
      <c r="J241" s="11"/>
      <c r="K241" s="72"/>
      <c r="L241" s="11"/>
      <c r="M241" s="67"/>
      <c r="N241" s="11"/>
      <c r="O241" s="12"/>
      <c r="P241" s="76">
        <f>SUM(P233:P240)</f>
        <v>2707.5052539703493</v>
      </c>
      <c r="Q241" s="12"/>
      <c r="R241" s="76">
        <f>SUM(R233:R240)</f>
        <v>-1032.0000000000002</v>
      </c>
      <c r="S241" s="67"/>
      <c r="T241" s="76">
        <f>SUM(T233:T240)</f>
        <v>1675.5052539703493</v>
      </c>
      <c r="U241" s="67"/>
      <c r="V241" s="21">
        <f>T241/$H241*100</f>
        <v>3.0563471043561132</v>
      </c>
      <c r="W241" s="67"/>
      <c r="X241" s="77">
        <f t="shared" ref="X241" si="103">T241/P241</f>
        <v>0.61883730475253895</v>
      </c>
      <c r="Y241" s="14"/>
      <c r="Z241" s="11"/>
    </row>
    <row r="242" spans="2:26" x14ac:dyDescent="0.3">
      <c r="B242" s="60"/>
      <c r="C242" s="62"/>
      <c r="D242" s="10"/>
      <c r="E242" s="60"/>
      <c r="F242" s="17"/>
      <c r="G242" s="60"/>
      <c r="H242" s="67"/>
      <c r="I242" s="72"/>
      <c r="J242" s="11"/>
      <c r="K242" s="72"/>
      <c r="L242" s="11"/>
      <c r="M242" s="67"/>
      <c r="N242" s="11"/>
      <c r="O242" s="12"/>
      <c r="P242" s="67"/>
      <c r="Q242" s="12"/>
      <c r="R242" s="67"/>
      <c r="S242" s="67"/>
      <c r="T242" s="67"/>
      <c r="U242" s="67"/>
      <c r="V242" s="27"/>
      <c r="W242" s="67"/>
      <c r="X242" s="86"/>
      <c r="Y242" s="14"/>
      <c r="Z242" s="11"/>
    </row>
    <row r="243" spans="2:26" x14ac:dyDescent="0.3">
      <c r="B243" s="60"/>
      <c r="C243" s="62"/>
      <c r="D243" s="10" t="s">
        <v>42</v>
      </c>
      <c r="E243" s="60"/>
      <c r="F243" s="84"/>
      <c r="G243" s="60"/>
      <c r="H243" s="11"/>
      <c r="I243" s="72"/>
      <c r="J243" s="19"/>
      <c r="K243" s="72"/>
      <c r="L243" s="72"/>
      <c r="M243" s="67"/>
      <c r="N243" s="20"/>
      <c r="O243" s="12"/>
      <c r="P243" s="11"/>
      <c r="Q243" s="12"/>
      <c r="R243" s="11"/>
      <c r="S243" s="67"/>
      <c r="T243" s="11"/>
      <c r="U243" s="67"/>
      <c r="V243" s="22"/>
      <c r="W243" s="67"/>
      <c r="X243" s="13"/>
      <c r="Y243" s="14"/>
      <c r="Z243" s="20"/>
    </row>
    <row r="244" spans="2:26" x14ac:dyDescent="0.3">
      <c r="B244" s="60"/>
      <c r="D244" s="23" t="s">
        <v>43</v>
      </c>
      <c r="E244" s="60"/>
      <c r="F244" s="84"/>
      <c r="H244" s="11"/>
      <c r="I244" s="14"/>
      <c r="J244" s="11"/>
      <c r="K244" s="14"/>
      <c r="L244" s="11"/>
      <c r="M244" s="14"/>
      <c r="N244" s="11"/>
      <c r="O244" s="14"/>
      <c r="P244" s="11"/>
      <c r="Q244" s="14"/>
      <c r="R244" s="11"/>
      <c r="S244" s="14"/>
      <c r="T244" s="11"/>
      <c r="U244" s="14"/>
      <c r="V244" s="27"/>
      <c r="W244" s="14"/>
      <c r="X244" s="11"/>
      <c r="Y244" s="14"/>
      <c r="Z244" s="11"/>
    </row>
    <row r="245" spans="2:26" x14ac:dyDescent="0.3">
      <c r="B245" s="60">
        <f>MAX(B$18:B244)+1</f>
        <v>127</v>
      </c>
      <c r="D245" s="16" t="s">
        <v>34</v>
      </c>
      <c r="E245" s="60"/>
      <c r="F245" s="84" t="s">
        <v>38</v>
      </c>
      <c r="H245" s="11">
        <v>8461.6675999999989</v>
      </c>
      <c r="I245" s="14"/>
      <c r="J245" s="11"/>
      <c r="K245" s="14"/>
      <c r="L245" s="11"/>
      <c r="M245" s="14"/>
      <c r="N245" s="11"/>
      <c r="O245" s="14"/>
      <c r="P245" s="11">
        <v>388.0723159720186</v>
      </c>
      <c r="Q245" s="14"/>
      <c r="R245" s="11">
        <f t="shared" ref="R245:R249" si="104">T245-P245</f>
        <v>0</v>
      </c>
      <c r="S245" s="14"/>
      <c r="T245" s="11">
        <f t="shared" ref="T245:T249" si="105">$H245*V245/100</f>
        <v>388.0723159720186</v>
      </c>
      <c r="U245" s="14"/>
      <c r="V245" s="27">
        <v>4.5862391944114975</v>
      </c>
      <c r="W245" s="14"/>
      <c r="X245" s="13">
        <f>IFERROR(T245/P245,"-")</f>
        <v>1</v>
      </c>
      <c r="Y245" s="14"/>
      <c r="Z245" s="11"/>
    </row>
    <row r="246" spans="2:26" x14ac:dyDescent="0.3">
      <c r="B246" s="60">
        <f>MAX(B$18:B245)+1</f>
        <v>128</v>
      </c>
      <c r="D246" s="16" t="s">
        <v>36</v>
      </c>
      <c r="E246" s="60"/>
      <c r="F246" s="84" t="s">
        <v>38</v>
      </c>
      <c r="H246" s="11">
        <v>46358.848419999995</v>
      </c>
      <c r="I246" s="14"/>
      <c r="J246" s="11"/>
      <c r="K246" s="14"/>
      <c r="L246" s="11"/>
      <c r="M246" s="14"/>
      <c r="N246" s="11"/>
      <c r="O246" s="14"/>
      <c r="P246" s="11">
        <v>195.50128468125925</v>
      </c>
      <c r="Q246" s="14"/>
      <c r="R246" s="11">
        <f t="shared" si="104"/>
        <v>0</v>
      </c>
      <c r="S246" s="14"/>
      <c r="T246" s="11">
        <f t="shared" si="105"/>
        <v>195.50128468125925</v>
      </c>
      <c r="U246" s="14"/>
      <c r="V246" s="27">
        <v>0.42171298758343762</v>
      </c>
      <c r="W246" s="14"/>
      <c r="X246" s="13">
        <f t="shared" ref="X246:X249" si="106">IFERROR(T246/P246,"-")</f>
        <v>1</v>
      </c>
      <c r="Y246" s="14"/>
      <c r="Z246" s="11"/>
    </row>
    <row r="247" spans="2:26" x14ac:dyDescent="0.3">
      <c r="B247" s="60"/>
      <c r="D247" s="23" t="s">
        <v>44</v>
      </c>
      <c r="E247" s="60"/>
      <c r="F247" s="84"/>
      <c r="H247" s="11"/>
      <c r="I247" s="14"/>
      <c r="J247" s="11"/>
      <c r="K247" s="14"/>
      <c r="L247" s="11"/>
      <c r="M247" s="14"/>
      <c r="N247" s="11"/>
      <c r="O247" s="14"/>
      <c r="P247" s="11"/>
      <c r="Q247" s="14"/>
      <c r="R247" s="11"/>
      <c r="S247" s="14"/>
      <c r="T247" s="11"/>
      <c r="U247" s="14"/>
      <c r="V247" s="27"/>
      <c r="W247" s="14"/>
      <c r="X247" s="11"/>
      <c r="Y247" s="14"/>
      <c r="Z247" s="11"/>
    </row>
    <row r="248" spans="2:26" x14ac:dyDescent="0.3">
      <c r="B248" s="60">
        <f>MAX(B$18:B247)+1</f>
        <v>129</v>
      </c>
      <c r="D248" s="16" t="s">
        <v>34</v>
      </c>
      <c r="E248" s="60"/>
      <c r="F248" s="84" t="s">
        <v>38</v>
      </c>
      <c r="H248" s="11">
        <v>0</v>
      </c>
      <c r="I248" s="14"/>
      <c r="J248" s="11"/>
      <c r="K248" s="14"/>
      <c r="L248" s="11"/>
      <c r="M248" s="14"/>
      <c r="N248" s="11"/>
      <c r="O248" s="14"/>
      <c r="P248" s="11">
        <v>0</v>
      </c>
      <c r="Q248" s="14"/>
      <c r="R248" s="11">
        <f t="shared" si="104"/>
        <v>0</v>
      </c>
      <c r="S248" s="14"/>
      <c r="T248" s="11">
        <f t="shared" si="105"/>
        <v>0</v>
      </c>
      <c r="U248" s="14"/>
      <c r="V248" s="27">
        <v>7.1781446874172969</v>
      </c>
      <c r="W248" s="14"/>
      <c r="X248" s="11" t="str">
        <f t="shared" si="106"/>
        <v>-</v>
      </c>
      <c r="Y248" s="14"/>
      <c r="Z248" s="11"/>
    </row>
    <row r="249" spans="2:26" x14ac:dyDescent="0.3">
      <c r="B249" s="60">
        <f>MAX(B$18:B248)+1</f>
        <v>130</v>
      </c>
      <c r="D249" s="16" t="s">
        <v>36</v>
      </c>
      <c r="E249" s="60"/>
      <c r="F249" s="84" t="s">
        <v>38</v>
      </c>
      <c r="H249" s="11">
        <v>0</v>
      </c>
      <c r="I249" s="14"/>
      <c r="J249" s="11"/>
      <c r="K249" s="14"/>
      <c r="L249" s="11"/>
      <c r="M249" s="14"/>
      <c r="N249" s="11"/>
      <c r="O249" s="14"/>
      <c r="P249" s="11">
        <v>0</v>
      </c>
      <c r="Q249" s="14"/>
      <c r="R249" s="11">
        <f t="shared" si="104"/>
        <v>0</v>
      </c>
      <c r="S249" s="14"/>
      <c r="T249" s="11">
        <f t="shared" si="105"/>
        <v>0</v>
      </c>
      <c r="U249" s="14"/>
      <c r="V249" s="27">
        <v>3.013618480589237</v>
      </c>
      <c r="W249" s="14"/>
      <c r="X249" s="11" t="str">
        <f t="shared" si="106"/>
        <v>-</v>
      </c>
      <c r="Y249" s="14"/>
      <c r="Z249" s="11"/>
    </row>
    <row r="250" spans="2:26" x14ac:dyDescent="0.3">
      <c r="B250" s="60">
        <f>MAX(B$18:B249)+1</f>
        <v>131</v>
      </c>
      <c r="C250" s="62"/>
      <c r="D250" s="10" t="s">
        <v>42</v>
      </c>
      <c r="E250" s="60"/>
      <c r="F250" s="17"/>
      <c r="G250" s="60"/>
      <c r="H250" s="76">
        <f>SUM(H245:H247)</f>
        <v>54820.516019999995</v>
      </c>
      <c r="I250" s="72"/>
      <c r="J250" s="11"/>
      <c r="K250" s="72"/>
      <c r="L250" s="11"/>
      <c r="M250" s="67"/>
      <c r="N250" s="11"/>
      <c r="O250" s="12"/>
      <c r="P250" s="76">
        <f>SUM(P245:P249)</f>
        <v>583.57360065327782</v>
      </c>
      <c r="Q250" s="12"/>
      <c r="R250" s="76">
        <f>SUM(R245:R249)</f>
        <v>0</v>
      </c>
      <c r="S250" s="67"/>
      <c r="T250" s="76">
        <f>SUM(T245:T249)</f>
        <v>583.57360065327782</v>
      </c>
      <c r="U250" s="67"/>
      <c r="V250" s="21">
        <f>T250/$H250*100</f>
        <v>1.0645167959389046</v>
      </c>
      <c r="W250" s="67"/>
      <c r="X250" s="77">
        <f t="shared" ref="X250" si="107">T250/P250</f>
        <v>1</v>
      </c>
      <c r="Y250" s="14"/>
      <c r="Z250" s="11"/>
    </row>
    <row r="251" spans="2:26" x14ac:dyDescent="0.3">
      <c r="B251" s="60"/>
      <c r="D251" s="24"/>
      <c r="F251" s="46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37"/>
      <c r="W251" s="14"/>
      <c r="X251" s="14"/>
      <c r="Y251" s="14"/>
      <c r="Z251" s="14"/>
    </row>
    <row r="252" spans="2:26" x14ac:dyDescent="0.3">
      <c r="B252" s="60"/>
      <c r="D252" s="24" t="s">
        <v>46</v>
      </c>
      <c r="F252" s="46"/>
      <c r="H252" s="11"/>
      <c r="I252" s="14"/>
      <c r="J252" s="11"/>
      <c r="K252" s="14"/>
      <c r="L252" s="11"/>
      <c r="M252" s="14"/>
      <c r="N252" s="11"/>
      <c r="O252" s="14"/>
      <c r="P252" s="11"/>
      <c r="Q252" s="14"/>
      <c r="R252" s="11"/>
      <c r="S252" s="14"/>
      <c r="T252" s="11"/>
      <c r="U252" s="14"/>
      <c r="V252" s="27"/>
      <c r="W252" s="14"/>
      <c r="X252" s="13"/>
      <c r="Y252" s="14"/>
      <c r="Z252" s="11"/>
    </row>
    <row r="253" spans="2:26" x14ac:dyDescent="0.3">
      <c r="B253" s="60">
        <f>MAX(B$18:B252)+1</f>
        <v>132</v>
      </c>
      <c r="D253" s="16" t="s">
        <v>34</v>
      </c>
      <c r="F253" s="84" t="s">
        <v>38</v>
      </c>
      <c r="H253" s="11">
        <v>489.30824999999999</v>
      </c>
      <c r="I253" s="14"/>
      <c r="J253" s="11"/>
      <c r="K253" s="14"/>
      <c r="L253" s="11"/>
      <c r="M253" s="14"/>
      <c r="N253" s="11"/>
      <c r="O253" s="14"/>
      <c r="P253" s="11">
        <v>55.406270446957947</v>
      </c>
      <c r="Q253" s="14"/>
      <c r="R253" s="11">
        <f>ROUND(T253-P253,0)</f>
        <v>0</v>
      </c>
      <c r="S253" s="14"/>
      <c r="T253" s="11">
        <f t="shared" ref="T253:T254" si="108">$H253*V253/100</f>
        <v>55.452192415036151</v>
      </c>
      <c r="U253" s="14"/>
      <c r="V253" s="27">
        <v>11.332772830835399</v>
      </c>
      <c r="W253" s="14"/>
      <c r="X253" s="13">
        <f>IFERROR(T253/P253,"-")</f>
        <v>1.00082882258105</v>
      </c>
      <c r="Y253" s="14"/>
      <c r="Z253" s="11"/>
    </row>
    <row r="254" spans="2:26" x14ac:dyDescent="0.3">
      <c r="B254" s="60">
        <f>MAX(B$18:B253)+1</f>
        <v>133</v>
      </c>
      <c r="D254" s="16" t="s">
        <v>36</v>
      </c>
      <c r="F254" s="84" t="s">
        <v>38</v>
      </c>
      <c r="H254" s="11">
        <v>6076.2181399999999</v>
      </c>
      <c r="I254" s="14"/>
      <c r="J254" s="11"/>
      <c r="K254" s="14"/>
      <c r="L254" s="11"/>
      <c r="M254" s="14"/>
      <c r="N254" s="11"/>
      <c r="O254" s="14"/>
      <c r="P254" s="11">
        <v>917.29795841208318</v>
      </c>
      <c r="Q254" s="14"/>
      <c r="R254" s="11">
        <f t="shared" ref="R254" si="109">ROUND(T254-P254,0)</f>
        <v>0</v>
      </c>
      <c r="S254" s="14"/>
      <c r="T254" s="11">
        <f t="shared" si="108"/>
        <v>917.12631081723418</v>
      </c>
      <c r="U254" s="14"/>
      <c r="V254" s="27">
        <v>15.093702854078806</v>
      </c>
      <c r="W254" s="14"/>
      <c r="X254" s="13">
        <f t="shared" ref="X254" si="110">T254/P254</f>
        <v>0.99981287694660725</v>
      </c>
      <c r="Y254" s="14"/>
      <c r="Z254" s="11"/>
    </row>
    <row r="255" spans="2:26" x14ac:dyDescent="0.3">
      <c r="B255" s="60"/>
      <c r="D255" s="10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2:26" ht="12.9" thickBot="1" x14ac:dyDescent="0.35">
      <c r="B256" s="60">
        <f>MAX(B$18:B255)+1</f>
        <v>134</v>
      </c>
      <c r="D256" s="25" t="s">
        <v>107</v>
      </c>
      <c r="H256" s="71">
        <f>H241</f>
        <v>54820.516020000003</v>
      </c>
      <c r="I256" s="72"/>
      <c r="J256" s="71">
        <v>3064.2329786065911</v>
      </c>
      <c r="K256" s="67"/>
      <c r="L256" s="26">
        <f>J256/$H256*100</f>
        <v>5.5895733952753677</v>
      </c>
      <c r="M256" s="67"/>
      <c r="N256" s="71">
        <f>J256-P256</f>
        <v>-1199.5501048760771</v>
      </c>
      <c r="O256" s="12"/>
      <c r="P256" s="71">
        <f>SUM(P241,P250,P253:P254)</f>
        <v>4263.7830834826682</v>
      </c>
      <c r="Q256" s="12"/>
      <c r="R256" s="71">
        <f>SUM(R241,R250,R253:R254)</f>
        <v>-1032.0000000000002</v>
      </c>
      <c r="S256" s="67"/>
      <c r="T256" s="71">
        <f>SUM(T241,T250,T253:T254)</f>
        <v>3231.6573578558978</v>
      </c>
      <c r="U256" s="67"/>
      <c r="V256" s="26">
        <f>T256/$H256*100</f>
        <v>5.8949779981583941</v>
      </c>
      <c r="W256" s="67"/>
      <c r="X256" s="73">
        <f t="shared" ref="X256" si="111">T256/P256</f>
        <v>0.7579319338206747</v>
      </c>
      <c r="Y256" s="14"/>
      <c r="Z256" s="74">
        <f>V256/L256-1</f>
        <v>5.4638266874028618E-2</v>
      </c>
    </row>
    <row r="257" spans="2:26" ht="12.9" thickTop="1" x14ac:dyDescent="0.3">
      <c r="B257" s="60"/>
      <c r="D257" s="10"/>
      <c r="H257" s="67"/>
      <c r="I257" s="72"/>
      <c r="J257" s="67"/>
      <c r="K257" s="67"/>
      <c r="L257" s="27"/>
      <c r="M257" s="67"/>
      <c r="N257" s="67"/>
      <c r="O257" s="12"/>
      <c r="P257" s="67"/>
      <c r="Q257" s="12"/>
      <c r="R257" s="67"/>
      <c r="S257" s="67"/>
      <c r="T257" s="67"/>
      <c r="U257" s="67"/>
      <c r="V257" s="27"/>
      <c r="W257" s="67"/>
      <c r="X257" s="86"/>
      <c r="Y257" s="14"/>
      <c r="Z257" s="40"/>
    </row>
    <row r="258" spans="2:26" x14ac:dyDescent="0.3">
      <c r="B258" s="60">
        <f>MAX(B$18:B257)+1</f>
        <v>135</v>
      </c>
      <c r="D258" s="2" t="s">
        <v>108</v>
      </c>
      <c r="H258" s="11">
        <f>H236</f>
        <v>8461.6675999999989</v>
      </c>
      <c r="I258" s="72"/>
      <c r="J258" s="67">
        <v>385.62900370775321</v>
      </c>
      <c r="K258" s="67"/>
      <c r="L258" s="27">
        <f>IFERROR(J258/$H258*100,"-")</f>
        <v>4.5573641265198512</v>
      </c>
      <c r="M258" s="67"/>
      <c r="N258" s="67">
        <f>J258-P258</f>
        <v>-502.16300328729358</v>
      </c>
      <c r="O258" s="12"/>
      <c r="P258" s="67">
        <f>P233+P236+P239+P245+P248+P253</f>
        <v>887.79200699504679</v>
      </c>
      <c r="Q258" s="67"/>
      <c r="R258" s="67">
        <f>R233+R236+R239+R245+R248+R253</f>
        <v>-212.99999999999997</v>
      </c>
      <c r="S258" s="67"/>
      <c r="T258" s="67">
        <f>T233+T236+T239+T245+T248+T253</f>
        <v>674.83792896312502</v>
      </c>
      <c r="U258" s="67"/>
      <c r="V258" s="27">
        <f>IFERROR(T258/$H258*100,"-")</f>
        <v>7.9752356256954027</v>
      </c>
      <c r="W258" s="67"/>
      <c r="X258" s="86">
        <f>IFERROR(T258/P258,"-")</f>
        <v>0.76013066534275531</v>
      </c>
      <c r="Y258" s="14"/>
      <c r="Z258" s="36">
        <f>IFERROR(V258/L258-1,"-")</f>
        <v>0.74996673609785658</v>
      </c>
    </row>
    <row r="259" spans="2:26" x14ac:dyDescent="0.3">
      <c r="B259" s="60">
        <f>MAX(B$18:B258)+1</f>
        <v>136</v>
      </c>
      <c r="D259" s="62" t="s">
        <v>109</v>
      </c>
      <c r="H259" s="11">
        <f>H237</f>
        <v>46358.848420000002</v>
      </c>
      <c r="I259" s="72"/>
      <c r="J259" s="67">
        <v>2678.6039748988378</v>
      </c>
      <c r="K259" s="67"/>
      <c r="L259" s="27">
        <f t="shared" ref="L259" si="112">J259/$H259*100</f>
        <v>5.7779778104739155</v>
      </c>
      <c r="M259" s="67"/>
      <c r="N259" s="67">
        <f>J259-P259</f>
        <v>-697.38710158878393</v>
      </c>
      <c r="O259" s="12"/>
      <c r="P259" s="67">
        <f>P234+P237+P240+P246+P249+P254</f>
        <v>3375.9910764876217</v>
      </c>
      <c r="Q259" s="67"/>
      <c r="R259" s="67">
        <f>R234+R237+R240+R246+R249+R254</f>
        <v>-819.00000000000023</v>
      </c>
      <c r="S259" s="67"/>
      <c r="T259" s="67">
        <f>T234+T237+T240+T246+T249+T254</f>
        <v>2556.8194288927725</v>
      </c>
      <c r="U259" s="67"/>
      <c r="V259" s="27">
        <f t="shared" ref="V259" si="113">T259/$H259*100</f>
        <v>5.5152781314337327</v>
      </c>
      <c r="W259" s="67"/>
      <c r="X259" s="86">
        <f t="shared" ref="X259" si="114">IFERROR(T259/P259,"-")</f>
        <v>0.7573537284206584</v>
      </c>
      <c r="Y259" s="14"/>
      <c r="Z259" s="36">
        <f t="shared" ref="Z259" si="115">V259/L259-1</f>
        <v>-4.5465678072348914E-2</v>
      </c>
    </row>
    <row r="260" spans="2:26" x14ac:dyDescent="0.3">
      <c r="D260" s="16"/>
      <c r="Z260" s="36"/>
    </row>
    <row r="261" spans="2:26" x14ac:dyDescent="0.3">
      <c r="V261" s="5" t="s">
        <v>8</v>
      </c>
    </row>
    <row r="262" spans="2:26" x14ac:dyDescent="0.3">
      <c r="D262" s="38" t="s">
        <v>110</v>
      </c>
      <c r="V262" s="61" t="s">
        <v>111</v>
      </c>
    </row>
    <row r="263" spans="2:26" x14ac:dyDescent="0.3">
      <c r="B263" s="60"/>
      <c r="C263" s="62"/>
      <c r="D263" s="35" t="s">
        <v>73</v>
      </c>
      <c r="E263" s="60"/>
      <c r="F263" s="84"/>
      <c r="G263" s="60"/>
      <c r="H263" s="11"/>
      <c r="I263" s="72"/>
      <c r="J263" s="14"/>
      <c r="K263" s="14"/>
      <c r="L263" s="14"/>
      <c r="M263" s="14"/>
      <c r="N263" s="14"/>
      <c r="O263" s="12"/>
      <c r="P263" s="11"/>
      <c r="Q263" s="12"/>
      <c r="R263" s="11"/>
      <c r="S263" s="67"/>
      <c r="T263" s="11"/>
      <c r="U263" s="67"/>
      <c r="V263" s="22"/>
      <c r="W263" s="67"/>
      <c r="X263" s="13"/>
      <c r="Y263" s="14"/>
      <c r="Z263" s="72"/>
    </row>
    <row r="264" spans="2:26" x14ac:dyDescent="0.3">
      <c r="B264" s="60"/>
      <c r="D264" s="23" t="s">
        <v>74</v>
      </c>
      <c r="F264" s="46"/>
      <c r="H264" s="11"/>
      <c r="I264" s="14"/>
      <c r="J264" s="11"/>
      <c r="K264" s="14"/>
      <c r="L264" s="11"/>
      <c r="M264" s="14"/>
      <c r="N264" s="11"/>
      <c r="O264" s="14"/>
      <c r="P264" s="11"/>
      <c r="Q264" s="14"/>
      <c r="R264" s="11"/>
      <c r="S264" s="14"/>
      <c r="T264" s="11"/>
      <c r="U264" s="14"/>
      <c r="V264" s="70"/>
      <c r="W264" s="14"/>
      <c r="X264" s="11"/>
      <c r="Y264" s="14"/>
      <c r="Z264" s="11"/>
    </row>
    <row r="265" spans="2:26" x14ac:dyDescent="0.3">
      <c r="B265" s="60">
        <f>MAX(B$18:B264)+1</f>
        <v>137</v>
      </c>
      <c r="D265" s="16" t="s">
        <v>34</v>
      </c>
      <c r="F265" s="46" t="s">
        <v>75</v>
      </c>
      <c r="H265" s="11">
        <v>11791272</v>
      </c>
      <c r="I265" s="14"/>
      <c r="J265" s="11"/>
      <c r="K265" s="14"/>
      <c r="L265" s="11"/>
      <c r="M265" s="14"/>
      <c r="O265" s="14"/>
      <c r="P265" s="11">
        <v>177.05517058559354</v>
      </c>
      <c r="Q265" s="14"/>
      <c r="R265" s="11">
        <f t="shared" ref="R265:R266" si="116">T265-P265</f>
        <v>-0.61086577236497419</v>
      </c>
      <c r="S265" s="14"/>
      <c r="T265" s="11">
        <f>$H265*V265/1000</f>
        <v>176.44430481322857</v>
      </c>
      <c r="U265" s="14"/>
      <c r="V265" s="70">
        <v>1.496397545686577E-2</v>
      </c>
      <c r="W265" s="14"/>
      <c r="X265" s="13">
        <f>T265/P265</f>
        <v>0.99654985635073745</v>
      </c>
      <c r="Y265" s="14"/>
      <c r="Z265" s="11"/>
    </row>
    <row r="266" spans="2:26" x14ac:dyDescent="0.3">
      <c r="B266" s="60">
        <f>MAX(B$18:B265)+1</f>
        <v>138</v>
      </c>
      <c r="D266" s="16" t="s">
        <v>36</v>
      </c>
      <c r="F266" s="46" t="s">
        <v>75</v>
      </c>
      <c r="H266" s="11">
        <v>29220408</v>
      </c>
      <c r="I266" s="14"/>
      <c r="J266" s="11"/>
      <c r="K266" s="14"/>
      <c r="L266" s="11"/>
      <c r="M266" s="14"/>
      <c r="O266" s="14"/>
      <c r="P266" s="11">
        <v>444.97464344346463</v>
      </c>
      <c r="Q266" s="14"/>
      <c r="R266" s="11">
        <f t="shared" si="116"/>
        <v>-7.7211752918604475</v>
      </c>
      <c r="S266" s="14"/>
      <c r="T266" s="11">
        <f t="shared" ref="T266" si="117">$H266*V266/1000</f>
        <v>437.25346815160418</v>
      </c>
      <c r="U266" s="14"/>
      <c r="V266" s="70">
        <v>1.496397545686577E-2</v>
      </c>
      <c r="W266" s="14"/>
      <c r="X266" s="13">
        <f>T266/P266</f>
        <v>0.98264805555635792</v>
      </c>
      <c r="Y266" s="14"/>
      <c r="Z266" s="11"/>
    </row>
    <row r="267" spans="2:26" x14ac:dyDescent="0.3">
      <c r="B267" s="60"/>
      <c r="D267" s="23" t="s">
        <v>76</v>
      </c>
      <c r="F267" s="46"/>
      <c r="H267" s="11"/>
      <c r="I267" s="14"/>
      <c r="J267" s="14"/>
      <c r="K267" s="14"/>
      <c r="L267" s="14"/>
      <c r="M267" s="14"/>
      <c r="N267" s="14"/>
      <c r="O267" s="14"/>
      <c r="P267" s="11"/>
      <c r="Q267" s="14"/>
      <c r="R267" s="14"/>
      <c r="S267" s="14"/>
      <c r="T267" s="11"/>
      <c r="U267" s="14"/>
      <c r="V267" s="70"/>
      <c r="W267" s="14"/>
      <c r="X267" s="13"/>
      <c r="Y267" s="14"/>
      <c r="Z267" s="14"/>
    </row>
    <row r="268" spans="2:26" x14ac:dyDescent="0.3">
      <c r="B268" s="60"/>
      <c r="D268" s="16" t="s">
        <v>77</v>
      </c>
      <c r="F268" s="46"/>
      <c r="H268" s="11"/>
      <c r="I268" s="14"/>
      <c r="J268" s="11"/>
      <c r="K268" s="14"/>
      <c r="L268" s="11"/>
      <c r="M268" s="14"/>
      <c r="N268" s="11"/>
      <c r="O268" s="14"/>
      <c r="P268" s="11"/>
      <c r="Q268" s="14"/>
      <c r="R268" s="11"/>
      <c r="S268" s="14"/>
      <c r="T268" s="11"/>
      <c r="U268" s="14"/>
      <c r="V268" s="70"/>
      <c r="W268" s="14"/>
      <c r="X268" s="13"/>
      <c r="Y268" s="14"/>
      <c r="Z268" s="11"/>
    </row>
    <row r="269" spans="2:26" x14ac:dyDescent="0.3">
      <c r="B269" s="60">
        <f>MAX(B$18:B268)+1</f>
        <v>139</v>
      </c>
      <c r="D269" s="16" t="s">
        <v>34</v>
      </c>
      <c r="F269" s="46" t="s">
        <v>75</v>
      </c>
      <c r="H269" s="11">
        <v>141504</v>
      </c>
      <c r="I269" s="14"/>
      <c r="J269" s="11"/>
      <c r="K269" s="14"/>
      <c r="L269" s="11"/>
      <c r="M269" s="14"/>
      <c r="N269" s="11"/>
      <c r="O269" s="14"/>
      <c r="P269" s="11">
        <v>338.90189341938037</v>
      </c>
      <c r="Q269" s="14"/>
      <c r="R269" s="11">
        <f t="shared" ref="R269:R273" si="118">T269-P269</f>
        <v>25.249901491459411</v>
      </c>
      <c r="S269" s="14"/>
      <c r="T269" s="11">
        <f t="shared" ref="T269:T273" si="119">$H269*V269/1000</f>
        <v>364.15179491083978</v>
      </c>
      <c r="U269" s="14"/>
      <c r="V269" s="70">
        <v>2.5734381707290237</v>
      </c>
      <c r="W269" s="14"/>
      <c r="X269" s="13">
        <f t="shared" ref="X269" si="120">T269/P269</f>
        <v>1.0745050469818811</v>
      </c>
      <c r="Y269" s="14"/>
      <c r="Z269" s="11"/>
    </row>
    <row r="270" spans="2:26" x14ac:dyDescent="0.3">
      <c r="B270" s="60">
        <f>MAX(B$18:B269)+1</f>
        <v>140</v>
      </c>
      <c r="D270" s="16" t="s">
        <v>36</v>
      </c>
      <c r="F270" s="46" t="s">
        <v>75</v>
      </c>
      <c r="H270" s="11">
        <v>381888</v>
      </c>
      <c r="I270" s="14"/>
      <c r="J270" s="11"/>
      <c r="K270" s="14"/>
      <c r="L270" s="11"/>
      <c r="M270" s="14"/>
      <c r="N270" s="11"/>
      <c r="O270" s="14"/>
      <c r="P270" s="11">
        <v>914.62125646017307</v>
      </c>
      <c r="Q270" s="14"/>
      <c r="R270" s="11">
        <f t="shared" si="118"/>
        <v>68.14389968319233</v>
      </c>
      <c r="S270" s="14"/>
      <c r="T270" s="11">
        <f t="shared" si="119"/>
        <v>982.7651561433654</v>
      </c>
      <c r="U270" s="14"/>
      <c r="V270" s="70">
        <v>2.5734381707290237</v>
      </c>
      <c r="W270" s="14"/>
      <c r="X270" s="13">
        <f>T270/P270</f>
        <v>1.0745050469818811</v>
      </c>
      <c r="Y270" s="14"/>
      <c r="Z270" s="11"/>
    </row>
    <row r="271" spans="2:26" x14ac:dyDescent="0.3">
      <c r="B271" s="60">
        <f>MAX(B$18:B270)+1</f>
        <v>141</v>
      </c>
      <c r="D271" s="23" t="s">
        <v>78</v>
      </c>
      <c r="F271" s="46" t="s">
        <v>75</v>
      </c>
      <c r="H271" s="11">
        <v>0</v>
      </c>
      <c r="I271" s="14"/>
      <c r="J271" s="11"/>
      <c r="K271" s="14"/>
      <c r="L271" s="11"/>
      <c r="M271" s="14"/>
      <c r="N271" s="11"/>
      <c r="O271" s="14"/>
      <c r="P271" s="11">
        <v>0</v>
      </c>
      <c r="Q271" s="14"/>
      <c r="R271" s="11">
        <f t="shared" si="118"/>
        <v>0</v>
      </c>
      <c r="S271" s="14"/>
      <c r="T271" s="11">
        <f t="shared" si="119"/>
        <v>0</v>
      </c>
      <c r="U271" s="14"/>
      <c r="V271" s="70">
        <v>2.3949986814463209</v>
      </c>
      <c r="W271" s="14"/>
      <c r="X271" s="13" t="str">
        <f>IFERROR(T271/P271,"-")</f>
        <v>-</v>
      </c>
      <c r="Y271" s="14"/>
      <c r="Z271" s="11"/>
    </row>
    <row r="272" spans="2:26" x14ac:dyDescent="0.3">
      <c r="B272" s="60">
        <f>MAX(B$18:B271)+1</f>
        <v>142</v>
      </c>
      <c r="D272" s="23" t="s">
        <v>79</v>
      </c>
      <c r="F272" s="46" t="s">
        <v>75</v>
      </c>
      <c r="H272" s="11">
        <v>0</v>
      </c>
      <c r="I272" s="14"/>
      <c r="J272" s="11"/>
      <c r="K272" s="14"/>
      <c r="L272" s="11"/>
      <c r="M272" s="14"/>
      <c r="N272" s="11"/>
      <c r="O272" s="14"/>
      <c r="P272" s="11">
        <v>0</v>
      </c>
      <c r="Q272" s="14"/>
      <c r="R272" s="11">
        <f t="shared" si="118"/>
        <v>0</v>
      </c>
      <c r="S272" s="14"/>
      <c r="T272" s="11">
        <f t="shared" si="119"/>
        <v>0</v>
      </c>
      <c r="U272" s="14"/>
      <c r="V272" s="70">
        <v>2.3949986814463209</v>
      </c>
      <c r="W272" s="14"/>
      <c r="X272" s="13" t="str">
        <f t="shared" ref="X272:X273" si="121">IFERROR(T272/P272,"-")</f>
        <v>-</v>
      </c>
      <c r="Y272" s="14"/>
      <c r="Z272" s="11"/>
    </row>
    <row r="273" spans="2:26" x14ac:dyDescent="0.3">
      <c r="B273" s="60">
        <f>MAX(B$18:B272)+1</f>
        <v>143</v>
      </c>
      <c r="D273" s="23" t="s">
        <v>80</v>
      </c>
      <c r="F273" s="46" t="s">
        <v>81</v>
      </c>
      <c r="H273" s="11">
        <v>12157001.3192</v>
      </c>
      <c r="I273" s="14"/>
      <c r="J273" s="11"/>
      <c r="K273" s="14"/>
      <c r="L273" s="11"/>
      <c r="M273" s="14"/>
      <c r="N273" s="11"/>
      <c r="O273" s="14"/>
      <c r="P273" s="11">
        <v>0</v>
      </c>
      <c r="Q273" s="14"/>
      <c r="R273" s="11">
        <f t="shared" si="118"/>
        <v>0</v>
      </c>
      <c r="S273" s="14"/>
      <c r="T273" s="11">
        <f t="shared" si="119"/>
        <v>0</v>
      </c>
      <c r="U273" s="14"/>
      <c r="V273" s="70">
        <v>0</v>
      </c>
      <c r="W273" s="14"/>
      <c r="X273" s="13" t="str">
        <f t="shared" si="121"/>
        <v>-</v>
      </c>
      <c r="Y273" s="14"/>
      <c r="Z273" s="11"/>
    </row>
    <row r="274" spans="2:26" x14ac:dyDescent="0.3">
      <c r="B274" s="60"/>
      <c r="D274" s="23"/>
      <c r="F274" s="46"/>
      <c r="H274" s="11"/>
      <c r="I274" s="14"/>
      <c r="J274" s="11"/>
      <c r="K274" s="14"/>
      <c r="L274" s="11"/>
      <c r="M274" s="14"/>
      <c r="N274" s="11"/>
      <c r="O274" s="14"/>
      <c r="P274" s="11"/>
      <c r="Q274" s="14"/>
      <c r="R274" s="11"/>
      <c r="S274" s="14"/>
      <c r="T274" s="11"/>
      <c r="U274" s="14"/>
      <c r="V274" s="70"/>
      <c r="W274" s="14"/>
      <c r="X274" s="13"/>
      <c r="Y274" s="14"/>
      <c r="Z274" s="11"/>
    </row>
    <row r="275" spans="2:26" x14ac:dyDescent="0.3">
      <c r="B275" s="60"/>
      <c r="D275" s="23" t="s">
        <v>82</v>
      </c>
      <c r="H275" s="14"/>
      <c r="I275" s="14"/>
      <c r="J275" s="14"/>
      <c r="K275" s="14"/>
      <c r="L275" s="11"/>
      <c r="M275" s="14"/>
      <c r="N275" s="11"/>
      <c r="O275" s="14"/>
      <c r="P275" s="11"/>
      <c r="Q275" s="14"/>
      <c r="R275" s="11"/>
      <c r="S275" s="14"/>
      <c r="T275" s="11"/>
      <c r="U275" s="14"/>
      <c r="V275" s="92"/>
      <c r="W275" s="67"/>
      <c r="X275" s="13"/>
      <c r="Y275" s="14"/>
      <c r="Z275" s="11"/>
    </row>
    <row r="276" spans="2:26" x14ac:dyDescent="0.3">
      <c r="B276" s="60">
        <f>MAX(B$18:B275)+1</f>
        <v>144</v>
      </c>
      <c r="D276" s="16" t="s">
        <v>34</v>
      </c>
      <c r="H276" s="11">
        <v>0</v>
      </c>
      <c r="I276" s="14"/>
      <c r="J276" s="14"/>
      <c r="K276" s="14"/>
      <c r="L276" s="11"/>
      <c r="M276" s="14"/>
      <c r="N276" s="11"/>
      <c r="O276" s="14"/>
      <c r="P276" s="11">
        <v>15.221100155063281</v>
      </c>
      <c r="Q276" s="14"/>
      <c r="R276" s="11">
        <f>ROUND(T276-P276,0)</f>
        <v>0</v>
      </c>
      <c r="S276" s="14"/>
      <c r="T276" s="11">
        <v>15.237728840476779</v>
      </c>
      <c r="U276" s="14"/>
      <c r="V276" s="93">
        <v>7.9936318892803813E-3</v>
      </c>
      <c r="W276" s="67"/>
      <c r="X276" s="13">
        <f>T276/P276</f>
        <v>1.0010924759211945</v>
      </c>
      <c r="Y276" s="14"/>
      <c r="Z276" s="11"/>
    </row>
    <row r="277" spans="2:26" x14ac:dyDescent="0.3">
      <c r="B277" s="60">
        <f>MAX(B$18:B276)+1</f>
        <v>145</v>
      </c>
      <c r="D277" s="16" t="s">
        <v>36</v>
      </c>
      <c r="H277" s="11">
        <v>0</v>
      </c>
      <c r="I277" s="14"/>
      <c r="J277" s="14"/>
      <c r="K277" s="14"/>
      <c r="L277" s="11"/>
      <c r="M277" s="14"/>
      <c r="N277" s="11"/>
      <c r="O277" s="14"/>
      <c r="P277" s="11">
        <v>339.43046423798779</v>
      </c>
      <c r="Q277" s="14"/>
      <c r="R277" s="11">
        <f>ROUND(T277-P277,0)</f>
        <v>0</v>
      </c>
      <c r="S277" s="14"/>
      <c r="T277" s="11">
        <v>338.99402750963503</v>
      </c>
      <c r="U277" s="14"/>
      <c r="V277" s="93">
        <v>7.9936318892803813E-3</v>
      </c>
      <c r="W277" s="67"/>
      <c r="X277" s="13">
        <f t="shared" ref="X277" si="122">T277/P277</f>
        <v>0.99871420872804528</v>
      </c>
      <c r="Y277" s="14"/>
      <c r="Z277" s="11"/>
    </row>
    <row r="278" spans="2:26" x14ac:dyDescent="0.3">
      <c r="B278" s="60"/>
      <c r="D278" s="23"/>
      <c r="H278" s="14"/>
      <c r="I278" s="14"/>
      <c r="J278" s="14"/>
      <c r="K278" s="14"/>
      <c r="L278" s="11"/>
      <c r="M278" s="14"/>
      <c r="N278" s="11"/>
      <c r="O278" s="14"/>
      <c r="P278" s="11"/>
      <c r="Q278" s="14"/>
      <c r="R278" s="11"/>
      <c r="S278" s="14"/>
      <c r="T278" s="11"/>
      <c r="U278" s="14"/>
      <c r="V278" s="70"/>
      <c r="W278" s="14"/>
      <c r="X278" s="13"/>
      <c r="Y278" s="14"/>
      <c r="Z278" s="11"/>
    </row>
    <row r="279" spans="2:26" x14ac:dyDescent="0.3">
      <c r="B279" s="60"/>
      <c r="D279" s="23" t="s">
        <v>112</v>
      </c>
      <c r="F279" s="46"/>
      <c r="H279" s="11"/>
      <c r="I279" s="14"/>
      <c r="J279" s="11"/>
      <c r="K279" s="14"/>
      <c r="L279" s="11"/>
      <c r="M279" s="14"/>
      <c r="N279" s="11"/>
      <c r="O279" s="14"/>
      <c r="P279" s="11"/>
      <c r="Q279" s="14"/>
      <c r="R279" s="11"/>
      <c r="S279" s="14"/>
      <c r="T279" s="11"/>
      <c r="U279" s="14"/>
      <c r="V279" s="70"/>
      <c r="W279" s="14"/>
      <c r="X279" s="13"/>
      <c r="Y279" s="14"/>
      <c r="Z279" s="11"/>
    </row>
    <row r="280" spans="2:26" x14ac:dyDescent="0.3">
      <c r="B280" s="60">
        <f>MAX(B$18:B279)+1</f>
        <v>146</v>
      </c>
      <c r="D280" s="16" t="s">
        <v>34</v>
      </c>
      <c r="F280" s="46" t="s">
        <v>75</v>
      </c>
      <c r="H280" s="11">
        <v>141504</v>
      </c>
      <c r="I280" s="14"/>
      <c r="J280" s="11"/>
      <c r="K280" s="14"/>
      <c r="L280" s="11"/>
      <c r="M280" s="14"/>
      <c r="N280" s="11"/>
      <c r="O280" s="14"/>
      <c r="P280" s="11">
        <v>1999.3948109050264</v>
      </c>
      <c r="Q280" s="14"/>
      <c r="R280" s="11">
        <f t="shared" ref="R280:R281" si="123">T280-P280</f>
        <v>249.33376913485495</v>
      </c>
      <c r="S280" s="14"/>
      <c r="T280" s="11">
        <f t="shared" ref="T280:T281" si="124">$H280*V280/1000</f>
        <v>2248.7285800398813</v>
      </c>
      <c r="U280" s="14"/>
      <c r="V280" s="70">
        <v>15.891625537369128</v>
      </c>
      <c r="W280" s="14"/>
      <c r="X280" s="13">
        <f>IFERROR(T280/P280,"-")</f>
        <v>1.1247046195053363</v>
      </c>
      <c r="Y280" s="14"/>
      <c r="Z280" s="11"/>
    </row>
    <row r="281" spans="2:26" x14ac:dyDescent="0.3">
      <c r="B281" s="60">
        <f>MAX(B$18:B280)+1</f>
        <v>147</v>
      </c>
      <c r="D281" s="16" t="s">
        <v>36</v>
      </c>
      <c r="F281" s="46" t="s">
        <v>75</v>
      </c>
      <c r="H281" s="11">
        <v>0</v>
      </c>
      <c r="I281" s="14"/>
      <c r="J281" s="11"/>
      <c r="K281" s="14"/>
      <c r="L281" s="11"/>
      <c r="M281" s="14"/>
      <c r="N281" s="11"/>
      <c r="O281" s="14"/>
      <c r="P281" s="11">
        <v>0</v>
      </c>
      <c r="Q281" s="14"/>
      <c r="R281" s="11">
        <f t="shared" si="123"/>
        <v>0</v>
      </c>
      <c r="S281" s="14"/>
      <c r="T281" s="11">
        <f t="shared" si="124"/>
        <v>0</v>
      </c>
      <c r="U281" s="14"/>
      <c r="V281" s="70">
        <v>0</v>
      </c>
      <c r="W281" s="14"/>
      <c r="X281" s="13" t="str">
        <f>IFERROR(T281/P281,"-")</f>
        <v>-</v>
      </c>
      <c r="Y281" s="14"/>
      <c r="Z281" s="11"/>
    </row>
    <row r="282" spans="2:26" x14ac:dyDescent="0.3">
      <c r="B282" s="60"/>
      <c r="D282" s="23" t="s">
        <v>63</v>
      </c>
      <c r="F282" s="46"/>
      <c r="H282" s="11"/>
      <c r="I282" s="14"/>
      <c r="J282" s="11"/>
      <c r="K282" s="14"/>
      <c r="L282" s="11"/>
      <c r="M282" s="14"/>
      <c r="N282" s="11"/>
      <c r="O282" s="14"/>
      <c r="P282" s="11"/>
      <c r="Q282" s="14"/>
      <c r="R282" s="11"/>
      <c r="S282" s="14"/>
      <c r="T282" s="11"/>
      <c r="U282" s="14"/>
      <c r="V282" s="70"/>
      <c r="W282" s="14"/>
      <c r="X282" s="13"/>
      <c r="Y282" s="14"/>
      <c r="Z282" s="11"/>
    </row>
    <row r="283" spans="2:26" x14ac:dyDescent="0.3">
      <c r="B283" s="60">
        <f>MAX(B$18:B282)+1</f>
        <v>148</v>
      </c>
      <c r="D283" s="16" t="s">
        <v>34</v>
      </c>
      <c r="F283" s="46" t="s">
        <v>81</v>
      </c>
      <c r="H283" s="11">
        <v>522359</v>
      </c>
      <c r="I283" s="14"/>
      <c r="J283" s="11"/>
      <c r="K283" s="14"/>
      <c r="L283" s="11"/>
      <c r="M283" s="14"/>
      <c r="N283" s="11"/>
      <c r="O283" s="14"/>
      <c r="P283" s="11">
        <v>18.813029692171021</v>
      </c>
      <c r="Q283" s="14"/>
      <c r="R283" s="11">
        <f t="shared" ref="R283:R284" si="125">T283-P283</f>
        <v>4.746643173524685</v>
      </c>
      <c r="S283" s="14"/>
      <c r="T283" s="11">
        <f t="shared" ref="T283:T284" si="126">$H283*V283/1000</f>
        <v>23.559672865695706</v>
      </c>
      <c r="U283" s="14"/>
      <c r="V283" s="70">
        <v>4.5102454185140306E-2</v>
      </c>
      <c r="W283" s="14"/>
      <c r="X283" s="13">
        <f t="shared" ref="X283" si="127">T283/P283</f>
        <v>1.2523061543617287</v>
      </c>
      <c r="Y283" s="14"/>
      <c r="Z283" s="11"/>
    </row>
    <row r="284" spans="2:26" x14ac:dyDescent="0.3">
      <c r="B284" s="60">
        <f>MAX(B$18:B283)+1</f>
        <v>149</v>
      </c>
      <c r="D284" s="16" t="s">
        <v>36</v>
      </c>
      <c r="F284" s="46" t="s">
        <v>81</v>
      </c>
      <c r="H284" s="11">
        <v>0</v>
      </c>
      <c r="I284" s="14"/>
      <c r="J284" s="11"/>
      <c r="K284" s="14"/>
      <c r="L284" s="11"/>
      <c r="M284" s="14"/>
      <c r="N284" s="11"/>
      <c r="O284" s="14"/>
      <c r="P284" s="11">
        <v>0</v>
      </c>
      <c r="Q284" s="14"/>
      <c r="R284" s="11">
        <f t="shared" si="125"/>
        <v>0</v>
      </c>
      <c r="S284" s="14"/>
      <c r="T284" s="11">
        <f t="shared" si="126"/>
        <v>0</v>
      </c>
      <c r="U284" s="14"/>
      <c r="V284" s="70">
        <v>0</v>
      </c>
      <c r="W284" s="14"/>
      <c r="X284" s="13" t="str">
        <f>IFERROR(T284/P284,"-")</f>
        <v>-</v>
      </c>
      <c r="Y284" s="14"/>
      <c r="Z284" s="11"/>
    </row>
    <row r="285" spans="2:26" x14ac:dyDescent="0.3">
      <c r="B285" s="60"/>
      <c r="D285" s="10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2:26" ht="12.9" thickBot="1" x14ac:dyDescent="0.35">
      <c r="B286" s="60">
        <f>MAX(B$18:B285)+1</f>
        <v>150</v>
      </c>
      <c r="D286" s="25" t="s">
        <v>113</v>
      </c>
      <c r="H286" s="71">
        <f>H273</f>
        <v>12157001.3192</v>
      </c>
      <c r="I286" s="72"/>
      <c r="J286" s="71">
        <v>4352.7395267253905</v>
      </c>
      <c r="K286" s="67"/>
      <c r="L286" s="73">
        <f>IFERROR(J286/$H286*1000,"-")</f>
        <v>0.35804384752767515</v>
      </c>
      <c r="M286" s="67"/>
      <c r="N286" s="71">
        <f>J286-P286</f>
        <v>104.32715782653031</v>
      </c>
      <c r="O286" s="12"/>
      <c r="P286" s="71">
        <f>SUM(P265:P284)</f>
        <v>4248.4123688988602</v>
      </c>
      <c r="Q286" s="12"/>
      <c r="R286" s="71">
        <f>SUM(R264:R284)</f>
        <v>339.14217241880596</v>
      </c>
      <c r="S286" s="67"/>
      <c r="T286" s="71">
        <f>SUM(T264:T284)</f>
        <v>4587.1347332747273</v>
      </c>
      <c r="U286" s="67"/>
      <c r="V286" s="73">
        <f>IFERROR(T286/$H286*1000,"-")</f>
        <v>0.37732452377298803</v>
      </c>
      <c r="W286" s="67"/>
      <c r="X286" s="73">
        <f>T286/P286</f>
        <v>1.0797291635001194</v>
      </c>
      <c r="Y286" s="14"/>
      <c r="Z286" s="32">
        <f>IFERROR(V286/L286-1,"-")</f>
        <v>5.3850042050569202E-2</v>
      </c>
    </row>
    <row r="287" spans="2:26" ht="12.9" thickTop="1" x14ac:dyDescent="0.3">
      <c r="B287" s="60"/>
      <c r="D287" s="94"/>
      <c r="H287" s="14"/>
    </row>
    <row r="288" spans="2:26" x14ac:dyDescent="0.3">
      <c r="B288" s="60">
        <f>MAX(B$18:B287)+1</f>
        <v>151</v>
      </c>
      <c r="D288" s="2" t="s">
        <v>114</v>
      </c>
      <c r="H288" s="11">
        <v>522359</v>
      </c>
      <c r="J288" s="11">
        <v>2692.0861500000001</v>
      </c>
      <c r="L288" s="27">
        <f>IFERROR(J288/$H288*1000,"-")</f>
        <v>5.153708752026863</v>
      </c>
      <c r="N288" s="18">
        <f>J288-P288</f>
        <v>142.70014524276576</v>
      </c>
      <c r="P288" s="18">
        <f>P265+P269+P276+P280+P283</f>
        <v>2549.3860047572343</v>
      </c>
      <c r="Q288" s="18"/>
      <c r="R288" s="18">
        <f>R265+R269+R276+R280+R283</f>
        <v>278.71944802747402</v>
      </c>
      <c r="S288" s="18"/>
      <c r="T288" s="18">
        <f t="shared" ref="T288" si="128">T265+T269+T276+T280+T283</f>
        <v>2828.1220814701219</v>
      </c>
      <c r="U288" s="18"/>
      <c r="V288" s="27">
        <f>IFERROR(T288/$H288*1000,"-")</f>
        <v>5.4141348794030968</v>
      </c>
      <c r="X288" s="13">
        <f>T288/P288</f>
        <v>1.1093345912281456</v>
      </c>
      <c r="Z288" s="40">
        <f>IFERROR(V288/L288-1,"-")</f>
        <v>5.0531789805509097E-2</v>
      </c>
    </row>
    <row r="289" spans="2:26" x14ac:dyDescent="0.3">
      <c r="B289" s="60">
        <f>MAX(B$18:B288)+1</f>
        <v>152</v>
      </c>
      <c r="D289" s="62" t="s">
        <v>115</v>
      </c>
      <c r="H289" s="11">
        <v>11634642.3192</v>
      </c>
      <c r="J289" s="11">
        <v>1660.6533767253904</v>
      </c>
      <c r="L289" s="27">
        <f>IFERROR(J289/$H289*1000,"-")</f>
        <v>0.14273351351634653</v>
      </c>
      <c r="N289" s="18">
        <f>J289-P289</f>
        <v>-38.372987416234992</v>
      </c>
      <c r="P289" s="18">
        <f>P266+P270+P277+P281</f>
        <v>1699.0263641416254</v>
      </c>
      <c r="Q289" s="18"/>
      <c r="R289" s="18">
        <f t="shared" ref="R289" si="129">R266+R270+R277+R281</f>
        <v>60.422724391331883</v>
      </c>
      <c r="S289" s="18"/>
      <c r="T289" s="18">
        <f>T266+T270+T277+T281+T284</f>
        <v>1759.0126518046047</v>
      </c>
      <c r="U289" s="18"/>
      <c r="V289" s="27">
        <f>IFERROR(T289/$H289*1000,"-")</f>
        <v>0.15118751428239477</v>
      </c>
      <c r="X289" s="13">
        <f>T289/P289</f>
        <v>1.0353062724210789</v>
      </c>
      <c r="Z289" s="40">
        <f>IFERROR(V289/L289-1,"-")</f>
        <v>5.9229262685249084E-2</v>
      </c>
    </row>
    <row r="290" spans="2:26" x14ac:dyDescent="0.3">
      <c r="D290" s="94"/>
    </row>
    <row r="291" spans="2:26" x14ac:dyDescent="0.3">
      <c r="D291" s="7"/>
    </row>
    <row r="292" spans="2:26" x14ac:dyDescent="0.3">
      <c r="D292" s="38" t="s">
        <v>116</v>
      </c>
      <c r="F292" s="53"/>
      <c r="H292" s="11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2:26" x14ac:dyDescent="0.3">
      <c r="B293" s="60"/>
      <c r="D293" s="10" t="s">
        <v>33</v>
      </c>
      <c r="F293" s="46"/>
      <c r="H293" s="11"/>
      <c r="I293" s="14"/>
      <c r="J293" s="11"/>
      <c r="K293" s="14"/>
      <c r="L293" s="11"/>
      <c r="M293" s="14"/>
      <c r="N293" s="11"/>
      <c r="O293" s="14"/>
      <c r="P293" s="11"/>
      <c r="Q293" s="14"/>
      <c r="R293" s="11"/>
      <c r="S293" s="14"/>
      <c r="T293" s="11"/>
      <c r="U293" s="14"/>
      <c r="V293" s="68"/>
      <c r="W293" s="14"/>
      <c r="X293" s="13"/>
      <c r="Y293" s="14"/>
      <c r="Z293" s="11"/>
    </row>
    <row r="294" spans="2:26" x14ac:dyDescent="0.3">
      <c r="B294" s="60">
        <f>MAX(B$18:B293)+1</f>
        <v>153</v>
      </c>
      <c r="D294" s="16" t="s">
        <v>34</v>
      </c>
      <c r="F294" s="46" t="s">
        <v>35</v>
      </c>
      <c r="H294" s="11">
        <v>12</v>
      </c>
      <c r="I294" s="14"/>
      <c r="J294" s="11"/>
      <c r="K294" s="14"/>
      <c r="L294" s="11"/>
      <c r="M294" s="14"/>
      <c r="N294" s="11"/>
      <c r="O294" s="14"/>
      <c r="P294" s="11">
        <v>38.71870624309598</v>
      </c>
      <c r="Q294" s="14"/>
      <c r="R294" s="11">
        <f t="shared" ref="R294:R295" si="130">T294-P294</f>
        <v>-32.71870624309598</v>
      </c>
      <c r="S294" s="14"/>
      <c r="T294" s="11">
        <f>$H294*V294/1000</f>
        <v>6</v>
      </c>
      <c r="U294" s="14"/>
      <c r="V294" s="68">
        <v>500</v>
      </c>
      <c r="W294" s="14"/>
      <c r="X294" s="13">
        <f>IFERROR(T294/P294,"-")</f>
        <v>0.15496385551544284</v>
      </c>
      <c r="Y294" s="14"/>
      <c r="Z294" s="11"/>
    </row>
    <row r="295" spans="2:26" x14ac:dyDescent="0.3">
      <c r="B295" s="60">
        <f>MAX(B$18:B294)+1</f>
        <v>154</v>
      </c>
      <c r="D295" s="16" t="s">
        <v>36</v>
      </c>
      <c r="F295" s="46" t="s">
        <v>35</v>
      </c>
      <c r="H295" s="11">
        <v>48</v>
      </c>
      <c r="I295" s="14"/>
      <c r="J295" s="11"/>
      <c r="K295" s="14"/>
      <c r="L295" s="11"/>
      <c r="M295" s="14"/>
      <c r="N295" s="11"/>
      <c r="O295" s="14"/>
      <c r="P295" s="11">
        <v>154.87482497238392</v>
      </c>
      <c r="Q295" s="14"/>
      <c r="R295" s="11">
        <f t="shared" si="130"/>
        <v>-130.87482497238392</v>
      </c>
      <c r="S295" s="14"/>
      <c r="T295" s="11">
        <f t="shared" ref="T295" si="131">$H295*V295/1000</f>
        <v>24</v>
      </c>
      <c r="U295" s="14"/>
      <c r="V295" s="68">
        <v>500</v>
      </c>
      <c r="W295" s="14"/>
      <c r="X295" s="13">
        <f t="shared" ref="X295:X301" si="132">IFERROR(T295/P295,"-")</f>
        <v>0.15496385551544284</v>
      </c>
      <c r="Y295" s="14"/>
      <c r="Z295" s="11"/>
    </row>
    <row r="296" spans="2:26" x14ac:dyDescent="0.3">
      <c r="B296" s="60"/>
      <c r="D296" s="10" t="s">
        <v>99</v>
      </c>
      <c r="F296" s="46"/>
      <c r="H296" s="11"/>
      <c r="I296" s="14"/>
      <c r="J296" s="11"/>
      <c r="K296" s="14"/>
      <c r="L296" s="11"/>
      <c r="M296" s="14"/>
      <c r="N296" s="11"/>
      <c r="O296" s="14"/>
      <c r="P296" s="11"/>
      <c r="Q296" s="14"/>
      <c r="R296" s="11"/>
      <c r="S296" s="14"/>
      <c r="T296" s="11"/>
      <c r="U296" s="14"/>
      <c r="V296" s="27"/>
      <c r="W296" s="14"/>
      <c r="X296" s="13"/>
      <c r="Y296" s="14"/>
      <c r="Z296" s="11"/>
    </row>
    <row r="297" spans="2:26" x14ac:dyDescent="0.3">
      <c r="B297" s="60">
        <f>MAX(B$18:B296)+1</f>
        <v>155</v>
      </c>
      <c r="D297" s="16" t="s">
        <v>34</v>
      </c>
      <c r="F297" s="46" t="s">
        <v>38</v>
      </c>
      <c r="H297" s="11">
        <v>188852.1</v>
      </c>
      <c r="I297" s="14"/>
      <c r="J297" s="11"/>
      <c r="K297" s="14"/>
      <c r="L297" s="11"/>
      <c r="M297" s="14"/>
      <c r="N297" s="11"/>
      <c r="O297" s="14"/>
      <c r="P297" s="11">
        <v>126.24063757776629</v>
      </c>
      <c r="Q297" s="14"/>
      <c r="R297" s="11">
        <f t="shared" ref="R297:R298" si="133">T297-P297</f>
        <v>0</v>
      </c>
      <c r="S297" s="14"/>
      <c r="T297" s="11">
        <f>$H297*V297/100</f>
        <v>126.24063757776631</v>
      </c>
      <c r="U297" s="14"/>
      <c r="V297" s="27">
        <v>6.6846298017213632E-2</v>
      </c>
      <c r="W297" s="14"/>
      <c r="X297" s="13">
        <f t="shared" si="132"/>
        <v>1.0000000000000002</v>
      </c>
      <c r="Y297" s="14"/>
      <c r="Z297" s="11"/>
    </row>
    <row r="298" spans="2:26" x14ac:dyDescent="0.3">
      <c r="B298" s="60">
        <f>MAX(B$18:B297)+1</f>
        <v>156</v>
      </c>
      <c r="D298" s="16" t="s">
        <v>36</v>
      </c>
      <c r="F298" s="46" t="s">
        <v>38</v>
      </c>
      <c r="H298" s="11">
        <v>90073.425800000012</v>
      </c>
      <c r="I298" s="14"/>
      <c r="J298" s="11"/>
      <c r="K298" s="14"/>
      <c r="L298" s="11"/>
      <c r="M298" s="14"/>
      <c r="N298" s="11"/>
      <c r="O298" s="14"/>
      <c r="P298" s="11">
        <v>60.2107506445818</v>
      </c>
      <c r="Q298" s="14"/>
      <c r="R298" s="11">
        <f t="shared" si="133"/>
        <v>0</v>
      </c>
      <c r="S298" s="14"/>
      <c r="T298" s="11">
        <f t="shared" ref="T298" si="134">$H298*V298/100</f>
        <v>60.2107506445818</v>
      </c>
      <c r="U298" s="14"/>
      <c r="V298" s="27">
        <v>6.6846298017213632E-2</v>
      </c>
      <c r="W298" s="14"/>
      <c r="X298" s="13">
        <f t="shared" si="132"/>
        <v>1</v>
      </c>
      <c r="Y298" s="14"/>
      <c r="Z298" s="11"/>
    </row>
    <row r="299" spans="2:26" x14ac:dyDescent="0.3">
      <c r="B299" s="60"/>
      <c r="D299" s="10" t="s">
        <v>106</v>
      </c>
      <c r="F299" s="46"/>
      <c r="H299" s="11"/>
      <c r="I299" s="14"/>
      <c r="J299" s="11"/>
      <c r="K299" s="14"/>
      <c r="L299" s="11"/>
      <c r="M299" s="14"/>
      <c r="N299" s="11"/>
      <c r="O299" s="14"/>
      <c r="P299" s="11"/>
      <c r="Q299" s="14"/>
      <c r="R299" s="11"/>
      <c r="S299" s="14"/>
      <c r="T299" s="11"/>
      <c r="U299" s="14"/>
      <c r="V299" s="27"/>
      <c r="W299" s="14"/>
      <c r="X299" s="13"/>
      <c r="Y299" s="14"/>
      <c r="Z299" s="11"/>
    </row>
    <row r="300" spans="2:26" x14ac:dyDescent="0.3">
      <c r="B300" s="60">
        <f>MAX(B$18:B299)+1</f>
        <v>157</v>
      </c>
      <c r="D300" s="16" t="s">
        <v>34</v>
      </c>
      <c r="F300" s="46" t="s">
        <v>40</v>
      </c>
      <c r="H300" s="11">
        <v>15025.2</v>
      </c>
      <c r="I300" s="14"/>
      <c r="J300" s="11"/>
      <c r="K300" s="14"/>
      <c r="L300" s="11"/>
      <c r="M300" s="14"/>
      <c r="N300" s="11"/>
      <c r="O300" s="14"/>
      <c r="P300" s="11">
        <v>4221.6758961347205</v>
      </c>
      <c r="Q300" s="14"/>
      <c r="R300" s="11">
        <f t="shared" ref="R300:R301" si="135">T300-P300</f>
        <v>-85.880602701407952</v>
      </c>
      <c r="S300" s="14"/>
      <c r="T300" s="11">
        <f t="shared" ref="T300:T301" si="136">$H300*V300/100</f>
        <v>4135.7952934333125</v>
      </c>
      <c r="U300" s="14"/>
      <c r="V300" s="27">
        <v>27.52572540420968</v>
      </c>
      <c r="W300" s="14"/>
      <c r="X300" s="13">
        <f t="shared" si="132"/>
        <v>0.97965722504182795</v>
      </c>
      <c r="Y300" s="14"/>
      <c r="Z300" s="11"/>
    </row>
    <row r="301" spans="2:26" x14ac:dyDescent="0.3">
      <c r="B301" s="60">
        <f>MAX(B$18:B300)+1</f>
        <v>158</v>
      </c>
      <c r="D301" s="16" t="s">
        <v>36</v>
      </c>
      <c r="F301" s="46" t="s">
        <v>40</v>
      </c>
      <c r="H301" s="11">
        <v>6040.4639999999999</v>
      </c>
      <c r="I301" s="14"/>
      <c r="J301" s="11"/>
      <c r="K301" s="14"/>
      <c r="L301" s="11"/>
      <c r="M301" s="14"/>
      <c r="N301" s="11"/>
      <c r="O301" s="14"/>
      <c r="P301" s="11">
        <v>2600.7084197858253</v>
      </c>
      <c r="Q301" s="14"/>
      <c r="R301" s="11">
        <f t="shared" si="135"/>
        <v>-36.097868641656078</v>
      </c>
      <c r="S301" s="14"/>
      <c r="T301" s="11">
        <f t="shared" si="136"/>
        <v>2564.6105511441692</v>
      </c>
      <c r="U301" s="14"/>
      <c r="V301" s="27">
        <v>42.45717797745619</v>
      </c>
      <c r="W301" s="14"/>
      <c r="X301" s="13">
        <f t="shared" si="132"/>
        <v>0.98611998624412156</v>
      </c>
      <c r="Y301" s="14"/>
      <c r="Z301" s="11"/>
    </row>
    <row r="302" spans="2:26" x14ac:dyDescent="0.3">
      <c r="B302" s="60"/>
      <c r="D302" s="94"/>
      <c r="F302" s="46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37"/>
      <c r="W302" s="14"/>
      <c r="X302" s="14"/>
      <c r="Y302" s="14"/>
      <c r="Z302" s="14"/>
    </row>
    <row r="303" spans="2:26" x14ac:dyDescent="0.3">
      <c r="B303" s="60">
        <f>MAX(B$18:B302)+1</f>
        <v>159</v>
      </c>
      <c r="C303" s="62"/>
      <c r="D303" s="10" t="s">
        <v>41</v>
      </c>
      <c r="E303" s="60"/>
      <c r="F303" s="17"/>
      <c r="G303" s="60"/>
      <c r="H303" s="76">
        <f>SUM(H297:H298)</f>
        <v>278925.5258</v>
      </c>
      <c r="I303" s="72"/>
      <c r="J303" s="11"/>
      <c r="K303" s="72"/>
      <c r="L303" s="11"/>
      <c r="M303" s="67"/>
      <c r="N303" s="11"/>
      <c r="O303" s="12"/>
      <c r="P303" s="76">
        <f>SUM(P294:P301)</f>
        <v>7202.4292353583733</v>
      </c>
      <c r="Q303" s="12"/>
      <c r="R303" s="76">
        <f>SUM(R294:R301)</f>
        <v>-285.57200255854394</v>
      </c>
      <c r="S303" s="67"/>
      <c r="T303" s="76">
        <f>SUM(T294:T301)</f>
        <v>6916.8572327998299</v>
      </c>
      <c r="U303" s="67"/>
      <c r="V303" s="21">
        <f>T303/$H303*100</f>
        <v>2.4798222439345601</v>
      </c>
      <c r="W303" s="67"/>
      <c r="X303" s="77">
        <f t="shared" ref="X303" si="137">T303/P303</f>
        <v>0.96035059932882016</v>
      </c>
      <c r="Y303" s="14"/>
      <c r="Z303" s="11"/>
    </row>
    <row r="304" spans="2:26" x14ac:dyDescent="0.3">
      <c r="B304" s="60"/>
      <c r="D304" s="10"/>
      <c r="F304" s="46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37"/>
      <c r="W304" s="14"/>
      <c r="X304" s="14"/>
      <c r="Y304" s="14"/>
      <c r="Z304" s="14"/>
    </row>
    <row r="305" spans="2:26" x14ac:dyDescent="0.3">
      <c r="B305" s="60"/>
      <c r="C305" s="62"/>
      <c r="D305" s="10" t="s">
        <v>42</v>
      </c>
      <c r="E305" s="60"/>
      <c r="F305" s="84"/>
      <c r="G305" s="60"/>
      <c r="H305" s="11"/>
      <c r="I305" s="72"/>
      <c r="J305" s="19"/>
      <c r="K305" s="72"/>
      <c r="L305" s="72"/>
      <c r="M305" s="67"/>
      <c r="N305" s="20"/>
      <c r="O305" s="12"/>
      <c r="P305" s="11"/>
      <c r="Q305" s="12"/>
      <c r="R305" s="11"/>
      <c r="S305" s="67"/>
      <c r="T305" s="11"/>
      <c r="U305" s="67"/>
      <c r="V305" s="22"/>
      <c r="W305" s="67"/>
      <c r="X305" s="13"/>
      <c r="Y305" s="14"/>
      <c r="Z305" s="20"/>
    </row>
    <row r="306" spans="2:26" x14ac:dyDescent="0.3">
      <c r="B306" s="60">
        <f>MAX(B$18:B305)+1</f>
        <v>160</v>
      </c>
      <c r="D306" s="23" t="s">
        <v>43</v>
      </c>
      <c r="E306" s="60"/>
      <c r="F306" s="84"/>
      <c r="H306" s="11"/>
      <c r="I306" s="14"/>
      <c r="J306" s="11"/>
      <c r="K306" s="14"/>
      <c r="L306" s="11"/>
      <c r="M306" s="14"/>
      <c r="N306" s="11"/>
      <c r="O306" s="14"/>
      <c r="P306" s="11"/>
      <c r="Q306" s="14"/>
      <c r="R306" s="11"/>
      <c r="S306" s="14"/>
      <c r="T306" s="11"/>
      <c r="U306" s="14"/>
      <c r="V306" s="27"/>
      <c r="W306" s="14"/>
      <c r="X306" s="11"/>
      <c r="Y306" s="14"/>
      <c r="Z306" s="11"/>
    </row>
    <row r="307" spans="2:26" x14ac:dyDescent="0.3">
      <c r="B307" s="60">
        <f>MAX(B$18:B306)+1</f>
        <v>161</v>
      </c>
      <c r="D307" s="16" t="s">
        <v>34</v>
      </c>
      <c r="E307" s="60"/>
      <c r="F307" s="84" t="s">
        <v>38</v>
      </c>
      <c r="H307" s="11">
        <v>188850.1</v>
      </c>
      <c r="I307" s="14"/>
      <c r="J307" s="11"/>
      <c r="K307" s="14"/>
      <c r="L307" s="11"/>
      <c r="M307" s="14"/>
      <c r="N307" s="11"/>
      <c r="O307" s="14"/>
      <c r="P307" s="11">
        <v>14166.74131195474</v>
      </c>
      <c r="Q307" s="14"/>
      <c r="R307" s="11">
        <f t="shared" ref="R307:R311" si="138">T307-P307</f>
        <v>0</v>
      </c>
      <c r="S307" s="14"/>
      <c r="T307" s="11">
        <f t="shared" ref="T307:T311" si="139">$H307*V307/100</f>
        <v>14166.74131195474</v>
      </c>
      <c r="U307" s="14"/>
      <c r="V307" s="27">
        <v>7.5015799896080217</v>
      </c>
      <c r="W307" s="14"/>
      <c r="X307" s="13">
        <f>IFERROR(T307/P307,"-")</f>
        <v>1</v>
      </c>
      <c r="Y307" s="14"/>
      <c r="Z307" s="11"/>
    </row>
    <row r="308" spans="2:26" x14ac:dyDescent="0.3">
      <c r="B308" s="60">
        <f>MAX(B$18:B307)+1</f>
        <v>162</v>
      </c>
      <c r="D308" s="16" t="s">
        <v>36</v>
      </c>
      <c r="E308" s="60"/>
      <c r="F308" s="84" t="s">
        <v>38</v>
      </c>
      <c r="H308" s="11">
        <v>90073.425800000012</v>
      </c>
      <c r="I308" s="14"/>
      <c r="J308" s="11"/>
      <c r="K308" s="14"/>
      <c r="L308" s="11"/>
      <c r="M308" s="14"/>
      <c r="N308" s="11"/>
      <c r="O308" s="14"/>
      <c r="P308" s="11">
        <v>179.58833164184702</v>
      </c>
      <c r="Q308" s="14"/>
      <c r="R308" s="11">
        <f t="shared" si="138"/>
        <v>0</v>
      </c>
      <c r="S308" s="14"/>
      <c r="T308" s="11">
        <f t="shared" si="139"/>
        <v>179.58833164184705</v>
      </c>
      <c r="U308" s="14"/>
      <c r="V308" s="27">
        <v>0.19937992814951536</v>
      </c>
      <c r="W308" s="14"/>
      <c r="X308" s="13">
        <f t="shared" ref="X308:X311" si="140">IFERROR(T308/P308,"-")</f>
        <v>1.0000000000000002</v>
      </c>
      <c r="Y308" s="14"/>
      <c r="Z308" s="11"/>
    </row>
    <row r="309" spans="2:26" x14ac:dyDescent="0.3">
      <c r="B309" s="60"/>
      <c r="D309" s="23" t="s">
        <v>44</v>
      </c>
      <c r="E309" s="60"/>
      <c r="F309" s="84"/>
      <c r="H309" s="11"/>
      <c r="I309" s="14"/>
      <c r="J309" s="11"/>
      <c r="K309" s="14"/>
      <c r="L309" s="11"/>
      <c r="M309" s="14"/>
      <c r="N309" s="11"/>
      <c r="O309" s="14"/>
      <c r="P309" s="11"/>
      <c r="Q309" s="14"/>
      <c r="R309" s="11"/>
      <c r="S309" s="14"/>
      <c r="T309" s="11"/>
      <c r="U309" s="14"/>
      <c r="V309" s="27"/>
      <c r="W309" s="14"/>
      <c r="X309" s="13"/>
      <c r="Y309" s="14"/>
      <c r="Z309" s="11"/>
    </row>
    <row r="310" spans="2:26" x14ac:dyDescent="0.3">
      <c r="B310" s="60">
        <f>MAX(B$18:B309)+1</f>
        <v>163</v>
      </c>
      <c r="D310" s="16" t="s">
        <v>34</v>
      </c>
      <c r="E310" s="60"/>
      <c r="F310" s="84" t="s">
        <v>38</v>
      </c>
      <c r="H310" s="11">
        <v>2</v>
      </c>
      <c r="I310" s="14"/>
      <c r="J310" s="11"/>
      <c r="K310" s="14"/>
      <c r="L310" s="11"/>
      <c r="M310" s="14"/>
      <c r="N310" s="11"/>
      <c r="O310" s="14"/>
      <c r="P310" s="11">
        <v>0.20186970965227644</v>
      </c>
      <c r="Q310" s="14"/>
      <c r="R310" s="11">
        <f t="shared" si="138"/>
        <v>0</v>
      </c>
      <c r="S310" s="14"/>
      <c r="T310" s="11">
        <f t="shared" si="139"/>
        <v>0.20186970965227644</v>
      </c>
      <c r="U310" s="14"/>
      <c r="V310" s="27">
        <v>10.093485482613822</v>
      </c>
      <c r="W310" s="14"/>
      <c r="X310" s="13">
        <f t="shared" si="140"/>
        <v>1</v>
      </c>
      <c r="Y310" s="14"/>
      <c r="Z310" s="11"/>
    </row>
    <row r="311" spans="2:26" x14ac:dyDescent="0.3">
      <c r="B311" s="60">
        <f>MAX(B$18:B310)+1</f>
        <v>164</v>
      </c>
      <c r="D311" s="16" t="s">
        <v>36</v>
      </c>
      <c r="E311" s="60"/>
      <c r="F311" s="84" t="s">
        <v>38</v>
      </c>
      <c r="H311" s="11">
        <v>0</v>
      </c>
      <c r="I311" s="14"/>
      <c r="J311" s="11"/>
      <c r="K311" s="14"/>
      <c r="L311" s="11"/>
      <c r="M311" s="14"/>
      <c r="N311" s="11"/>
      <c r="O311" s="14"/>
      <c r="P311" s="11">
        <v>0</v>
      </c>
      <c r="Q311" s="14"/>
      <c r="R311" s="11">
        <f t="shared" si="138"/>
        <v>0</v>
      </c>
      <c r="S311" s="14"/>
      <c r="T311" s="11">
        <f t="shared" si="139"/>
        <v>0</v>
      </c>
      <c r="U311" s="14"/>
      <c r="V311" s="27">
        <v>2.7912854211553144</v>
      </c>
      <c r="W311" s="14"/>
      <c r="X311" s="13" t="str">
        <f t="shared" si="140"/>
        <v>-</v>
      </c>
      <c r="Y311" s="14"/>
      <c r="Z311" s="11"/>
    </row>
    <row r="312" spans="2:26" x14ac:dyDescent="0.3">
      <c r="B312" s="60">
        <f>MAX(B$18:B311)+1</f>
        <v>165</v>
      </c>
      <c r="C312" s="62"/>
      <c r="D312" s="10" t="s">
        <v>42</v>
      </c>
      <c r="E312" s="60"/>
      <c r="F312" s="17"/>
      <c r="G312" s="60"/>
      <c r="H312" s="76">
        <f>SUM(H307:H311)</f>
        <v>278925.5258</v>
      </c>
      <c r="I312" s="72"/>
      <c r="J312" s="11"/>
      <c r="K312" s="72"/>
      <c r="L312" s="11"/>
      <c r="M312" s="67"/>
      <c r="N312" s="11"/>
      <c r="O312" s="12"/>
      <c r="P312" s="76">
        <f>SUM(P306:P309)</f>
        <v>14346.329643596588</v>
      </c>
      <c r="Q312" s="12"/>
      <c r="R312" s="76">
        <f>SUM(R306:R309)</f>
        <v>0</v>
      </c>
      <c r="S312" s="67"/>
      <c r="T312" s="76">
        <f>SUM(T306:T309)</f>
        <v>14346.329643596588</v>
      </c>
      <c r="U312" s="67"/>
      <c r="V312" s="21">
        <f>T312/$H312*100</f>
        <v>5.1434265840134836</v>
      </c>
      <c r="W312" s="67"/>
      <c r="X312" s="77">
        <f t="shared" ref="X312" si="141">T312/P312</f>
        <v>1</v>
      </c>
      <c r="Y312" s="14"/>
      <c r="Z312" s="11"/>
    </row>
    <row r="313" spans="2:26" x14ac:dyDescent="0.3">
      <c r="B313" s="60"/>
      <c r="D313" s="10"/>
      <c r="F313" s="46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37"/>
      <c r="W313" s="14"/>
      <c r="X313" s="14"/>
      <c r="Y313" s="14"/>
      <c r="Z313" s="14"/>
    </row>
    <row r="314" spans="2:26" x14ac:dyDescent="0.3">
      <c r="B314" s="60"/>
      <c r="D314" s="24" t="s">
        <v>46</v>
      </c>
      <c r="F314" s="46"/>
      <c r="H314" s="11"/>
      <c r="I314" s="14"/>
      <c r="J314" s="11"/>
      <c r="K314" s="14"/>
      <c r="L314" s="11"/>
      <c r="M314" s="14"/>
      <c r="N314" s="11"/>
      <c r="O314" s="14"/>
      <c r="P314" s="11"/>
      <c r="Q314" s="14"/>
      <c r="R314" s="11"/>
      <c r="S314" s="14"/>
      <c r="T314" s="11"/>
      <c r="U314" s="14"/>
      <c r="V314" s="27"/>
      <c r="W314" s="14"/>
      <c r="X314" s="13"/>
      <c r="Y314" s="14"/>
      <c r="Z314" s="11"/>
    </row>
    <row r="315" spans="2:26" x14ac:dyDescent="0.3">
      <c r="B315" s="60">
        <f>MAX(B$18:B314)+1</f>
        <v>166</v>
      </c>
      <c r="D315" s="16" t="s">
        <v>34</v>
      </c>
      <c r="F315" s="46" t="s">
        <v>38</v>
      </c>
      <c r="H315" s="11">
        <v>140305.60000000001</v>
      </c>
      <c r="I315" s="14"/>
      <c r="J315" s="11"/>
      <c r="K315" s="14"/>
      <c r="L315" s="11"/>
      <c r="M315" s="14"/>
      <c r="N315" s="11"/>
      <c r="O315" s="14"/>
      <c r="P315" s="11">
        <v>15887.347124890503</v>
      </c>
      <c r="Q315" s="14"/>
      <c r="R315" s="11">
        <f t="shared" ref="R315:R316" si="142">T315-P315</f>
        <v>13.167792050089702</v>
      </c>
      <c r="S315" s="14"/>
      <c r="T315" s="11">
        <f t="shared" ref="T315:T316" si="143">$H315*V315/100</f>
        <v>15900.514916940592</v>
      </c>
      <c r="U315" s="14"/>
      <c r="V315" s="27">
        <v>11.332772830835399</v>
      </c>
      <c r="W315" s="14"/>
      <c r="X315" s="13">
        <f>IFERROR(T315/P315,"-")</f>
        <v>1.00082882258105</v>
      </c>
      <c r="Y315" s="14"/>
      <c r="Z315" s="11"/>
    </row>
    <row r="316" spans="2:26" x14ac:dyDescent="0.3">
      <c r="B316" s="60">
        <f>MAX(B$18:B315)+1</f>
        <v>167</v>
      </c>
      <c r="D316" s="16" t="s">
        <v>36</v>
      </c>
      <c r="F316" s="46" t="s">
        <v>38</v>
      </c>
      <c r="H316" s="11">
        <v>15795.3217</v>
      </c>
      <c r="I316" s="14"/>
      <c r="J316" s="11"/>
      <c r="K316" s="14"/>
      <c r="L316" s="11"/>
      <c r="M316" s="14"/>
      <c r="N316" s="11"/>
      <c r="O316" s="14"/>
      <c r="P316" s="11">
        <v>2384.5451256086858</v>
      </c>
      <c r="Q316" s="14"/>
      <c r="R316" s="11">
        <f t="shared" si="142"/>
        <v>-0.44620336485695589</v>
      </c>
      <c r="S316" s="14"/>
      <c r="T316" s="11">
        <f t="shared" si="143"/>
        <v>2384.0989222438288</v>
      </c>
      <c r="U316" s="14"/>
      <c r="V316" s="27">
        <v>15.093702854078806</v>
      </c>
      <c r="W316" s="14"/>
      <c r="X316" s="13">
        <f t="shared" ref="X316" si="144">IFERROR(T316/P316,"-")</f>
        <v>0.99981287694660714</v>
      </c>
      <c r="Y316" s="14"/>
      <c r="Z316" s="11"/>
    </row>
    <row r="317" spans="2:26" x14ac:dyDescent="0.3">
      <c r="B317" s="60"/>
      <c r="D317" s="10"/>
      <c r="F317" s="46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37"/>
      <c r="W317" s="14"/>
      <c r="X317" s="14"/>
      <c r="Y317" s="14"/>
      <c r="Z317" s="14"/>
    </row>
    <row r="318" spans="2:26" ht="12.9" thickBot="1" x14ac:dyDescent="0.35">
      <c r="B318" s="60">
        <f>MAX(B$18:B317)+1</f>
        <v>168</v>
      </c>
      <c r="D318" s="25" t="s">
        <v>117</v>
      </c>
      <c r="F318" s="46"/>
      <c r="H318" s="71">
        <f>H303</f>
        <v>278925.5258</v>
      </c>
      <c r="I318" s="72"/>
      <c r="J318" s="71">
        <v>33816.012821194956</v>
      </c>
      <c r="K318" s="67"/>
      <c r="L318" s="26">
        <f>J318/$H318*100</f>
        <v>12.123670906133666</v>
      </c>
      <c r="M318" s="67"/>
      <c r="N318" s="71">
        <f>J318-P318</f>
        <v>-6004.6383082592001</v>
      </c>
      <c r="O318" s="12"/>
      <c r="P318" s="71">
        <f>SUM(P303,P312,P315:P316)</f>
        <v>39820.651129454156</v>
      </c>
      <c r="Q318" s="12"/>
      <c r="R318" s="71">
        <f>R303+R315+R316</f>
        <v>-272.8504138733112</v>
      </c>
      <c r="S318" s="67"/>
      <c r="T318" s="71">
        <f>SUM(T303,T312,T315:T316)</f>
        <v>39547.800715580837</v>
      </c>
      <c r="U318" s="67"/>
      <c r="V318" s="26">
        <f>T318/$H318*100</f>
        <v>14.178623703281316</v>
      </c>
      <c r="W318" s="67"/>
      <c r="X318" s="73">
        <f t="shared" ref="X318" si="145">T318/P318</f>
        <v>0.9931480172690722</v>
      </c>
      <c r="Y318" s="14"/>
      <c r="Z318" s="32">
        <f>V318/L318-1</f>
        <v>0.16949922288867136</v>
      </c>
    </row>
    <row r="319" spans="2:26" ht="12.9" thickTop="1" x14ac:dyDescent="0.3">
      <c r="B319" s="60"/>
      <c r="D319" s="10"/>
      <c r="F319" s="46"/>
      <c r="H319" s="67"/>
      <c r="I319" s="72"/>
      <c r="J319" s="67"/>
      <c r="K319" s="67"/>
      <c r="L319" s="27"/>
      <c r="M319" s="67"/>
      <c r="N319" s="67"/>
      <c r="O319" s="12"/>
      <c r="P319" s="67"/>
      <c r="Q319" s="12"/>
      <c r="R319" s="67"/>
      <c r="S319" s="67"/>
      <c r="T319" s="67"/>
      <c r="U319" s="67"/>
      <c r="V319" s="27"/>
      <c r="W319" s="67"/>
      <c r="X319" s="86"/>
      <c r="Y319" s="14"/>
      <c r="Z319" s="40"/>
    </row>
    <row r="320" spans="2:26" x14ac:dyDescent="0.3">
      <c r="B320" s="60">
        <f>MAX(B$18:B319)+1</f>
        <v>169</v>
      </c>
      <c r="D320" s="2" t="s">
        <v>118</v>
      </c>
      <c r="F320" s="46"/>
      <c r="H320" s="11">
        <f>H297</f>
        <v>188852.1</v>
      </c>
      <c r="I320" s="72"/>
      <c r="J320" s="11">
        <v>29315.707925300005</v>
      </c>
      <c r="K320" s="67"/>
      <c r="L320" s="27">
        <f>IFERROR(J320/$H320*100,"-")</f>
        <v>15.523104019123963</v>
      </c>
      <c r="M320" s="67"/>
      <c r="N320" s="67">
        <f>J320-P320</f>
        <v>-5125.217621210475</v>
      </c>
      <c r="O320" s="12"/>
      <c r="P320" s="67">
        <f>P294+P297+P300+P307+P310+P315</f>
        <v>34440.92554651048</v>
      </c>
      <c r="Q320" s="67"/>
      <c r="R320" s="67">
        <f>R294+R297+R300+R307+R310+R315</f>
        <v>-105.43151689441423</v>
      </c>
      <c r="S320" s="67"/>
      <c r="T320" s="67">
        <f>T294+T297+T300+T307+T310+T315</f>
        <v>34335.494029616064</v>
      </c>
      <c r="U320" s="67"/>
      <c r="V320" s="27">
        <f>IFERROR(T320/$H320*100,"-")</f>
        <v>18.181155533677444</v>
      </c>
      <c r="W320" s="67"/>
      <c r="X320" s="86">
        <f>IFERROR(T320/P320,"-")</f>
        <v>0.9969387722536075</v>
      </c>
      <c r="Y320" s="14"/>
      <c r="Z320" s="40">
        <f>IFERROR(V320/L320-1,"-")</f>
        <v>0.1712319592317908</v>
      </c>
    </row>
    <row r="321" spans="2:26" x14ac:dyDescent="0.3">
      <c r="B321" s="60">
        <f>MAX(B$18:B320)+1</f>
        <v>170</v>
      </c>
      <c r="D321" s="62" t="s">
        <v>119</v>
      </c>
      <c r="F321" s="46"/>
      <c r="H321" s="11">
        <f>H298</f>
        <v>90073.425800000012</v>
      </c>
      <c r="I321" s="72"/>
      <c r="J321" s="11">
        <v>4500.3048958949512</v>
      </c>
      <c r="K321" s="67"/>
      <c r="L321" s="27">
        <f t="shared" ref="L321" si="146">IFERROR(J321/$H321*100,"-")</f>
        <v>4.9962626112250641</v>
      </c>
      <c r="M321" s="67"/>
      <c r="N321" s="67">
        <f>J321-P321</f>
        <v>-879.62255675837332</v>
      </c>
      <c r="O321" s="12"/>
      <c r="P321" s="67">
        <f>P295+P298+P301+P308+P311+P316</f>
        <v>5379.9274526533245</v>
      </c>
      <c r="Q321" s="67"/>
      <c r="R321" s="67">
        <f>R295+R298+R301+R308+R311</f>
        <v>-166.97269361404</v>
      </c>
      <c r="S321" s="67"/>
      <c r="T321" s="67">
        <f>T295+T298+T301+T308+T311+T316</f>
        <v>5212.508555674427</v>
      </c>
      <c r="U321" s="67"/>
      <c r="V321" s="27">
        <f t="shared" ref="V321" si="147">IFERROR(T321/$H321*100,"-")</f>
        <v>5.78695493080094</v>
      </c>
      <c r="W321" s="67"/>
      <c r="X321" s="86">
        <f t="shared" ref="X321" si="148">IFERROR(T321/P321,"-")</f>
        <v>0.96888082628394401</v>
      </c>
      <c r="Y321" s="14"/>
      <c r="Z321" s="40">
        <f t="shared" ref="Z321" si="149">IFERROR(V321/L321-1,"-")</f>
        <v>0.15825675732084887</v>
      </c>
    </row>
    <row r="322" spans="2:26" x14ac:dyDescent="0.3">
      <c r="B322" s="60"/>
      <c r="D322" s="94"/>
      <c r="F322" s="46"/>
      <c r="H322" s="11"/>
    </row>
    <row r="323" spans="2:26" x14ac:dyDescent="0.3">
      <c r="B323" s="60"/>
      <c r="D323" s="94"/>
      <c r="F323" s="46"/>
      <c r="V323" s="39"/>
    </row>
    <row r="324" spans="2:26" x14ac:dyDescent="0.3">
      <c r="B324" s="60"/>
      <c r="D324" s="38" t="s">
        <v>120</v>
      </c>
      <c r="F324" s="53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2:26" x14ac:dyDescent="0.3">
      <c r="B325" s="60"/>
      <c r="D325" s="35" t="s">
        <v>43</v>
      </c>
      <c r="F325" s="46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2:26" x14ac:dyDescent="0.3">
      <c r="B326" s="60">
        <f>MAX(B$18:B325)+1</f>
        <v>171</v>
      </c>
      <c r="D326" s="10" t="s">
        <v>33</v>
      </c>
      <c r="F326" s="46" t="s">
        <v>35</v>
      </c>
      <c r="H326" s="11">
        <v>12</v>
      </c>
      <c r="I326" s="14"/>
      <c r="J326" s="11"/>
      <c r="K326" s="14"/>
      <c r="L326" s="11"/>
      <c r="M326" s="14"/>
      <c r="N326" s="11"/>
      <c r="O326" s="14"/>
      <c r="P326" s="11">
        <v>344.52367214370162</v>
      </c>
      <c r="Q326" s="14"/>
      <c r="R326" s="11">
        <f t="shared" ref="R326:R329" si="150">T326-P326</f>
        <v>0</v>
      </c>
      <c r="S326" s="14"/>
      <c r="T326" s="11">
        <f>$H326*V326/1000</f>
        <v>344.52367214370162</v>
      </c>
      <c r="U326" s="14"/>
      <c r="V326" s="68">
        <v>28710.306011975135</v>
      </c>
      <c r="W326" s="14"/>
      <c r="X326" s="13">
        <f t="shared" ref="X326:X329" si="151">T326/P326</f>
        <v>1</v>
      </c>
      <c r="Y326" s="14"/>
      <c r="Z326" s="14"/>
    </row>
    <row r="327" spans="2:26" x14ac:dyDescent="0.3">
      <c r="B327" s="60">
        <f>MAX(B$18:B326)+1</f>
        <v>172</v>
      </c>
      <c r="D327" s="10" t="s">
        <v>63</v>
      </c>
      <c r="F327" s="46" t="s">
        <v>38</v>
      </c>
      <c r="H327" s="11">
        <v>249200.14546999999</v>
      </c>
      <c r="I327" s="14"/>
      <c r="J327" s="11"/>
      <c r="K327" s="14"/>
      <c r="L327" s="11"/>
      <c r="M327" s="14"/>
      <c r="N327" s="11"/>
      <c r="O327" s="14"/>
      <c r="P327" s="11">
        <v>0</v>
      </c>
      <c r="Q327" s="14"/>
      <c r="R327" s="11">
        <f t="shared" si="150"/>
        <v>0</v>
      </c>
      <c r="S327" s="14"/>
      <c r="T327" s="11">
        <f>$H327*V327/100</f>
        <v>0</v>
      </c>
      <c r="U327" s="14"/>
      <c r="V327" s="27">
        <v>0</v>
      </c>
      <c r="W327" s="14"/>
      <c r="X327" s="13" t="str">
        <f>IFERROR(T327/P327,"-")</f>
        <v>-</v>
      </c>
      <c r="Y327" s="14"/>
      <c r="Z327" s="14"/>
    </row>
    <row r="328" spans="2:26" x14ac:dyDescent="0.3">
      <c r="B328" s="60">
        <f>MAX(B$18:B327)+1</f>
        <v>173</v>
      </c>
      <c r="D328" s="10" t="s">
        <v>64</v>
      </c>
      <c r="F328" s="46"/>
      <c r="H328" s="14"/>
      <c r="I328" s="14"/>
      <c r="J328" s="14"/>
      <c r="K328" s="14"/>
      <c r="L328" s="14"/>
      <c r="M328" s="14"/>
      <c r="N328" s="14"/>
      <c r="O328" s="14"/>
      <c r="P328" s="11">
        <v>262.05973283002953</v>
      </c>
      <c r="Q328" s="14"/>
      <c r="R328" s="11">
        <f t="shared" si="150"/>
        <v>0</v>
      </c>
      <c r="S328" s="14"/>
      <c r="T328" s="11">
        <v>262.05973283002953</v>
      </c>
      <c r="U328" s="14"/>
      <c r="V328" s="92">
        <v>7.3737843645773193E-3</v>
      </c>
      <c r="W328" s="67"/>
      <c r="X328" s="13"/>
      <c r="Y328" s="14"/>
      <c r="Z328" s="14"/>
    </row>
    <row r="329" spans="2:26" x14ac:dyDescent="0.3">
      <c r="B329" s="60">
        <f>MAX(B$18:B328)+1</f>
        <v>174</v>
      </c>
      <c r="D329" s="10" t="s">
        <v>65</v>
      </c>
      <c r="F329" s="46" t="s">
        <v>40</v>
      </c>
      <c r="H329" s="11">
        <v>28200</v>
      </c>
      <c r="I329" s="14"/>
      <c r="J329" s="11"/>
      <c r="K329" s="14"/>
      <c r="L329" s="11"/>
      <c r="M329" s="14"/>
      <c r="N329" s="11"/>
      <c r="O329" s="14"/>
      <c r="P329" s="11">
        <v>11909.688556612629</v>
      </c>
      <c r="Q329" s="14"/>
      <c r="R329" s="11">
        <f t="shared" si="150"/>
        <v>-878.37182194587331</v>
      </c>
      <c r="S329" s="14"/>
      <c r="T329" s="11">
        <f>$H329*V329/100</f>
        <v>11031.316734666756</v>
      </c>
      <c r="U329" s="14"/>
      <c r="V329" s="27">
        <v>39.118144449172895</v>
      </c>
      <c r="W329" s="14"/>
      <c r="X329" s="13">
        <f t="shared" si="151"/>
        <v>0.92624728868680839</v>
      </c>
      <c r="Y329" s="14"/>
      <c r="Z329" s="14"/>
    </row>
    <row r="330" spans="2:26" x14ac:dyDescent="0.3">
      <c r="B330" s="60"/>
      <c r="C330" s="62"/>
      <c r="D330" s="10"/>
      <c r="E330" s="60"/>
      <c r="F330" s="17"/>
      <c r="G330" s="60"/>
      <c r="H330" s="11"/>
      <c r="I330" s="72"/>
      <c r="J330" s="14"/>
      <c r="K330" s="14"/>
      <c r="L330" s="14"/>
      <c r="M330" s="14"/>
      <c r="N330" s="14"/>
      <c r="O330" s="12"/>
      <c r="P330" s="11"/>
      <c r="Q330" s="12"/>
      <c r="R330" s="11"/>
      <c r="S330" s="67"/>
      <c r="T330" s="11"/>
      <c r="U330" s="67"/>
      <c r="V330" s="27"/>
      <c r="W330" s="67"/>
      <c r="X330" s="13"/>
      <c r="Y330" s="14"/>
      <c r="Z330" s="72"/>
    </row>
    <row r="331" spans="2:26" x14ac:dyDescent="0.3">
      <c r="B331" s="60">
        <f>MAX(B$18:B330)+1</f>
        <v>175</v>
      </c>
      <c r="C331" s="62"/>
      <c r="D331" s="10" t="s">
        <v>72</v>
      </c>
      <c r="E331" s="60"/>
      <c r="F331" s="17"/>
      <c r="G331" s="60"/>
      <c r="H331" s="76">
        <f>H327</f>
        <v>249200.14546999999</v>
      </c>
      <c r="I331" s="72"/>
      <c r="J331" s="14"/>
      <c r="K331" s="14"/>
      <c r="L331" s="14"/>
      <c r="M331" s="14"/>
      <c r="N331" s="14"/>
      <c r="O331" s="12"/>
      <c r="P331" s="76">
        <f>SUM(P326:P329)</f>
        <v>12516.271961586361</v>
      </c>
      <c r="Q331" s="12"/>
      <c r="R331" s="76">
        <f>SUM(R326:R329)</f>
        <v>-878.37182194587331</v>
      </c>
      <c r="S331" s="67"/>
      <c r="T331" s="76">
        <f>SUM(T326:T329)</f>
        <v>11637.900139640487</v>
      </c>
      <c r="U331" s="67"/>
      <c r="V331" s="21">
        <f>T331/$H331*100</f>
        <v>4.670101663741411</v>
      </c>
      <c r="W331" s="67"/>
      <c r="X331" s="77">
        <f t="shared" ref="X331" si="152">T331/P331</f>
        <v>0.92982160945034742</v>
      </c>
      <c r="Y331" s="14"/>
      <c r="Z331" s="72"/>
    </row>
    <row r="332" spans="2:26" x14ac:dyDescent="0.3">
      <c r="B332" s="60"/>
      <c r="D332" s="10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2:26" x14ac:dyDescent="0.3">
      <c r="B333" s="60"/>
      <c r="D333" s="35" t="s">
        <v>73</v>
      </c>
      <c r="F333" s="46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2:26" x14ac:dyDescent="0.3">
      <c r="B334" s="60">
        <f>MAX(B$18:B333)+1</f>
        <v>176</v>
      </c>
      <c r="D334" s="23" t="s">
        <v>74</v>
      </c>
      <c r="F334" s="46" t="s">
        <v>75</v>
      </c>
      <c r="H334" s="11">
        <v>38472252</v>
      </c>
      <c r="I334" s="14"/>
      <c r="J334" s="11"/>
      <c r="K334" s="14"/>
      <c r="L334" s="11"/>
      <c r="M334" s="14"/>
      <c r="N334" s="11"/>
      <c r="O334" s="14"/>
      <c r="P334" s="11">
        <v>576.97796216620918</v>
      </c>
      <c r="Q334" s="14"/>
      <c r="R334" s="11">
        <f>T334-P334</f>
        <v>-1.8675674907120765</v>
      </c>
      <c r="S334" s="14"/>
      <c r="T334" s="11">
        <f>$H334*V334/1000</f>
        <v>575.1103946754971</v>
      </c>
      <c r="U334" s="14"/>
      <c r="V334" s="70">
        <v>1.4948706269534132E-2</v>
      </c>
      <c r="W334" s="14"/>
      <c r="X334" s="13">
        <f t="shared" ref="X334:X337" si="153">T334/P334</f>
        <v>0.99676319094805554</v>
      </c>
      <c r="Y334" s="14"/>
      <c r="Z334" s="14"/>
    </row>
    <row r="335" spans="2:26" x14ac:dyDescent="0.3">
      <c r="B335" s="60"/>
      <c r="D335" s="23" t="s">
        <v>76</v>
      </c>
      <c r="F335" s="46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41"/>
      <c r="W335" s="14"/>
      <c r="X335" s="13"/>
      <c r="Y335" s="14"/>
      <c r="Z335" s="14"/>
    </row>
    <row r="336" spans="2:26" x14ac:dyDescent="0.3">
      <c r="B336" s="60">
        <f>MAX(B$18:B335)+1</f>
        <v>177</v>
      </c>
      <c r="D336" s="16" t="s">
        <v>77</v>
      </c>
      <c r="F336" s="46" t="s">
        <v>75</v>
      </c>
      <c r="H336" s="11">
        <v>0</v>
      </c>
      <c r="I336" s="14"/>
      <c r="J336" s="11"/>
      <c r="K336" s="14"/>
      <c r="L336" s="11"/>
      <c r="M336" s="14"/>
      <c r="N336" s="11"/>
      <c r="O336" s="14"/>
      <c r="P336" s="11">
        <v>0</v>
      </c>
      <c r="Q336" s="14"/>
      <c r="R336" s="11">
        <f t="shared" ref="R336:R340" si="154">T336-P336</f>
        <v>0</v>
      </c>
      <c r="S336" s="14"/>
      <c r="T336" s="11">
        <f>$H336*V336/1000</f>
        <v>0</v>
      </c>
      <c r="U336" s="14"/>
      <c r="V336" s="70">
        <v>2.5732849397493096</v>
      </c>
      <c r="W336" s="14"/>
      <c r="X336" s="13" t="str">
        <f>IFERROR(T336/P336,"-")</f>
        <v>-</v>
      </c>
      <c r="Y336" s="14"/>
      <c r="Z336" s="14"/>
    </row>
    <row r="337" spans="2:26" x14ac:dyDescent="0.3">
      <c r="B337" s="60">
        <f>MAX(B$18:B336)+1</f>
        <v>178</v>
      </c>
      <c r="D337" s="16" t="s">
        <v>78</v>
      </c>
      <c r="F337" s="46" t="s">
        <v>75</v>
      </c>
      <c r="H337" s="11">
        <v>649668</v>
      </c>
      <c r="I337" s="14"/>
      <c r="J337" s="11"/>
      <c r="K337" s="14"/>
      <c r="L337" s="11"/>
      <c r="M337" s="14"/>
      <c r="N337" s="11"/>
      <c r="O337" s="14"/>
      <c r="P337" s="11">
        <v>1555.954003377869</v>
      </c>
      <c r="Q337" s="14"/>
      <c r="R337" s="11">
        <f t="shared" si="154"/>
        <v>0</v>
      </c>
      <c r="S337" s="14"/>
      <c r="T337" s="11">
        <f>$H337*V337/1000</f>
        <v>1555.9540033778683</v>
      </c>
      <c r="U337" s="14"/>
      <c r="V337" s="70">
        <v>2.3949986814463209</v>
      </c>
      <c r="W337" s="14"/>
      <c r="X337" s="13">
        <f t="shared" si="153"/>
        <v>0.99999999999999956</v>
      </c>
      <c r="Y337" s="14"/>
      <c r="Z337" s="14"/>
    </row>
    <row r="338" spans="2:26" x14ac:dyDescent="0.3">
      <c r="B338" s="60">
        <f>MAX(B$18:B337)+1</f>
        <v>179</v>
      </c>
      <c r="D338" s="16" t="s">
        <v>79</v>
      </c>
      <c r="F338" s="46" t="s">
        <v>75</v>
      </c>
      <c r="H338" s="11">
        <v>0</v>
      </c>
      <c r="I338" s="14"/>
      <c r="J338" s="11"/>
      <c r="K338" s="14"/>
      <c r="L338" s="11"/>
      <c r="M338" s="14"/>
      <c r="N338" s="11"/>
      <c r="O338" s="14"/>
      <c r="P338" s="11">
        <v>0</v>
      </c>
      <c r="Q338" s="14"/>
      <c r="R338" s="11">
        <f t="shared" si="154"/>
        <v>0</v>
      </c>
      <c r="S338" s="14"/>
      <c r="T338" s="11">
        <f>$H338*V338/1000</f>
        <v>0</v>
      </c>
      <c r="U338" s="14"/>
      <c r="V338" s="70">
        <v>2.3949986814463209</v>
      </c>
      <c r="W338" s="14"/>
      <c r="X338" s="13" t="str">
        <f>IFERROR(T338/P338,"-")</f>
        <v>-</v>
      </c>
      <c r="Y338" s="14"/>
      <c r="Z338" s="14"/>
    </row>
    <row r="339" spans="2:26" x14ac:dyDescent="0.3">
      <c r="B339" s="60">
        <f>MAX(B$18:B338)+1</f>
        <v>180</v>
      </c>
      <c r="D339" s="10" t="s">
        <v>80</v>
      </c>
      <c r="F339" s="46" t="s">
        <v>81</v>
      </c>
      <c r="H339" s="11">
        <v>6433273.9271999998</v>
      </c>
      <c r="I339" s="14"/>
      <c r="J339" s="11"/>
      <c r="K339" s="14"/>
      <c r="L339" s="11"/>
      <c r="M339" s="14"/>
      <c r="N339" s="11"/>
      <c r="O339" s="14"/>
      <c r="P339" s="11">
        <v>0</v>
      </c>
      <c r="Q339" s="14"/>
      <c r="R339" s="11">
        <f t="shared" si="154"/>
        <v>0</v>
      </c>
      <c r="S339" s="14"/>
      <c r="T339" s="11">
        <f>$H339*V339/1000</f>
        <v>0</v>
      </c>
      <c r="U339" s="14"/>
      <c r="V339" s="70">
        <v>0</v>
      </c>
      <c r="W339" s="14"/>
      <c r="X339" s="13"/>
      <c r="Y339" s="14"/>
      <c r="Z339" s="14"/>
    </row>
    <row r="340" spans="2:26" x14ac:dyDescent="0.3">
      <c r="B340" s="60">
        <f>MAX(B$18:B339)+1</f>
        <v>181</v>
      </c>
      <c r="D340" s="10" t="s">
        <v>82</v>
      </c>
      <c r="F340" s="46"/>
      <c r="H340" s="11"/>
      <c r="I340" s="14"/>
      <c r="J340" s="11"/>
      <c r="K340" s="14"/>
      <c r="L340" s="11"/>
      <c r="M340" s="14"/>
      <c r="N340" s="11"/>
      <c r="O340" s="14"/>
      <c r="P340" s="11">
        <v>187.68511276673155</v>
      </c>
      <c r="Q340" s="14"/>
      <c r="R340" s="11">
        <f t="shared" si="154"/>
        <v>-2.0147370935347908E-2</v>
      </c>
      <c r="S340" s="14"/>
      <c r="T340" s="11">
        <v>187.6649653957962</v>
      </c>
      <c r="U340" s="14"/>
      <c r="V340" s="92">
        <v>7.9936318892803813E-3</v>
      </c>
      <c r="W340" s="67"/>
      <c r="X340" s="13"/>
      <c r="Y340" s="14"/>
      <c r="Z340" s="14"/>
    </row>
    <row r="341" spans="2:26" x14ac:dyDescent="0.3">
      <c r="B341" s="60"/>
      <c r="C341" s="62"/>
      <c r="D341" s="10"/>
      <c r="E341" s="60"/>
      <c r="F341" s="17"/>
      <c r="G341" s="60"/>
      <c r="H341" s="11"/>
      <c r="I341" s="72"/>
      <c r="J341" s="14"/>
      <c r="K341" s="14"/>
      <c r="L341" s="14"/>
      <c r="M341" s="14"/>
      <c r="N341" s="14"/>
      <c r="O341" s="12"/>
      <c r="P341" s="11"/>
      <c r="Q341" s="12"/>
      <c r="R341" s="11"/>
      <c r="S341" s="67"/>
      <c r="T341" s="11"/>
      <c r="U341" s="67"/>
      <c r="V341" s="27"/>
      <c r="W341" s="67"/>
      <c r="X341" s="13"/>
      <c r="Y341" s="14"/>
      <c r="Z341" s="72"/>
    </row>
    <row r="342" spans="2:26" x14ac:dyDescent="0.3">
      <c r="B342" s="60">
        <f>MAX(B$18:B341)+1</f>
        <v>182</v>
      </c>
      <c r="C342" s="62"/>
      <c r="D342" s="10" t="s">
        <v>83</v>
      </c>
      <c r="E342" s="60"/>
      <c r="F342" s="17"/>
      <c r="G342" s="60"/>
      <c r="H342" s="76">
        <f>H331</f>
        <v>249200.14546999999</v>
      </c>
      <c r="I342" s="72"/>
      <c r="J342" s="11"/>
      <c r="K342" s="14"/>
      <c r="L342" s="11"/>
      <c r="M342" s="14"/>
      <c r="N342" s="11"/>
      <c r="O342" s="12"/>
      <c r="P342" s="76">
        <f>SUM(P334:P340)</f>
        <v>2320.6170783108096</v>
      </c>
      <c r="Q342" s="12"/>
      <c r="R342" s="76">
        <f>SUM(R334:R340)</f>
        <v>-1.8877148616474244</v>
      </c>
      <c r="S342" s="67"/>
      <c r="T342" s="76">
        <f>SUM(T334:T340)</f>
        <v>2318.7293634491616</v>
      </c>
      <c r="U342" s="67"/>
      <c r="V342" s="21">
        <f>T342/$H342*100</f>
        <v>0.93046870381072955</v>
      </c>
      <c r="W342" s="67"/>
      <c r="X342" s="77">
        <f t="shared" ref="X342" si="155">T342/P342</f>
        <v>0.9991865461651166</v>
      </c>
      <c r="Y342" s="14"/>
      <c r="Z342" s="72"/>
    </row>
    <row r="343" spans="2:26" x14ac:dyDescent="0.3">
      <c r="B343" s="60"/>
      <c r="D343" s="10"/>
      <c r="F343" s="46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41"/>
      <c r="W343" s="14"/>
      <c r="X343" s="14"/>
      <c r="Y343" s="14"/>
      <c r="Z343" s="14"/>
    </row>
    <row r="344" spans="2:26" ht="12.9" thickBot="1" x14ac:dyDescent="0.35">
      <c r="B344" s="60">
        <f>MAX(B$18:B343)+1</f>
        <v>183</v>
      </c>
      <c r="D344" s="25" t="s">
        <v>121</v>
      </c>
      <c r="F344" s="46"/>
      <c r="H344" s="71">
        <f>H327</f>
        <v>249200.14546999999</v>
      </c>
      <c r="I344" s="72"/>
      <c r="J344" s="71">
        <v>8385.5420590421272</v>
      </c>
      <c r="K344" s="67"/>
      <c r="L344" s="26">
        <f>J344/$H344*100</f>
        <v>3.3649828105945558</v>
      </c>
      <c r="M344" s="67"/>
      <c r="N344" s="71">
        <f>J344-P344</f>
        <v>-6451.3469808550435</v>
      </c>
      <c r="O344" s="12"/>
      <c r="P344" s="71">
        <f>P331+P342</f>
        <v>14836.889039897171</v>
      </c>
      <c r="Q344" s="12"/>
      <c r="R344" s="71">
        <f>R331+R342</f>
        <v>-880.2595368075207</v>
      </c>
      <c r="S344" s="67"/>
      <c r="T344" s="71">
        <f>T331+T342</f>
        <v>13956.629503089649</v>
      </c>
      <c r="U344" s="67"/>
      <c r="V344" s="26">
        <f>T344/$H344*100</f>
        <v>5.600570367552141</v>
      </c>
      <c r="W344" s="67"/>
      <c r="X344" s="73">
        <f t="shared" ref="X344" si="156">T344/P344</f>
        <v>0.94067088225567652</v>
      </c>
      <c r="Y344" s="14"/>
      <c r="Z344" s="32">
        <f t="shared" ref="Z344" si="157">V344/L344-1</f>
        <v>0.66436819526058177</v>
      </c>
    </row>
    <row r="345" spans="2:26" ht="12.9" thickTop="1" x14ac:dyDescent="0.3">
      <c r="B345" s="60"/>
      <c r="D345" s="94"/>
      <c r="F345" s="53"/>
    </row>
    <row r="346" spans="2:26" ht="12.9" thickBot="1" x14ac:dyDescent="0.35">
      <c r="B346" s="60">
        <f>MAX(B$18:B345)+1</f>
        <v>184</v>
      </c>
      <c r="D346" s="25" t="s">
        <v>122</v>
      </c>
      <c r="J346" s="71">
        <f>J344+J318+J286+J256+J225+J187+J163+J146+J112+J73+J42</f>
        <v>5097046.0842818581</v>
      </c>
      <c r="K346" s="67"/>
      <c r="L346" s="11"/>
      <c r="M346" s="67"/>
      <c r="N346" s="71">
        <f>N344+N318+N286+N256+N225+N187+N163+N146+N112+N73+N42</f>
        <v>-11523.422855072611</v>
      </c>
      <c r="O346" s="12"/>
      <c r="P346" s="71">
        <f>P344+P318+P286+P256+P225+P187+P163+P146+P112+P73+P42</f>
        <v>5108569.5071369298</v>
      </c>
      <c r="Q346" s="12"/>
      <c r="R346" s="71">
        <f>R344+R318+R286+R256+R225+R187+R163+R146+R112+R73+R42</f>
        <v>-19201.045088535888</v>
      </c>
      <c r="S346" s="67"/>
      <c r="T346" s="71">
        <f>T344+T318+T286+T256+T225+T187+T163+T146+T112+T73+T42-0.2</f>
        <v>5089368.3833778007</v>
      </c>
    </row>
    <row r="347" spans="2:26" ht="12.9" thickTop="1" x14ac:dyDescent="0.3">
      <c r="B347" s="60"/>
      <c r="D347" s="95"/>
      <c r="F347" s="46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67"/>
      <c r="V347" s="27"/>
      <c r="W347" s="67"/>
      <c r="X347" s="86"/>
      <c r="Y347" s="14"/>
      <c r="Z347" s="15"/>
    </row>
    <row r="348" spans="2:26" x14ac:dyDescent="0.3">
      <c r="B348" s="60">
        <f>MAX(B$18:B347)+1</f>
        <v>185</v>
      </c>
      <c r="D348" s="25" t="s">
        <v>123</v>
      </c>
      <c r="F348" s="46"/>
      <c r="J348" s="18">
        <f>J44+J75+J114+J163+J189+J227+J258+J288+J320</f>
        <v>1029266.3217042749</v>
      </c>
      <c r="K348" s="18"/>
      <c r="L348" s="18"/>
      <c r="M348" s="18"/>
      <c r="N348" s="18">
        <f>N44+N75+N114+N163+N189+N227+N258+N288+N320</f>
        <v>-27923.878668177429</v>
      </c>
      <c r="O348" s="18"/>
      <c r="P348" s="18">
        <f>P44+P75+P114+P163+P189+P227+P258+P288+P320</f>
        <v>1057190.2003724521</v>
      </c>
      <c r="Q348" s="18"/>
      <c r="R348" s="18">
        <f>R44+R75+R114+R163+R189+R227+R258+R288+R320</f>
        <v>-2828.308922621095</v>
      </c>
      <c r="S348" s="18"/>
      <c r="T348" s="18">
        <f>T44+T75+T114+T163+T189+T227+T258+T288+T320</f>
        <v>1054362.610531626</v>
      </c>
      <c r="U348" s="67"/>
      <c r="V348" s="27"/>
      <c r="W348" s="67"/>
      <c r="X348" s="86"/>
      <c r="Y348" s="14"/>
      <c r="Z348" s="15"/>
    </row>
    <row r="349" spans="2:26" x14ac:dyDescent="0.3">
      <c r="B349" s="60">
        <f>MAX(B$18:B348)+1</f>
        <v>186</v>
      </c>
      <c r="D349" s="25" t="s">
        <v>124</v>
      </c>
      <c r="F349" s="46"/>
      <c r="J349" s="18">
        <f>J45+J76+J115+J146+J190+J228+J259+J289+J321+J344</f>
        <v>4067779.7625775831</v>
      </c>
      <c r="K349" s="18"/>
      <c r="L349" s="18"/>
      <c r="M349" s="18"/>
      <c r="N349" s="18">
        <f>N45+N76+N115+N146+N190+N228+N259+N289+N321+N344</f>
        <v>16400.253943394709</v>
      </c>
      <c r="O349" s="18"/>
      <c r="P349" s="18">
        <f>P45+P76+P115+P146+P190+P228+P259+P289+P321+P344</f>
        <v>4051379.5086341877</v>
      </c>
      <c r="Q349" s="18"/>
      <c r="R349" s="18">
        <f>R45+R76+R115+R146+R190+R228+R259+R289+R321+R344</f>
        <v>-16372.289962549936</v>
      </c>
      <c r="S349" s="18"/>
      <c r="T349" s="18">
        <f>T45+T76+T115+T146+T190+T228+T259+T289+T321+T344</f>
        <v>4035006.4158862024</v>
      </c>
      <c r="U349" s="67"/>
      <c r="V349" s="27"/>
      <c r="W349" s="67"/>
      <c r="X349" s="86"/>
      <c r="Y349" s="14"/>
      <c r="Z349" s="15"/>
    </row>
    <row r="350" spans="2:26" x14ac:dyDescent="0.3">
      <c r="D350" s="95"/>
      <c r="F350" s="46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67"/>
      <c r="V350" s="27"/>
      <c r="W350" s="67"/>
      <c r="X350" s="86"/>
      <c r="Y350" s="14"/>
      <c r="Z350" s="15"/>
    </row>
    <row r="351" spans="2:26" x14ac:dyDescent="0.3">
      <c r="F351" s="46"/>
    </row>
    <row r="352" spans="2:26" x14ac:dyDescent="0.3">
      <c r="B352" s="42" t="s">
        <v>125</v>
      </c>
      <c r="F352" s="46"/>
    </row>
    <row r="353" spans="2:6" x14ac:dyDescent="0.3">
      <c r="B353" s="96" t="s">
        <v>126</v>
      </c>
      <c r="C353" s="43"/>
      <c r="D353" s="43" t="s">
        <v>127</v>
      </c>
      <c r="F353" s="46"/>
    </row>
    <row r="354" spans="2:6" x14ac:dyDescent="0.3">
      <c r="B354" s="96" t="s">
        <v>128</v>
      </c>
      <c r="C354" s="43"/>
      <c r="D354" s="43" t="s">
        <v>129</v>
      </c>
      <c r="F354" s="46"/>
    </row>
    <row r="355" spans="2:6" x14ac:dyDescent="0.3">
      <c r="B355" s="96"/>
      <c r="D355" s="53"/>
      <c r="F355" s="53"/>
    </row>
  </sheetData>
  <mergeCells count="2">
    <mergeCell ref="B8:Z8"/>
    <mergeCell ref="B9:Z9"/>
  </mergeCells>
  <pageMargins left="1.45" right="0.7" top="0.75" bottom="0.75" header="0.3" footer="0.3"/>
  <pageSetup scale="38" fitToWidth="0" fitToHeight="0" orientation="landscape" blackAndWhite="1" r:id="rId1"/>
  <headerFooter>
    <oddHeader xml:space="preserve">&amp;R&amp;"Arial,Regular"&amp;10Filed: 2025-02-28
 EB-2025-0064
 Phase 3 Exhibit 8
 Tab 2
 Schedule 12
 Attachment 2
 Page &amp;P of 7
</oddHeader>
  </headerFooter>
  <rowBreaks count="4" manualBreakCount="4">
    <brk id="77" max="26" man="1"/>
    <brk id="147" max="26" man="1"/>
    <brk id="226" max="26" man="1"/>
    <brk id="290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2211-E9D1-4055-A58C-6F4060875401}">
  <sheetPr>
    <pageSetUpPr fitToPage="1"/>
  </sheetPr>
  <dimension ref="A1:AX250"/>
  <sheetViews>
    <sheetView zoomScale="85" zoomScaleNormal="85" zoomScaleSheetLayoutView="90" workbookViewId="0">
      <selection sqref="A1:XFD1048576"/>
    </sheetView>
  </sheetViews>
  <sheetFormatPr defaultColWidth="0" defaultRowHeight="0" customHeight="1" zeroHeight="1" x14ac:dyDescent="0.3"/>
  <cols>
    <col min="1" max="1" width="1.53515625" style="53" customWidth="1"/>
    <col min="2" max="2" width="5.07421875" style="53" customWidth="1"/>
    <col min="3" max="3" width="1.53515625" style="53" customWidth="1"/>
    <col min="4" max="4" width="55.84375" style="53" customWidth="1"/>
    <col min="5" max="5" width="1.53515625" style="53" customWidth="1"/>
    <col min="6" max="6" width="14.4609375" style="53" customWidth="1"/>
    <col min="7" max="7" width="1.53515625" style="53" customWidth="1"/>
    <col min="8" max="8" width="14.4609375" style="53" customWidth="1"/>
    <col min="9" max="9" width="1.53515625" style="53" customWidth="1"/>
    <col min="10" max="10" width="14.4609375" style="53" customWidth="1"/>
    <col min="11" max="11" width="1.53515625" style="53" customWidth="1"/>
    <col min="12" max="12" width="14.4609375" style="53" customWidth="1"/>
    <col min="13" max="13" width="1.53515625" style="53" customWidth="1"/>
    <col min="14" max="14" width="14.4609375" style="53" customWidth="1"/>
    <col min="15" max="15" width="1.53515625" style="53" customWidth="1"/>
    <col min="16" max="16" width="14.4609375" style="53" customWidth="1"/>
    <col min="17" max="17" width="1.53515625" style="53" customWidth="1"/>
    <col min="18" max="18" width="14.4609375" style="53" customWidth="1"/>
    <col min="19" max="19" width="1.53515625" style="53" customWidth="1"/>
    <col min="20" max="20" width="14.4609375" style="53" customWidth="1"/>
    <col min="21" max="21" width="1.53515625" style="53" customWidth="1"/>
    <col min="22" max="22" width="14.4609375" style="53" customWidth="1"/>
    <col min="23" max="23" width="1.53515625" style="53" customWidth="1"/>
    <col min="24" max="24" width="14.4609375" style="53" customWidth="1"/>
    <col min="25" max="25" width="1.53515625" style="53" customWidth="1"/>
    <col min="26" max="26" width="14.4609375" style="53" customWidth="1"/>
    <col min="27" max="27" width="1.53515625" style="53" customWidth="1"/>
    <col min="28" max="35" width="9.07421875" style="53" customWidth="1"/>
    <col min="36" max="50" width="0" style="53" hidden="1" customWidth="1"/>
    <col min="51" max="16384" width="9.07421875" style="53" hidden="1"/>
  </cols>
  <sheetData>
    <row r="1" spans="1:27" ht="12.45" x14ac:dyDescent="0.3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45" x14ac:dyDescent="0.3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45" x14ac:dyDescent="0.3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45" x14ac:dyDescent="0.3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45" x14ac:dyDescent="0.3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45" x14ac:dyDescent="0.3">
      <c r="A6" s="2"/>
      <c r="B6" s="97" t="s">
        <v>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44"/>
    </row>
    <row r="7" spans="1:27" ht="12.45" x14ac:dyDescent="0.3">
      <c r="A7" s="2"/>
      <c r="B7" s="97" t="s">
        <v>130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44"/>
    </row>
    <row r="8" spans="1:27" ht="12.45" x14ac:dyDescent="0.3">
      <c r="A8" s="2"/>
      <c r="B8" s="56"/>
      <c r="C8" s="56"/>
      <c r="D8" s="56"/>
      <c r="E8" s="56"/>
      <c r="F8" s="57"/>
      <c r="G8" s="56"/>
      <c r="H8" s="57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  <c r="T8" s="56"/>
      <c r="U8" s="56"/>
      <c r="V8" s="56"/>
      <c r="W8" s="56"/>
      <c r="X8" s="3"/>
      <c r="Y8" s="2"/>
      <c r="Z8" s="3"/>
      <c r="AA8" s="2"/>
    </row>
    <row r="9" spans="1:27" ht="12.45" x14ac:dyDescent="0.3">
      <c r="A9" s="2"/>
      <c r="B9" s="57"/>
      <c r="C9" s="57"/>
      <c r="D9" s="57"/>
      <c r="E9" s="57"/>
      <c r="F9" s="56"/>
      <c r="G9" s="57"/>
      <c r="H9" s="56"/>
      <c r="I9" s="57"/>
      <c r="J9" s="58" t="s">
        <v>2</v>
      </c>
      <c r="K9" s="58"/>
      <c r="L9" s="58"/>
      <c r="M9" s="57"/>
      <c r="N9" s="57"/>
      <c r="O9" s="57"/>
      <c r="P9" s="58" t="s">
        <v>131</v>
      </c>
      <c r="Q9" s="58"/>
      <c r="R9" s="58"/>
      <c r="S9" s="58"/>
      <c r="T9" s="58"/>
      <c r="U9" s="58"/>
      <c r="V9" s="58"/>
      <c r="W9" s="58"/>
      <c r="X9" s="4"/>
      <c r="Y9" s="4"/>
      <c r="Z9" s="4"/>
      <c r="AA9" s="4"/>
    </row>
    <row r="10" spans="1:27" ht="12.45" x14ac:dyDescent="0.3">
      <c r="A10" s="2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3"/>
      <c r="Y10" s="2"/>
      <c r="Z10" s="3"/>
      <c r="AA10" s="2"/>
    </row>
    <row r="11" spans="1:27" ht="37.299999999999997" x14ac:dyDescent="0.3">
      <c r="A11" s="5"/>
      <c r="B11" s="59" t="s">
        <v>4</v>
      </c>
      <c r="C11" s="59"/>
      <c r="D11" s="59"/>
      <c r="E11" s="59"/>
      <c r="F11" s="60" t="s">
        <v>5</v>
      </c>
      <c r="G11" s="59"/>
      <c r="H11" s="5" t="s">
        <v>6</v>
      </c>
      <c r="I11" s="59"/>
      <c r="J11" s="5" t="s">
        <v>7</v>
      </c>
      <c r="K11" s="5"/>
      <c r="L11" s="5" t="s">
        <v>8</v>
      </c>
      <c r="M11" s="59"/>
      <c r="N11" s="5" t="s">
        <v>9</v>
      </c>
      <c r="O11" s="59"/>
      <c r="P11" s="59" t="s">
        <v>10</v>
      </c>
      <c r="Q11" s="59"/>
      <c r="R11" s="5" t="s">
        <v>11</v>
      </c>
      <c r="S11" s="59"/>
      <c r="T11" s="5" t="s">
        <v>7</v>
      </c>
      <c r="U11" s="59"/>
      <c r="V11" s="5" t="s">
        <v>8</v>
      </c>
      <c r="W11" s="59"/>
      <c r="X11" s="59" t="s">
        <v>12</v>
      </c>
      <c r="Y11" s="59"/>
      <c r="Z11" s="59" t="s">
        <v>13</v>
      </c>
      <c r="AA11" s="59"/>
    </row>
    <row r="12" spans="1:27" ht="12.45" x14ac:dyDescent="0.3">
      <c r="A12" s="2"/>
      <c r="B12" s="61" t="s">
        <v>14</v>
      </c>
      <c r="C12" s="62"/>
      <c r="D12" s="63" t="s">
        <v>15</v>
      </c>
      <c r="E12" s="60"/>
      <c r="F12" s="61" t="s">
        <v>16</v>
      </c>
      <c r="G12" s="60"/>
      <c r="H12" s="61" t="s">
        <v>132</v>
      </c>
      <c r="I12" s="60"/>
      <c r="J12" s="61" t="s">
        <v>18</v>
      </c>
      <c r="K12" s="2"/>
      <c r="L12" s="61" t="s">
        <v>111</v>
      </c>
      <c r="M12" s="60"/>
      <c r="N12" s="61" t="s">
        <v>18</v>
      </c>
      <c r="O12" s="60"/>
      <c r="P12" s="61" t="s">
        <v>18</v>
      </c>
      <c r="Q12" s="60"/>
      <c r="R12" s="61" t="s">
        <v>18</v>
      </c>
      <c r="S12" s="60"/>
      <c r="T12" s="61" t="s">
        <v>18</v>
      </c>
      <c r="U12" s="60"/>
      <c r="V12" s="61" t="s">
        <v>111</v>
      </c>
      <c r="W12" s="60"/>
      <c r="X12" s="61" t="s">
        <v>20</v>
      </c>
      <c r="Y12" s="60"/>
      <c r="Z12" s="61" t="s">
        <v>21</v>
      </c>
      <c r="AA12" s="60"/>
    </row>
    <row r="13" spans="1:27" ht="12.45" x14ac:dyDescent="0.3">
      <c r="A13" s="2"/>
      <c r="B13" s="60"/>
      <c r="C13" s="62"/>
      <c r="D13" s="45"/>
      <c r="E13" s="60"/>
      <c r="F13" s="60"/>
      <c r="G13" s="60"/>
      <c r="H13" s="60" t="s">
        <v>22</v>
      </c>
      <c r="I13" s="60"/>
      <c r="J13" s="60" t="s">
        <v>23</v>
      </c>
      <c r="K13" s="60"/>
      <c r="L13" s="60" t="s">
        <v>24</v>
      </c>
      <c r="M13" s="60"/>
      <c r="N13" s="60" t="s">
        <v>25</v>
      </c>
      <c r="O13" s="60"/>
      <c r="P13" s="60" t="s">
        <v>26</v>
      </c>
      <c r="Q13" s="60"/>
      <c r="R13" s="60" t="s">
        <v>133</v>
      </c>
      <c r="S13" s="60"/>
      <c r="T13" s="64" t="s">
        <v>28</v>
      </c>
      <c r="U13" s="60"/>
      <c r="V13" s="64" t="s">
        <v>29</v>
      </c>
      <c r="W13" s="60"/>
      <c r="X13" s="64" t="s">
        <v>134</v>
      </c>
      <c r="Y13" s="60"/>
      <c r="Z13" s="64" t="s">
        <v>31</v>
      </c>
      <c r="AA13" s="60"/>
    </row>
    <row r="14" spans="1:27" ht="12.45" x14ac:dyDescent="0.3">
      <c r="D14" s="65" t="s">
        <v>135</v>
      </c>
    </row>
    <row r="15" spans="1:27" ht="12.45" x14ac:dyDescent="0.3">
      <c r="B15" s="60">
        <v>1</v>
      </c>
      <c r="D15" s="24" t="s">
        <v>136</v>
      </c>
      <c r="F15" s="46" t="s">
        <v>35</v>
      </c>
      <c r="H15" s="11">
        <v>12</v>
      </c>
      <c r="I15" s="66"/>
      <c r="J15" s="67"/>
      <c r="K15" s="66"/>
      <c r="L15" s="68"/>
      <c r="M15" s="66"/>
      <c r="N15" s="67"/>
      <c r="O15" s="66"/>
      <c r="P15" s="11">
        <v>0</v>
      </c>
      <c r="Q15" s="66"/>
      <c r="R15" s="11">
        <f>T15-P15</f>
        <v>25.345637999999994</v>
      </c>
      <c r="S15" s="66"/>
      <c r="T15" s="67">
        <f>V15*H15/1000</f>
        <v>25.345637999999994</v>
      </c>
      <c r="U15" s="66"/>
      <c r="V15" s="68">
        <v>2112.1364999999996</v>
      </c>
      <c r="W15" s="66"/>
      <c r="X15" s="13" t="str">
        <f>IFERROR(T15/P15,"")</f>
        <v/>
      </c>
      <c r="Y15" s="66"/>
      <c r="Z15" s="66"/>
      <c r="AA15" s="66"/>
    </row>
    <row r="16" spans="1:27" ht="12.45" x14ac:dyDescent="0.3">
      <c r="B16" s="60"/>
      <c r="D16" s="24" t="s">
        <v>137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spans="2:27" ht="12.45" x14ac:dyDescent="0.3">
      <c r="B17" s="60">
        <f>MAX(B$15:B16)+1</f>
        <v>2</v>
      </c>
      <c r="D17" s="69" t="s">
        <v>138</v>
      </c>
      <c r="F17" s="46" t="s">
        <v>75</v>
      </c>
      <c r="H17" s="11">
        <v>8863</v>
      </c>
      <c r="I17" s="66"/>
      <c r="J17" s="67"/>
      <c r="K17" s="66"/>
      <c r="L17" s="70"/>
      <c r="M17" s="66"/>
      <c r="N17" s="67"/>
      <c r="O17" s="66"/>
      <c r="P17" s="11">
        <v>313.83230779949275</v>
      </c>
      <c r="Q17" s="66"/>
      <c r="R17" s="11">
        <f>T17-P17</f>
        <v>0</v>
      </c>
      <c r="S17" s="66"/>
      <c r="T17" s="67">
        <f>$H$17*V17*12/1000</f>
        <v>313.83230779949275</v>
      </c>
      <c r="U17" s="66"/>
      <c r="V17" s="70">
        <v>2.9507720090967386</v>
      </c>
      <c r="W17" s="66"/>
      <c r="X17" s="13">
        <f>T17/P17</f>
        <v>1</v>
      </c>
      <c r="Y17" s="66"/>
      <c r="Z17" s="66"/>
      <c r="AA17" s="66"/>
    </row>
    <row r="18" spans="2:27" ht="12.45" x14ac:dyDescent="0.3"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spans="2:27" ht="12.9" thickBot="1" x14ac:dyDescent="0.35">
      <c r="B19" s="60">
        <f>MAX(B$15:B18)+1</f>
        <v>3</v>
      </c>
      <c r="D19" s="53" t="str">
        <f>"Total " &amp;D14</f>
        <v>Total Rate E60</v>
      </c>
      <c r="H19" s="71">
        <f>H17</f>
        <v>8863</v>
      </c>
      <c r="I19" s="72"/>
      <c r="J19" s="71">
        <v>543.41803200000004</v>
      </c>
      <c r="K19" s="67"/>
      <c r="L19" s="26">
        <f>J19/$H19*100</f>
        <v>6.1313103012523982</v>
      </c>
      <c r="M19" s="67"/>
      <c r="N19" s="71">
        <f>J19-P19</f>
        <v>229.58572420050729</v>
      </c>
      <c r="O19" s="12"/>
      <c r="P19" s="71">
        <f>SUM(P15:P17)</f>
        <v>313.83230779949275</v>
      </c>
      <c r="Q19" s="12"/>
      <c r="R19" s="71">
        <f>SUM(R15:R17)</f>
        <v>25.345637999999994</v>
      </c>
      <c r="S19" s="67"/>
      <c r="T19" s="71">
        <f>SUM(T15:T17)</f>
        <v>339.17794579949276</v>
      </c>
      <c r="U19" s="67"/>
      <c r="V19" s="26">
        <f>T19/$H19*100</f>
        <v>3.8268977298825764</v>
      </c>
      <c r="W19" s="67"/>
      <c r="X19" s="73">
        <f t="shared" ref="X19" si="0">T19/P19</f>
        <v>1.0807617232837397</v>
      </c>
      <c r="Y19" s="14"/>
      <c r="Z19" s="74">
        <f t="shared" ref="Z19" si="1">V19/L19-1</f>
        <v>-0.37584340999657384</v>
      </c>
      <c r="AA19" s="14"/>
    </row>
    <row r="20" spans="2:27" ht="12.9" thickTop="1" x14ac:dyDescent="0.3"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spans="2:27" ht="12.45" x14ac:dyDescent="0.3">
      <c r="D21" s="65" t="s">
        <v>139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spans="2:27" ht="12.45" x14ac:dyDescent="0.3">
      <c r="B22" s="60"/>
      <c r="D22" s="24" t="s">
        <v>137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spans="2:27" ht="12.45" x14ac:dyDescent="0.3">
      <c r="B23" s="60"/>
      <c r="D23" s="49" t="s">
        <v>140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spans="2:27" ht="12.45" x14ac:dyDescent="0.3">
      <c r="B24" s="60">
        <f>MAX(B$15:B23)+1</f>
        <v>4</v>
      </c>
      <c r="D24" s="47" t="s">
        <v>141</v>
      </c>
      <c r="F24" s="46" t="s">
        <v>75</v>
      </c>
      <c r="H24" s="11">
        <v>1867861</v>
      </c>
      <c r="I24" s="66"/>
      <c r="J24" s="67"/>
      <c r="K24" s="66"/>
      <c r="L24" s="70"/>
      <c r="M24" s="66"/>
      <c r="N24" s="67"/>
      <c r="O24" s="66"/>
      <c r="P24" s="11">
        <v>84664.457890397869</v>
      </c>
      <c r="Q24" s="66"/>
      <c r="R24" s="11">
        <f t="shared" ref="R24:R28" si="2">T24-P24</f>
        <v>-11426.609451454715</v>
      </c>
      <c r="S24" s="66"/>
      <c r="T24" s="67">
        <f>V24*(H24)*12/1000</f>
        <v>73237.848438943154</v>
      </c>
      <c r="U24" s="66"/>
      <c r="V24" s="70">
        <v>3.267456216805531</v>
      </c>
      <c r="W24" s="66"/>
      <c r="X24" s="13">
        <f t="shared" ref="X24:X28" si="3">IFERROR(T24/P24,"")</f>
        <v>0.86503652493414651</v>
      </c>
      <c r="Y24" s="66"/>
      <c r="Z24" s="66"/>
      <c r="AA24" s="66"/>
    </row>
    <row r="25" spans="2:27" ht="12.45" x14ac:dyDescent="0.3">
      <c r="B25" s="60">
        <f>MAX(B$15:B24)+1</f>
        <v>5</v>
      </c>
      <c r="D25" s="48" t="s">
        <v>142</v>
      </c>
      <c r="F25" s="46" t="s">
        <v>75</v>
      </c>
      <c r="H25" s="11">
        <v>451429</v>
      </c>
      <c r="I25" s="66"/>
      <c r="J25" s="67"/>
      <c r="K25" s="66"/>
      <c r="L25" s="70"/>
      <c r="M25" s="66"/>
      <c r="N25" s="67"/>
      <c r="O25" s="66"/>
      <c r="P25" s="11">
        <v>275.74339749549102</v>
      </c>
      <c r="Q25" s="66"/>
      <c r="R25" s="11">
        <f t="shared" si="2"/>
        <v>0</v>
      </c>
      <c r="S25" s="66"/>
      <c r="T25" s="67">
        <f>P25</f>
        <v>275.74339749549102</v>
      </c>
      <c r="U25" s="66"/>
      <c r="V25" s="70">
        <v>5.0999999999999997E-2</v>
      </c>
      <c r="W25" s="66"/>
      <c r="X25" s="13">
        <f t="shared" si="3"/>
        <v>1</v>
      </c>
      <c r="Y25" s="66"/>
      <c r="Z25" s="66"/>
      <c r="AA25" s="66"/>
    </row>
    <row r="26" spans="2:27" ht="12.45" x14ac:dyDescent="0.3">
      <c r="B26" s="60">
        <f>MAX(B$15:B25)+1</f>
        <v>6</v>
      </c>
      <c r="D26" s="47" t="s">
        <v>143</v>
      </c>
      <c r="F26" s="46" t="s">
        <v>75</v>
      </c>
      <c r="H26" s="11">
        <v>49500</v>
      </c>
      <c r="I26" s="66"/>
      <c r="J26" s="67"/>
      <c r="K26" s="66"/>
      <c r="L26" s="70"/>
      <c r="M26" s="66"/>
      <c r="N26" s="67"/>
      <c r="O26" s="66"/>
      <c r="P26" s="11">
        <v>1565.1397432370602</v>
      </c>
      <c r="Q26" s="66"/>
      <c r="R26" s="11">
        <f t="shared" si="2"/>
        <v>-212.99093951213604</v>
      </c>
      <c r="S26" s="66"/>
      <c r="T26" s="67">
        <f>V26*(H26)*12/1000</f>
        <v>1352.1488037249242</v>
      </c>
      <c r="U26" s="66"/>
      <c r="V26" s="70">
        <v>2.276344787415697</v>
      </c>
      <c r="W26" s="66"/>
      <c r="X26" s="13">
        <f t="shared" si="3"/>
        <v>0.86391570437562148</v>
      </c>
      <c r="Y26" s="66"/>
      <c r="Z26" s="66"/>
      <c r="AA26" s="66"/>
    </row>
    <row r="27" spans="2:27" ht="12.45" x14ac:dyDescent="0.3">
      <c r="B27" s="60">
        <f>MAX(B$15:B26)+1</f>
        <v>7</v>
      </c>
      <c r="D27" s="48" t="s">
        <v>142</v>
      </c>
      <c r="F27" s="46" t="s">
        <v>75</v>
      </c>
      <c r="H27" s="11">
        <v>49500</v>
      </c>
      <c r="I27" s="66"/>
      <c r="J27" s="67"/>
      <c r="K27" s="66"/>
      <c r="L27" s="70"/>
      <c r="M27" s="66"/>
      <c r="N27" s="67"/>
      <c r="O27" s="66"/>
      <c r="P27" s="11">
        <v>30.235758393959635</v>
      </c>
      <c r="Q27" s="66"/>
      <c r="R27" s="11">
        <f t="shared" si="2"/>
        <v>0</v>
      </c>
      <c r="S27" s="66"/>
      <c r="T27" s="67">
        <f>P27</f>
        <v>30.235758393959635</v>
      </c>
      <c r="U27" s="66"/>
      <c r="V27" s="70">
        <v>5.0999999999999997E-2</v>
      </c>
      <c r="W27" s="66"/>
      <c r="X27" s="13">
        <f t="shared" si="3"/>
        <v>1</v>
      </c>
      <c r="Y27" s="66"/>
      <c r="Z27" s="66"/>
      <c r="AA27" s="66"/>
    </row>
    <row r="28" spans="2:27" ht="12.45" x14ac:dyDescent="0.3">
      <c r="B28" s="60">
        <f>MAX(B$15:B27)+1</f>
        <v>8</v>
      </c>
      <c r="D28" s="47" t="s">
        <v>144</v>
      </c>
      <c r="F28" s="46" t="s">
        <v>75</v>
      </c>
      <c r="H28" s="11">
        <v>383738.83333333331</v>
      </c>
      <c r="I28" s="66"/>
      <c r="J28" s="67"/>
      <c r="K28" s="66"/>
      <c r="L28" s="70"/>
      <c r="M28" s="66"/>
      <c r="N28" s="67"/>
      <c r="O28" s="66"/>
      <c r="P28" s="11">
        <v>7025.6860181488182</v>
      </c>
      <c r="Q28" s="66"/>
      <c r="R28" s="11">
        <f t="shared" si="2"/>
        <v>-835.70366882387589</v>
      </c>
      <c r="S28" s="66"/>
      <c r="T28" s="67">
        <f>V28*H28*12/1000</f>
        <v>6189.9823493249423</v>
      </c>
      <c r="U28" s="66"/>
      <c r="V28" s="70">
        <v>1.3442263790792051</v>
      </c>
      <c r="W28" s="66"/>
      <c r="X28" s="13">
        <f t="shared" si="3"/>
        <v>0.88105023955453199</v>
      </c>
      <c r="Y28" s="66"/>
      <c r="Z28" s="66"/>
      <c r="AA28" s="66"/>
    </row>
    <row r="29" spans="2:27" ht="12.45" x14ac:dyDescent="0.3">
      <c r="B29" s="60">
        <f>MAX(B$15:B28)+1</f>
        <v>9</v>
      </c>
      <c r="D29" s="47" t="s">
        <v>145</v>
      </c>
      <c r="F29" s="46" t="s">
        <v>75</v>
      </c>
      <c r="H29" s="11">
        <v>8863</v>
      </c>
      <c r="I29" s="66"/>
      <c r="J29" s="67"/>
      <c r="K29" s="66"/>
      <c r="L29" s="70"/>
      <c r="M29" s="66"/>
      <c r="N29" s="67"/>
      <c r="O29" s="66"/>
      <c r="P29" s="11">
        <v>215.24235310633068</v>
      </c>
      <c r="Q29" s="66"/>
      <c r="R29" s="11">
        <f>T29-P29</f>
        <v>0</v>
      </c>
      <c r="S29" s="66"/>
      <c r="T29" s="67">
        <f>V29*H29*12/1000</f>
        <v>215.24235310633065</v>
      </c>
      <c r="U29" s="66"/>
      <c r="V29" s="70">
        <v>2.0237913526865494</v>
      </c>
      <c r="W29" s="66"/>
      <c r="X29" s="13">
        <f>IFERROR(T29/P29,"")</f>
        <v>0.99999999999999989</v>
      </c>
      <c r="Y29" s="66"/>
      <c r="Z29" s="66"/>
      <c r="AA29" s="66"/>
    </row>
    <row r="30" spans="2:27" ht="12.45" x14ac:dyDescent="0.3"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</row>
    <row r="31" spans="2:27" ht="12.45" x14ac:dyDescent="0.3">
      <c r="B31" s="60"/>
      <c r="D31" s="49" t="s">
        <v>146</v>
      </c>
      <c r="F31" s="46"/>
      <c r="H31" s="11"/>
      <c r="I31" s="66"/>
      <c r="J31" s="67"/>
      <c r="K31" s="66"/>
      <c r="L31" s="70"/>
      <c r="M31" s="66"/>
      <c r="N31" s="66"/>
      <c r="O31" s="66"/>
      <c r="P31" s="11"/>
      <c r="Q31" s="66"/>
      <c r="R31" s="66"/>
      <c r="S31" s="66"/>
      <c r="T31" s="67"/>
      <c r="U31" s="66"/>
      <c r="V31" s="70"/>
      <c r="W31" s="66"/>
      <c r="X31" s="66"/>
      <c r="Y31" s="66"/>
      <c r="Z31" s="66"/>
      <c r="AA31" s="66"/>
    </row>
    <row r="32" spans="2:27" ht="12.45" x14ac:dyDescent="0.3">
      <c r="B32" s="60">
        <f>MAX(B$15:B31)+1</f>
        <v>10</v>
      </c>
      <c r="D32" s="47" t="s">
        <v>147</v>
      </c>
      <c r="F32" s="46" t="s">
        <v>75</v>
      </c>
      <c r="H32" s="11">
        <v>1047191</v>
      </c>
      <c r="I32" s="66"/>
      <c r="J32" s="67"/>
      <c r="K32" s="66"/>
      <c r="L32" s="70"/>
      <c r="M32" s="66"/>
      <c r="N32" s="67"/>
      <c r="O32" s="66"/>
      <c r="P32" s="11">
        <v>0</v>
      </c>
      <c r="Q32" s="66"/>
      <c r="R32" s="11">
        <f>T32-P32</f>
        <v>11249.262717148933</v>
      </c>
      <c r="S32" s="66"/>
      <c r="T32" s="67">
        <f>V32*H32*12/1000</f>
        <v>11249.262717148933</v>
      </c>
      <c r="U32" s="66"/>
      <c r="V32" s="70">
        <v>0.89519348405630983</v>
      </c>
      <c r="W32" s="66"/>
      <c r="X32" s="13" t="str">
        <f>IFERROR(T32/P32,"")</f>
        <v/>
      </c>
      <c r="Y32" s="66"/>
      <c r="Z32" s="66"/>
      <c r="AA32" s="66"/>
    </row>
    <row r="33" spans="2:27" ht="12.45" x14ac:dyDescent="0.3">
      <c r="B33" s="60">
        <f>MAX(B$15:B32)+1</f>
        <v>11</v>
      </c>
      <c r="D33" s="47" t="s">
        <v>148</v>
      </c>
      <c r="F33" s="46" t="s">
        <v>75</v>
      </c>
      <c r="H33" s="11">
        <v>63329</v>
      </c>
      <c r="I33" s="66"/>
      <c r="J33" s="67"/>
      <c r="K33" s="66"/>
      <c r="L33" s="70"/>
      <c r="M33" s="66"/>
      <c r="N33" s="67"/>
      <c r="O33" s="66"/>
      <c r="P33" s="11">
        <v>0</v>
      </c>
      <c r="Q33" s="66"/>
      <c r="R33" s="11">
        <f>T33-P33</f>
        <v>973.92754953863505</v>
      </c>
      <c r="S33" s="66"/>
      <c r="T33" s="67">
        <f>V33*H33*12/1000</f>
        <v>973.92754953863505</v>
      </c>
      <c r="U33" s="66"/>
      <c r="V33" s="70">
        <v>1.2815713042716541</v>
      </c>
      <c r="W33" s="66"/>
      <c r="X33" s="13" t="str">
        <f>IFERROR(T33/P33,"")</f>
        <v/>
      </c>
      <c r="Y33" s="66"/>
      <c r="Z33" s="66"/>
      <c r="AA33" s="66"/>
    </row>
    <row r="34" spans="2:27" ht="12.45" x14ac:dyDescent="0.3"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</row>
    <row r="35" spans="2:27" ht="12.45" x14ac:dyDescent="0.3">
      <c r="B35" s="60">
        <f>MAX(B$15:B33)+1</f>
        <v>12</v>
      </c>
      <c r="D35" s="49" t="s">
        <v>149</v>
      </c>
      <c r="F35" s="46" t="s">
        <v>75</v>
      </c>
      <c r="H35" s="11">
        <v>54513</v>
      </c>
      <c r="I35" s="66"/>
      <c r="J35" s="67"/>
      <c r="K35" s="66"/>
      <c r="L35" s="70"/>
      <c r="M35" s="66"/>
      <c r="N35" s="67"/>
      <c r="O35" s="66"/>
      <c r="P35" s="11">
        <v>2470.9084846138221</v>
      </c>
      <c r="Q35" s="66"/>
      <c r="R35" s="11">
        <f>T35-P35</f>
        <v>252.11379310315624</v>
      </c>
      <c r="S35" s="66"/>
      <c r="T35" s="67">
        <f>V35*H35*12/1000</f>
        <v>2723.0222777169784</v>
      </c>
      <c r="U35" s="66"/>
      <c r="V35" s="70">
        <v>4.1626497008618406</v>
      </c>
      <c r="W35" s="66"/>
      <c r="X35" s="13">
        <f t="shared" ref="X35" si="4">IFERROR(T35/P35,"")</f>
        <v>1.1020328331352827</v>
      </c>
      <c r="Y35" s="66"/>
      <c r="Z35" s="66"/>
      <c r="AA35" s="66"/>
    </row>
    <row r="36" spans="2:27" ht="12.45" x14ac:dyDescent="0.3"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spans="2:27" ht="12.45" x14ac:dyDescent="0.3">
      <c r="B37" s="60"/>
      <c r="D37" s="49" t="s">
        <v>150</v>
      </c>
      <c r="H37" s="11"/>
      <c r="I37" s="66"/>
      <c r="J37" s="67"/>
      <c r="K37" s="66"/>
      <c r="L37" s="70"/>
      <c r="M37" s="66"/>
      <c r="N37" s="66"/>
      <c r="O37" s="66"/>
      <c r="P37" s="11"/>
      <c r="Q37" s="66"/>
      <c r="R37" s="66"/>
      <c r="S37" s="66"/>
      <c r="T37" s="67"/>
      <c r="U37" s="66"/>
      <c r="V37" s="70"/>
      <c r="W37" s="66"/>
      <c r="X37" s="66"/>
      <c r="Y37" s="66"/>
      <c r="Z37" s="66"/>
      <c r="AA37" s="66"/>
    </row>
    <row r="38" spans="2:27" ht="12.45" x14ac:dyDescent="0.3">
      <c r="B38" s="60">
        <f>MAX(B$15:B37)+1</f>
        <v>13</v>
      </c>
      <c r="D38" s="47" t="s">
        <v>151</v>
      </c>
      <c r="F38" s="46" t="s">
        <v>75</v>
      </c>
      <c r="H38" s="11">
        <v>36927</v>
      </c>
      <c r="I38" s="66"/>
      <c r="J38" s="67"/>
      <c r="K38" s="66"/>
      <c r="L38" s="70"/>
      <c r="M38" s="66"/>
      <c r="N38" s="67"/>
      <c r="O38" s="66"/>
      <c r="P38" s="11">
        <v>0</v>
      </c>
      <c r="Q38" s="66"/>
      <c r="R38" s="11">
        <f t="shared" ref="R38:R45" si="5">T38-P38</f>
        <v>509.07614870037958</v>
      </c>
      <c r="S38" s="66"/>
      <c r="T38" s="67">
        <f>V38*H38*12/1000</f>
        <v>509.07614870037958</v>
      </c>
      <c r="U38" s="66"/>
      <c r="V38" s="70">
        <v>1.1488345219405394</v>
      </c>
      <c r="W38" s="66"/>
      <c r="X38" s="13" t="str">
        <f>IFERROR(T38/P38,"")</f>
        <v/>
      </c>
      <c r="Y38" s="66"/>
      <c r="Z38" s="66"/>
      <c r="AA38" s="66"/>
    </row>
    <row r="39" spans="2:27" ht="12.45" x14ac:dyDescent="0.3">
      <c r="B39" s="60">
        <f>MAX(B$15:B38)+1</f>
        <v>14</v>
      </c>
      <c r="D39" s="47" t="s">
        <v>152</v>
      </c>
      <c r="F39" s="46" t="s">
        <v>75</v>
      </c>
      <c r="H39" s="11">
        <v>0</v>
      </c>
      <c r="I39" s="66"/>
      <c r="J39" s="67"/>
      <c r="K39" s="66"/>
      <c r="L39" s="70"/>
      <c r="M39" s="66"/>
      <c r="N39" s="67"/>
      <c r="O39" s="66"/>
      <c r="P39" s="11">
        <v>0</v>
      </c>
      <c r="Q39" s="66"/>
      <c r="R39" s="11">
        <f t="shared" si="5"/>
        <v>0</v>
      </c>
      <c r="S39" s="66"/>
      <c r="T39" s="67">
        <f>V39*H39*12/1000</f>
        <v>0</v>
      </c>
      <c r="U39" s="66"/>
      <c r="V39" s="70">
        <v>4.193246005082969</v>
      </c>
      <c r="W39" s="66"/>
      <c r="X39" s="13" t="str">
        <f>IFERROR(T39/P39,"")</f>
        <v/>
      </c>
      <c r="Y39" s="66"/>
      <c r="Z39" s="66"/>
      <c r="AA39" s="66"/>
    </row>
    <row r="40" spans="2:27" ht="12.45" x14ac:dyDescent="0.3">
      <c r="B40" s="60">
        <f>MAX(B$15:B39)+1</f>
        <v>15</v>
      </c>
      <c r="D40" s="75" t="s">
        <v>153</v>
      </c>
      <c r="F40" s="46" t="s">
        <v>75</v>
      </c>
      <c r="H40" s="11">
        <v>1210000</v>
      </c>
      <c r="I40" s="66"/>
      <c r="J40" s="67"/>
      <c r="K40" s="66"/>
      <c r="L40" s="70"/>
      <c r="M40" s="66"/>
      <c r="N40" s="66"/>
      <c r="O40" s="66"/>
      <c r="P40" s="11">
        <v>18379.517237415243</v>
      </c>
      <c r="Q40" s="66"/>
      <c r="R40" s="11">
        <f t="shared" si="5"/>
        <v>0</v>
      </c>
      <c r="S40" s="66"/>
      <c r="T40" s="67">
        <f>V40*H40*12/1000</f>
        <v>18379.517237415243</v>
      </c>
      <c r="U40" s="66"/>
      <c r="V40" s="70">
        <v>1.265806972273777</v>
      </c>
      <c r="W40" s="66"/>
      <c r="X40" s="13">
        <f t="shared" ref="X40:X45" si="6">IFERROR(T40/P40,"")</f>
        <v>1</v>
      </c>
      <c r="Y40" s="66"/>
      <c r="Z40" s="66"/>
      <c r="AA40" s="66"/>
    </row>
    <row r="41" spans="2:27" ht="12.45" x14ac:dyDescent="0.3">
      <c r="B41" s="60">
        <f>MAX(B$15:B40)+1</f>
        <v>16</v>
      </c>
      <c r="D41" s="47" t="s">
        <v>154</v>
      </c>
      <c r="F41" s="46" t="s">
        <v>75</v>
      </c>
      <c r="H41" s="11">
        <v>203626</v>
      </c>
      <c r="I41" s="66"/>
      <c r="J41" s="67"/>
      <c r="K41" s="66"/>
      <c r="L41" s="70"/>
      <c r="M41" s="66"/>
      <c r="N41" s="67"/>
      <c r="O41" s="66"/>
      <c r="P41" s="11">
        <v>0</v>
      </c>
      <c r="Q41" s="66"/>
      <c r="R41" s="11">
        <f t="shared" si="5"/>
        <v>34.003754328717498</v>
      </c>
      <c r="S41" s="66"/>
      <c r="T41" s="67">
        <f>V41*H41*12/1000</f>
        <v>34.003754328717498</v>
      </c>
      <c r="U41" s="66"/>
      <c r="V41" s="70">
        <v>1.3915935067524735E-2</v>
      </c>
      <c r="W41" s="66"/>
      <c r="X41" s="13" t="str">
        <f>IFERROR(T41/P41,"")</f>
        <v/>
      </c>
      <c r="Y41" s="66"/>
      <c r="Z41" s="66"/>
      <c r="AA41" s="66"/>
    </row>
    <row r="42" spans="2:27" ht="12.45" x14ac:dyDescent="0.3">
      <c r="B42" s="60">
        <f>MAX(B$15:B41)+1</f>
        <v>17</v>
      </c>
      <c r="D42" s="48" t="s">
        <v>142</v>
      </c>
      <c r="F42" s="46" t="s">
        <v>75</v>
      </c>
      <c r="H42" s="11">
        <v>110781</v>
      </c>
      <c r="I42" s="66"/>
      <c r="J42" s="67"/>
      <c r="K42" s="66"/>
      <c r="L42" s="70"/>
      <c r="M42" s="66"/>
      <c r="N42" s="67"/>
      <c r="O42" s="66"/>
      <c r="P42" s="11">
        <v>67.667627285681675</v>
      </c>
      <c r="Q42" s="66"/>
      <c r="R42" s="11">
        <f t="shared" si="5"/>
        <v>0</v>
      </c>
      <c r="S42" s="66"/>
      <c r="T42" s="67">
        <f>P42</f>
        <v>67.667627285681675</v>
      </c>
      <c r="U42" s="66"/>
      <c r="V42" s="70">
        <v>5.0999999999999997E-2</v>
      </c>
      <c r="W42" s="66"/>
      <c r="X42" s="13">
        <f t="shared" si="6"/>
        <v>1</v>
      </c>
      <c r="Y42" s="66"/>
      <c r="Z42" s="66"/>
      <c r="AA42" s="66"/>
    </row>
    <row r="43" spans="2:27" ht="12.45" x14ac:dyDescent="0.3">
      <c r="B43" s="60">
        <f>MAX(B$15:B42)+1</f>
        <v>18</v>
      </c>
      <c r="D43" s="47" t="s">
        <v>155</v>
      </c>
      <c r="F43" s="46" t="s">
        <v>75</v>
      </c>
      <c r="H43" s="11">
        <v>500000</v>
      </c>
      <c r="I43" s="66"/>
      <c r="J43" s="67"/>
      <c r="K43" s="66"/>
      <c r="L43" s="70"/>
      <c r="M43" s="66"/>
      <c r="N43" s="67"/>
      <c r="O43" s="66"/>
      <c r="P43" s="11">
        <v>0</v>
      </c>
      <c r="Q43" s="66"/>
      <c r="R43" s="11">
        <v>141.15476268023593</v>
      </c>
      <c r="S43" s="66"/>
      <c r="T43" s="67">
        <v>141.15476268023593</v>
      </c>
      <c r="U43" s="66"/>
      <c r="V43" s="70">
        <v>2.0873902601287103E-2</v>
      </c>
      <c r="W43" s="66"/>
      <c r="X43" s="13" t="str">
        <f>IFERROR(T43/P43,"")</f>
        <v/>
      </c>
      <c r="Y43" s="66"/>
      <c r="Z43" s="66"/>
      <c r="AA43" s="66"/>
    </row>
    <row r="44" spans="2:27" ht="12.45" x14ac:dyDescent="0.3">
      <c r="B44" s="60">
        <f>MAX(B$15:B43)+1</f>
        <v>19</v>
      </c>
      <c r="D44" s="47" t="s">
        <v>156</v>
      </c>
      <c r="F44" s="46" t="s">
        <v>81</v>
      </c>
      <c r="H44" s="11">
        <v>45665000</v>
      </c>
      <c r="I44" s="66"/>
      <c r="J44" s="11"/>
      <c r="K44" s="66"/>
      <c r="L44" s="70"/>
      <c r="M44" s="66"/>
      <c r="N44" s="67"/>
      <c r="O44" s="66"/>
      <c r="P44" s="11">
        <v>16.867807185072675</v>
      </c>
      <c r="Q44" s="66"/>
      <c r="R44" s="11">
        <f t="shared" si="5"/>
        <v>12796.834495314806</v>
      </c>
      <c r="S44" s="66"/>
      <c r="T44" s="11">
        <v>12813.702302499878</v>
      </c>
      <c r="U44" s="66"/>
      <c r="V44" s="70">
        <v>0</v>
      </c>
      <c r="W44" s="66"/>
      <c r="X44" s="13">
        <f t="shared" si="6"/>
        <v>759.65430253669751</v>
      </c>
      <c r="Y44" s="66"/>
      <c r="Z44" s="66"/>
      <c r="AA44" s="66"/>
    </row>
    <row r="45" spans="2:27" ht="12.45" x14ac:dyDescent="0.3">
      <c r="B45" s="60">
        <f>MAX(B$15:B44)+1</f>
        <v>20</v>
      </c>
      <c r="D45" s="75" t="s">
        <v>157</v>
      </c>
      <c r="F45" s="46" t="s">
        <v>75</v>
      </c>
      <c r="H45" s="11">
        <v>91095.48</v>
      </c>
      <c r="I45" s="66"/>
      <c r="J45" s="67"/>
      <c r="K45" s="66"/>
      <c r="L45" s="70"/>
      <c r="M45" s="66"/>
      <c r="N45" s="67"/>
      <c r="O45" s="66"/>
      <c r="P45" s="11">
        <v>0</v>
      </c>
      <c r="Q45" s="66"/>
      <c r="R45" s="11">
        <f t="shared" si="5"/>
        <v>179.27590463999999</v>
      </c>
      <c r="S45" s="66"/>
      <c r="T45" s="67">
        <v>179.27590463999999</v>
      </c>
      <c r="U45" s="66"/>
      <c r="V45" s="70">
        <v>0.16400000000000001</v>
      </c>
      <c r="W45" s="66"/>
      <c r="X45" s="13" t="str">
        <f t="shared" si="6"/>
        <v/>
      </c>
      <c r="Y45" s="66"/>
      <c r="Z45" s="66"/>
      <c r="AA45" s="66"/>
    </row>
    <row r="46" spans="2:27" ht="12.45" x14ac:dyDescent="0.3"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</row>
    <row r="47" spans="2:27" ht="12.9" thickBot="1" x14ac:dyDescent="0.35">
      <c r="B47" s="60">
        <f>MAX(B$15:B46)+1</f>
        <v>21</v>
      </c>
      <c r="D47" s="53" t="str">
        <f>"Total " &amp;LEFT(D22,6)</f>
        <v>Total Demand</v>
      </c>
      <c r="H47" s="76">
        <f>SUM(H24:H45)</f>
        <v>51793354.313333333</v>
      </c>
      <c r="I47" s="72"/>
      <c r="J47" s="76">
        <v>142270.45494913991</v>
      </c>
      <c r="K47" s="67"/>
      <c r="L47" s="21">
        <f>J47/$H47*100</f>
        <v>0.27468862914042769</v>
      </c>
      <c r="M47" s="67"/>
      <c r="N47" s="76">
        <f>J47-P47</f>
        <v>27558.988631860557</v>
      </c>
      <c r="O47" s="12"/>
      <c r="P47" s="76">
        <f>SUM(P24:P45)</f>
        <v>114711.46631727935</v>
      </c>
      <c r="Q47" s="12"/>
      <c r="R47" s="76">
        <f>SUM(R24:R45)</f>
        <v>13660.345065664136</v>
      </c>
      <c r="S47" s="67"/>
      <c r="T47" s="76">
        <f>SUM(T24:T45)</f>
        <v>128371.81138294349</v>
      </c>
      <c r="U47" s="67"/>
      <c r="V47" s="21">
        <f>T47/$H47*100</f>
        <v>0.24785382813079615</v>
      </c>
      <c r="W47" s="67"/>
      <c r="X47" s="77">
        <f t="shared" ref="X47" si="7">T47/P47</f>
        <v>1.1190843906386927</v>
      </c>
      <c r="Y47" s="14"/>
      <c r="Z47" s="74">
        <f t="shared" ref="Z47" si="8">V47/L47-1</f>
        <v>-9.769170676487271E-2</v>
      </c>
      <c r="AA47" s="14"/>
    </row>
    <row r="48" spans="2:27" ht="12.9" thickTop="1" x14ac:dyDescent="0.3"/>
    <row r="49" spans="2:27" ht="12.45" x14ac:dyDescent="0.3">
      <c r="B49" s="60"/>
      <c r="D49" s="53" t="s">
        <v>158</v>
      </c>
      <c r="H49" s="17"/>
    </row>
    <row r="50" spans="2:27" ht="12.45" x14ac:dyDescent="0.3">
      <c r="B50" s="60">
        <f>MAX(B$15:B49)+1</f>
        <v>22</v>
      </c>
      <c r="D50" s="24" t="s">
        <v>159</v>
      </c>
      <c r="F50" s="46" t="s">
        <v>81</v>
      </c>
      <c r="H50" s="11">
        <v>402163120.17195404</v>
      </c>
      <c r="I50" s="66"/>
      <c r="J50" s="11"/>
      <c r="K50" s="66"/>
      <c r="L50" s="70"/>
      <c r="M50" s="66"/>
      <c r="N50" s="67"/>
      <c r="O50" s="66"/>
      <c r="P50" s="11">
        <v>14280.266419524896</v>
      </c>
      <c r="Q50" s="66"/>
      <c r="R50" s="11">
        <f>ROUND(T50-P50,0)</f>
        <v>0</v>
      </c>
      <c r="S50" s="66"/>
      <c r="T50" s="11">
        <v>14280.257155979407</v>
      </c>
      <c r="U50" s="66"/>
      <c r="V50" s="70">
        <v>0</v>
      </c>
      <c r="W50" s="66"/>
      <c r="X50" s="13">
        <f>IFERROR(T50/P50,"")</f>
        <v>0.99999935130443529</v>
      </c>
      <c r="Y50" s="66"/>
      <c r="Z50" s="66"/>
      <c r="AA50" s="66"/>
    </row>
    <row r="51" spans="2:27" ht="12.45" x14ac:dyDescent="0.3">
      <c r="B51" s="60">
        <f>MAX(B$15:B50)+1</f>
        <v>23</v>
      </c>
      <c r="D51" s="24" t="s">
        <v>160</v>
      </c>
      <c r="F51" s="46" t="s">
        <v>81</v>
      </c>
      <c r="H51" s="11">
        <v>222367415.58668202</v>
      </c>
      <c r="I51" s="66"/>
      <c r="J51" s="11"/>
      <c r="K51" s="66"/>
      <c r="L51" s="70"/>
      <c r="M51" s="66"/>
      <c r="N51" s="67"/>
      <c r="O51" s="66"/>
      <c r="P51" s="11">
        <v>3993.2055152894104</v>
      </c>
      <c r="Q51" s="66"/>
      <c r="R51" s="11">
        <f t="shared" ref="R51:R53" si="9">ROUND(T51-P51,0)</f>
        <v>0</v>
      </c>
      <c r="S51" s="66"/>
      <c r="T51" s="11">
        <v>3993.1893334309975</v>
      </c>
      <c r="U51" s="66"/>
      <c r="V51" s="70">
        <v>0</v>
      </c>
      <c r="W51" s="66"/>
      <c r="X51" s="13">
        <f>IFERROR(T51/P51,"")</f>
        <v>0.99999594765199262</v>
      </c>
      <c r="Y51" s="66"/>
      <c r="Z51" s="66"/>
      <c r="AA51" s="66"/>
    </row>
    <row r="52" spans="2:27" ht="12.45" x14ac:dyDescent="0.3"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11"/>
      <c r="S52" s="66"/>
      <c r="T52" s="66"/>
      <c r="U52" s="66"/>
      <c r="V52" s="66"/>
      <c r="W52" s="66"/>
      <c r="X52" s="66"/>
      <c r="Y52" s="66"/>
      <c r="Z52" s="66"/>
      <c r="AA52" s="66"/>
    </row>
    <row r="53" spans="2:27" ht="12.45" x14ac:dyDescent="0.3">
      <c r="B53" s="60">
        <f>MAX(B$15:B52)+1</f>
        <v>24</v>
      </c>
      <c r="D53" s="24" t="s">
        <v>161</v>
      </c>
      <c r="F53" s="46" t="s">
        <v>81</v>
      </c>
      <c r="H53" s="11"/>
      <c r="I53" s="66"/>
      <c r="J53" s="11"/>
      <c r="K53" s="66"/>
      <c r="L53" s="70"/>
      <c r="M53" s="66"/>
      <c r="N53" s="67"/>
      <c r="O53" s="66"/>
      <c r="P53" s="11">
        <v>2015.5593671640891</v>
      </c>
      <c r="Q53" s="66"/>
      <c r="R53" s="11">
        <f t="shared" si="9"/>
        <v>0</v>
      </c>
      <c r="S53" s="66"/>
      <c r="T53" s="11">
        <v>2015.5563882541153</v>
      </c>
      <c r="U53" s="66"/>
      <c r="V53" s="70">
        <v>0</v>
      </c>
      <c r="W53" s="66"/>
      <c r="X53" s="13">
        <f>IFERROR(T53/P53,"")</f>
        <v>0.99999852204305051</v>
      </c>
      <c r="Y53" s="66"/>
      <c r="Z53" s="66"/>
      <c r="AA53" s="66"/>
    </row>
    <row r="54" spans="2:27" ht="12.45" x14ac:dyDescent="0.3">
      <c r="B54" s="60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</row>
    <row r="55" spans="2:27" ht="12.45" x14ac:dyDescent="0.3">
      <c r="B55" s="60">
        <f>MAX(B$15:B54)+1</f>
        <v>25</v>
      </c>
      <c r="D55" s="53" t="str">
        <f>"Total " &amp;D49</f>
        <v>Total Commodity</v>
      </c>
      <c r="H55" s="76">
        <f>SUM(H50:H53)</f>
        <v>624530535.758636</v>
      </c>
      <c r="I55" s="72"/>
      <c r="J55" s="76">
        <v>16203.307197464526</v>
      </c>
      <c r="K55" s="67"/>
      <c r="L55" s="21">
        <f>J55/$H55*100</f>
        <v>2.5944779750091615E-3</v>
      </c>
      <c r="M55" s="67"/>
      <c r="N55" s="76">
        <f>J55-P55</f>
        <v>-4085.7241045138708</v>
      </c>
      <c r="O55" s="12"/>
      <c r="P55" s="76">
        <f>SUM(P50:P53)</f>
        <v>20289.031301978397</v>
      </c>
      <c r="Q55" s="12"/>
      <c r="R55" s="76">
        <f>SUM(R50:R53)</f>
        <v>0</v>
      </c>
      <c r="S55" s="67"/>
      <c r="T55" s="76">
        <f>SUM(T50:T53)</f>
        <v>20289.002877664519</v>
      </c>
      <c r="U55" s="67"/>
      <c r="V55" s="21">
        <f>T55/$H55*100</f>
        <v>3.2486806834863338E-3</v>
      </c>
      <c r="W55" s="67"/>
      <c r="X55" s="77">
        <f t="shared" ref="X55" si="10">T55/P55</f>
        <v>0.99999859903050792</v>
      </c>
      <c r="Y55" s="14"/>
      <c r="Z55" s="50">
        <f t="shared" ref="Z55" si="11">V55/L55-1</f>
        <v>0.25215196073301116</v>
      </c>
      <c r="AA55" s="14"/>
    </row>
    <row r="56" spans="2:27" ht="12.45" x14ac:dyDescent="0.3"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</row>
    <row r="57" spans="2:27" ht="12.9" thickBot="1" x14ac:dyDescent="0.35">
      <c r="B57" s="60">
        <f>MAX(B$15:B56)+1</f>
        <v>26</v>
      </c>
      <c r="D57" s="53" t="str">
        <f>"Total " &amp;D21</f>
        <v>Total Rate E70</v>
      </c>
      <c r="H57" s="71">
        <f>H47+H55</f>
        <v>676323890.07196927</v>
      </c>
      <c r="I57" s="72"/>
      <c r="J57" s="71">
        <f>J47+J55</f>
        <v>158473.76214660442</v>
      </c>
      <c r="K57" s="67"/>
      <c r="L57" s="26">
        <f>J57/$H57*100</f>
        <v>2.343163748507255E-2</v>
      </c>
      <c r="M57" s="67"/>
      <c r="N57" s="71">
        <f>J57-P57</f>
        <v>23473.264527346677</v>
      </c>
      <c r="O57" s="12"/>
      <c r="P57" s="71">
        <f>P47+P55</f>
        <v>135000.49761925775</v>
      </c>
      <c r="Q57" s="12"/>
      <c r="R57" s="71">
        <f>R47+R55</f>
        <v>13660.345065664136</v>
      </c>
      <c r="S57" s="67"/>
      <c r="T57" s="71">
        <f>T47+T55</f>
        <v>148660.81426060799</v>
      </c>
      <c r="U57" s="67"/>
      <c r="V57" s="26">
        <f>T57/$H57*100</f>
        <v>2.1980713152804442E-2</v>
      </c>
      <c r="W57" s="67"/>
      <c r="X57" s="73">
        <f t="shared" ref="X57" si="12">T57/P57</f>
        <v>1.1011871576938663</v>
      </c>
      <c r="Y57" s="14"/>
      <c r="Z57" s="74">
        <f t="shared" ref="Z57" si="13">V57/L57-1</f>
        <v>-6.1921593537474284E-2</v>
      </c>
      <c r="AA57" s="14"/>
    </row>
    <row r="58" spans="2:27" ht="12.9" thickTop="1" x14ac:dyDescent="0.3"/>
    <row r="59" spans="2:27" ht="12.45" x14ac:dyDescent="0.3"/>
    <row r="60" spans="2:27" ht="12.45" x14ac:dyDescent="0.3"/>
    <row r="61" spans="2:27" ht="12.45" x14ac:dyDescent="0.3"/>
    <row r="62" spans="2:27" ht="12.45" x14ac:dyDescent="0.3"/>
    <row r="63" spans="2:27" ht="12.45" x14ac:dyDescent="0.3"/>
    <row r="64" spans="2:27" ht="12.45" x14ac:dyDescent="0.3">
      <c r="B64" s="97" t="s">
        <v>162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44"/>
    </row>
    <row r="65" spans="2:27" ht="12.45" x14ac:dyDescent="0.3">
      <c r="B65" s="97" t="s">
        <v>130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44"/>
    </row>
    <row r="66" spans="2:27" ht="12.45" x14ac:dyDescent="0.3">
      <c r="B66" s="56"/>
      <c r="C66" s="56"/>
      <c r="D66" s="56"/>
      <c r="E66" s="56"/>
      <c r="F66" s="57"/>
      <c r="G66" s="56"/>
      <c r="H66" s="57"/>
      <c r="I66" s="56"/>
      <c r="J66" s="57"/>
      <c r="K66" s="57"/>
      <c r="L66" s="57"/>
      <c r="M66" s="57"/>
      <c r="N66" s="57"/>
      <c r="O66" s="56"/>
      <c r="P66" s="56"/>
      <c r="Q66" s="56"/>
      <c r="R66" s="56"/>
      <c r="S66" s="56"/>
      <c r="T66" s="56"/>
      <c r="U66" s="56"/>
      <c r="V66" s="56"/>
      <c r="W66" s="56"/>
      <c r="X66" s="3"/>
      <c r="Y66" s="2"/>
      <c r="Z66" s="3"/>
      <c r="AA66" s="2"/>
    </row>
    <row r="67" spans="2:27" ht="12.45" x14ac:dyDescent="0.3">
      <c r="B67" s="57"/>
      <c r="C67" s="57"/>
      <c r="D67" s="57"/>
      <c r="E67" s="57"/>
      <c r="F67" s="56"/>
      <c r="G67" s="57"/>
      <c r="H67" s="56"/>
      <c r="I67" s="57"/>
      <c r="J67" s="58" t="s">
        <v>2</v>
      </c>
      <c r="K67" s="58"/>
      <c r="L67" s="58"/>
      <c r="M67" s="57"/>
      <c r="N67" s="57"/>
      <c r="O67" s="57"/>
      <c r="P67" s="58" t="s">
        <v>131</v>
      </c>
      <c r="Q67" s="58"/>
      <c r="R67" s="58"/>
      <c r="S67" s="58"/>
      <c r="T67" s="58"/>
      <c r="U67" s="58"/>
      <c r="V67" s="58"/>
      <c r="W67" s="58"/>
      <c r="X67" s="4"/>
      <c r="Y67" s="4"/>
      <c r="Z67" s="4"/>
      <c r="AA67" s="4"/>
    </row>
    <row r="68" spans="2:27" ht="12.45" x14ac:dyDescent="0.3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3"/>
      <c r="Y68" s="2"/>
      <c r="Z68" s="3"/>
      <c r="AA68" s="2"/>
    </row>
    <row r="69" spans="2:27" ht="37.299999999999997" x14ac:dyDescent="0.3">
      <c r="B69" s="59" t="s">
        <v>4</v>
      </c>
      <c r="C69" s="59"/>
      <c r="D69" s="59"/>
      <c r="E69" s="59"/>
      <c r="F69" s="60" t="s">
        <v>5</v>
      </c>
      <c r="G69" s="59"/>
      <c r="H69" s="5" t="s">
        <v>6</v>
      </c>
      <c r="I69" s="59"/>
      <c r="J69" s="5" t="s">
        <v>7</v>
      </c>
      <c r="K69" s="5"/>
      <c r="L69" s="5" t="s">
        <v>8</v>
      </c>
      <c r="M69" s="59"/>
      <c r="N69" s="5" t="s">
        <v>9</v>
      </c>
      <c r="O69" s="59"/>
      <c r="P69" s="59" t="s">
        <v>10</v>
      </c>
      <c r="Q69" s="59"/>
      <c r="R69" s="5" t="s">
        <v>11</v>
      </c>
      <c r="S69" s="59"/>
      <c r="T69" s="5" t="s">
        <v>7</v>
      </c>
      <c r="U69" s="59"/>
      <c r="V69" s="5" t="s">
        <v>8</v>
      </c>
      <c r="W69" s="59"/>
      <c r="X69" s="59" t="s">
        <v>12</v>
      </c>
      <c r="Y69" s="59"/>
      <c r="Z69" s="59" t="s">
        <v>13</v>
      </c>
      <c r="AA69" s="59"/>
    </row>
    <row r="70" spans="2:27" ht="12.45" x14ac:dyDescent="0.3">
      <c r="B70" s="61" t="s">
        <v>14</v>
      </c>
      <c r="C70" s="62"/>
      <c r="D70" s="63" t="s">
        <v>15</v>
      </c>
      <c r="E70" s="60"/>
      <c r="F70" s="61" t="s">
        <v>16</v>
      </c>
      <c r="G70" s="60"/>
      <c r="H70" s="61" t="s">
        <v>132</v>
      </c>
      <c r="I70" s="60"/>
      <c r="J70" s="61" t="s">
        <v>18</v>
      </c>
      <c r="K70" s="2"/>
      <c r="L70" s="61" t="s">
        <v>111</v>
      </c>
      <c r="M70" s="60"/>
      <c r="N70" s="61" t="s">
        <v>18</v>
      </c>
      <c r="O70" s="60"/>
      <c r="P70" s="61" t="s">
        <v>18</v>
      </c>
      <c r="Q70" s="60"/>
      <c r="R70" s="61" t="s">
        <v>18</v>
      </c>
      <c r="S70" s="60"/>
      <c r="T70" s="61" t="s">
        <v>18</v>
      </c>
      <c r="U70" s="60"/>
      <c r="V70" s="61" t="s">
        <v>111</v>
      </c>
      <c r="W70" s="60"/>
      <c r="X70" s="61" t="s">
        <v>20</v>
      </c>
      <c r="Y70" s="60"/>
      <c r="Z70" s="61" t="s">
        <v>21</v>
      </c>
      <c r="AA70" s="60"/>
    </row>
    <row r="71" spans="2:27" ht="12.45" x14ac:dyDescent="0.3">
      <c r="B71" s="60"/>
      <c r="C71" s="62"/>
      <c r="D71" s="62"/>
      <c r="E71" s="60"/>
      <c r="F71" s="60"/>
      <c r="G71" s="60"/>
      <c r="H71" s="60" t="s">
        <v>22</v>
      </c>
      <c r="I71" s="60"/>
      <c r="J71" s="60" t="s">
        <v>23</v>
      </c>
      <c r="K71" s="60"/>
      <c r="L71" s="60" t="s">
        <v>24</v>
      </c>
      <c r="M71" s="60"/>
      <c r="N71" s="60" t="s">
        <v>25</v>
      </c>
      <c r="O71" s="60"/>
      <c r="P71" s="60" t="s">
        <v>26</v>
      </c>
      <c r="Q71" s="60"/>
      <c r="R71" s="60" t="s">
        <v>133</v>
      </c>
      <c r="S71" s="60"/>
      <c r="T71" s="64" t="s">
        <v>28</v>
      </c>
      <c r="U71" s="60"/>
      <c r="V71" s="64" t="s">
        <v>29</v>
      </c>
      <c r="W71" s="60"/>
      <c r="X71" s="64" t="s">
        <v>134</v>
      </c>
      <c r="Y71" s="60"/>
      <c r="Z71" s="64" t="s">
        <v>31</v>
      </c>
      <c r="AA71" s="60"/>
    </row>
    <row r="72" spans="2:27" ht="12.45" x14ac:dyDescent="0.3"/>
    <row r="73" spans="2:27" ht="12.45" x14ac:dyDescent="0.3">
      <c r="D73" s="78" t="s">
        <v>163</v>
      </c>
      <c r="F73" s="46"/>
    </row>
    <row r="74" spans="2:27" ht="12.45" x14ac:dyDescent="0.3">
      <c r="B74" s="60">
        <f>MAX(B$15:B73)+1</f>
        <v>27</v>
      </c>
      <c r="D74" s="24" t="s">
        <v>136</v>
      </c>
      <c r="F74" s="46" t="s">
        <v>35</v>
      </c>
      <c r="H74" s="11">
        <v>24</v>
      </c>
      <c r="I74" s="66"/>
      <c r="J74" s="67"/>
      <c r="K74" s="66"/>
      <c r="L74" s="68"/>
      <c r="M74" s="66"/>
      <c r="N74" s="67"/>
      <c r="O74" s="66"/>
      <c r="P74" s="11">
        <v>0</v>
      </c>
      <c r="Q74" s="66"/>
      <c r="R74" s="11">
        <f>T74-P74</f>
        <v>40.065047932398556</v>
      </c>
      <c r="S74" s="66"/>
      <c r="T74" s="67">
        <f>V74*H74/1000</f>
        <v>40.065047932398556</v>
      </c>
      <c r="U74" s="66"/>
      <c r="V74" s="68">
        <v>1669.3769971832733</v>
      </c>
      <c r="W74" s="66"/>
      <c r="X74" s="13" t="str">
        <f>IFERROR(T74/P74,"")</f>
        <v/>
      </c>
      <c r="Y74" s="66"/>
      <c r="Z74" s="66"/>
      <c r="AA74" s="66"/>
    </row>
    <row r="75" spans="2:27" ht="12.45" x14ac:dyDescent="0.3">
      <c r="B75" s="60">
        <f>MAX(B$15:B74)+1</f>
        <v>28</v>
      </c>
      <c r="D75" s="24" t="s">
        <v>164</v>
      </c>
      <c r="F75" s="46" t="s">
        <v>81</v>
      </c>
      <c r="H75" s="11">
        <v>5198226.8965517245</v>
      </c>
      <c r="I75" s="66"/>
      <c r="J75" s="67"/>
      <c r="K75" s="66"/>
      <c r="L75" s="70"/>
      <c r="M75" s="66"/>
      <c r="N75" s="67"/>
      <c r="O75" s="66"/>
      <c r="P75" s="11">
        <v>0</v>
      </c>
      <c r="Q75" s="66"/>
      <c r="R75" s="11">
        <f>T75-P75</f>
        <v>214.62667683696006</v>
      </c>
      <c r="S75" s="66"/>
      <c r="T75" s="67">
        <f>V75*H75/1000</f>
        <v>214.62667683696006</v>
      </c>
      <c r="U75" s="66"/>
      <c r="V75" s="70">
        <v>4.1288439521432581E-2</v>
      </c>
      <c r="W75" s="66"/>
      <c r="X75" s="13" t="str">
        <f>IFERROR(T75/P75,"")</f>
        <v/>
      </c>
      <c r="Y75" s="66"/>
      <c r="Z75" s="66"/>
      <c r="AA75" s="66"/>
    </row>
    <row r="76" spans="2:27" ht="12.45" x14ac:dyDescent="0.3">
      <c r="B76" s="60">
        <f>MAX(B$15:B75)+1</f>
        <v>29</v>
      </c>
      <c r="D76" s="24" t="s">
        <v>165</v>
      </c>
      <c r="F76" s="46"/>
      <c r="H76" s="11"/>
      <c r="I76" s="66"/>
      <c r="J76" s="67"/>
      <c r="K76" s="66"/>
      <c r="L76" s="70"/>
      <c r="M76" s="66"/>
      <c r="N76" s="66"/>
      <c r="O76" s="66"/>
      <c r="P76" s="11"/>
      <c r="Q76" s="66"/>
      <c r="R76" s="66"/>
      <c r="S76" s="66"/>
      <c r="T76" s="67"/>
      <c r="U76" s="66"/>
      <c r="V76" s="70"/>
      <c r="W76" s="66"/>
      <c r="X76" s="66"/>
      <c r="Y76" s="66"/>
      <c r="Z76" s="66"/>
      <c r="AA76" s="66"/>
    </row>
    <row r="77" spans="2:27" ht="12.45" x14ac:dyDescent="0.3">
      <c r="B77" s="60">
        <f>MAX(B$15:B76)+1</f>
        <v>30</v>
      </c>
      <c r="D77" s="24" t="s">
        <v>166</v>
      </c>
      <c r="F77" s="46" t="s">
        <v>167</v>
      </c>
      <c r="H77" s="11">
        <v>7333.333333333333</v>
      </c>
      <c r="I77" s="66"/>
      <c r="J77" s="67"/>
      <c r="K77" s="66"/>
      <c r="L77" s="70"/>
      <c r="M77" s="66"/>
      <c r="N77" s="67"/>
      <c r="O77" s="66"/>
      <c r="P77" s="11">
        <v>4.0222614449731964</v>
      </c>
      <c r="Q77" s="66"/>
      <c r="R77" s="11">
        <f t="shared" ref="R77:R85" si="14">T77-P77</f>
        <v>97.075176485794273</v>
      </c>
      <c r="S77" s="66"/>
      <c r="T77" s="67">
        <f>V77*H77*12/1000</f>
        <v>101.09743793076747</v>
      </c>
      <c r="U77" s="66"/>
      <c r="V77" s="70">
        <v>1.1488345219405394</v>
      </c>
      <c r="W77" s="66"/>
      <c r="X77" s="13">
        <f>IFERROR(T77/P77,"")</f>
        <v>25.134477038312255</v>
      </c>
      <c r="Y77" s="66"/>
      <c r="Z77" s="66"/>
      <c r="AA77" s="66"/>
    </row>
    <row r="78" spans="2:27" ht="12.45" x14ac:dyDescent="0.3">
      <c r="B78" s="60">
        <f>MAX(B$15:B77)+1</f>
        <v>31</v>
      </c>
      <c r="D78" s="24" t="s">
        <v>168</v>
      </c>
      <c r="F78" s="46" t="s">
        <v>81</v>
      </c>
      <c r="H78" s="11">
        <v>655235.89655172406</v>
      </c>
      <c r="I78" s="66"/>
      <c r="J78" s="67"/>
      <c r="K78" s="66"/>
      <c r="L78" s="70"/>
      <c r="M78" s="66"/>
      <c r="N78" s="67"/>
      <c r="O78" s="66"/>
      <c r="P78" s="11">
        <v>10.448574332140192</v>
      </c>
      <c r="Q78" s="66"/>
      <c r="R78" s="11">
        <f t="shared" si="14"/>
        <v>-4.3685872697096784E-9</v>
      </c>
      <c r="S78" s="66"/>
      <c r="T78" s="67">
        <f>V78*H78/1000</f>
        <v>10.448574327771604</v>
      </c>
      <c r="U78" s="66"/>
      <c r="V78" s="70">
        <v>1.59462788634731E-2</v>
      </c>
      <c r="W78" s="66"/>
      <c r="X78" s="13">
        <f t="shared" ref="X78:X88" si="15">IFERROR(T78/P78,"")</f>
        <v>0.99999999958189634</v>
      </c>
      <c r="Y78" s="66"/>
      <c r="Z78" s="66"/>
      <c r="AA78" s="66"/>
    </row>
    <row r="79" spans="2:27" ht="12.45" x14ac:dyDescent="0.3">
      <c r="B79" s="60">
        <f>MAX(B$15:B78)+1</f>
        <v>32</v>
      </c>
      <c r="D79" s="24" t="s">
        <v>169</v>
      </c>
      <c r="F79" s="46" t="s">
        <v>81</v>
      </c>
      <c r="H79" s="11">
        <v>642043</v>
      </c>
      <c r="I79" s="66"/>
      <c r="J79" s="67"/>
      <c r="K79" s="66"/>
      <c r="L79" s="70"/>
      <c r="M79" s="66"/>
      <c r="N79" s="67"/>
      <c r="O79" s="66"/>
      <c r="P79" s="11">
        <v>23.443650525938015</v>
      </c>
      <c r="Q79" s="66"/>
      <c r="R79" s="11">
        <f t="shared" si="14"/>
        <v>-9.8018766436780425E-9</v>
      </c>
      <c r="S79" s="66"/>
      <c r="T79" s="67">
        <f>V79*H79/1000</f>
        <v>23.443650516136138</v>
      </c>
      <c r="U79" s="66"/>
      <c r="V79" s="70">
        <v>3.6514143937611869E-2</v>
      </c>
      <c r="W79" s="66"/>
      <c r="X79" s="13">
        <f t="shared" si="15"/>
        <v>0.99999999958189634</v>
      </c>
      <c r="Y79" s="66"/>
      <c r="Z79" s="66"/>
      <c r="AA79" s="66"/>
    </row>
    <row r="80" spans="2:27" ht="12.45" x14ac:dyDescent="0.3">
      <c r="B80" s="60">
        <f>MAX(B$15:B79)+1</f>
        <v>33</v>
      </c>
      <c r="D80" s="24" t="s">
        <v>170</v>
      </c>
      <c r="F80" s="46" t="s">
        <v>81</v>
      </c>
      <c r="H80" s="11">
        <v>4542991</v>
      </c>
      <c r="I80" s="66"/>
      <c r="J80" s="67"/>
      <c r="K80" s="66"/>
      <c r="L80" s="70"/>
      <c r="M80" s="66"/>
      <c r="N80" s="67"/>
      <c r="O80" s="66"/>
      <c r="P80" s="11">
        <v>72.443801390537558</v>
      </c>
      <c r="Q80" s="66"/>
      <c r="R80" s="11">
        <f t="shared" si="14"/>
        <v>-3.0289044161690981E-8</v>
      </c>
      <c r="S80" s="66"/>
      <c r="T80" s="67">
        <f t="shared" ref="T80:T81" si="16">V80*H80/1000</f>
        <v>72.443801360248514</v>
      </c>
      <c r="U80" s="66"/>
      <c r="V80" s="70">
        <v>1.59462788634731E-2</v>
      </c>
      <c r="W80" s="66"/>
      <c r="X80" s="13">
        <f t="shared" si="15"/>
        <v>0.999999999581896</v>
      </c>
      <c r="Y80" s="66"/>
      <c r="Z80" s="66"/>
      <c r="AA80" s="66"/>
    </row>
    <row r="81" spans="2:27" ht="12.45" x14ac:dyDescent="0.3">
      <c r="B81" s="60">
        <f>MAX(B$15:B80)+1</f>
        <v>34</v>
      </c>
      <c r="D81" s="24" t="s">
        <v>171</v>
      </c>
      <c r="F81" s="46" t="s">
        <v>81</v>
      </c>
      <c r="H81" s="11">
        <v>5048908.75</v>
      </c>
      <c r="I81" s="66"/>
      <c r="J81" s="67"/>
      <c r="K81" s="66"/>
      <c r="L81" s="70"/>
      <c r="M81" s="66"/>
      <c r="N81" s="67"/>
      <c r="O81" s="66"/>
      <c r="P81" s="11">
        <v>184.35658090244817</v>
      </c>
      <c r="Q81" s="66"/>
      <c r="R81" s="11">
        <f t="shared" si="14"/>
        <v>-7.7080130722606555E-8</v>
      </c>
      <c r="S81" s="66"/>
      <c r="T81" s="67">
        <f t="shared" si="16"/>
        <v>184.35658082536804</v>
      </c>
      <c r="U81" s="66"/>
      <c r="V81" s="70">
        <v>3.6514143937611869E-2</v>
      </c>
      <c r="W81" s="66"/>
      <c r="X81" s="13">
        <f t="shared" si="15"/>
        <v>0.99999999958189656</v>
      </c>
      <c r="Y81" s="66"/>
      <c r="Z81" s="66"/>
      <c r="AA81" s="66"/>
    </row>
    <row r="82" spans="2:27" ht="12.45" x14ac:dyDescent="0.3">
      <c r="B82" s="60">
        <f>MAX(B$15:B81)+1</f>
        <v>35</v>
      </c>
      <c r="D82" s="24" t="s">
        <v>172</v>
      </c>
      <c r="F82" s="46"/>
      <c r="H82" s="11"/>
      <c r="I82" s="66"/>
      <c r="J82" s="67"/>
      <c r="K82" s="66"/>
      <c r="L82" s="70"/>
      <c r="M82" s="66"/>
      <c r="N82" s="67"/>
      <c r="O82" s="66"/>
      <c r="P82" s="11"/>
      <c r="Q82" s="66"/>
      <c r="R82" s="11">
        <f t="shared" si="14"/>
        <v>0</v>
      </c>
      <c r="S82" s="66"/>
      <c r="T82" s="67"/>
      <c r="U82" s="66"/>
      <c r="V82" s="70"/>
      <c r="W82" s="66"/>
      <c r="X82" s="66"/>
      <c r="Y82" s="66"/>
      <c r="Z82" s="66"/>
      <c r="AA82" s="66"/>
    </row>
    <row r="83" spans="2:27" ht="12.45" x14ac:dyDescent="0.3">
      <c r="B83" s="60">
        <f>MAX(B$15:B82)+1</f>
        <v>36</v>
      </c>
      <c r="D83" s="24" t="s">
        <v>166</v>
      </c>
      <c r="F83" s="46" t="s">
        <v>167</v>
      </c>
      <c r="H83" s="11">
        <v>0</v>
      </c>
      <c r="I83" s="66"/>
      <c r="J83" s="67"/>
      <c r="K83" s="66"/>
      <c r="L83" s="70"/>
      <c r="M83" s="66"/>
      <c r="N83" s="67"/>
      <c r="O83" s="66"/>
      <c r="P83" s="11">
        <v>0</v>
      </c>
      <c r="Q83" s="66"/>
      <c r="R83" s="11">
        <f t="shared" si="14"/>
        <v>0</v>
      </c>
      <c r="S83" s="66"/>
      <c r="T83" s="67">
        <v>0</v>
      </c>
      <c r="U83" s="66"/>
      <c r="V83" s="70">
        <v>1.0162639647361191</v>
      </c>
      <c r="W83" s="66"/>
      <c r="X83" s="13" t="str">
        <f t="shared" si="15"/>
        <v/>
      </c>
      <c r="Y83" s="66"/>
      <c r="Z83" s="66"/>
      <c r="AA83" s="66"/>
    </row>
    <row r="84" spans="2:27" ht="12.45" x14ac:dyDescent="0.3">
      <c r="B84" s="60">
        <f>MAX(B$15:B83)+1</f>
        <v>37</v>
      </c>
      <c r="D84" s="24" t="s">
        <v>173</v>
      </c>
      <c r="F84" s="46" t="s">
        <v>81</v>
      </c>
      <c r="H84" s="11">
        <v>0</v>
      </c>
      <c r="I84" s="66"/>
      <c r="J84" s="67"/>
      <c r="K84" s="66"/>
      <c r="L84" s="70"/>
      <c r="M84" s="66"/>
      <c r="N84" s="67"/>
      <c r="O84" s="66"/>
      <c r="P84" s="11">
        <v>0</v>
      </c>
      <c r="Q84" s="66"/>
      <c r="R84" s="11">
        <f t="shared" si="14"/>
        <v>0</v>
      </c>
      <c r="S84" s="66"/>
      <c r="T84" s="67">
        <v>0</v>
      </c>
      <c r="U84" s="66"/>
      <c r="V84" s="70">
        <v>1.59462788634731E-2</v>
      </c>
      <c r="W84" s="66"/>
      <c r="X84" s="13" t="str">
        <f t="shared" si="15"/>
        <v/>
      </c>
      <c r="Y84" s="66"/>
      <c r="Z84" s="66"/>
      <c r="AA84" s="66"/>
    </row>
    <row r="85" spans="2:27" ht="12.45" x14ac:dyDescent="0.3">
      <c r="B85" s="60">
        <f>MAX(B$15:B84)+1</f>
        <v>38</v>
      </c>
      <c r="D85" s="24" t="s">
        <v>174</v>
      </c>
      <c r="F85" s="46" t="s">
        <v>81</v>
      </c>
      <c r="H85" s="11">
        <v>0</v>
      </c>
      <c r="I85" s="66"/>
      <c r="J85" s="67"/>
      <c r="K85" s="66"/>
      <c r="L85" s="70"/>
      <c r="M85" s="66"/>
      <c r="N85" s="67"/>
      <c r="O85" s="66"/>
      <c r="P85" s="11">
        <v>0</v>
      </c>
      <c r="Q85" s="66"/>
      <c r="R85" s="11">
        <f t="shared" si="14"/>
        <v>0</v>
      </c>
      <c r="S85" s="66"/>
      <c r="T85" s="67">
        <v>0</v>
      </c>
      <c r="U85" s="66"/>
      <c r="V85" s="70">
        <v>1.59462788634731E-2</v>
      </c>
      <c r="W85" s="66"/>
      <c r="X85" s="13" t="str">
        <f t="shared" si="15"/>
        <v/>
      </c>
      <c r="Y85" s="66"/>
      <c r="Z85" s="66"/>
      <c r="AA85" s="66"/>
    </row>
    <row r="86" spans="2:27" ht="12.45" x14ac:dyDescent="0.3">
      <c r="D86" s="24"/>
      <c r="F86" s="46"/>
      <c r="H86" s="11"/>
      <c r="I86" s="66"/>
      <c r="J86" s="67"/>
      <c r="K86" s="66"/>
      <c r="L86" s="70"/>
      <c r="M86" s="66"/>
      <c r="N86" s="67"/>
      <c r="O86" s="66"/>
      <c r="P86" s="11"/>
      <c r="Q86" s="66"/>
      <c r="R86" s="66"/>
      <c r="S86" s="66"/>
      <c r="T86" s="67"/>
      <c r="U86" s="66"/>
      <c r="V86" s="70"/>
      <c r="W86" s="66"/>
      <c r="X86" s="66"/>
      <c r="Y86" s="66"/>
      <c r="Z86" s="66"/>
      <c r="AA86" s="66"/>
    </row>
    <row r="87" spans="2:27" ht="12.45" x14ac:dyDescent="0.3">
      <c r="B87" s="60">
        <f>MAX(B$15:B86)+1</f>
        <v>39</v>
      </c>
      <c r="D87" s="24" t="s">
        <v>175</v>
      </c>
      <c r="F87" s="46" t="s">
        <v>81</v>
      </c>
      <c r="H87" s="11">
        <v>0</v>
      </c>
      <c r="I87" s="66"/>
      <c r="J87" s="67"/>
      <c r="K87" s="66"/>
      <c r="L87" s="70"/>
      <c r="M87" s="66"/>
      <c r="N87" s="67"/>
      <c r="O87" s="66"/>
      <c r="P87" s="11">
        <v>0</v>
      </c>
      <c r="Q87" s="66"/>
      <c r="R87" s="11">
        <f>T87-P87</f>
        <v>0</v>
      </c>
      <c r="S87" s="66"/>
      <c r="T87" s="67"/>
      <c r="U87" s="66"/>
      <c r="V87" s="70">
        <v>0</v>
      </c>
      <c r="W87" s="66"/>
      <c r="X87" s="13" t="str">
        <f t="shared" si="15"/>
        <v/>
      </c>
      <c r="Y87" s="66"/>
      <c r="Z87" s="66"/>
      <c r="AA87" s="66"/>
    </row>
    <row r="88" spans="2:27" ht="12.45" x14ac:dyDescent="0.3">
      <c r="B88" s="60">
        <f>MAX(B$15:B87)+1</f>
        <v>40</v>
      </c>
      <c r="D88" s="24" t="s">
        <v>176</v>
      </c>
      <c r="F88" s="46" t="s">
        <v>81</v>
      </c>
      <c r="H88" s="11">
        <v>0</v>
      </c>
      <c r="I88" s="66"/>
      <c r="J88" s="67"/>
      <c r="K88" s="66"/>
      <c r="L88" s="70"/>
      <c r="M88" s="66"/>
      <c r="N88" s="67"/>
      <c r="O88" s="66"/>
      <c r="P88" s="11">
        <v>0</v>
      </c>
      <c r="Q88" s="66"/>
      <c r="R88" s="11">
        <f>T88-P88</f>
        <v>0</v>
      </c>
      <c r="S88" s="66"/>
      <c r="T88" s="67"/>
      <c r="U88" s="66"/>
      <c r="V88" s="70">
        <v>0</v>
      </c>
      <c r="W88" s="66"/>
      <c r="X88" s="13" t="str">
        <f t="shared" si="15"/>
        <v/>
      </c>
      <c r="Y88" s="66"/>
      <c r="Z88" s="66"/>
      <c r="AA88" s="66"/>
    </row>
    <row r="89" spans="2:27" ht="12.45" x14ac:dyDescent="0.3">
      <c r="D89" s="24"/>
      <c r="F89" s="46"/>
      <c r="H89" s="66"/>
      <c r="I89" s="66"/>
      <c r="J89" s="66"/>
      <c r="K89" s="66"/>
      <c r="L89" s="70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</row>
    <row r="90" spans="2:27" ht="12.9" thickBot="1" x14ac:dyDescent="0.35">
      <c r="B90" s="60">
        <f>MAX(B$15:B89)+1</f>
        <v>41</v>
      </c>
      <c r="D90" s="53" t="str">
        <f>"Total " &amp;D73</f>
        <v>Total Rate E72</v>
      </c>
      <c r="H90" s="71">
        <f>SUM(H78:H81)</f>
        <v>10889178.646551725</v>
      </c>
      <c r="I90" s="72"/>
      <c r="J90" s="71">
        <v>603.30261955727349</v>
      </c>
      <c r="K90" s="67"/>
      <c r="L90" s="26">
        <f>J90/$H90*100</f>
        <v>5.5403868293438397E-3</v>
      </c>
      <c r="M90" s="67"/>
      <c r="N90" s="71">
        <f t="shared" ref="N90" si="17">J90-P90</f>
        <v>308.58775096123634</v>
      </c>
      <c r="O90" s="12"/>
      <c r="P90" s="71">
        <f>SUM(P74:P88)</f>
        <v>294.71486859603715</v>
      </c>
      <c r="Q90" s="12"/>
      <c r="R90" s="71">
        <f>SUM(R74:R88)</f>
        <v>351.76690113361326</v>
      </c>
      <c r="S90" s="67"/>
      <c r="T90" s="71">
        <f>SUM(T74:T88)</f>
        <v>646.48176972965041</v>
      </c>
      <c r="U90" s="67"/>
      <c r="V90" s="26">
        <f>T90/$H90*100</f>
        <v>5.9369194933207546E-3</v>
      </c>
      <c r="W90" s="67"/>
      <c r="X90" s="73">
        <f t="shared" ref="X90" si="18">T90/P90</f>
        <v>2.1935838283604783</v>
      </c>
      <c r="Y90" s="14"/>
      <c r="Z90" s="32">
        <f t="shared" ref="Z90" si="19">V90/L90-1</f>
        <v>7.1571295685842307E-2</v>
      </c>
      <c r="AA90" s="14"/>
    </row>
    <row r="91" spans="2:27" ht="12.9" thickTop="1" x14ac:dyDescent="0.3"/>
    <row r="92" spans="2:27" ht="12.45" x14ac:dyDescent="0.3"/>
    <row r="93" spans="2:27" ht="12.45" x14ac:dyDescent="0.3">
      <c r="D93" s="78" t="s">
        <v>177</v>
      </c>
    </row>
    <row r="94" spans="2:27" ht="12.45" x14ac:dyDescent="0.3">
      <c r="B94" s="60">
        <f>MAX(B$15:B93)+1</f>
        <v>42</v>
      </c>
      <c r="D94" s="24" t="s">
        <v>178</v>
      </c>
      <c r="F94" s="46" t="s">
        <v>35</v>
      </c>
      <c r="H94" s="11">
        <v>792</v>
      </c>
      <c r="I94" s="66"/>
      <c r="J94" s="11"/>
      <c r="K94" s="66"/>
      <c r="L94" s="68"/>
      <c r="M94" s="66"/>
      <c r="N94" s="67"/>
      <c r="O94" s="66"/>
      <c r="P94" s="11">
        <v>1.5625871560085447</v>
      </c>
      <c r="Q94" s="66"/>
      <c r="R94" s="11">
        <f t="shared" ref="R94:R99" si="20">T94-P94</f>
        <v>308.01082801371666</v>
      </c>
      <c r="S94" s="66"/>
      <c r="T94" s="67">
        <f t="shared" ref="T94:T99" si="21">V94*H94/1000</f>
        <v>309.57341516972519</v>
      </c>
      <c r="U94" s="66"/>
      <c r="V94" s="68">
        <v>390.87552420419848</v>
      </c>
      <c r="W94" s="66"/>
      <c r="X94" s="13">
        <f>IFERROR(T94/P94,"")</f>
        <v>198.11593483239432</v>
      </c>
      <c r="Y94" s="66"/>
      <c r="Z94" s="66"/>
      <c r="AA94" s="66"/>
    </row>
    <row r="95" spans="2:27" ht="12.45" x14ac:dyDescent="0.3">
      <c r="B95" s="60">
        <f>MAX(B$15:B94)+1</f>
        <v>43</v>
      </c>
      <c r="D95" s="24" t="s">
        <v>179</v>
      </c>
      <c r="F95" s="46" t="s">
        <v>35</v>
      </c>
      <c r="H95" s="11">
        <v>105</v>
      </c>
      <c r="I95" s="66"/>
      <c r="J95" s="67"/>
      <c r="K95" s="66"/>
      <c r="L95" s="68"/>
      <c r="M95" s="66"/>
      <c r="N95" s="67"/>
      <c r="O95" s="66"/>
      <c r="P95" s="11">
        <v>0.20716117598598136</v>
      </c>
      <c r="Q95" s="66"/>
      <c r="R95" s="11">
        <f t="shared" si="20"/>
        <v>100.83143868660221</v>
      </c>
      <c r="S95" s="66"/>
      <c r="T95" s="67">
        <f t="shared" si="21"/>
        <v>101.0385998625882</v>
      </c>
      <c r="U95" s="66"/>
      <c r="V95" s="68">
        <v>962.27237964369715</v>
      </c>
      <c r="W95" s="66"/>
      <c r="X95" s="13">
        <f>IFERROR(T95/P95,"")</f>
        <v>487.72941832221255</v>
      </c>
      <c r="Y95" s="66"/>
      <c r="Z95" s="66"/>
      <c r="AA95" s="66"/>
    </row>
    <row r="96" spans="2:27" ht="12.45" x14ac:dyDescent="0.3">
      <c r="B96" s="60">
        <f>MAX(B$15:B95)+1</f>
        <v>44</v>
      </c>
      <c r="D96" s="24" t="s">
        <v>180</v>
      </c>
      <c r="F96" s="46" t="s">
        <v>181</v>
      </c>
      <c r="H96" s="11">
        <v>7.75</v>
      </c>
      <c r="I96" s="66"/>
      <c r="J96" s="67"/>
      <c r="K96" s="66"/>
      <c r="L96" s="67"/>
      <c r="M96" s="66"/>
      <c r="N96" s="67"/>
      <c r="O96" s="66"/>
      <c r="P96" s="11">
        <v>0</v>
      </c>
      <c r="Q96" s="66"/>
      <c r="R96" s="11">
        <f t="shared" si="20"/>
        <v>99.974999999999994</v>
      </c>
      <c r="S96" s="66"/>
      <c r="T96" s="67">
        <f t="shared" si="21"/>
        <v>99.974999999999994</v>
      </c>
      <c r="U96" s="66"/>
      <c r="V96" s="68">
        <v>12900</v>
      </c>
      <c r="W96" s="66"/>
      <c r="X96" s="13" t="str">
        <f t="shared" ref="X96:X99" si="22">IFERROR(T96/P96,"")</f>
        <v/>
      </c>
      <c r="Y96" s="66"/>
      <c r="Z96" s="66"/>
      <c r="AA96" s="66"/>
    </row>
    <row r="97" spans="2:27" ht="12.45" x14ac:dyDescent="0.3">
      <c r="B97" s="60">
        <f>MAX(B$15:B96)+1</f>
        <v>45</v>
      </c>
      <c r="D97" s="24" t="s">
        <v>164</v>
      </c>
      <c r="F97" s="46" t="s">
        <v>81</v>
      </c>
      <c r="H97" s="11">
        <v>4791112.166666666</v>
      </c>
      <c r="I97" s="66"/>
      <c r="J97" s="67"/>
      <c r="K97" s="66"/>
      <c r="L97" s="70"/>
      <c r="M97" s="66"/>
      <c r="N97" s="67"/>
      <c r="O97" s="66"/>
      <c r="P97" s="11">
        <v>0</v>
      </c>
      <c r="Q97" s="66"/>
      <c r="R97" s="11">
        <f t="shared" si="20"/>
        <v>197.81754493381644</v>
      </c>
      <c r="S97" s="66"/>
      <c r="T97" s="67">
        <f t="shared" si="21"/>
        <v>197.81754493381644</v>
      </c>
      <c r="U97" s="66"/>
      <c r="V97" s="70">
        <v>4.1288439521432581E-2</v>
      </c>
      <c r="W97" s="66"/>
      <c r="X97" s="13" t="str">
        <f t="shared" si="22"/>
        <v/>
      </c>
      <c r="Y97" s="66"/>
      <c r="Z97" s="66"/>
      <c r="AA97" s="66"/>
    </row>
    <row r="98" spans="2:27" ht="12.45" x14ac:dyDescent="0.3">
      <c r="B98" s="60">
        <f>MAX(B$15:B97)+1</f>
        <v>46</v>
      </c>
      <c r="D98" s="24" t="s">
        <v>182</v>
      </c>
      <c r="F98" s="46" t="s">
        <v>81</v>
      </c>
      <c r="H98" s="11">
        <v>0</v>
      </c>
      <c r="I98" s="66"/>
      <c r="J98" s="67"/>
      <c r="K98" s="66"/>
      <c r="L98" s="70"/>
      <c r="M98" s="66"/>
      <c r="N98" s="66"/>
      <c r="O98" s="66"/>
      <c r="P98" s="11">
        <v>0</v>
      </c>
      <c r="Q98" s="66"/>
      <c r="R98" s="11">
        <f t="shared" si="20"/>
        <v>0</v>
      </c>
      <c r="S98" s="66"/>
      <c r="T98" s="67">
        <f t="shared" si="21"/>
        <v>0</v>
      </c>
      <c r="U98" s="66"/>
      <c r="V98" s="70">
        <v>0</v>
      </c>
      <c r="W98" s="66"/>
      <c r="X98" s="13" t="str">
        <f t="shared" si="22"/>
        <v/>
      </c>
      <c r="Y98" s="66"/>
      <c r="Z98" s="66"/>
      <c r="AA98" s="66"/>
    </row>
    <row r="99" spans="2:27" ht="12.45" x14ac:dyDescent="0.3">
      <c r="B99" s="60">
        <f>MAX(B$15:B98)+1</f>
        <v>47</v>
      </c>
      <c r="D99" s="24" t="s">
        <v>183</v>
      </c>
      <c r="F99" s="46" t="s">
        <v>81</v>
      </c>
      <c r="H99" s="11">
        <v>4791112.166666666</v>
      </c>
      <c r="I99" s="66"/>
      <c r="J99" s="67"/>
      <c r="K99" s="66"/>
      <c r="L99" s="70"/>
      <c r="M99" s="66"/>
      <c r="N99" s="67"/>
      <c r="O99" s="66"/>
      <c r="P99" s="11">
        <v>76.400638686818198</v>
      </c>
      <c r="Q99" s="66"/>
      <c r="R99" s="11">
        <f t="shared" si="20"/>
        <v>-2.2801097273372761E-4</v>
      </c>
      <c r="S99" s="66"/>
      <c r="T99" s="67">
        <f t="shared" si="21"/>
        <v>76.400410675845464</v>
      </c>
      <c r="U99" s="66"/>
      <c r="V99" s="70">
        <v>1.59462788634731E-2</v>
      </c>
      <c r="W99" s="66"/>
      <c r="X99" s="13">
        <f t="shared" si="22"/>
        <v>0.99999701558813314</v>
      </c>
      <c r="Y99" s="66"/>
      <c r="Z99" s="66"/>
      <c r="AA99" s="66"/>
    </row>
    <row r="100" spans="2:27" ht="12.45" x14ac:dyDescent="0.3">
      <c r="D100" s="24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7"/>
      <c r="U100" s="66"/>
      <c r="V100" s="66"/>
      <c r="W100" s="66"/>
      <c r="X100" s="66"/>
      <c r="Y100" s="66"/>
      <c r="Z100" s="66"/>
      <c r="AA100" s="66"/>
    </row>
    <row r="101" spans="2:27" ht="12.9" thickBot="1" x14ac:dyDescent="0.35">
      <c r="B101" s="60">
        <f>MAX(B$15:B100)+1</f>
        <v>48</v>
      </c>
      <c r="D101" s="53" t="str">
        <f>"Total " &amp;D93</f>
        <v>Total Rate E80</v>
      </c>
      <c r="H101" s="71">
        <f>SUM(H97:H99)</f>
        <v>9582224.3333333321</v>
      </c>
      <c r="I101" s="72"/>
      <c r="J101" s="71">
        <v>424.03364183333326</v>
      </c>
      <c r="K101" s="67"/>
      <c r="L101" s="26">
        <f>J101/$H101*100</f>
        <v>4.4252109644131689E-3</v>
      </c>
      <c r="M101" s="67"/>
      <c r="N101" s="71">
        <f t="shared" ref="N101" si="23">J101-P101</f>
        <v>345.86325481452053</v>
      </c>
      <c r="O101" s="12"/>
      <c r="P101" s="71">
        <f>SUM(P94:P99)</f>
        <v>78.170387018812718</v>
      </c>
      <c r="Q101" s="12"/>
      <c r="R101" s="71">
        <f>SUM(R94:R99)</f>
        <v>706.6345836231626</v>
      </c>
      <c r="S101" s="67"/>
      <c r="T101" s="71">
        <f>SUM(T94:T99)</f>
        <v>784.80497064197527</v>
      </c>
      <c r="U101" s="67"/>
      <c r="V101" s="26">
        <f>T101/$H101*100</f>
        <v>8.1902170450330932E-3</v>
      </c>
      <c r="W101" s="67"/>
      <c r="X101" s="73">
        <f t="shared" ref="X101" si="24">T101/P101</f>
        <v>10.039671038766915</v>
      </c>
      <c r="Y101" s="14"/>
      <c r="Z101" s="32">
        <f t="shared" ref="Z101" si="25">V101/L101-1</f>
        <v>0.85080826900626771</v>
      </c>
      <c r="AA101" s="14"/>
    </row>
    <row r="102" spans="2:27" ht="12.9" thickTop="1" x14ac:dyDescent="0.3"/>
    <row r="103" spans="2:27" ht="12.45" x14ac:dyDescent="0.3">
      <c r="D103" s="78" t="s">
        <v>184</v>
      </c>
      <c r="X103" s="51" t="str">
        <f>IFERROR(T104/P104,"")</f>
        <v/>
      </c>
    </row>
    <row r="104" spans="2:27" ht="12.45" x14ac:dyDescent="0.3">
      <c r="B104" s="60">
        <f>MAX(B$15:B103)+1</f>
        <v>49</v>
      </c>
      <c r="D104" s="24" t="s">
        <v>185</v>
      </c>
      <c r="H104" s="11">
        <v>0</v>
      </c>
      <c r="I104" s="66"/>
      <c r="J104" s="11"/>
      <c r="K104" s="66"/>
      <c r="L104" s="66"/>
      <c r="M104" s="66"/>
      <c r="N104" s="11"/>
      <c r="O104" s="66"/>
      <c r="P104" s="66"/>
      <c r="Q104" s="66"/>
      <c r="R104" s="11">
        <v>3560.977942268019</v>
      </c>
      <c r="S104" s="66"/>
      <c r="T104" s="11">
        <v>3560.977942268019</v>
      </c>
      <c r="U104" s="66"/>
      <c r="V104" s="66"/>
      <c r="W104" s="66"/>
      <c r="X104" s="13" t="str">
        <f>IFERROR(T108/P108,"")</f>
        <v/>
      </c>
      <c r="Y104" s="66"/>
      <c r="Z104" s="66"/>
      <c r="AA104" s="66"/>
    </row>
    <row r="105" spans="2:27" ht="12.45" x14ac:dyDescent="0.3"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</row>
    <row r="106" spans="2:27" ht="12.9" thickBot="1" x14ac:dyDescent="0.35">
      <c r="B106" s="60">
        <f>MAX(B$15:B105)+1</f>
        <v>50</v>
      </c>
      <c r="D106" s="53" t="str">
        <f>"Total " &amp;D103</f>
        <v>Total Rate E82</v>
      </c>
      <c r="H106" s="71">
        <f>SUM(H104)</f>
        <v>0</v>
      </c>
      <c r="I106" s="72"/>
      <c r="J106" s="71">
        <v>3560.977942268019</v>
      </c>
      <c r="K106" s="67"/>
      <c r="L106" s="26" t="str">
        <f>IFERROR(J106/$H106*100,"-")</f>
        <v>-</v>
      </c>
      <c r="M106" s="67"/>
      <c r="N106" s="71">
        <f t="shared" ref="N106" si="26">J106-P106</f>
        <v>3560.977942268019</v>
      </c>
      <c r="O106" s="12"/>
      <c r="P106" s="71">
        <f>SUM(P104)</f>
        <v>0</v>
      </c>
      <c r="Q106" s="12"/>
      <c r="R106" s="71">
        <f>SUM(R104)</f>
        <v>3560.977942268019</v>
      </c>
      <c r="S106" s="67"/>
      <c r="T106" s="71">
        <f>SUM(T104)</f>
        <v>3560.977942268019</v>
      </c>
      <c r="U106" s="67"/>
      <c r="V106" s="26" t="str">
        <f>IFERROR(T106/$H106*100,"-")</f>
        <v>-</v>
      </c>
      <c r="W106" s="67"/>
      <c r="X106" s="73" t="str">
        <f>IFERROR(T106/P106,"-")</f>
        <v>-</v>
      </c>
      <c r="Y106" s="14"/>
      <c r="Z106" s="52" t="str">
        <f>IFERROR(V106/L106-1,"-")</f>
        <v>-</v>
      </c>
      <c r="AA106" s="14"/>
    </row>
    <row r="107" spans="2:27" ht="12.9" thickTop="1" x14ac:dyDescent="0.3"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</row>
    <row r="108" spans="2:27" ht="12.45" x14ac:dyDescent="0.3">
      <c r="B108" s="60">
        <f>MAX(B$15:B107)+1</f>
        <v>51</v>
      </c>
      <c r="D108" s="53" t="s">
        <v>186</v>
      </c>
      <c r="H108" s="11">
        <v>0</v>
      </c>
      <c r="I108" s="66"/>
      <c r="J108" s="11">
        <v>1208.6017580038929</v>
      </c>
      <c r="K108" s="66"/>
      <c r="L108" s="66"/>
      <c r="M108" s="66"/>
      <c r="N108" s="11">
        <v>1208.6017580038929</v>
      </c>
      <c r="O108" s="66"/>
      <c r="P108" s="66"/>
      <c r="Q108" s="66"/>
      <c r="R108" s="11">
        <v>896.3364426114556</v>
      </c>
      <c r="S108" s="66"/>
      <c r="T108" s="11">
        <v>896.47523933030857</v>
      </c>
      <c r="U108" s="66"/>
      <c r="V108" s="66"/>
      <c r="W108" s="66"/>
      <c r="X108" s="66"/>
      <c r="Y108" s="66"/>
      <c r="Z108" s="66"/>
      <c r="AA108" s="66"/>
    </row>
    <row r="109" spans="2:27" ht="12.45" x14ac:dyDescent="0.3"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</row>
    <row r="110" spans="2:27" ht="12.9" thickBot="1" x14ac:dyDescent="0.35">
      <c r="B110" s="60">
        <f>MAX(B$15:B109)+1</f>
        <v>52</v>
      </c>
      <c r="D110" s="54" t="s">
        <v>187</v>
      </c>
      <c r="H110" s="79"/>
      <c r="J110" s="71">
        <f>J108+J106+J101+J90+J57+J19</f>
        <v>164814.09614026692</v>
      </c>
      <c r="K110" s="67"/>
      <c r="L110" s="26"/>
      <c r="M110" s="67"/>
      <c r="N110" s="71">
        <f>N108+N106+N101+N90+N57+N19</f>
        <v>29126.880957594854</v>
      </c>
      <c r="O110" s="12"/>
      <c r="P110" s="71">
        <f>P108+P106+P101+P90+P57+P19</f>
        <v>135687.21518267208</v>
      </c>
      <c r="Q110" s="12"/>
      <c r="R110" s="71">
        <f>R108+R106+R101+R90+R57+R19</f>
        <v>19201.406573300384</v>
      </c>
      <c r="S110" s="67"/>
      <c r="T110" s="71">
        <f>T108+T106+T101+T90+T57+T19</f>
        <v>154888.73212837742</v>
      </c>
    </row>
    <row r="111" spans="2:27" ht="12.9" thickTop="1" x14ac:dyDescent="0.3"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</row>
    <row r="112" spans="2:27" ht="12.9" thickBot="1" x14ac:dyDescent="0.35">
      <c r="B112" s="60">
        <f>MAX(B$15:B111)+1</f>
        <v>53</v>
      </c>
      <c r="D112" s="54" t="s">
        <v>188</v>
      </c>
      <c r="E112" s="2"/>
      <c r="J112" s="71">
        <v>5261860.1804221254</v>
      </c>
      <c r="K112" s="67"/>
      <c r="L112" s="26">
        <v>0</v>
      </c>
      <c r="M112" s="67"/>
      <c r="N112" s="71">
        <v>17603.458102522243</v>
      </c>
      <c r="O112" s="12"/>
      <c r="P112" s="71">
        <v>5244256.722319602</v>
      </c>
      <c r="Q112" s="12"/>
      <c r="R112" s="71">
        <v>0</v>
      </c>
      <c r="S112" s="67"/>
      <c r="T112" s="71">
        <v>5244257.1155061778</v>
      </c>
    </row>
    <row r="113" spans="2:21" ht="12.9" thickTop="1" x14ac:dyDescent="0.3"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</row>
    <row r="114" spans="2:21" ht="12.45" x14ac:dyDescent="0.3"/>
    <row r="115" spans="2:21" ht="14.6" x14ac:dyDescent="0.4">
      <c r="B115" s="7" t="s">
        <v>125</v>
      </c>
      <c r="C115" s="80"/>
      <c r="D115" s="80"/>
    </row>
    <row r="116" spans="2:21" ht="14.6" x14ac:dyDescent="0.4">
      <c r="B116" s="81" t="s">
        <v>189</v>
      </c>
      <c r="C116" s="82"/>
      <c r="D116" s="43" t="s">
        <v>190</v>
      </c>
    </row>
    <row r="117" spans="2:21" ht="14.6" x14ac:dyDescent="0.4">
      <c r="B117" s="81" t="s">
        <v>191</v>
      </c>
      <c r="C117" s="82"/>
      <c r="D117" s="55" t="s">
        <v>192</v>
      </c>
    </row>
    <row r="118" spans="2:21" ht="12.45" x14ac:dyDescent="0.3">
      <c r="B118" s="83"/>
      <c r="U118" s="84"/>
    </row>
    <row r="119" spans="2:21" ht="12.45" x14ac:dyDescent="0.3">
      <c r="B119" s="83"/>
      <c r="D119" s="43"/>
    </row>
    <row r="120" spans="2:21" ht="12.45" x14ac:dyDescent="0.3"/>
    <row r="121" spans="2:21" ht="12.45" x14ac:dyDescent="0.3"/>
    <row r="122" spans="2:21" ht="12.45" x14ac:dyDescent="0.3"/>
    <row r="123" spans="2:21" ht="12.45" x14ac:dyDescent="0.3"/>
    <row r="124" spans="2:21" ht="12.45" x14ac:dyDescent="0.3"/>
    <row r="125" spans="2:21" ht="12.45" x14ac:dyDescent="0.3"/>
    <row r="126" spans="2:21" ht="12.45" x14ac:dyDescent="0.3"/>
    <row r="127" spans="2:21" ht="12.45" x14ac:dyDescent="0.3"/>
    <row r="128" spans="2:21" ht="12.45" x14ac:dyDescent="0.3"/>
    <row r="129" ht="12.45" x14ac:dyDescent="0.3"/>
    <row r="130" ht="12.45" x14ac:dyDescent="0.3"/>
    <row r="131" ht="12.45" x14ac:dyDescent="0.3"/>
    <row r="132" ht="12.45" x14ac:dyDescent="0.3"/>
    <row r="133" ht="12.45" x14ac:dyDescent="0.3"/>
    <row r="134" ht="12.45" x14ac:dyDescent="0.3"/>
    <row r="135" ht="12.45" x14ac:dyDescent="0.3"/>
    <row r="136" ht="12.45" x14ac:dyDescent="0.3"/>
    <row r="137" ht="12.45" x14ac:dyDescent="0.3"/>
    <row r="138" ht="12.45" x14ac:dyDescent="0.3"/>
    <row r="139" ht="12.45" x14ac:dyDescent="0.3"/>
    <row r="140" ht="12.45" x14ac:dyDescent="0.3"/>
    <row r="141" ht="12.45" x14ac:dyDescent="0.3"/>
    <row r="142" ht="12.45" x14ac:dyDescent="0.3"/>
    <row r="143" ht="12.45" x14ac:dyDescent="0.3"/>
    <row r="144" ht="12.45" x14ac:dyDescent="0.3"/>
    <row r="145" ht="12.45" x14ac:dyDescent="0.3"/>
    <row r="146" ht="12.45" x14ac:dyDescent="0.3"/>
    <row r="147" ht="12.45" x14ac:dyDescent="0.3"/>
    <row r="148" ht="12.45" x14ac:dyDescent="0.3"/>
    <row r="149" ht="12.45" x14ac:dyDescent="0.3"/>
    <row r="150" ht="12.45" x14ac:dyDescent="0.3"/>
    <row r="151" ht="12.45" x14ac:dyDescent="0.3"/>
    <row r="152" ht="12.45" x14ac:dyDescent="0.3"/>
    <row r="153" ht="12.45" x14ac:dyDescent="0.3"/>
    <row r="154" ht="12.45" x14ac:dyDescent="0.3"/>
    <row r="155" ht="12.45" x14ac:dyDescent="0.3"/>
    <row r="156" ht="12.45" x14ac:dyDescent="0.3"/>
    <row r="157" ht="12.45" x14ac:dyDescent="0.3"/>
    <row r="158" ht="12.45" x14ac:dyDescent="0.3"/>
    <row r="159" ht="12.45" x14ac:dyDescent="0.3"/>
    <row r="160" ht="12.45" x14ac:dyDescent="0.3"/>
    <row r="161" ht="12.45" x14ac:dyDescent="0.3"/>
    <row r="162" ht="12.45" x14ac:dyDescent="0.3"/>
    <row r="163" ht="12.45" x14ac:dyDescent="0.3"/>
    <row r="164" ht="12.45" x14ac:dyDescent="0.3"/>
    <row r="165" ht="12.45" x14ac:dyDescent="0.3"/>
    <row r="166" ht="12.45" x14ac:dyDescent="0.3"/>
    <row r="167" ht="12.45" x14ac:dyDescent="0.3"/>
    <row r="168" ht="12.45" x14ac:dyDescent="0.3"/>
    <row r="169" ht="12.45" x14ac:dyDescent="0.3"/>
    <row r="170" ht="12.45" x14ac:dyDescent="0.3"/>
    <row r="171" ht="12.45" x14ac:dyDescent="0.3"/>
    <row r="172" ht="12.45" x14ac:dyDescent="0.3"/>
    <row r="173" ht="12.45" x14ac:dyDescent="0.3"/>
    <row r="174" ht="12.45" x14ac:dyDescent="0.3"/>
    <row r="175" ht="12.45" x14ac:dyDescent="0.3"/>
    <row r="176" ht="12.45" x14ac:dyDescent="0.3"/>
    <row r="177" ht="12.45" x14ac:dyDescent="0.3"/>
    <row r="178" ht="12.45" x14ac:dyDescent="0.3"/>
    <row r="179" ht="12.45" x14ac:dyDescent="0.3"/>
    <row r="180" ht="12.45" x14ac:dyDescent="0.3"/>
    <row r="181" ht="12.45" x14ac:dyDescent="0.3"/>
    <row r="182" ht="12.45" x14ac:dyDescent="0.3"/>
    <row r="183" ht="12.45" x14ac:dyDescent="0.3"/>
    <row r="184" ht="12.45" x14ac:dyDescent="0.3"/>
    <row r="185" ht="12.45" x14ac:dyDescent="0.3"/>
    <row r="186" ht="12.45" x14ac:dyDescent="0.3"/>
    <row r="187" ht="12.45" x14ac:dyDescent="0.3"/>
    <row r="188" ht="12.45" x14ac:dyDescent="0.3"/>
    <row r="189" ht="12.45" x14ac:dyDescent="0.3"/>
    <row r="190" ht="12.45" x14ac:dyDescent="0.3"/>
    <row r="191" ht="12.45" x14ac:dyDescent="0.3"/>
    <row r="192" ht="12.45" x14ac:dyDescent="0.3"/>
    <row r="193" ht="12.45" x14ac:dyDescent="0.3"/>
    <row r="194" ht="12.45" x14ac:dyDescent="0.3"/>
    <row r="195" ht="12.45" x14ac:dyDescent="0.3"/>
    <row r="196" ht="12.45" x14ac:dyDescent="0.3"/>
    <row r="197" ht="12.45" x14ac:dyDescent="0.3"/>
    <row r="198" ht="12.45" x14ac:dyDescent="0.3"/>
    <row r="199" ht="12.45" x14ac:dyDescent="0.3"/>
    <row r="200" ht="12.45" x14ac:dyDescent="0.3"/>
    <row r="201" ht="12.45" x14ac:dyDescent="0.3"/>
    <row r="202" ht="12.45" x14ac:dyDescent="0.3"/>
    <row r="203" ht="12.45" x14ac:dyDescent="0.3"/>
    <row r="204" ht="12.45" x14ac:dyDescent="0.3"/>
    <row r="205" ht="12.45" x14ac:dyDescent="0.3"/>
    <row r="206" ht="12.45" x14ac:dyDescent="0.3"/>
    <row r="207" ht="12.45" x14ac:dyDescent="0.3"/>
    <row r="208" ht="12.45" x14ac:dyDescent="0.3"/>
    <row r="209" ht="12.45" x14ac:dyDescent="0.3"/>
    <row r="210" ht="12.45" x14ac:dyDescent="0.3"/>
    <row r="211" ht="12.45" x14ac:dyDescent="0.3"/>
    <row r="212" ht="12.45" x14ac:dyDescent="0.3"/>
    <row r="213" ht="12.45" x14ac:dyDescent="0.3"/>
    <row r="214" ht="12.45" x14ac:dyDescent="0.3"/>
    <row r="215" ht="12.45" x14ac:dyDescent="0.3"/>
    <row r="216" ht="12.45" x14ac:dyDescent="0.3"/>
    <row r="217" ht="12.45" x14ac:dyDescent="0.3"/>
    <row r="218" ht="12.45" x14ac:dyDescent="0.3"/>
    <row r="219" ht="12.45" x14ac:dyDescent="0.3"/>
    <row r="220" ht="12.45" x14ac:dyDescent="0.3"/>
    <row r="221" ht="12.45" x14ac:dyDescent="0.3"/>
    <row r="222" ht="12.45" x14ac:dyDescent="0.3"/>
    <row r="223" ht="12.45" x14ac:dyDescent="0.3"/>
    <row r="224" ht="12.45" x14ac:dyDescent="0.3"/>
    <row r="225" ht="12.45" x14ac:dyDescent="0.3"/>
    <row r="226" ht="12.45" x14ac:dyDescent="0.3"/>
    <row r="227" ht="12.45" x14ac:dyDescent="0.3"/>
    <row r="228" ht="12.45" x14ac:dyDescent="0.3"/>
    <row r="229" ht="12.45" x14ac:dyDescent="0.3"/>
    <row r="230" ht="12.45" x14ac:dyDescent="0.3"/>
    <row r="231" ht="12.45" x14ac:dyDescent="0.3"/>
    <row r="232" ht="12.45" x14ac:dyDescent="0.3"/>
    <row r="233" ht="12.45" x14ac:dyDescent="0.3"/>
    <row r="234" ht="12.45" x14ac:dyDescent="0.3"/>
    <row r="235" ht="12.45" x14ac:dyDescent="0.3"/>
    <row r="236" ht="12.45" x14ac:dyDescent="0.3"/>
    <row r="237" ht="12.45" x14ac:dyDescent="0.3"/>
    <row r="238" ht="12.45" x14ac:dyDescent="0.3"/>
    <row r="239" ht="12.45" x14ac:dyDescent="0.3"/>
    <row r="240" ht="12.45" x14ac:dyDescent="0.3"/>
    <row r="241" ht="12.45" x14ac:dyDescent="0.3"/>
    <row r="242" ht="12.45" x14ac:dyDescent="0.3"/>
    <row r="243" ht="12.45" x14ac:dyDescent="0.3"/>
    <row r="244" ht="12.45" x14ac:dyDescent="0.3"/>
    <row r="245" ht="12.45" x14ac:dyDescent="0.3"/>
    <row r="246" ht="12.45" x14ac:dyDescent="0.3"/>
    <row r="247" ht="12.45" x14ac:dyDescent="0.3"/>
    <row r="248" ht="12.45" x14ac:dyDescent="0.3"/>
    <row r="249" ht="12.45" x14ac:dyDescent="0.3"/>
    <row r="250" ht="12.45" x14ac:dyDescent="0.3"/>
  </sheetData>
  <mergeCells count="4">
    <mergeCell ref="B6:Z6"/>
    <mergeCell ref="B7:Z7"/>
    <mergeCell ref="B64:Z64"/>
    <mergeCell ref="B65:Z65"/>
  </mergeCells>
  <pageMargins left="0.7" right="0.7" top="0.75" bottom="0.75" header="0.3" footer="0.3"/>
  <pageSetup scale="50" firstPageNumber="6" fitToHeight="0" orientation="landscape" useFirstPageNumber="1" horizontalDpi="1200" verticalDpi="1200" r:id="rId1"/>
  <headerFooter>
    <oddHeader>&amp;R&amp;"Arial,Regular"&amp;10Filed: 2025-02-28
EB-2025-0064
Phase 3 Exhibit 8
Tab 2
Schedule 12
Attachment 2
Page &amp;P of 7</oddHeader>
  </headerFooter>
  <rowBreaks count="1" manualBreakCount="1">
    <brk id="58" max="26" man="1"/>
  </rowBreaks>
  <colBreaks count="1" manualBreakCount="1">
    <brk id="2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47A741F9-E942-44C7-97C9-1B48E6C8AABD}"/>
</file>

<file path=customXml/itemProps2.xml><?xml version="1.0" encoding="utf-8"?>
<ds:datastoreItem xmlns:ds="http://schemas.openxmlformats.org/officeDocument/2006/customXml" ds:itemID="{8EECED78-010D-4446-BE07-2CBA79C89842}"/>
</file>

<file path=customXml/itemProps3.xml><?xml version="1.0" encoding="utf-8"?>
<ds:datastoreItem xmlns:ds="http://schemas.openxmlformats.org/officeDocument/2006/customXml" ds:itemID="{0F0D26CF-D657-45DC-A6D5-D626C4712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8.2.12.2 p.1-5</vt:lpstr>
      <vt:lpstr>8.2.12.2 p.6-7</vt:lpstr>
      <vt:lpstr>'8.2.12.2 p.1-5'!Print_Area</vt:lpstr>
      <vt:lpstr>'8.2.12.2 p.6-7'!Print_Area</vt:lpstr>
      <vt:lpstr>'8.2.12.2 p.1-5'!Print_Titles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2025-02-28T15:50:14Z</dcterms:created>
  <dcterms:modified xsi:type="dcterms:W3CDTF">2025-02-28T15:50:23Z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2025-02-28T15:50:21Z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84dff585-dee9-458a-94de-dcae2c0fd1bc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