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79" documentId="13_ncr:1_{35AF4AD4-4DA4-47A1-BFEA-0BFEF808DFA3}" xr6:coauthVersionLast="47" xr6:coauthVersionMax="47" xr10:uidLastSave="{69423391-FF16-4C33-B5DE-86BB56FDBD66}"/>
  <bookViews>
    <workbookView xWindow="28680" yWindow="-120" windowWidth="29040" windowHeight="15720" activeTab="2" xr2:uid="{99CC4194-EFD9-4FBB-BEA0-6266CDB648FF}"/>
  </bookViews>
  <sheets>
    <sheet name="8.2.13.2 p.1-4" sheetId="1" r:id="rId1"/>
    <sheet name="8.2.13.2 p.5-8" sheetId="2" r:id="rId2"/>
    <sheet name="8.2.13.2 p.9-10" sheetId="3" r:id="rId3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1" hidden="1">{#N/A,#N/A,FALSE,"H3 Tab 1"}</definedName>
    <definedName name="paolo" localSheetId="2" hidden="1">{#N/A,#N/A,FALSE,"H3 Tab 1"}</definedName>
    <definedName name="paolo" hidden="1">{#N/A,#N/A,FALSE,"H3 Tab 1"}</definedName>
    <definedName name="_xlnm.Print_Area" localSheetId="0">'8.2.13.2 p.1-4'!$A$1:$AA$228</definedName>
    <definedName name="_xlnm.Print_Area" localSheetId="1">'8.2.13.2 p.5-8'!$A$1:$AA$228</definedName>
    <definedName name="_xlnm.Print_Area" localSheetId="2">'8.2.13.2 p.9-10'!$A$1:$AA$119</definedName>
    <definedName name="_xlnm.Print_Titles" localSheetId="0">'8.2.13.2 p.1-4'!$3:$15</definedName>
    <definedName name="_xlnm.Print_Titles" localSheetId="1">'8.2.13.2 p.5-8'!$3:$15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2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1" hidden="1">{#N/A,#N/A,FALSE,"H3 Tab 1"}</definedName>
    <definedName name="wrn.h3T1S1." localSheetId="2" hidden="1">{#N/A,#N/A,FALSE,"H3 Tab 1"}</definedName>
    <definedName name="wrn.h3T1S1." hidden="1">{#N/A,#N/A,FALSE,"H3 Tab 1"}</definedName>
    <definedName name="wrn.H3T1S2." localSheetId="1" hidden="1">{#N/A,#N/A,FALSE,"H3 Tab 1"}</definedName>
    <definedName name="wrn.H3T1S2." localSheetId="2" hidden="1">{#N/A,#N/A,FALSE,"H3 Tab 1"}</definedName>
    <definedName name="wrn.H3T1S2." hidden="1">{#N/A,#N/A,FALSE,"H3 Tab 1"}</definedName>
    <definedName name="wrn.H3T2S3." localSheetId="1" hidden="1">{#N/A,#N/A,FALSE,"H3 Tab 2";#N/A,#N/A,FALSE,"H3 Tab 2"}</definedName>
    <definedName name="wrn.H3T2S3." localSheetId="2" hidden="1">{#N/A,#N/A,FALSE,"H3 Tab 2";#N/A,#N/A,FALSE,"H3 Tab 2"}</definedName>
    <definedName name="wrn.H3T2S3." hidden="1">{#N/A,#N/A,FALSE,"H3 Tab 2";#N/A,#N/A,FALSE,"H3 Tab 2"}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2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1" hidden="1">{#N/A,#N/A,FALSE,"RevProof"}</definedName>
    <definedName name="wrn.RevProof." localSheetId="2" hidden="1">{#N/A,#N/A,FALSE,"RevProof"}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localSheetId="2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6" i="3" l="1"/>
  <c r="P106" i="3"/>
  <c r="H106" i="3"/>
  <c r="D106" i="3"/>
  <c r="X104" i="3"/>
  <c r="R106" i="3"/>
  <c r="X103" i="3"/>
  <c r="D101" i="3"/>
  <c r="T99" i="3"/>
  <c r="H101" i="3"/>
  <c r="T97" i="3"/>
  <c r="T96" i="3"/>
  <c r="R96" i="3" s="1"/>
  <c r="T95" i="3"/>
  <c r="T94" i="3"/>
  <c r="R94" i="3" s="1"/>
  <c r="P101" i="3"/>
  <c r="D90" i="3"/>
  <c r="X88" i="3"/>
  <c r="R88" i="3"/>
  <c r="P90" i="3"/>
  <c r="R84" i="3"/>
  <c r="R82" i="3"/>
  <c r="T81" i="3"/>
  <c r="T80" i="3"/>
  <c r="T79" i="3"/>
  <c r="R79" i="3" s="1"/>
  <c r="T78" i="3"/>
  <c r="H90" i="3"/>
  <c r="T77" i="3"/>
  <c r="R77" i="3" s="1"/>
  <c r="T75" i="3"/>
  <c r="R75" i="3" s="1"/>
  <c r="T74" i="3"/>
  <c r="R74" i="3" s="1"/>
  <c r="B64" i="3"/>
  <c r="D57" i="3"/>
  <c r="H55" i="3"/>
  <c r="D55" i="3"/>
  <c r="X53" i="3"/>
  <c r="X51" i="3"/>
  <c r="R50" i="3"/>
  <c r="P55" i="3"/>
  <c r="D47" i="3"/>
  <c r="X45" i="3"/>
  <c r="R45" i="3"/>
  <c r="X44" i="3"/>
  <c r="R44" i="3"/>
  <c r="X43" i="3"/>
  <c r="T42" i="3"/>
  <c r="R42" i="3" s="1"/>
  <c r="T41" i="3"/>
  <c r="X41" i="3" s="1"/>
  <c r="T40" i="3"/>
  <c r="X40" i="3" s="1"/>
  <c r="T39" i="3"/>
  <c r="T38" i="3"/>
  <c r="T35" i="3"/>
  <c r="T33" i="3"/>
  <c r="R33" i="3" s="1"/>
  <c r="T32" i="3"/>
  <c r="T29" i="3"/>
  <c r="R29" i="3" s="1"/>
  <c r="T28" i="3"/>
  <c r="X28" i="3" s="1"/>
  <c r="T27" i="3"/>
  <c r="T26" i="3"/>
  <c r="P47" i="3"/>
  <c r="P57" i="3" s="1"/>
  <c r="T25" i="3"/>
  <c r="T24" i="3"/>
  <c r="H47" i="3"/>
  <c r="D19" i="3"/>
  <c r="T17" i="3"/>
  <c r="B17" i="3"/>
  <c r="T15" i="3"/>
  <c r="P19" i="3"/>
  <c r="J223" i="2"/>
  <c r="R218" i="2"/>
  <c r="T217" i="2"/>
  <c r="R217" i="2" s="1"/>
  <c r="T216" i="2"/>
  <c r="R216" i="2" s="1"/>
  <c r="T215" i="2"/>
  <c r="T214" i="2"/>
  <c r="T212" i="2"/>
  <c r="X212" i="2" s="1"/>
  <c r="P219" i="2"/>
  <c r="P209" i="2"/>
  <c r="P221" i="2" s="1"/>
  <c r="T208" i="2"/>
  <c r="R207" i="2"/>
  <c r="H221" i="2"/>
  <c r="L221" i="2" s="1"/>
  <c r="T205" i="2"/>
  <c r="T198" i="2"/>
  <c r="T195" i="2"/>
  <c r="P196" i="2"/>
  <c r="H191" i="2"/>
  <c r="H200" i="2" s="1"/>
  <c r="L200" i="2" s="1"/>
  <c r="T190" i="2"/>
  <c r="P191" i="2"/>
  <c r="P200" i="2" s="1"/>
  <c r="N200" i="2" s="1"/>
  <c r="T189" i="2"/>
  <c r="R189" i="2" s="1"/>
  <c r="T188" i="2"/>
  <c r="L184" i="2"/>
  <c r="T182" i="2"/>
  <c r="T181" i="2"/>
  <c r="X181" i="2" s="1"/>
  <c r="T177" i="2"/>
  <c r="T176" i="2"/>
  <c r="T175" i="2"/>
  <c r="R175" i="2" s="1"/>
  <c r="T174" i="2"/>
  <c r="T172" i="2"/>
  <c r="T165" i="2"/>
  <c r="T162" i="2"/>
  <c r="P163" i="2"/>
  <c r="P167" i="2" s="1"/>
  <c r="N167" i="2" s="1"/>
  <c r="H158" i="2"/>
  <c r="H167" i="2" s="1"/>
  <c r="L167" i="2" s="1"/>
  <c r="T157" i="2"/>
  <c r="T156" i="2"/>
  <c r="R156" i="2" s="1"/>
  <c r="T155" i="2"/>
  <c r="P158" i="2"/>
  <c r="T149" i="2"/>
  <c r="T146" i="2"/>
  <c r="X146" i="2" s="1"/>
  <c r="P147" i="2"/>
  <c r="H147" i="2"/>
  <c r="T139" i="2"/>
  <c r="P140" i="2"/>
  <c r="T138" i="2"/>
  <c r="T137" i="2"/>
  <c r="T136" i="2"/>
  <c r="R136" i="2" s="1"/>
  <c r="H132" i="2"/>
  <c r="L132" i="2" s="1"/>
  <c r="X130" i="2"/>
  <c r="R130" i="2"/>
  <c r="T129" i="2"/>
  <c r="R129" i="2" s="1"/>
  <c r="T127" i="2"/>
  <c r="R127" i="2" s="1"/>
  <c r="T125" i="2"/>
  <c r="T123" i="2"/>
  <c r="R121" i="2"/>
  <c r="T119" i="2"/>
  <c r="T117" i="2"/>
  <c r="X117" i="2" s="1"/>
  <c r="P132" i="2"/>
  <c r="H113" i="2"/>
  <c r="L113" i="2" s="1"/>
  <c r="T111" i="2"/>
  <c r="T110" i="2"/>
  <c r="R110" i="2" s="1"/>
  <c r="P108" i="2"/>
  <c r="P113" i="2" s="1"/>
  <c r="N113" i="2" s="1"/>
  <c r="H108" i="2"/>
  <c r="T107" i="2"/>
  <c r="R107" i="2" s="1"/>
  <c r="T106" i="2"/>
  <c r="T103" i="2"/>
  <c r="T101" i="2"/>
  <c r="R101" i="2" s="1"/>
  <c r="R93" i="2"/>
  <c r="T92" i="2"/>
  <c r="R92" i="2" s="1"/>
  <c r="T91" i="2"/>
  <c r="R91" i="2" s="1"/>
  <c r="T90" i="2"/>
  <c r="R90" i="2" s="1"/>
  <c r="T89" i="2"/>
  <c r="P95" i="2"/>
  <c r="T88" i="2"/>
  <c r="R88" i="2" s="1"/>
  <c r="T87" i="2"/>
  <c r="X87" i="2" s="1"/>
  <c r="T81" i="2"/>
  <c r="R81" i="2" s="1"/>
  <c r="T80" i="2"/>
  <c r="T77" i="2"/>
  <c r="H78" i="2"/>
  <c r="T75" i="2"/>
  <c r="R75" i="2" s="1"/>
  <c r="R73" i="2"/>
  <c r="T71" i="2"/>
  <c r="T64" i="2"/>
  <c r="T61" i="2"/>
  <c r="R61" i="2" s="1"/>
  <c r="T60" i="2"/>
  <c r="X60" i="2" s="1"/>
  <c r="P62" i="2"/>
  <c r="H62" i="2"/>
  <c r="H57" i="2"/>
  <c r="H66" i="2" s="1"/>
  <c r="P55" i="2"/>
  <c r="T54" i="2"/>
  <c r="R54" i="2" s="1"/>
  <c r="T53" i="2"/>
  <c r="R53" i="2" s="1"/>
  <c r="H55" i="2"/>
  <c r="T51" i="2"/>
  <c r="R51" i="2" s="1"/>
  <c r="T50" i="2"/>
  <c r="R50" i="2" s="1"/>
  <c r="P57" i="2"/>
  <c r="P66" i="2" s="1"/>
  <c r="T44" i="2"/>
  <c r="R44" i="2" s="1"/>
  <c r="H42" i="2"/>
  <c r="T41" i="2"/>
  <c r="X41" i="2" s="1"/>
  <c r="P42" i="2"/>
  <c r="T40" i="2"/>
  <c r="X40" i="2" s="1"/>
  <c r="P37" i="2"/>
  <c r="H37" i="2"/>
  <c r="H46" i="2" s="1"/>
  <c r="L46" i="2" s="1"/>
  <c r="T36" i="2"/>
  <c r="T35" i="2"/>
  <c r="R35" i="2" s="1"/>
  <c r="T34" i="2"/>
  <c r="T28" i="2"/>
  <c r="R28" i="2" s="1"/>
  <c r="H26" i="2"/>
  <c r="T24" i="2"/>
  <c r="R24" i="2" s="1"/>
  <c r="T20" i="2"/>
  <c r="R20" i="2" s="1"/>
  <c r="T19" i="2"/>
  <c r="R19" i="2" s="1"/>
  <c r="P21" i="2"/>
  <c r="H21" i="2"/>
  <c r="H30" i="2" s="1"/>
  <c r="L30" i="2" s="1"/>
  <c r="B19" i="2"/>
  <c r="T18" i="2"/>
  <c r="H221" i="1"/>
  <c r="L221" i="1" s="1"/>
  <c r="P219" i="1"/>
  <c r="R218" i="1"/>
  <c r="T217" i="1"/>
  <c r="R217" i="1" s="1"/>
  <c r="T216" i="1"/>
  <c r="R216" i="1" s="1"/>
  <c r="T215" i="1"/>
  <c r="X215" i="1" s="1"/>
  <c r="R215" i="1"/>
  <c r="T214" i="1"/>
  <c r="R214" i="1" s="1"/>
  <c r="T212" i="1"/>
  <c r="X212" i="1" s="1"/>
  <c r="P209" i="1"/>
  <c r="H209" i="1"/>
  <c r="H219" i="1" s="1"/>
  <c r="T208" i="1"/>
  <c r="R208" i="1" s="1"/>
  <c r="R207" i="1"/>
  <c r="T206" i="1"/>
  <c r="X206" i="1" s="1"/>
  <c r="T205" i="1"/>
  <c r="R205" i="1" s="1"/>
  <c r="J223" i="1"/>
  <c r="T198" i="1"/>
  <c r="P196" i="1"/>
  <c r="H196" i="1"/>
  <c r="T194" i="1"/>
  <c r="H191" i="1"/>
  <c r="H200" i="1" s="1"/>
  <c r="T190" i="1"/>
  <c r="T189" i="1"/>
  <c r="T188" i="1"/>
  <c r="R188" i="1" s="1"/>
  <c r="P191" i="1"/>
  <c r="T182" i="1"/>
  <c r="T181" i="1"/>
  <c r="X181" i="1" s="1"/>
  <c r="P184" i="1"/>
  <c r="X179" i="1"/>
  <c r="R179" i="1"/>
  <c r="T177" i="1"/>
  <c r="T176" i="1"/>
  <c r="T175" i="1"/>
  <c r="T174" i="1"/>
  <c r="R174" i="1" s="1"/>
  <c r="T172" i="1"/>
  <c r="T165" i="1"/>
  <c r="P163" i="1"/>
  <c r="T162" i="1"/>
  <c r="H163" i="1"/>
  <c r="H158" i="1"/>
  <c r="H167" i="1" s="1"/>
  <c r="T157" i="1"/>
  <c r="T156" i="1"/>
  <c r="T155" i="1"/>
  <c r="R155" i="1" s="1"/>
  <c r="P158" i="1"/>
  <c r="T149" i="1"/>
  <c r="R149" i="1" s="1"/>
  <c r="T146" i="1"/>
  <c r="X146" i="1" s="1"/>
  <c r="P147" i="1"/>
  <c r="H147" i="1"/>
  <c r="P140" i="1"/>
  <c r="T139" i="1"/>
  <c r="T138" i="1"/>
  <c r="H140" i="1"/>
  <c r="H151" i="1" s="1"/>
  <c r="L151" i="1" s="1"/>
  <c r="T136" i="1"/>
  <c r="R136" i="1" s="1"/>
  <c r="X130" i="1"/>
  <c r="R130" i="1"/>
  <c r="T129" i="1"/>
  <c r="T127" i="1"/>
  <c r="R127" i="1" s="1"/>
  <c r="T125" i="1"/>
  <c r="R125" i="1" s="1"/>
  <c r="T123" i="1"/>
  <c r="R121" i="1"/>
  <c r="T119" i="1"/>
  <c r="T117" i="1"/>
  <c r="R117" i="1" s="1"/>
  <c r="P132" i="1"/>
  <c r="H113" i="1"/>
  <c r="L113" i="1" s="1"/>
  <c r="T111" i="1"/>
  <c r="T110" i="1"/>
  <c r="R110" i="1" s="1"/>
  <c r="H108" i="1"/>
  <c r="T107" i="1"/>
  <c r="R107" i="1" s="1"/>
  <c r="P108" i="1"/>
  <c r="T106" i="1"/>
  <c r="T103" i="1"/>
  <c r="R103" i="1" s="1"/>
  <c r="T101" i="1"/>
  <c r="P95" i="1"/>
  <c r="R93" i="1"/>
  <c r="T92" i="1"/>
  <c r="R92" i="1"/>
  <c r="T91" i="1"/>
  <c r="X91" i="1" s="1"/>
  <c r="R91" i="1"/>
  <c r="T90" i="1"/>
  <c r="X90" i="1" s="1"/>
  <c r="T89" i="1"/>
  <c r="X89" i="1" s="1"/>
  <c r="T88" i="1"/>
  <c r="R88" i="1" s="1"/>
  <c r="T87" i="1"/>
  <c r="X87" i="1" s="1"/>
  <c r="R87" i="1"/>
  <c r="H84" i="1"/>
  <c r="H95" i="1" s="1"/>
  <c r="T81" i="1"/>
  <c r="R81" i="1" s="1"/>
  <c r="T80" i="1"/>
  <c r="R80" i="1" s="1"/>
  <c r="P78" i="1"/>
  <c r="H78" i="1"/>
  <c r="T77" i="1"/>
  <c r="R77" i="1" s="1"/>
  <c r="T76" i="1"/>
  <c r="R76" i="1"/>
  <c r="T75" i="1"/>
  <c r="R75" i="1" s="1"/>
  <c r="R73" i="1"/>
  <c r="T72" i="1"/>
  <c r="P84" i="1"/>
  <c r="P97" i="1" s="1"/>
  <c r="T71" i="1"/>
  <c r="R71" i="1" s="1"/>
  <c r="T64" i="1"/>
  <c r="T61" i="1"/>
  <c r="P62" i="1"/>
  <c r="H62" i="1"/>
  <c r="T54" i="1"/>
  <c r="R54" i="1" s="1"/>
  <c r="T53" i="1"/>
  <c r="R53" i="1" s="1"/>
  <c r="P55" i="1"/>
  <c r="H55" i="1"/>
  <c r="T51" i="1"/>
  <c r="T50" i="1"/>
  <c r="X50" i="1" s="1"/>
  <c r="P57" i="1"/>
  <c r="T44" i="1"/>
  <c r="X44" i="1" s="1"/>
  <c r="H42" i="1"/>
  <c r="T41" i="1"/>
  <c r="R41" i="1" s="1"/>
  <c r="P42" i="1"/>
  <c r="T40" i="1"/>
  <c r="H37" i="1"/>
  <c r="H46" i="1" s="1"/>
  <c r="L46" i="1" s="1"/>
  <c r="T36" i="1"/>
  <c r="T35" i="1"/>
  <c r="R35" i="1" s="1"/>
  <c r="T34" i="1"/>
  <c r="P37" i="1"/>
  <c r="T28" i="1"/>
  <c r="R28" i="1" s="1"/>
  <c r="H26" i="1"/>
  <c r="P26" i="1"/>
  <c r="T25" i="1"/>
  <c r="R25" i="1" s="1"/>
  <c r="R26" i="1" s="1"/>
  <c r="T24" i="1"/>
  <c r="P21" i="1"/>
  <c r="T20" i="1"/>
  <c r="H21" i="1"/>
  <c r="H30" i="1" s="1"/>
  <c r="L30" i="1" s="1"/>
  <c r="B19" i="1"/>
  <c r="T18" i="1"/>
  <c r="X106" i="3" l="1"/>
  <c r="R40" i="3"/>
  <c r="X79" i="3"/>
  <c r="R57" i="2"/>
  <c r="X90" i="2"/>
  <c r="R55" i="2"/>
  <c r="X35" i="2"/>
  <c r="P151" i="2"/>
  <c r="X20" i="2"/>
  <c r="X44" i="2"/>
  <c r="T55" i="2"/>
  <c r="X55" i="2" s="1"/>
  <c r="R146" i="2"/>
  <c r="T108" i="2"/>
  <c r="X108" i="2" s="1"/>
  <c r="T219" i="2"/>
  <c r="X219" i="2" s="1"/>
  <c r="X156" i="2"/>
  <c r="P200" i="1"/>
  <c r="N200" i="1" s="1"/>
  <c r="R90" i="1"/>
  <c r="R95" i="1" s="1"/>
  <c r="P167" i="1"/>
  <c r="R89" i="1"/>
  <c r="T209" i="1"/>
  <c r="P221" i="1"/>
  <c r="X71" i="1"/>
  <c r="X136" i="1"/>
  <c r="X205" i="1"/>
  <c r="R212" i="1"/>
  <c r="X208" i="1"/>
  <c r="X125" i="1"/>
  <c r="R181" i="2"/>
  <c r="X41" i="1"/>
  <c r="X33" i="3"/>
  <c r="R41" i="3"/>
  <c r="X96" i="3"/>
  <c r="X84" i="3"/>
  <c r="R55" i="1"/>
  <c r="R77" i="2"/>
  <c r="R117" i="2"/>
  <c r="R212" i="2"/>
  <c r="R28" i="3"/>
  <c r="N184" i="1"/>
  <c r="X136" i="2"/>
  <c r="V106" i="3"/>
  <c r="T19" i="3"/>
  <c r="X15" i="3"/>
  <c r="R15" i="3"/>
  <c r="R78" i="3"/>
  <c r="X78" i="3"/>
  <c r="X80" i="3"/>
  <c r="R80" i="3"/>
  <c r="X99" i="3"/>
  <c r="R99" i="3"/>
  <c r="R32" i="3"/>
  <c r="X32" i="3"/>
  <c r="X17" i="3"/>
  <c r="R17" i="3"/>
  <c r="H57" i="3"/>
  <c r="X26" i="3"/>
  <c r="R26" i="3"/>
  <c r="X38" i="3"/>
  <c r="R38" i="3"/>
  <c r="R95" i="3"/>
  <c r="X95" i="3"/>
  <c r="X97" i="3"/>
  <c r="R97" i="3"/>
  <c r="X85" i="3"/>
  <c r="R85" i="3"/>
  <c r="X35" i="3"/>
  <c r="R35" i="3"/>
  <c r="X24" i="3"/>
  <c r="T47" i="3"/>
  <c r="R24" i="3"/>
  <c r="X27" i="3"/>
  <c r="R27" i="3"/>
  <c r="T90" i="3"/>
  <c r="X39" i="3"/>
  <c r="R39" i="3"/>
  <c r="X83" i="3"/>
  <c r="R83" i="3"/>
  <c r="X81" i="3"/>
  <c r="R81" i="3"/>
  <c r="X25" i="3"/>
  <c r="R25" i="3"/>
  <c r="P110" i="3"/>
  <c r="H19" i="3"/>
  <c r="R87" i="3"/>
  <c r="X42" i="3"/>
  <c r="X77" i="3"/>
  <c r="X74" i="3"/>
  <c r="X87" i="3"/>
  <c r="X50" i="3"/>
  <c r="X29" i="3"/>
  <c r="T98" i="3"/>
  <c r="T101" i="3" s="1"/>
  <c r="R53" i="3"/>
  <c r="X75" i="3"/>
  <c r="X94" i="3"/>
  <c r="R51" i="3"/>
  <c r="R55" i="3" s="1"/>
  <c r="T55" i="3"/>
  <c r="B19" i="3"/>
  <c r="B24" i="3" s="1"/>
  <c r="T21" i="2"/>
  <c r="X18" i="2"/>
  <c r="R18" i="2"/>
  <c r="R21" i="2" s="1"/>
  <c r="R30" i="2" s="1"/>
  <c r="P78" i="2"/>
  <c r="P84" i="2" s="1"/>
  <c r="P97" i="2" s="1"/>
  <c r="N97" i="2" s="1"/>
  <c r="T194" i="2"/>
  <c r="H196" i="2"/>
  <c r="R40" i="2"/>
  <c r="X50" i="2"/>
  <c r="H84" i="2"/>
  <c r="T72" i="2"/>
  <c r="R72" i="2" s="1"/>
  <c r="X61" i="2"/>
  <c r="X125" i="2"/>
  <c r="R125" i="2"/>
  <c r="X162" i="2"/>
  <c r="R162" i="2"/>
  <c r="X172" i="2"/>
  <c r="T184" i="2"/>
  <c r="R172" i="2"/>
  <c r="X175" i="2"/>
  <c r="X19" i="2"/>
  <c r="P26" i="2"/>
  <c r="P30" i="2" s="1"/>
  <c r="R176" i="2"/>
  <c r="X176" i="2"/>
  <c r="X179" i="2"/>
  <c r="R190" i="2"/>
  <c r="X190" i="2"/>
  <c r="X195" i="2"/>
  <c r="R195" i="2"/>
  <c r="X205" i="2"/>
  <c r="R205" i="2"/>
  <c r="X208" i="2"/>
  <c r="R208" i="2"/>
  <c r="R123" i="2"/>
  <c r="X123" i="2"/>
  <c r="R177" i="2"/>
  <c r="X177" i="2"/>
  <c r="X165" i="2"/>
  <c r="R165" i="2"/>
  <c r="T57" i="2"/>
  <c r="X138" i="2"/>
  <c r="R138" i="2"/>
  <c r="R36" i="2"/>
  <c r="X36" i="2"/>
  <c r="X129" i="2"/>
  <c r="N132" i="2"/>
  <c r="R157" i="2"/>
  <c r="X157" i="2"/>
  <c r="R179" i="2"/>
  <c r="P184" i="2"/>
  <c r="X189" i="2"/>
  <c r="R64" i="2"/>
  <c r="X64" i="2"/>
  <c r="X139" i="2"/>
  <c r="R139" i="2"/>
  <c r="R149" i="2"/>
  <c r="X149" i="2"/>
  <c r="X182" i="2"/>
  <c r="R182" i="2"/>
  <c r="X119" i="2"/>
  <c r="R119" i="2"/>
  <c r="X198" i="2"/>
  <c r="R198" i="2"/>
  <c r="R41" i="2"/>
  <c r="X51" i="2"/>
  <c r="T62" i="2"/>
  <c r="R60" i="2"/>
  <c r="R62" i="2" s="1"/>
  <c r="X80" i="2"/>
  <c r="R80" i="2"/>
  <c r="R87" i="2"/>
  <c r="T95" i="2"/>
  <c r="X89" i="2"/>
  <c r="R89" i="2"/>
  <c r="N151" i="2"/>
  <c r="T158" i="2"/>
  <c r="X155" i="2"/>
  <c r="R155" i="2"/>
  <c r="T161" i="2"/>
  <c r="H163" i="2"/>
  <c r="X215" i="2"/>
  <c r="R215" i="2"/>
  <c r="R34" i="2"/>
  <c r="T37" i="2"/>
  <c r="T42" i="2"/>
  <c r="X34" i="2"/>
  <c r="P46" i="2"/>
  <c r="R71" i="2"/>
  <c r="X71" i="2"/>
  <c r="R103" i="2"/>
  <c r="T140" i="2"/>
  <c r="R137" i="2"/>
  <c r="X137" i="2"/>
  <c r="X174" i="2"/>
  <c r="R174" i="2"/>
  <c r="T191" i="2"/>
  <c r="R188" i="2"/>
  <c r="X188" i="2"/>
  <c r="X214" i="2"/>
  <c r="R214" i="2"/>
  <c r="X216" i="2"/>
  <c r="H140" i="2"/>
  <c r="H151" i="2" s="1"/>
  <c r="L151" i="2" s="1"/>
  <c r="N184" i="2"/>
  <c r="X91" i="2"/>
  <c r="T132" i="2"/>
  <c r="T206" i="2"/>
  <c r="H209" i="2"/>
  <c r="H219" i="2" s="1"/>
  <c r="N221" i="2"/>
  <c r="B20" i="2"/>
  <c r="T25" i="2"/>
  <c r="L66" i="2"/>
  <c r="R106" i="2"/>
  <c r="R108" i="2" s="1"/>
  <c r="T145" i="2"/>
  <c r="N66" i="2"/>
  <c r="T76" i="2"/>
  <c r="R76" i="2" s="1"/>
  <c r="R24" i="1"/>
  <c r="T26" i="1"/>
  <c r="R106" i="1"/>
  <c r="R108" i="1" s="1"/>
  <c r="T108" i="1"/>
  <c r="T113" i="1" s="1"/>
  <c r="X138" i="1"/>
  <c r="R138" i="1"/>
  <c r="X165" i="1"/>
  <c r="R165" i="1"/>
  <c r="X97" i="1"/>
  <c r="N97" i="1"/>
  <c r="R101" i="1"/>
  <c r="R113" i="1" s="1"/>
  <c r="R175" i="1"/>
  <c r="X175" i="1"/>
  <c r="X182" i="1"/>
  <c r="R182" i="1"/>
  <c r="R36" i="1"/>
  <c r="X36" i="1"/>
  <c r="P66" i="1"/>
  <c r="P113" i="1"/>
  <c r="N113" i="1" s="1"/>
  <c r="X139" i="1"/>
  <c r="R139" i="1"/>
  <c r="R176" i="1"/>
  <c r="X176" i="1"/>
  <c r="X198" i="1"/>
  <c r="R198" i="1"/>
  <c r="R123" i="1"/>
  <c r="X123" i="1"/>
  <c r="N132" i="1"/>
  <c r="L167" i="1"/>
  <c r="P30" i="1"/>
  <c r="N30" i="1" s="1"/>
  <c r="R156" i="1"/>
  <c r="X156" i="1"/>
  <c r="X162" i="1"/>
  <c r="R162" i="1"/>
  <c r="R219" i="1"/>
  <c r="R190" i="1"/>
  <c r="X190" i="1"/>
  <c r="X20" i="1"/>
  <c r="R20" i="1"/>
  <c r="X209" i="1"/>
  <c r="V209" i="1"/>
  <c r="N221" i="1"/>
  <c r="X18" i="1"/>
  <c r="R18" i="1"/>
  <c r="X129" i="1"/>
  <c r="R129" i="1"/>
  <c r="P151" i="1"/>
  <c r="R157" i="1"/>
  <c r="X157" i="1"/>
  <c r="X177" i="1"/>
  <c r="R177" i="1"/>
  <c r="X194" i="1"/>
  <c r="R194" i="1"/>
  <c r="N167" i="1"/>
  <c r="X172" i="1"/>
  <c r="T184" i="1"/>
  <c r="R172" i="1"/>
  <c r="X61" i="1"/>
  <c r="R61" i="1"/>
  <c r="P46" i="1"/>
  <c r="N46" i="1" s="1"/>
  <c r="X119" i="1"/>
  <c r="R119" i="1"/>
  <c r="T132" i="1"/>
  <c r="T37" i="1"/>
  <c r="X34" i="1"/>
  <c r="R34" i="1"/>
  <c r="R37" i="1" s="1"/>
  <c r="X51" i="1"/>
  <c r="R51" i="1"/>
  <c r="R78" i="1"/>
  <c r="X40" i="1"/>
  <c r="R40" i="1"/>
  <c r="R42" i="1" s="1"/>
  <c r="T42" i="1"/>
  <c r="R64" i="1"/>
  <c r="X64" i="1"/>
  <c r="R189" i="1"/>
  <c r="X189" i="1"/>
  <c r="H57" i="1"/>
  <c r="H66" i="1" s="1"/>
  <c r="L66" i="1" s="1"/>
  <c r="R44" i="1"/>
  <c r="R50" i="1"/>
  <c r="R57" i="1" s="1"/>
  <c r="R72" i="1"/>
  <c r="R84" i="1" s="1"/>
  <c r="X80" i="1"/>
  <c r="R146" i="1"/>
  <c r="R181" i="1"/>
  <c r="X214" i="1"/>
  <c r="X216" i="1"/>
  <c r="X35" i="1"/>
  <c r="T60" i="1"/>
  <c r="T95" i="1"/>
  <c r="H132" i="1"/>
  <c r="L132" i="1" s="1"/>
  <c r="X149" i="1"/>
  <c r="X155" i="1"/>
  <c r="X174" i="1"/>
  <c r="X188" i="1"/>
  <c r="R206" i="1"/>
  <c r="R209" i="1" s="1"/>
  <c r="T57" i="1"/>
  <c r="T78" i="1"/>
  <c r="T145" i="1"/>
  <c r="T195" i="1"/>
  <c r="T196" i="1" s="1"/>
  <c r="T219" i="1"/>
  <c r="T221" i="1" s="1"/>
  <c r="T55" i="1"/>
  <c r="T161" i="1"/>
  <c r="T19" i="1"/>
  <c r="T21" i="1" s="1"/>
  <c r="B20" i="1"/>
  <c r="T137" i="1"/>
  <c r="T158" i="1"/>
  <c r="T191" i="1"/>
  <c r="H97" i="1"/>
  <c r="L97" i="1" s="1"/>
  <c r="X117" i="1"/>
  <c r="L184" i="1"/>
  <c r="L200" i="1"/>
  <c r="R37" i="2" l="1"/>
  <c r="R46" i="2" s="1"/>
  <c r="V55" i="2"/>
  <c r="T113" i="2"/>
  <c r="R219" i="2"/>
  <c r="V108" i="2"/>
  <c r="V219" i="2"/>
  <c r="R140" i="2"/>
  <c r="R151" i="2" s="1"/>
  <c r="R66" i="2"/>
  <c r="R97" i="1"/>
  <c r="R46" i="1"/>
  <c r="R221" i="1"/>
  <c r="R132" i="1"/>
  <c r="R158" i="1"/>
  <c r="R95" i="2"/>
  <c r="R42" i="2"/>
  <c r="R191" i="1"/>
  <c r="R200" i="1" s="1"/>
  <c r="R158" i="2"/>
  <c r="R132" i="2"/>
  <c r="R90" i="3"/>
  <c r="R78" i="2"/>
  <c r="R19" i="3"/>
  <c r="X101" i="3"/>
  <c r="V101" i="3"/>
  <c r="T57" i="3"/>
  <c r="T110" i="3" s="1"/>
  <c r="X47" i="3"/>
  <c r="V47" i="3"/>
  <c r="B25" i="3"/>
  <c r="X90" i="3"/>
  <c r="V90" i="3"/>
  <c r="X55" i="3"/>
  <c r="V55" i="3"/>
  <c r="X19" i="3"/>
  <c r="V19" i="3"/>
  <c r="X98" i="3"/>
  <c r="R98" i="3"/>
  <c r="R101" i="3" s="1"/>
  <c r="R47" i="3"/>
  <c r="R57" i="3" s="1"/>
  <c r="N30" i="2"/>
  <c r="N46" i="2"/>
  <c r="X206" i="2"/>
  <c r="R206" i="2"/>
  <c r="R209" i="2" s="1"/>
  <c r="R191" i="2"/>
  <c r="R200" i="2" s="1"/>
  <c r="R113" i="2"/>
  <c r="X37" i="2"/>
  <c r="V37" i="2"/>
  <c r="T46" i="2"/>
  <c r="R184" i="2"/>
  <c r="X95" i="2"/>
  <c r="X194" i="2"/>
  <c r="T196" i="2"/>
  <c r="T200" i="2" s="1"/>
  <c r="R194" i="2"/>
  <c r="R196" i="2" s="1"/>
  <c r="V191" i="2"/>
  <c r="X191" i="2"/>
  <c r="X113" i="2"/>
  <c r="V113" i="2"/>
  <c r="Z113" i="2" s="1"/>
  <c r="V158" i="2"/>
  <c r="X158" i="2"/>
  <c r="P223" i="2"/>
  <c r="X184" i="2"/>
  <c r="V184" i="2"/>
  <c r="Z184" i="2" s="1"/>
  <c r="X145" i="2"/>
  <c r="R145" i="2"/>
  <c r="R147" i="2" s="1"/>
  <c r="T147" i="2"/>
  <c r="X132" i="2"/>
  <c r="V132" i="2"/>
  <c r="Z132" i="2" s="1"/>
  <c r="X57" i="2"/>
  <c r="T66" i="2"/>
  <c r="V57" i="2"/>
  <c r="X140" i="2"/>
  <c r="V140" i="2"/>
  <c r="T151" i="2"/>
  <c r="X42" i="2"/>
  <c r="V42" i="2"/>
  <c r="R25" i="2"/>
  <c r="R26" i="2" s="1"/>
  <c r="T26" i="2"/>
  <c r="X21" i="2"/>
  <c r="V21" i="2"/>
  <c r="T30" i="2"/>
  <c r="T78" i="2"/>
  <c r="B21" i="2"/>
  <c r="X62" i="2"/>
  <c r="V62" i="2"/>
  <c r="T209" i="2"/>
  <c r="H95" i="2"/>
  <c r="V95" i="2" s="1"/>
  <c r="H97" i="2"/>
  <c r="L97" i="2" s="1"/>
  <c r="X161" i="2"/>
  <c r="R161" i="2"/>
  <c r="R163" i="2" s="1"/>
  <c r="T163" i="2"/>
  <c r="R84" i="2"/>
  <c r="T30" i="1"/>
  <c r="X21" i="1"/>
  <c r="V21" i="1"/>
  <c r="V113" i="1"/>
  <c r="Z113" i="1" s="1"/>
  <c r="X113" i="1"/>
  <c r="X78" i="1"/>
  <c r="V78" i="1"/>
  <c r="R184" i="1"/>
  <c r="X196" i="1"/>
  <c r="V196" i="1"/>
  <c r="N151" i="1"/>
  <c r="X55" i="1"/>
  <c r="V55" i="1"/>
  <c r="X221" i="1"/>
  <c r="V221" i="1"/>
  <c r="Z221" i="1" s="1"/>
  <c r="X19" i="1"/>
  <c r="R19" i="1"/>
  <c r="R21" i="1" s="1"/>
  <c r="R30" i="1" s="1"/>
  <c r="X158" i="1"/>
  <c r="V158" i="1"/>
  <c r="X57" i="1"/>
  <c r="V57" i="1"/>
  <c r="X42" i="1"/>
  <c r="V42" i="1"/>
  <c r="V37" i="1"/>
  <c r="T46" i="1"/>
  <c r="X37" i="1"/>
  <c r="X184" i="1"/>
  <c r="V184" i="1"/>
  <c r="Z184" i="1" s="1"/>
  <c r="X26" i="1"/>
  <c r="V26" i="1"/>
  <c r="B21" i="1"/>
  <c r="B24" i="1" s="1"/>
  <c r="X145" i="1"/>
  <c r="R145" i="1"/>
  <c r="R147" i="1" s="1"/>
  <c r="T147" i="1"/>
  <c r="X95" i="1"/>
  <c r="V95" i="1"/>
  <c r="R66" i="1"/>
  <c r="X132" i="1"/>
  <c r="V132" i="1"/>
  <c r="Z132" i="1" s="1"/>
  <c r="X219" i="1"/>
  <c r="V219" i="1"/>
  <c r="P223" i="1"/>
  <c r="X161" i="1"/>
  <c r="R161" i="1"/>
  <c r="R163" i="1" s="1"/>
  <c r="R167" i="1" s="1"/>
  <c r="T163" i="1"/>
  <c r="T167" i="1" s="1"/>
  <c r="N66" i="1"/>
  <c r="X137" i="1"/>
  <c r="R137" i="1"/>
  <c r="R140" i="1" s="1"/>
  <c r="R151" i="1" s="1"/>
  <c r="T140" i="1"/>
  <c r="X108" i="1"/>
  <c r="V108" i="1"/>
  <c r="X191" i="1"/>
  <c r="V191" i="1"/>
  <c r="T200" i="1"/>
  <c r="X195" i="1"/>
  <c r="R195" i="1"/>
  <c r="R196" i="1" s="1"/>
  <c r="X60" i="1"/>
  <c r="R60" i="1"/>
  <c r="R62" i="1" s="1"/>
  <c r="T62" i="1"/>
  <c r="T66" i="1" s="1"/>
  <c r="T84" i="1"/>
  <c r="R110" i="3" l="1"/>
  <c r="N223" i="2"/>
  <c r="R97" i="2"/>
  <c r="R221" i="2"/>
  <c r="R167" i="2"/>
  <c r="N223" i="1"/>
  <c r="R223" i="1"/>
  <c r="B26" i="3"/>
  <c r="X57" i="3"/>
  <c r="V57" i="3"/>
  <c r="X200" i="2"/>
  <c r="V200" i="2"/>
  <c r="Z200" i="2" s="1"/>
  <c r="X209" i="2"/>
  <c r="V209" i="2"/>
  <c r="T221" i="2"/>
  <c r="B24" i="2"/>
  <c r="B25" i="2" s="1"/>
  <c r="X26" i="2"/>
  <c r="V26" i="2"/>
  <c r="X151" i="2"/>
  <c r="V151" i="2"/>
  <c r="Z151" i="2" s="1"/>
  <c r="X46" i="2"/>
  <c r="V46" i="2"/>
  <c r="Z46" i="2" s="1"/>
  <c r="X163" i="2"/>
  <c r="V163" i="2"/>
  <c r="X30" i="2"/>
  <c r="V30" i="2"/>
  <c r="Z30" i="2" s="1"/>
  <c r="X196" i="2"/>
  <c r="V196" i="2"/>
  <c r="V66" i="2"/>
  <c r="Z66" i="2" s="1"/>
  <c r="X66" i="2"/>
  <c r="V78" i="2"/>
  <c r="X78" i="2"/>
  <c r="T84" i="2"/>
  <c r="X147" i="2"/>
  <c r="V147" i="2"/>
  <c r="T167" i="2"/>
  <c r="X66" i="1"/>
  <c r="V66" i="1"/>
  <c r="Z66" i="1" s="1"/>
  <c r="X200" i="1"/>
  <c r="V200" i="1"/>
  <c r="Z200" i="1" s="1"/>
  <c r="X167" i="1"/>
  <c r="V167" i="1"/>
  <c r="Z167" i="1" s="1"/>
  <c r="B25" i="1"/>
  <c r="X84" i="1"/>
  <c r="V84" i="1"/>
  <c r="T97" i="1"/>
  <c r="V97" i="1" s="1"/>
  <c r="Z97" i="1" s="1"/>
  <c r="X46" i="1"/>
  <c r="V46" i="1"/>
  <c r="Z46" i="1" s="1"/>
  <c r="X163" i="1"/>
  <c r="V163" i="1"/>
  <c r="X147" i="1"/>
  <c r="V147" i="1"/>
  <c r="X62" i="1"/>
  <c r="V62" i="1"/>
  <c r="X140" i="1"/>
  <c r="V140" i="1"/>
  <c r="T151" i="1"/>
  <c r="X30" i="1"/>
  <c r="V30" i="1"/>
  <c r="Z30" i="1" s="1"/>
  <c r="R223" i="2" l="1"/>
  <c r="B27" i="3"/>
  <c r="X167" i="2"/>
  <c r="V167" i="2"/>
  <c r="Z167" i="2" s="1"/>
  <c r="X221" i="2"/>
  <c r="V221" i="2"/>
  <c r="Z221" i="2" s="1"/>
  <c r="T97" i="2"/>
  <c r="T223" i="2" s="1"/>
  <c r="X84" i="2"/>
  <c r="V84" i="2"/>
  <c r="B26" i="2"/>
  <c r="X151" i="1"/>
  <c r="V151" i="1"/>
  <c r="Z151" i="1" s="1"/>
  <c r="B26" i="1"/>
  <c r="T223" i="1"/>
  <c r="B28" i="1"/>
  <c r="B30" i="1" l="1"/>
  <c r="B34" i="1" s="1"/>
  <c r="B28" i="3"/>
  <c r="X97" i="2"/>
  <c r="V97" i="2"/>
  <c r="Z97" i="2" s="1"/>
  <c r="B28" i="2"/>
  <c r="B35" i="1" l="1"/>
  <c r="B29" i="3"/>
  <c r="B32" i="3" s="1"/>
  <c r="B33" i="3" s="1"/>
  <c r="B35" i="3" s="1"/>
  <c r="B38" i="3" s="1"/>
  <c r="B30" i="2"/>
  <c r="B36" i="1"/>
  <c r="B39" i="3" l="1"/>
  <c r="B40" i="3" s="1"/>
  <c r="B41" i="3" s="1"/>
  <c r="B42" i="3" s="1"/>
  <c r="B43" i="3" s="1"/>
  <c r="B44" i="3" s="1"/>
  <c r="B45" i="3" s="1"/>
  <c r="B47" i="3" s="1"/>
  <c r="B50" i="3" s="1"/>
  <c r="B51" i="3" s="1"/>
  <c r="B53" i="3" s="1"/>
  <c r="B55" i="3" s="1"/>
  <c r="B57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7" i="3" s="1"/>
  <c r="B88" i="3" s="1"/>
  <c r="B90" i="3" s="1"/>
  <c r="B94" i="3" s="1"/>
  <c r="B95" i="3" s="1"/>
  <c r="B96" i="3" s="1"/>
  <c r="B97" i="3" s="1"/>
  <c r="B98" i="3" s="1"/>
  <c r="B99" i="3" s="1"/>
  <c r="B101" i="3" s="1"/>
  <c r="B104" i="3" s="1"/>
  <c r="B106" i="3" s="1"/>
  <c r="B108" i="3" s="1"/>
  <c r="B110" i="3" s="1"/>
  <c r="B112" i="3" s="1"/>
  <c r="B34" i="2"/>
  <c r="B37" i="1"/>
  <c r="B35" i="2" l="1"/>
  <c r="B40" i="1"/>
  <c r="B41" i="1" s="1"/>
  <c r="B42" i="1" s="1"/>
  <c r="B44" i="1" s="1"/>
  <c r="B46" i="1" s="1"/>
  <c r="B50" i="1" s="1"/>
  <c r="B51" i="1" s="1"/>
  <c r="B53" i="1" l="1"/>
  <c r="B54" i="1" s="1"/>
  <c r="B55" i="1" s="1"/>
  <c r="B57" i="1" s="1"/>
  <c r="B60" i="1" s="1"/>
  <c r="B61" i="1" s="1"/>
  <c r="B62" i="1" s="1"/>
  <c r="B64" i="1" s="1"/>
  <c r="B66" i="1" s="1"/>
  <c r="B71" i="1" s="1"/>
  <c r="B72" i="1" s="1"/>
  <c r="B73" i="1" s="1"/>
  <c r="B75" i="1" s="1"/>
  <c r="B76" i="1" s="1"/>
  <c r="B77" i="1" s="1"/>
  <c r="B78" i="1" s="1"/>
  <c r="B80" i="1" s="1"/>
  <c r="B81" i="1" s="1"/>
  <c r="B82" i="1" s="1"/>
  <c r="B84" i="1" s="1"/>
  <c r="B87" i="1" s="1"/>
  <c r="B89" i="1" s="1"/>
  <c r="B90" i="1" s="1"/>
  <c r="B91" i="1" s="1"/>
  <c r="B92" i="1" s="1"/>
  <c r="B93" i="1" s="1"/>
  <c r="B95" i="1" s="1"/>
  <c r="B97" i="1" s="1"/>
  <c r="B101" i="1" s="1"/>
  <c r="B103" i="1" s="1"/>
  <c r="B106" i="1" s="1"/>
  <c r="B107" i="1" s="1"/>
  <c r="B108" i="1" s="1"/>
  <c r="B110" i="1" s="1"/>
  <c r="B111" i="1" s="1"/>
  <c r="B113" i="1" s="1"/>
  <c r="B117" i="1" s="1"/>
  <c r="B119" i="1" s="1"/>
  <c r="B121" i="1" s="1"/>
  <c r="B123" i="1" s="1"/>
  <c r="B125" i="1" s="1"/>
  <c r="B127" i="1" s="1"/>
  <c r="B129" i="1" s="1"/>
  <c r="B130" i="1" s="1"/>
  <c r="B132" i="1" s="1"/>
  <c r="B136" i="1" s="1"/>
  <c r="B137" i="1" s="1"/>
  <c r="B138" i="1" s="1"/>
  <c r="B139" i="1" s="1"/>
  <c r="B140" i="1" s="1"/>
  <c r="B142" i="1" s="1"/>
  <c r="B145" i="1" s="1"/>
  <c r="B146" i="1" s="1"/>
  <c r="B147" i="1" s="1"/>
  <c r="B149" i="1" s="1"/>
  <c r="B151" i="1" s="1"/>
  <c r="B155" i="1" s="1"/>
  <c r="B156" i="1" s="1"/>
  <c r="B157" i="1" s="1"/>
  <c r="B158" i="1" s="1"/>
  <c r="B161" i="1" s="1"/>
  <c r="B162" i="1" s="1"/>
  <c r="B163" i="1" s="1"/>
  <c r="B165" i="1" s="1"/>
  <c r="B167" i="1" s="1"/>
  <c r="B172" i="1" s="1"/>
  <c r="B174" i="1" s="1"/>
  <c r="B175" i="1" s="1"/>
  <c r="B176" i="1" s="1"/>
  <c r="B177" i="1" s="1"/>
  <c r="B179" i="1" s="1"/>
  <c r="B181" i="1" s="1"/>
  <c r="B182" i="1" s="1"/>
  <c r="B184" i="1" s="1"/>
  <c r="B188" i="1" s="1"/>
  <c r="B189" i="1" s="1"/>
  <c r="B190" i="1" s="1"/>
  <c r="B191" i="1" s="1"/>
  <c r="B194" i="1" s="1"/>
  <c r="B195" i="1" s="1"/>
  <c r="B196" i="1" s="1"/>
  <c r="B198" i="1" s="1"/>
  <c r="B200" i="1" s="1"/>
  <c r="B205" i="1" s="1"/>
  <c r="B206" i="1" s="1"/>
  <c r="B207" i="1" s="1"/>
  <c r="B208" i="1" s="1"/>
  <c r="B209" i="1" s="1"/>
  <c r="B212" i="1" s="1"/>
  <c r="B214" i="1" s="1"/>
  <c r="B215" i="1" s="1"/>
  <c r="B216" i="1" s="1"/>
  <c r="B217" i="1" s="1"/>
  <c r="B218" i="1" s="1"/>
  <c r="B219" i="1" s="1"/>
  <c r="B221" i="1" s="1"/>
  <c r="B223" i="1" s="1"/>
  <c r="B36" i="2"/>
  <c r="B37" i="2" s="1"/>
  <c r="B40" i="2" s="1"/>
  <c r="B41" i="2" s="1"/>
  <c r="B42" i="2" s="1"/>
  <c r="B44" i="2" s="1"/>
  <c r="B46" i="2" s="1"/>
  <c r="B50" i="2" s="1"/>
  <c r="B51" i="2" s="1"/>
  <c r="B53" i="2" s="1"/>
  <c r="B54" i="2" s="1"/>
  <c r="B55" i="2" s="1"/>
  <c r="B57" i="2" s="1"/>
  <c r="B60" i="2" s="1"/>
  <c r="B61" i="2" s="1"/>
  <c r="B62" i="2" s="1"/>
  <c r="B64" i="2" s="1"/>
  <c r="B66" i="2" s="1"/>
  <c r="B71" i="2" s="1"/>
  <c r="B72" i="2" s="1"/>
  <c r="B73" i="2" s="1"/>
  <c r="B75" i="2" s="1"/>
  <c r="B76" i="2" s="1"/>
  <c r="B77" i="2" s="1"/>
  <c r="B78" i="2" s="1"/>
  <c r="B80" i="2" s="1"/>
  <c r="B81" i="2" s="1"/>
  <c r="B82" i="2" s="1"/>
  <c r="B84" i="2" s="1"/>
  <c r="B87" i="2" s="1"/>
  <c r="B89" i="2" s="1"/>
  <c r="B90" i="2" s="1"/>
  <c r="B91" i="2" s="1"/>
  <c r="B92" i="2" s="1"/>
  <c r="B93" i="2" s="1"/>
  <c r="B95" i="2" s="1"/>
  <c r="B97" i="2" s="1"/>
  <c r="B101" i="2" s="1"/>
  <c r="B103" i="2" s="1"/>
  <c r="B106" i="2" s="1"/>
  <c r="B107" i="2" s="1"/>
  <c r="B108" i="2" s="1"/>
  <c r="B110" i="2" s="1"/>
  <c r="B111" i="2" s="1"/>
  <c r="B113" i="2" s="1"/>
  <c r="B117" i="2" s="1"/>
  <c r="B119" i="2" s="1"/>
  <c r="B121" i="2" s="1"/>
  <c r="B123" i="2" s="1"/>
  <c r="B125" i="2" s="1"/>
  <c r="B127" i="2" s="1"/>
  <c r="B129" i="2" s="1"/>
  <c r="B130" i="2" s="1"/>
  <c r="B132" i="2" s="1"/>
  <c r="B136" i="2" s="1"/>
  <c r="B137" i="2" s="1"/>
  <c r="B138" i="2" s="1"/>
  <c r="B139" i="2" s="1"/>
  <c r="B140" i="2" s="1"/>
  <c r="B142" i="2" s="1"/>
  <c r="B145" i="2" s="1"/>
  <c r="B146" i="2" s="1"/>
  <c r="B147" i="2" s="1"/>
  <c r="B149" i="2" s="1"/>
  <c r="B151" i="2" s="1"/>
  <c r="B155" i="2" s="1"/>
  <c r="B156" i="2" s="1"/>
  <c r="B157" i="2" s="1"/>
  <c r="B158" i="2" s="1"/>
  <c r="B161" i="2" s="1"/>
  <c r="B162" i="2" s="1"/>
  <c r="B163" i="2" s="1"/>
  <c r="B165" i="2" s="1"/>
  <c r="B167" i="2" s="1"/>
  <c r="B172" i="2" s="1"/>
  <c r="B174" i="2" s="1"/>
  <c r="B175" i="2" s="1"/>
  <c r="B176" i="2" s="1"/>
  <c r="B177" i="2" s="1"/>
  <c r="B179" i="2" s="1"/>
  <c r="B181" i="2" s="1"/>
  <c r="B182" i="2" s="1"/>
  <c r="B184" i="2" s="1"/>
  <c r="B188" i="2" s="1"/>
  <c r="B189" i="2" s="1"/>
  <c r="B190" i="2" s="1"/>
  <c r="B191" i="2" s="1"/>
  <c r="B194" i="2" s="1"/>
  <c r="B195" i="2" s="1"/>
  <c r="B196" i="2" s="1"/>
  <c r="B198" i="2" s="1"/>
  <c r="B200" i="2" s="1"/>
  <c r="B205" i="2" s="1"/>
  <c r="B206" i="2" s="1"/>
  <c r="B207" i="2" s="1"/>
  <c r="B208" i="2" s="1"/>
  <c r="B209" i="2" s="1"/>
  <c r="B212" i="2" s="1"/>
  <c r="B214" i="2" s="1"/>
  <c r="B215" i="2" s="1"/>
  <c r="B216" i="2" s="1"/>
  <c r="B217" i="2" s="1"/>
  <c r="B218" i="2" s="1"/>
  <c r="B219" i="2" s="1"/>
  <c r="B221" i="2" s="1"/>
  <c r="B223" i="2" s="1"/>
  <c r="N101" i="3" l="1"/>
  <c r="L101" i="3"/>
  <c r="Z101" i="3" s="1"/>
  <c r="L55" i="3"/>
  <c r="Z55" i="3" s="1"/>
  <c r="N55" i="3"/>
  <c r="N90" i="3"/>
  <c r="L90" i="3"/>
  <c r="Z90" i="3" s="1"/>
  <c r="J57" i="3"/>
  <c r="N47" i="3"/>
  <c r="L47" i="3"/>
  <c r="Z47" i="3" s="1"/>
  <c r="L106" i="3"/>
  <c r="Z106" i="3" s="1"/>
  <c r="N106" i="3"/>
  <c r="N19" i="3"/>
  <c r="L19" i="3"/>
  <c r="Z19" i="3" s="1"/>
  <c r="L57" i="3" l="1"/>
  <c r="Z57" i="3" s="1"/>
  <c r="N57" i="3"/>
  <c r="J110" i="3"/>
  <c r="N110" i="3"/>
</calcChain>
</file>

<file path=xl/sharedStrings.xml><?xml version="1.0" encoding="utf-8"?>
<sst xmlns="http://schemas.openxmlformats.org/spreadsheetml/2006/main" count="717" uniqueCount="173">
  <si>
    <t>Derivation of Proposed Rates and Revenue by Rate Class - Two Rate Zones</t>
  </si>
  <si>
    <t>In-franchise - North Rate Zone</t>
  </si>
  <si>
    <t>Current Approved</t>
  </si>
  <si>
    <t>Proposed</t>
  </si>
  <si>
    <t>Line</t>
  </si>
  <si>
    <t>Billing</t>
  </si>
  <si>
    <t xml:space="preserve">2024 
Forecast </t>
  </si>
  <si>
    <t>Revenue</t>
  </si>
  <si>
    <t>Rates</t>
  </si>
  <si>
    <t>Revenue (Deficiency) / Sufficiency</t>
  </si>
  <si>
    <t>Revenue Requirement (1)</t>
  </si>
  <si>
    <t>Revenue (Deficiency) / Sufficiency (2)</t>
  </si>
  <si>
    <t>Revenue-
to-Cost</t>
  </si>
  <si>
    <t>Rate 
Change</t>
  </si>
  <si>
    <t>No.</t>
  </si>
  <si>
    <t>Particulars</t>
  </si>
  <si>
    <t>Units</t>
  </si>
  <si>
    <t>Usage</t>
  </si>
  <si>
    <t>($000s)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</si>
  <si>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</si>
  <si>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Ratios</t>
  </si>
  <si>
    <t>(%)</t>
  </si>
  <si>
    <t>(a)</t>
  </si>
  <si>
    <t>(b)</t>
  </si>
  <si>
    <t xml:space="preserve">(c) </t>
  </si>
  <si>
    <t>(d) = (b - e)</t>
  </si>
  <si>
    <t>(e)</t>
  </si>
  <si>
    <t>(f) = (g - e)</t>
  </si>
  <si>
    <t>(g)</t>
  </si>
  <si>
    <t>(h)</t>
  </si>
  <si>
    <t>(i) = (g / e)</t>
  </si>
  <si>
    <t>(j) = (h - c) / (c)</t>
  </si>
  <si>
    <t>Rate E01</t>
  </si>
  <si>
    <t>Monthly Customer Charge</t>
  </si>
  <si>
    <t>bills</t>
  </si>
  <si>
    <t>Delivery Commodity Charge</t>
  </si>
  <si>
    <t>10³m³</t>
  </si>
  <si>
    <t>Delivery Demand Charge</t>
  </si>
  <si>
    <t>10³m³/d</t>
  </si>
  <si>
    <t>Total Delivery</t>
  </si>
  <si>
    <t>Gas Supply Transportation Charge</t>
  </si>
  <si>
    <t>Transportation</t>
  </si>
  <si>
    <t>Transportation - Western</t>
  </si>
  <si>
    <t xml:space="preserve"> </t>
  </si>
  <si>
    <t>Gas Supply Commodity Charge</t>
  </si>
  <si>
    <t>Total Rate E01</t>
  </si>
  <si>
    <t>Rate E02</t>
  </si>
  <si>
    <t>Total Rate E02</t>
  </si>
  <si>
    <t>Rate E10</t>
  </si>
  <si>
    <t>Delivery Contract Demand Charge</t>
  </si>
  <si>
    <r>
      <t>up to 20,000 m</t>
    </r>
    <r>
      <rPr>
        <vertAlign val="superscript"/>
        <sz val="10"/>
        <rFont val="Arial"/>
        <family val="2"/>
      </rPr>
      <t>3</t>
    </r>
  </si>
  <si>
    <r>
      <t>over 20,000 m</t>
    </r>
    <r>
      <rPr>
        <vertAlign val="superscript"/>
        <sz val="10"/>
        <rFont val="Arial"/>
        <family val="2"/>
      </rPr>
      <t>3</t>
    </r>
  </si>
  <si>
    <t>Total Rate E10</t>
  </si>
  <si>
    <t>Rate E20</t>
  </si>
  <si>
    <t>Transportation Commodity</t>
  </si>
  <si>
    <t>Customer Supplied Fuel - Transportation</t>
  </si>
  <si>
    <t>Transportation Demand Charge (Firm)</t>
  </si>
  <si>
    <r>
      <t>up to 30,000 m</t>
    </r>
    <r>
      <rPr>
        <vertAlign val="superscript"/>
        <sz val="10"/>
        <rFont val="Arial"/>
        <family val="2"/>
      </rPr>
      <t>3</t>
    </r>
  </si>
  <si>
    <r>
      <t>next 120,000 m</t>
    </r>
    <r>
      <rPr>
        <vertAlign val="superscript"/>
        <sz val="10"/>
        <rFont val="Arial"/>
        <family val="2"/>
      </rPr>
      <t>3</t>
    </r>
  </si>
  <si>
    <r>
      <t>over 150,000 m</t>
    </r>
    <r>
      <rPr>
        <vertAlign val="superscript"/>
        <sz val="10"/>
        <rFont val="Arial"/>
        <family val="2"/>
      </rPr>
      <t>3</t>
    </r>
  </si>
  <si>
    <t>Transportation Demand Charge (IT)</t>
  </si>
  <si>
    <t>Pre-authorized Interruptible</t>
  </si>
  <si>
    <t>Central Transportation Charge</t>
  </si>
  <si>
    <t>Total Transportation</t>
  </si>
  <si>
    <t>Storage</t>
  </si>
  <si>
    <t>Space Demand</t>
  </si>
  <si>
    <t>Firm Injection/Withdrawal Right</t>
  </si>
  <si>
    <t>Union provides deliverability inventory</t>
  </si>
  <si>
    <t>Customer provides deliverability inventory</t>
  </si>
  <si>
    <t>Firm incremental injection</t>
  </si>
  <si>
    <t>Injection/Withdrawal Commodity (Customer Provides)</t>
  </si>
  <si>
    <t>GJ</t>
  </si>
  <si>
    <t>Customer Supplied Fuel - Storage</t>
  </si>
  <si>
    <t>Total Storage</t>
  </si>
  <si>
    <t>Total Rate E20</t>
  </si>
  <si>
    <t>Rate E22</t>
  </si>
  <si>
    <r>
      <t>over 30,000 m</t>
    </r>
    <r>
      <rPr>
        <vertAlign val="superscript"/>
        <sz val="10"/>
        <rFont val="Arial"/>
        <family val="2"/>
      </rPr>
      <t>3</t>
    </r>
  </si>
  <si>
    <t>Total Rate E22</t>
  </si>
  <si>
    <t>Rate E24</t>
  </si>
  <si>
    <t>Transportation Demand (Firm)</t>
  </si>
  <si>
    <t>Transportation Demand (IT)</t>
  </si>
  <si>
    <t>South Transportation Demand</t>
  </si>
  <si>
    <t>South Transportation CSF</t>
  </si>
  <si>
    <t>Total Rate E24</t>
  </si>
  <si>
    <t>Rate E30</t>
  </si>
  <si>
    <t>Delivery Commodity</t>
  </si>
  <si>
    <t>Delivery Demand (IT)</t>
  </si>
  <si>
    <t>Delivery Demand (Firm)</t>
  </si>
  <si>
    <t>Total Rate E30</t>
  </si>
  <si>
    <t>Rate E34</t>
  </si>
  <si>
    <t>Delivery Demand</t>
  </si>
  <si>
    <t>Total Rate E34</t>
  </si>
  <si>
    <t>Rate E38</t>
  </si>
  <si>
    <t>($/GJ)</t>
  </si>
  <si>
    <t>Transportation Demand</t>
  </si>
  <si>
    <t>Total Rate E38</t>
  </si>
  <si>
    <t>Rate E62</t>
  </si>
  <si>
    <t>Total Rate E62</t>
  </si>
  <si>
    <t>Rate E64</t>
  </si>
  <si>
    <t>Total Rate E64</t>
  </si>
  <si>
    <t xml:space="preserve">Total In-franchise </t>
  </si>
  <si>
    <t>Notes:</t>
  </si>
  <si>
    <t xml:space="preserve">(1) </t>
  </si>
  <si>
    <t>Revenue requirement by rate component for each rate class provided at Phase 3 Exhibit 7, Tab 3, Schedule 5, Attachment 13.</t>
  </si>
  <si>
    <t xml:space="preserve">(2) </t>
  </si>
  <si>
    <t>Allocation of S&amp;T Margin and other rate design adjustments.</t>
  </si>
  <si>
    <t>In-franchise - South Rate Zone</t>
  </si>
  <si>
    <t>Delivery Demand (Interruptible)</t>
  </si>
  <si>
    <t>Ex-franchise</t>
  </si>
  <si>
    <t>(c) = (b / a)</t>
  </si>
  <si>
    <t xml:space="preserve">(f) </t>
  </si>
  <si>
    <t>(i) = (g/e)</t>
  </si>
  <si>
    <t>Rate E60</t>
  </si>
  <si>
    <t>Monthly Fixed Charge</t>
  </si>
  <si>
    <t>Demand:</t>
  </si>
  <si>
    <t xml:space="preserve">            Transportation </t>
  </si>
  <si>
    <t>Rate E70</t>
  </si>
  <si>
    <t xml:space="preserve">Firm Transportation - Easterly Dawn Parkway </t>
  </si>
  <si>
    <t>Dawn to Parkway</t>
  </si>
  <si>
    <t>- F24-T</t>
  </si>
  <si>
    <t>Dawn to Kirkwall</t>
  </si>
  <si>
    <t>Kirkwall to Parkway</t>
  </si>
  <si>
    <t>Dawn to Owen Sound Line</t>
  </si>
  <si>
    <t>Firm Transportation - Westerly Dawn Parkway</t>
  </si>
  <si>
    <t xml:space="preserve">Parkway to Dawn/Kirkwall </t>
  </si>
  <si>
    <t>Kirkwall to Dawn</t>
  </si>
  <si>
    <t>E70-X  (between Dawn, Kirkwall and Parkway)</t>
  </si>
  <si>
    <t>Firm Transportation - Other Paths</t>
  </si>
  <si>
    <t>To Dawn from St.Clair, Bluewater, and Ojibway</t>
  </si>
  <si>
    <t>From Dawn to St.Clair, Bluewater, and Ojibway</t>
  </si>
  <si>
    <t>Parkway to Albion King's North</t>
  </si>
  <si>
    <t>Dawn to Dawn-Vector</t>
  </si>
  <si>
    <t>Dawn to Dawn-TCPL</t>
  </si>
  <si>
    <t xml:space="preserve">Short-term Transportation </t>
  </si>
  <si>
    <t>Corunna (ANR) to Dawn</t>
  </si>
  <si>
    <t>Commodity</t>
  </si>
  <si>
    <t>Easterly - Providing Own Fuel</t>
  </si>
  <si>
    <t>Westerly - Providing Own Fuel</t>
  </si>
  <si>
    <t>Short-term Transportation  - Utility Providing Fuel</t>
  </si>
  <si>
    <t xml:space="preserve">Proposed </t>
  </si>
  <si>
    <t xml:space="preserve">2024 Forecast </t>
  </si>
  <si>
    <t xml:space="preserve">Usage </t>
  </si>
  <si>
    <t>Rate E72</t>
  </si>
  <si>
    <t>Transmission Commodity Charge</t>
  </si>
  <si>
    <t>Charges West of Dawn:</t>
  </si>
  <si>
    <t xml:space="preserve">  Firm Demand Charge</t>
  </si>
  <si>
    <t>GJ/d</t>
  </si>
  <si>
    <t xml:space="preserve">  Utility Providing Fuel &amp; UFG to Dawn</t>
  </si>
  <si>
    <t xml:space="preserve">  Utility Providing Fuel &amp; UFG to Pool</t>
  </si>
  <si>
    <t xml:space="preserve">  Providing Own Fuel &amp; UFG to Dawn</t>
  </si>
  <si>
    <t xml:space="preserve">  Providing Own Fuel &amp; UFG to Pool</t>
  </si>
  <si>
    <t>Charges East of Dawn:</t>
  </si>
  <si>
    <t xml:space="preserve">  Fuel &amp; UFG to Dawn</t>
  </si>
  <si>
    <t xml:space="preserve">  Fuel &amp; UFG to Pool</t>
  </si>
  <si>
    <t xml:space="preserve">  Commodity Charge - To Dawn</t>
  </si>
  <si>
    <t xml:space="preserve">  Commodity Charge - To Pool</t>
  </si>
  <si>
    <t>Rate E80</t>
  </si>
  <si>
    <t>Monthly Fixed Charge - Typical Station</t>
  </si>
  <si>
    <t>Monthly Fixed Charge - Large Station</t>
  </si>
  <si>
    <t>RNG Sampling Charge</t>
  </si>
  <si>
    <t>per use</t>
  </si>
  <si>
    <t>Commodity - Providing Own Fuel</t>
  </si>
  <si>
    <t>Commodity - Utility Providing Fuel</t>
  </si>
  <si>
    <t>Rate E82</t>
  </si>
  <si>
    <t>Service Fee</t>
  </si>
  <si>
    <t>Non-Utility Cross Charge</t>
  </si>
  <si>
    <t>Total Ex-franchise</t>
  </si>
  <si>
    <t>Total Enbridge Gas (4)</t>
  </si>
  <si>
    <t>(1)</t>
  </si>
  <si>
    <t>(2)</t>
  </si>
  <si>
    <t>S&amp;T Margin.</t>
  </si>
  <si>
    <t>Revenue requirement by rate class provided at Phase 3 Exhibit 7, Tab 3, Schedule 5, Attachment 2, line 21.</t>
  </si>
  <si>
    <t>GJ/d/mth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</si>
</sst>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&quot;$&quot;#,##0.00"/>
    <numFmt numFmtId="167" formatCode="#,##0.000_);\(#,##0.000\)"/>
    <numFmt numFmtId="168" formatCode="0.0%"/>
    <numFmt numFmtId="169" formatCode="#,##0.0000_);\(#,##0.0000\);\-"/>
    <numFmt numFmtId="170" formatCode="###0%;\(###0%\)\ "/>
    <numFmt numFmtId="171" formatCode="#,##0.000_);\(#,##0.000\);\-"/>
    <numFmt numFmtId="172" formatCode="0.000%"/>
    <numFmt numFmtId="173" formatCode="0.0000"/>
    <numFmt numFmtId="17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94">
    <xf numFmtId="0" fontId="0" fillId="0" borderId="0" xfId="0"/>
    <xf numFmtId="0" fontId="3" fillId="0" borderId="0" xfId="4" applyFont="1" applyAlignment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1" xfId="4" applyFont="1" applyBorder="1" applyAlignment="1">
      <alignment horizontal="centerContinuous"/>
    </xf>
    <xf numFmtId="0" fontId="3" fillId="0" borderId="0" xfId="4" applyFont="1" applyAlignment="1">
      <alignment horizontal="center" wrapText="1"/>
    </xf>
    <xf numFmtId="0" fontId="6" fillId="0" borderId="0" xfId="5" applyFont="1" applyAlignment="1">
      <alignment horizontal="center"/>
    </xf>
    <xf numFmtId="0" fontId="4" fillId="0" borderId="0" xfId="4" applyFont="1"/>
    <xf numFmtId="164" fontId="6" fillId="0" borderId="0" xfId="6" applyNumberFormat="1" applyFont="1" applyFill="1" applyBorder="1"/>
    <xf numFmtId="164" fontId="3" fillId="0" borderId="0" xfId="6" applyNumberFormat="1" applyFont="1" applyFill="1" applyBorder="1"/>
    <xf numFmtId="0" fontId="3" fillId="0" borderId="0" xfId="4" applyFont="1" applyAlignment="1">
      <alignment horizontal="left" indent="1"/>
    </xf>
    <xf numFmtId="165" fontId="3" fillId="0" borderId="0" xfId="6" applyNumberFormat="1" applyFont="1" applyFill="1" applyBorder="1" applyAlignment="1">
      <alignment horizontal="center"/>
    </xf>
    <xf numFmtId="165" fontId="3" fillId="0" borderId="0" xfId="6" applyNumberFormat="1" applyFont="1" applyFill="1" applyBorder="1" applyAlignment="1">
      <alignment horizontal="right"/>
    </xf>
    <xf numFmtId="165" fontId="3" fillId="0" borderId="0" xfId="4" applyNumberFormat="1" applyFont="1" applyAlignment="1">
      <alignment horizontal="right"/>
    </xf>
    <xf numFmtId="167" fontId="3" fillId="0" borderId="0" xfId="6" applyNumberFormat="1" applyFont="1" applyFill="1" applyBorder="1" applyAlignment="1">
      <alignment horizontal="right"/>
    </xf>
    <xf numFmtId="0" fontId="3" fillId="0" borderId="0" xfId="4" applyFont="1" applyAlignment="1">
      <alignment horizontal="right"/>
    </xf>
    <xf numFmtId="168" fontId="3" fillId="0" borderId="0" xfId="3" applyNumberFormat="1" applyFont="1" applyFill="1" applyBorder="1" applyAlignment="1">
      <alignment horizontal="right"/>
    </xf>
    <xf numFmtId="0" fontId="6" fillId="0" borderId="0" xfId="5" applyFont="1" applyAlignment="1">
      <alignment horizontal="right"/>
    </xf>
    <xf numFmtId="164" fontId="6" fillId="0" borderId="0" xfId="6" applyNumberFormat="1" applyFont="1" applyFill="1" applyBorder="1" applyAlignment="1">
      <alignment horizontal="right"/>
    </xf>
    <xf numFmtId="169" fontId="3" fillId="0" borderId="2" xfId="6" applyNumberFormat="1" applyFont="1" applyFill="1" applyBorder="1" applyAlignment="1">
      <alignment horizontal="right"/>
    </xf>
    <xf numFmtId="165" fontId="6" fillId="0" borderId="0" xfId="5" applyNumberFormat="1" applyFont="1" applyAlignment="1">
      <alignment horizontal="right"/>
    </xf>
    <xf numFmtId="0" fontId="3" fillId="0" borderId="0" xfId="4" applyFont="1" applyAlignment="1">
      <alignment horizontal="left" indent="2"/>
    </xf>
    <xf numFmtId="165" fontId="3" fillId="0" borderId="0" xfId="4" applyNumberFormat="1" applyFont="1"/>
    <xf numFmtId="0" fontId="3" fillId="0" borderId="0" xfId="4" applyFont="1" applyAlignment="1">
      <alignment horizontal="left"/>
    </xf>
    <xf numFmtId="169" fontId="3" fillId="0" borderId="3" xfId="6" applyNumberFormat="1" applyFont="1" applyFill="1" applyBorder="1" applyAlignment="1">
      <alignment horizontal="right"/>
    </xf>
    <xf numFmtId="169" fontId="3" fillId="0" borderId="0" xfId="6" applyNumberFormat="1" applyFont="1" applyFill="1" applyBorder="1" applyAlignment="1">
      <alignment horizontal="right"/>
    </xf>
    <xf numFmtId="165" fontId="6" fillId="0" borderId="0" xfId="5" applyNumberFormat="1" applyFont="1" applyAlignment="1">
      <alignment horizontal="center"/>
    </xf>
    <xf numFmtId="164" fontId="3" fillId="0" borderId="0" xfId="6" applyNumberFormat="1" applyFont="1" applyFill="1" applyBorder="1" applyAlignment="1">
      <alignment horizontal="right"/>
    </xf>
    <xf numFmtId="9" fontId="3" fillId="0" borderId="3" xfId="3" applyFont="1" applyFill="1" applyBorder="1" applyAlignment="1">
      <alignment horizontal="right"/>
    </xf>
    <xf numFmtId="165" fontId="6" fillId="0" borderId="0" xfId="5" applyNumberFormat="1" applyFont="1"/>
    <xf numFmtId="0" fontId="4" fillId="0" borderId="0" xfId="4" applyFont="1" applyAlignment="1">
      <alignment horizontal="left" indent="1"/>
    </xf>
    <xf numFmtId="170" fontId="3" fillId="0" borderId="0" xfId="3" applyNumberFormat="1" applyFont="1" applyFill="1" applyBorder="1" applyAlignment="1">
      <alignment horizontal="right"/>
    </xf>
    <xf numFmtId="0" fontId="3" fillId="0" borderId="0" xfId="4" applyFont="1" applyAlignment="1">
      <alignment horizontal="left" indent="3"/>
    </xf>
    <xf numFmtId="169" fontId="3" fillId="0" borderId="0" xfId="4" applyNumberFormat="1" applyFont="1" applyAlignment="1">
      <alignment horizontal="right"/>
    </xf>
    <xf numFmtId="173" fontId="3" fillId="0" borderId="0" xfId="4" applyNumberFormat="1" applyFont="1"/>
    <xf numFmtId="0" fontId="4" fillId="0" borderId="0" xfId="4" applyFont="1" applyAlignment="1">
      <alignment horizontal="left"/>
    </xf>
    <xf numFmtId="0" fontId="3" fillId="0" borderId="0" xfId="0" applyFont="1" applyAlignment="1">
      <alignment horizontal="left" indent="1"/>
    </xf>
    <xf numFmtId="9" fontId="3" fillId="0" borderId="0" xfId="3" applyFont="1" applyFill="1" applyBorder="1" applyAlignment="1">
      <alignment horizontal="right"/>
    </xf>
    <xf numFmtId="169" fontId="3" fillId="0" borderId="0" xfId="4" applyNumberFormat="1" applyFont="1"/>
    <xf numFmtId="171" fontId="3" fillId="0" borderId="0" xfId="4" applyNumberFormat="1" applyFont="1" applyAlignment="1">
      <alignment horizontal="right"/>
    </xf>
    <xf numFmtId="0" fontId="4" fillId="0" borderId="0" xfId="7" applyFont="1"/>
    <xf numFmtId="0" fontId="3" fillId="0" borderId="0" xfId="4" quotePrefix="1" applyFont="1"/>
    <xf numFmtId="0" fontId="4" fillId="0" borderId="0" xfId="4" applyFont="1" applyAlignment="1">
      <alignment horizontal="centerContinuous"/>
    </xf>
    <xf numFmtId="0" fontId="4" fillId="0" borderId="0" xfId="5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4"/>
    </xf>
    <xf numFmtId="0" fontId="3" fillId="0" borderId="0" xfId="0" quotePrefix="1" applyFont="1" applyAlignment="1">
      <alignment horizontal="left" indent="5"/>
    </xf>
    <xf numFmtId="0" fontId="3" fillId="0" borderId="0" xfId="0" applyFont="1" applyAlignment="1">
      <alignment horizontal="left" indent="2"/>
    </xf>
    <xf numFmtId="9" fontId="3" fillId="0" borderId="2" xfId="3" applyFont="1" applyFill="1" applyBorder="1" applyAlignment="1">
      <alignment horizontal="right"/>
    </xf>
    <xf numFmtId="167" fontId="3" fillId="0" borderId="0" xfId="6" applyNumberFormat="1" applyFont="1" applyFill="1" applyBorder="1" applyAlignment="1">
      <alignment horizontal="center"/>
    </xf>
    <xf numFmtId="168" fontId="3" fillId="0" borderId="3" xfId="3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4" quotePrefix="1" applyNumberFormat="1" applyFont="1"/>
    <xf numFmtId="0" fontId="3" fillId="0" borderId="0" xfId="5" applyAlignment="1">
      <alignment horizontal="centerContinuous"/>
    </xf>
    <xf numFmtId="0" fontId="3" fillId="0" borderId="0" xfId="5" applyAlignment="1">
      <alignment horizontal="left"/>
    </xf>
    <xf numFmtId="0" fontId="3" fillId="0" borderId="1" xfId="5" applyBorder="1" applyAlignment="1">
      <alignment horizontal="centerContinuous"/>
    </xf>
    <xf numFmtId="0" fontId="3" fillId="0" borderId="0" xfId="5" applyAlignment="1">
      <alignment horizontal="center" wrapText="1"/>
    </xf>
    <xf numFmtId="0" fontId="3" fillId="0" borderId="0" xfId="5" applyAlignment="1">
      <alignment horizontal="center"/>
    </xf>
    <xf numFmtId="0" fontId="3" fillId="0" borderId="1" xfId="5" applyBorder="1" applyAlignment="1">
      <alignment horizontal="center"/>
    </xf>
    <xf numFmtId="0" fontId="3" fillId="0" borderId="0" xfId="5"/>
    <xf numFmtId="0" fontId="3" fillId="0" borderId="1" xfId="5" applyBorder="1"/>
    <xf numFmtId="0" fontId="3" fillId="0" borderId="0" xfId="5" quotePrefix="1" applyAlignment="1">
      <alignment horizontal="center"/>
    </xf>
    <xf numFmtId="0" fontId="3" fillId="0" borderId="0" xfId="5" applyAlignment="1">
      <alignment horizontal="right"/>
    </xf>
    <xf numFmtId="165" fontId="3" fillId="0" borderId="0" xfId="5" applyNumberFormat="1" applyAlignment="1">
      <alignment horizontal="right"/>
    </xf>
    <xf numFmtId="166" fontId="3" fillId="0" borderId="0" xfId="6" applyNumberFormat="1" applyFont="1" applyFill="1" applyBorder="1" applyAlignment="1">
      <alignment horizontal="right"/>
    </xf>
    <xf numFmtId="165" fontId="3" fillId="0" borderId="0" xfId="5" applyNumberFormat="1" applyAlignment="1">
      <alignment horizontal="center"/>
    </xf>
    <xf numFmtId="165" fontId="3" fillId="0" borderId="2" xfId="5" applyNumberFormat="1" applyBorder="1" applyAlignment="1">
      <alignment horizontal="right"/>
    </xf>
    <xf numFmtId="167" fontId="3" fillId="0" borderId="2" xfId="5" applyNumberFormat="1" applyBorder="1" applyAlignment="1">
      <alignment horizontal="right"/>
    </xf>
    <xf numFmtId="165" fontId="3" fillId="0" borderId="3" xfId="5" applyNumberFormat="1" applyBorder="1" applyAlignment="1">
      <alignment horizontal="right"/>
    </xf>
    <xf numFmtId="167" fontId="3" fillId="0" borderId="3" xfId="5" applyNumberFormat="1" applyBorder="1" applyAlignment="1">
      <alignment horizontal="right"/>
    </xf>
    <xf numFmtId="170" fontId="3" fillId="0" borderId="3" xfId="3" applyNumberFormat="1" applyFont="1" applyFill="1" applyBorder="1" applyAlignment="1">
      <alignment horizontal="right"/>
    </xf>
    <xf numFmtId="167" fontId="3" fillId="0" borderId="0" xfId="5" applyNumberFormat="1" applyAlignment="1">
      <alignment horizontal="right"/>
    </xf>
    <xf numFmtId="167" fontId="3" fillId="0" borderId="0" xfId="5" applyNumberFormat="1" applyAlignment="1">
      <alignment horizontal="center"/>
    </xf>
    <xf numFmtId="165" fontId="3" fillId="0" borderId="0" xfId="6" applyNumberFormat="1" applyFont="1" applyFill="1" applyBorder="1" applyAlignment="1"/>
    <xf numFmtId="165" fontId="3" fillId="0" borderId="0" xfId="5" applyNumberFormat="1"/>
    <xf numFmtId="166" fontId="3" fillId="0" borderId="0" xfId="2" applyNumberFormat="1" applyFont="1" applyFill="1" applyBorder="1" applyAlignment="1">
      <alignment horizontal="right"/>
    </xf>
    <xf numFmtId="171" fontId="3" fillId="0" borderId="0" xfId="6" applyNumberFormat="1" applyFont="1" applyFill="1" applyBorder="1" applyAlignment="1">
      <alignment horizontal="right"/>
    </xf>
    <xf numFmtId="172" fontId="3" fillId="0" borderId="0" xfId="3" applyNumberFormat="1" applyFont="1" applyFill="1" applyBorder="1" applyAlignment="1">
      <alignment horizontal="right"/>
    </xf>
    <xf numFmtId="172" fontId="3" fillId="0" borderId="0" xfId="6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quotePrefix="1" applyFont="1" applyAlignment="1">
      <alignment horizontal="left" indent="2"/>
    </xf>
    <xf numFmtId="0" fontId="3" fillId="0" borderId="0" xfId="7" quotePrefix="1" applyAlignment="1">
      <alignment horizontal="center" vertical="top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8" applyFont="1"/>
    <xf numFmtId="0" fontId="3" fillId="0" borderId="0" xfId="8" applyFont="1" applyAlignment="1">
      <alignment horizontal="left" indent="4"/>
    </xf>
    <xf numFmtId="0" fontId="4" fillId="0" borderId="0" xfId="0" applyFont="1" applyAlignment="1">
      <alignment horizontal="left"/>
    </xf>
    <xf numFmtId="165" fontId="3" fillId="0" borderId="0" xfId="0" applyNumberFormat="1" applyFont="1"/>
    <xf numFmtId="174" fontId="3" fillId="0" borderId="0" xfId="1" applyNumberFormat="1" applyFont="1" applyFill="1"/>
    <xf numFmtId="165" fontId="3" fillId="2" borderId="0" xfId="6" applyNumberFormat="1" applyFont="1" applyFill="1" applyBorder="1" applyAlignment="1">
      <alignment horizontal="center"/>
    </xf>
    <xf numFmtId="165" fontId="3" fillId="2" borderId="0" xfId="5" applyNumberFormat="1" applyFill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4" applyFont="1" applyAlignment="1">
      <alignment horizontal="center"/>
    </xf>
  </cellXfs>
  <cellStyles count="9">
    <cellStyle name="Comma" xfId="1" builtinId="3"/>
    <cellStyle name="Comma 10" xfId="6" xr:uid="{16CEF1E6-E980-4B2F-8217-279EBF02FDC6}"/>
    <cellStyle name="Currency" xfId="2" builtinId="4"/>
    <cellStyle name="Normal" xfId="0" builtinId="0"/>
    <cellStyle name="Normal 10" xfId="7" xr:uid="{64998786-4C63-4FF9-9A56-40BA410412E2}"/>
    <cellStyle name="Normal 4 3" xfId="4" xr:uid="{6F736EFF-C6F1-4FBD-925F-8438D93C5AA4}"/>
    <cellStyle name="Normal 59" xfId="8" xr:uid="{8F762ABC-408B-421C-AA56-8D7DE93EB925}"/>
    <cellStyle name="Normal 60" xfId="5" xr:uid="{8549D270-8E8B-48EA-8F5A-21407B45B91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D163-90DF-4FC2-BE39-98986F9C2FCE}">
  <dimension ref="B8:Z229"/>
  <sheetViews>
    <sheetView view="pageLayout" topLeftCell="A186" zoomScale="80" zoomScaleNormal="80" zoomScaleSheetLayoutView="70" zoomScalePageLayoutView="80" workbookViewId="0">
      <selection activeCell="F216" sqref="F216"/>
    </sheetView>
  </sheetViews>
  <sheetFormatPr defaultRowHeight="12.45" x14ac:dyDescent="0.3"/>
  <cols>
    <col min="1" max="1" width="1.53515625" style="2" customWidth="1"/>
    <col min="2" max="2" width="4.69140625" style="1" customWidth="1"/>
    <col min="3" max="3" width="1.53515625" style="2" customWidth="1"/>
    <col min="4" max="4" width="47" style="2" customWidth="1"/>
    <col min="5" max="5" width="1.53515625" style="2" customWidth="1"/>
    <col min="6" max="6" width="10.69140625" style="2" customWidth="1"/>
    <col min="7" max="7" width="1.53515625" style="2" customWidth="1"/>
    <col min="8" max="8" width="14.4609375" style="2" customWidth="1"/>
    <col min="9" max="9" width="1.53515625" style="2" customWidth="1"/>
    <col min="10" max="10" width="14.4609375" style="2" customWidth="1"/>
    <col min="11" max="11" width="1.53515625" style="2" customWidth="1"/>
    <col min="12" max="12" width="14.4609375" style="2" customWidth="1"/>
    <col min="13" max="13" width="1.53515625" style="2" customWidth="1"/>
    <col min="14" max="14" width="14.4609375" style="2" customWidth="1"/>
    <col min="15" max="15" width="1.53515625" style="2" customWidth="1"/>
    <col min="16" max="16" width="15.4609375" style="2" customWidth="1"/>
    <col min="17" max="17" width="1.53515625" style="2" customWidth="1"/>
    <col min="18" max="18" width="14.4609375" style="2" customWidth="1"/>
    <col min="19" max="19" width="1.53515625" style="2" customWidth="1"/>
    <col min="20" max="20" width="14.4609375" style="2" customWidth="1"/>
    <col min="21" max="21" width="1.53515625" style="2" customWidth="1"/>
    <col min="22" max="22" width="14.4609375" style="2" customWidth="1"/>
    <col min="23" max="23" width="1.53515625" style="2" customWidth="1"/>
    <col min="24" max="24" width="14.53515625" style="2" customWidth="1"/>
    <col min="25" max="25" width="1.53515625" style="2" customWidth="1"/>
    <col min="26" max="26" width="14.4609375" style="2" customWidth="1"/>
    <col min="27" max="27" width="1.53515625" style="2" customWidth="1"/>
    <col min="28" max="228" width="9.07421875" style="2"/>
    <col min="229" max="229" width="4.53515625" style="2" customWidth="1"/>
    <col min="230" max="230" width="1" style="2" customWidth="1"/>
    <col min="231" max="231" width="18" style="2" customWidth="1"/>
    <col min="232" max="232" width="1.84375" style="2" customWidth="1"/>
    <col min="233" max="233" width="12.53515625" style="2" customWidth="1"/>
    <col min="234" max="234" width="1.53515625" style="2" customWidth="1"/>
    <col min="235" max="235" width="9.53515625" style="2" customWidth="1"/>
    <col min="236" max="236" width="1.84375" style="2" customWidth="1"/>
    <col min="237" max="237" width="11.84375" style="2" customWidth="1"/>
    <col min="238" max="238" width="1.53515625" style="2" customWidth="1"/>
    <col min="239" max="239" width="10.07421875" style="2" customWidth="1"/>
    <col min="240" max="240" width="2" style="2" customWidth="1"/>
    <col min="241" max="241" width="9.53515625" style="2" customWidth="1"/>
    <col min="242" max="484" width="9.07421875" style="2"/>
    <col min="485" max="485" width="4.53515625" style="2" customWidth="1"/>
    <col min="486" max="486" width="1" style="2" customWidth="1"/>
    <col min="487" max="487" width="18" style="2" customWidth="1"/>
    <col min="488" max="488" width="1.84375" style="2" customWidth="1"/>
    <col min="489" max="489" width="12.53515625" style="2" customWidth="1"/>
    <col min="490" max="490" width="1.53515625" style="2" customWidth="1"/>
    <col min="491" max="491" width="9.53515625" style="2" customWidth="1"/>
    <col min="492" max="492" width="1.84375" style="2" customWidth="1"/>
    <col min="493" max="493" width="11.84375" style="2" customWidth="1"/>
    <col min="494" max="494" width="1.53515625" style="2" customWidth="1"/>
    <col min="495" max="495" width="10.07421875" style="2" customWidth="1"/>
    <col min="496" max="496" width="2" style="2" customWidth="1"/>
    <col min="497" max="497" width="9.53515625" style="2" customWidth="1"/>
    <col min="498" max="740" width="9.07421875" style="2"/>
    <col min="741" max="741" width="4.53515625" style="2" customWidth="1"/>
    <col min="742" max="742" width="1" style="2" customWidth="1"/>
    <col min="743" max="743" width="18" style="2" customWidth="1"/>
    <col min="744" max="744" width="1.84375" style="2" customWidth="1"/>
    <col min="745" max="745" width="12.53515625" style="2" customWidth="1"/>
    <col min="746" max="746" width="1.53515625" style="2" customWidth="1"/>
    <col min="747" max="747" width="9.53515625" style="2" customWidth="1"/>
    <col min="748" max="748" width="1.84375" style="2" customWidth="1"/>
    <col min="749" max="749" width="11.84375" style="2" customWidth="1"/>
    <col min="750" max="750" width="1.53515625" style="2" customWidth="1"/>
    <col min="751" max="751" width="10.07421875" style="2" customWidth="1"/>
    <col min="752" max="752" width="2" style="2" customWidth="1"/>
    <col min="753" max="753" width="9.53515625" style="2" customWidth="1"/>
    <col min="754" max="996" width="9.07421875" style="2"/>
    <col min="997" max="997" width="4.53515625" style="2" customWidth="1"/>
    <col min="998" max="998" width="1" style="2" customWidth="1"/>
    <col min="999" max="999" width="18" style="2" customWidth="1"/>
    <col min="1000" max="1000" width="1.84375" style="2" customWidth="1"/>
    <col min="1001" max="1001" width="12.53515625" style="2" customWidth="1"/>
    <col min="1002" max="1002" width="1.53515625" style="2" customWidth="1"/>
    <col min="1003" max="1003" width="9.53515625" style="2" customWidth="1"/>
    <col min="1004" max="1004" width="1.84375" style="2" customWidth="1"/>
    <col min="1005" max="1005" width="11.84375" style="2" customWidth="1"/>
    <col min="1006" max="1006" width="1.53515625" style="2" customWidth="1"/>
    <col min="1007" max="1007" width="10.07421875" style="2" customWidth="1"/>
    <col min="1008" max="1008" width="2" style="2" customWidth="1"/>
    <col min="1009" max="1009" width="9.53515625" style="2" customWidth="1"/>
    <col min="1010" max="1252" width="9.07421875" style="2"/>
    <col min="1253" max="1253" width="4.53515625" style="2" customWidth="1"/>
    <col min="1254" max="1254" width="1" style="2" customWidth="1"/>
    <col min="1255" max="1255" width="18" style="2" customWidth="1"/>
    <col min="1256" max="1256" width="1.84375" style="2" customWidth="1"/>
    <col min="1257" max="1257" width="12.53515625" style="2" customWidth="1"/>
    <col min="1258" max="1258" width="1.53515625" style="2" customWidth="1"/>
    <col min="1259" max="1259" width="9.53515625" style="2" customWidth="1"/>
    <col min="1260" max="1260" width="1.84375" style="2" customWidth="1"/>
    <col min="1261" max="1261" width="11.84375" style="2" customWidth="1"/>
    <col min="1262" max="1262" width="1.53515625" style="2" customWidth="1"/>
    <col min="1263" max="1263" width="10.07421875" style="2" customWidth="1"/>
    <col min="1264" max="1264" width="2" style="2" customWidth="1"/>
    <col min="1265" max="1265" width="9.53515625" style="2" customWidth="1"/>
    <col min="1266" max="1508" width="9.07421875" style="2"/>
    <col min="1509" max="1509" width="4.53515625" style="2" customWidth="1"/>
    <col min="1510" max="1510" width="1" style="2" customWidth="1"/>
    <col min="1511" max="1511" width="18" style="2" customWidth="1"/>
    <col min="1512" max="1512" width="1.84375" style="2" customWidth="1"/>
    <col min="1513" max="1513" width="12.53515625" style="2" customWidth="1"/>
    <col min="1514" max="1514" width="1.53515625" style="2" customWidth="1"/>
    <col min="1515" max="1515" width="9.53515625" style="2" customWidth="1"/>
    <col min="1516" max="1516" width="1.84375" style="2" customWidth="1"/>
    <col min="1517" max="1517" width="11.84375" style="2" customWidth="1"/>
    <col min="1518" max="1518" width="1.53515625" style="2" customWidth="1"/>
    <col min="1519" max="1519" width="10.07421875" style="2" customWidth="1"/>
    <col min="1520" max="1520" width="2" style="2" customWidth="1"/>
    <col min="1521" max="1521" width="9.53515625" style="2" customWidth="1"/>
    <col min="1522" max="1764" width="9.07421875" style="2"/>
    <col min="1765" max="1765" width="4.53515625" style="2" customWidth="1"/>
    <col min="1766" max="1766" width="1" style="2" customWidth="1"/>
    <col min="1767" max="1767" width="18" style="2" customWidth="1"/>
    <col min="1768" max="1768" width="1.84375" style="2" customWidth="1"/>
    <col min="1769" max="1769" width="12.53515625" style="2" customWidth="1"/>
    <col min="1770" max="1770" width="1.53515625" style="2" customWidth="1"/>
    <col min="1771" max="1771" width="9.53515625" style="2" customWidth="1"/>
    <col min="1772" max="1772" width="1.84375" style="2" customWidth="1"/>
    <col min="1773" max="1773" width="11.84375" style="2" customWidth="1"/>
    <col min="1774" max="1774" width="1.53515625" style="2" customWidth="1"/>
    <col min="1775" max="1775" width="10.07421875" style="2" customWidth="1"/>
    <col min="1776" max="1776" width="2" style="2" customWidth="1"/>
    <col min="1777" max="1777" width="9.53515625" style="2" customWidth="1"/>
    <col min="1778" max="2020" width="9.07421875" style="2"/>
    <col min="2021" max="2021" width="4.53515625" style="2" customWidth="1"/>
    <col min="2022" max="2022" width="1" style="2" customWidth="1"/>
    <col min="2023" max="2023" width="18" style="2" customWidth="1"/>
    <col min="2024" max="2024" width="1.84375" style="2" customWidth="1"/>
    <col min="2025" max="2025" width="12.53515625" style="2" customWidth="1"/>
    <col min="2026" max="2026" width="1.53515625" style="2" customWidth="1"/>
    <col min="2027" max="2027" width="9.53515625" style="2" customWidth="1"/>
    <col min="2028" max="2028" width="1.84375" style="2" customWidth="1"/>
    <col min="2029" max="2029" width="11.84375" style="2" customWidth="1"/>
    <col min="2030" max="2030" width="1.53515625" style="2" customWidth="1"/>
    <col min="2031" max="2031" width="10.07421875" style="2" customWidth="1"/>
    <col min="2032" max="2032" width="2" style="2" customWidth="1"/>
    <col min="2033" max="2033" width="9.53515625" style="2" customWidth="1"/>
    <col min="2034" max="2276" width="9.07421875" style="2"/>
    <col min="2277" max="2277" width="4.53515625" style="2" customWidth="1"/>
    <col min="2278" max="2278" width="1" style="2" customWidth="1"/>
    <col min="2279" max="2279" width="18" style="2" customWidth="1"/>
    <col min="2280" max="2280" width="1.84375" style="2" customWidth="1"/>
    <col min="2281" max="2281" width="12.53515625" style="2" customWidth="1"/>
    <col min="2282" max="2282" width="1.53515625" style="2" customWidth="1"/>
    <col min="2283" max="2283" width="9.53515625" style="2" customWidth="1"/>
    <col min="2284" max="2284" width="1.84375" style="2" customWidth="1"/>
    <col min="2285" max="2285" width="11.84375" style="2" customWidth="1"/>
    <col min="2286" max="2286" width="1.53515625" style="2" customWidth="1"/>
    <col min="2287" max="2287" width="10.07421875" style="2" customWidth="1"/>
    <col min="2288" max="2288" width="2" style="2" customWidth="1"/>
    <col min="2289" max="2289" width="9.53515625" style="2" customWidth="1"/>
    <col min="2290" max="2532" width="9.07421875" style="2"/>
    <col min="2533" max="2533" width="4.53515625" style="2" customWidth="1"/>
    <col min="2534" max="2534" width="1" style="2" customWidth="1"/>
    <col min="2535" max="2535" width="18" style="2" customWidth="1"/>
    <col min="2536" max="2536" width="1.84375" style="2" customWidth="1"/>
    <col min="2537" max="2537" width="12.53515625" style="2" customWidth="1"/>
    <col min="2538" max="2538" width="1.53515625" style="2" customWidth="1"/>
    <col min="2539" max="2539" width="9.53515625" style="2" customWidth="1"/>
    <col min="2540" max="2540" width="1.84375" style="2" customWidth="1"/>
    <col min="2541" max="2541" width="11.84375" style="2" customWidth="1"/>
    <col min="2542" max="2542" width="1.53515625" style="2" customWidth="1"/>
    <col min="2543" max="2543" width="10.07421875" style="2" customWidth="1"/>
    <col min="2544" max="2544" width="2" style="2" customWidth="1"/>
    <col min="2545" max="2545" width="9.53515625" style="2" customWidth="1"/>
    <col min="2546" max="2788" width="9.07421875" style="2"/>
    <col min="2789" max="2789" width="4.53515625" style="2" customWidth="1"/>
    <col min="2790" max="2790" width="1" style="2" customWidth="1"/>
    <col min="2791" max="2791" width="18" style="2" customWidth="1"/>
    <col min="2792" max="2792" width="1.84375" style="2" customWidth="1"/>
    <col min="2793" max="2793" width="12.53515625" style="2" customWidth="1"/>
    <col min="2794" max="2794" width="1.53515625" style="2" customWidth="1"/>
    <col min="2795" max="2795" width="9.53515625" style="2" customWidth="1"/>
    <col min="2796" max="2796" width="1.84375" style="2" customWidth="1"/>
    <col min="2797" max="2797" width="11.84375" style="2" customWidth="1"/>
    <col min="2798" max="2798" width="1.53515625" style="2" customWidth="1"/>
    <col min="2799" max="2799" width="10.07421875" style="2" customWidth="1"/>
    <col min="2800" max="2800" width="2" style="2" customWidth="1"/>
    <col min="2801" max="2801" width="9.53515625" style="2" customWidth="1"/>
    <col min="2802" max="3044" width="9.07421875" style="2"/>
    <col min="3045" max="3045" width="4.53515625" style="2" customWidth="1"/>
    <col min="3046" max="3046" width="1" style="2" customWidth="1"/>
    <col min="3047" max="3047" width="18" style="2" customWidth="1"/>
    <col min="3048" max="3048" width="1.84375" style="2" customWidth="1"/>
    <col min="3049" max="3049" width="12.53515625" style="2" customWidth="1"/>
    <col min="3050" max="3050" width="1.53515625" style="2" customWidth="1"/>
    <col min="3051" max="3051" width="9.53515625" style="2" customWidth="1"/>
    <col min="3052" max="3052" width="1.84375" style="2" customWidth="1"/>
    <col min="3053" max="3053" width="11.84375" style="2" customWidth="1"/>
    <col min="3054" max="3054" width="1.53515625" style="2" customWidth="1"/>
    <col min="3055" max="3055" width="10.07421875" style="2" customWidth="1"/>
    <col min="3056" max="3056" width="2" style="2" customWidth="1"/>
    <col min="3057" max="3057" width="9.53515625" style="2" customWidth="1"/>
    <col min="3058" max="3300" width="9.07421875" style="2"/>
    <col min="3301" max="3301" width="4.53515625" style="2" customWidth="1"/>
    <col min="3302" max="3302" width="1" style="2" customWidth="1"/>
    <col min="3303" max="3303" width="18" style="2" customWidth="1"/>
    <col min="3304" max="3304" width="1.84375" style="2" customWidth="1"/>
    <col min="3305" max="3305" width="12.53515625" style="2" customWidth="1"/>
    <col min="3306" max="3306" width="1.53515625" style="2" customWidth="1"/>
    <col min="3307" max="3307" width="9.53515625" style="2" customWidth="1"/>
    <col min="3308" max="3308" width="1.84375" style="2" customWidth="1"/>
    <col min="3309" max="3309" width="11.84375" style="2" customWidth="1"/>
    <col min="3310" max="3310" width="1.53515625" style="2" customWidth="1"/>
    <col min="3311" max="3311" width="10.07421875" style="2" customWidth="1"/>
    <col min="3312" max="3312" width="2" style="2" customWidth="1"/>
    <col min="3313" max="3313" width="9.53515625" style="2" customWidth="1"/>
    <col min="3314" max="3556" width="9.07421875" style="2"/>
    <col min="3557" max="3557" width="4.53515625" style="2" customWidth="1"/>
    <col min="3558" max="3558" width="1" style="2" customWidth="1"/>
    <col min="3559" max="3559" width="18" style="2" customWidth="1"/>
    <col min="3560" max="3560" width="1.84375" style="2" customWidth="1"/>
    <col min="3561" max="3561" width="12.53515625" style="2" customWidth="1"/>
    <col min="3562" max="3562" width="1.53515625" style="2" customWidth="1"/>
    <col min="3563" max="3563" width="9.53515625" style="2" customWidth="1"/>
    <col min="3564" max="3564" width="1.84375" style="2" customWidth="1"/>
    <col min="3565" max="3565" width="11.84375" style="2" customWidth="1"/>
    <col min="3566" max="3566" width="1.53515625" style="2" customWidth="1"/>
    <col min="3567" max="3567" width="10.07421875" style="2" customWidth="1"/>
    <col min="3568" max="3568" width="2" style="2" customWidth="1"/>
    <col min="3569" max="3569" width="9.53515625" style="2" customWidth="1"/>
    <col min="3570" max="3812" width="9.07421875" style="2"/>
    <col min="3813" max="3813" width="4.53515625" style="2" customWidth="1"/>
    <col min="3814" max="3814" width="1" style="2" customWidth="1"/>
    <col min="3815" max="3815" width="18" style="2" customWidth="1"/>
    <col min="3816" max="3816" width="1.84375" style="2" customWidth="1"/>
    <col min="3817" max="3817" width="12.53515625" style="2" customWidth="1"/>
    <col min="3818" max="3818" width="1.53515625" style="2" customWidth="1"/>
    <col min="3819" max="3819" width="9.53515625" style="2" customWidth="1"/>
    <col min="3820" max="3820" width="1.84375" style="2" customWidth="1"/>
    <col min="3821" max="3821" width="11.84375" style="2" customWidth="1"/>
    <col min="3822" max="3822" width="1.53515625" style="2" customWidth="1"/>
    <col min="3823" max="3823" width="10.07421875" style="2" customWidth="1"/>
    <col min="3824" max="3824" width="2" style="2" customWidth="1"/>
    <col min="3825" max="3825" width="9.53515625" style="2" customWidth="1"/>
    <col min="3826" max="4068" width="9.07421875" style="2"/>
    <col min="4069" max="4069" width="4.53515625" style="2" customWidth="1"/>
    <col min="4070" max="4070" width="1" style="2" customWidth="1"/>
    <col min="4071" max="4071" width="18" style="2" customWidth="1"/>
    <col min="4072" max="4072" width="1.84375" style="2" customWidth="1"/>
    <col min="4073" max="4073" width="12.53515625" style="2" customWidth="1"/>
    <col min="4074" max="4074" width="1.53515625" style="2" customWidth="1"/>
    <col min="4075" max="4075" width="9.53515625" style="2" customWidth="1"/>
    <col min="4076" max="4076" width="1.84375" style="2" customWidth="1"/>
    <col min="4077" max="4077" width="11.84375" style="2" customWidth="1"/>
    <col min="4078" max="4078" width="1.53515625" style="2" customWidth="1"/>
    <col min="4079" max="4079" width="10.07421875" style="2" customWidth="1"/>
    <col min="4080" max="4080" width="2" style="2" customWidth="1"/>
    <col min="4081" max="4081" width="9.53515625" style="2" customWidth="1"/>
    <col min="4082" max="4324" width="9.07421875" style="2"/>
    <col min="4325" max="4325" width="4.53515625" style="2" customWidth="1"/>
    <col min="4326" max="4326" width="1" style="2" customWidth="1"/>
    <col min="4327" max="4327" width="18" style="2" customWidth="1"/>
    <col min="4328" max="4328" width="1.84375" style="2" customWidth="1"/>
    <col min="4329" max="4329" width="12.53515625" style="2" customWidth="1"/>
    <col min="4330" max="4330" width="1.53515625" style="2" customWidth="1"/>
    <col min="4331" max="4331" width="9.53515625" style="2" customWidth="1"/>
    <col min="4332" max="4332" width="1.84375" style="2" customWidth="1"/>
    <col min="4333" max="4333" width="11.84375" style="2" customWidth="1"/>
    <col min="4334" max="4334" width="1.53515625" style="2" customWidth="1"/>
    <col min="4335" max="4335" width="10.07421875" style="2" customWidth="1"/>
    <col min="4336" max="4336" width="2" style="2" customWidth="1"/>
    <col min="4337" max="4337" width="9.53515625" style="2" customWidth="1"/>
    <col min="4338" max="4580" width="9.07421875" style="2"/>
    <col min="4581" max="4581" width="4.53515625" style="2" customWidth="1"/>
    <col min="4582" max="4582" width="1" style="2" customWidth="1"/>
    <col min="4583" max="4583" width="18" style="2" customWidth="1"/>
    <col min="4584" max="4584" width="1.84375" style="2" customWidth="1"/>
    <col min="4585" max="4585" width="12.53515625" style="2" customWidth="1"/>
    <col min="4586" max="4586" width="1.53515625" style="2" customWidth="1"/>
    <col min="4587" max="4587" width="9.53515625" style="2" customWidth="1"/>
    <col min="4588" max="4588" width="1.84375" style="2" customWidth="1"/>
    <col min="4589" max="4589" width="11.84375" style="2" customWidth="1"/>
    <col min="4590" max="4590" width="1.53515625" style="2" customWidth="1"/>
    <col min="4591" max="4591" width="10.07421875" style="2" customWidth="1"/>
    <col min="4592" max="4592" width="2" style="2" customWidth="1"/>
    <col min="4593" max="4593" width="9.53515625" style="2" customWidth="1"/>
    <col min="4594" max="4836" width="9.07421875" style="2"/>
    <col min="4837" max="4837" width="4.53515625" style="2" customWidth="1"/>
    <col min="4838" max="4838" width="1" style="2" customWidth="1"/>
    <col min="4839" max="4839" width="18" style="2" customWidth="1"/>
    <col min="4840" max="4840" width="1.84375" style="2" customWidth="1"/>
    <col min="4841" max="4841" width="12.53515625" style="2" customWidth="1"/>
    <col min="4842" max="4842" width="1.53515625" style="2" customWidth="1"/>
    <col min="4843" max="4843" width="9.53515625" style="2" customWidth="1"/>
    <col min="4844" max="4844" width="1.84375" style="2" customWidth="1"/>
    <col min="4845" max="4845" width="11.84375" style="2" customWidth="1"/>
    <col min="4846" max="4846" width="1.53515625" style="2" customWidth="1"/>
    <col min="4847" max="4847" width="10.07421875" style="2" customWidth="1"/>
    <col min="4848" max="4848" width="2" style="2" customWidth="1"/>
    <col min="4849" max="4849" width="9.53515625" style="2" customWidth="1"/>
    <col min="4850" max="5092" width="9.07421875" style="2"/>
    <col min="5093" max="5093" width="4.53515625" style="2" customWidth="1"/>
    <col min="5094" max="5094" width="1" style="2" customWidth="1"/>
    <col min="5095" max="5095" width="18" style="2" customWidth="1"/>
    <col min="5096" max="5096" width="1.84375" style="2" customWidth="1"/>
    <col min="5097" max="5097" width="12.53515625" style="2" customWidth="1"/>
    <col min="5098" max="5098" width="1.53515625" style="2" customWidth="1"/>
    <col min="5099" max="5099" width="9.53515625" style="2" customWidth="1"/>
    <col min="5100" max="5100" width="1.84375" style="2" customWidth="1"/>
    <col min="5101" max="5101" width="11.84375" style="2" customWidth="1"/>
    <col min="5102" max="5102" width="1.53515625" style="2" customWidth="1"/>
    <col min="5103" max="5103" width="10.07421875" style="2" customWidth="1"/>
    <col min="5104" max="5104" width="2" style="2" customWidth="1"/>
    <col min="5105" max="5105" width="9.53515625" style="2" customWidth="1"/>
    <col min="5106" max="5348" width="9.07421875" style="2"/>
    <col min="5349" max="5349" width="4.53515625" style="2" customWidth="1"/>
    <col min="5350" max="5350" width="1" style="2" customWidth="1"/>
    <col min="5351" max="5351" width="18" style="2" customWidth="1"/>
    <col min="5352" max="5352" width="1.84375" style="2" customWidth="1"/>
    <col min="5353" max="5353" width="12.53515625" style="2" customWidth="1"/>
    <col min="5354" max="5354" width="1.53515625" style="2" customWidth="1"/>
    <col min="5355" max="5355" width="9.53515625" style="2" customWidth="1"/>
    <col min="5356" max="5356" width="1.84375" style="2" customWidth="1"/>
    <col min="5357" max="5357" width="11.84375" style="2" customWidth="1"/>
    <col min="5358" max="5358" width="1.53515625" style="2" customWidth="1"/>
    <col min="5359" max="5359" width="10.07421875" style="2" customWidth="1"/>
    <col min="5360" max="5360" width="2" style="2" customWidth="1"/>
    <col min="5361" max="5361" width="9.53515625" style="2" customWidth="1"/>
    <col min="5362" max="5604" width="9.07421875" style="2"/>
    <col min="5605" max="5605" width="4.53515625" style="2" customWidth="1"/>
    <col min="5606" max="5606" width="1" style="2" customWidth="1"/>
    <col min="5607" max="5607" width="18" style="2" customWidth="1"/>
    <col min="5608" max="5608" width="1.84375" style="2" customWidth="1"/>
    <col min="5609" max="5609" width="12.53515625" style="2" customWidth="1"/>
    <col min="5610" max="5610" width="1.53515625" style="2" customWidth="1"/>
    <col min="5611" max="5611" width="9.53515625" style="2" customWidth="1"/>
    <col min="5612" max="5612" width="1.84375" style="2" customWidth="1"/>
    <col min="5613" max="5613" width="11.84375" style="2" customWidth="1"/>
    <col min="5614" max="5614" width="1.53515625" style="2" customWidth="1"/>
    <col min="5615" max="5615" width="10.07421875" style="2" customWidth="1"/>
    <col min="5616" max="5616" width="2" style="2" customWidth="1"/>
    <col min="5617" max="5617" width="9.53515625" style="2" customWidth="1"/>
    <col min="5618" max="5860" width="9.07421875" style="2"/>
    <col min="5861" max="5861" width="4.53515625" style="2" customWidth="1"/>
    <col min="5862" max="5862" width="1" style="2" customWidth="1"/>
    <col min="5863" max="5863" width="18" style="2" customWidth="1"/>
    <col min="5864" max="5864" width="1.84375" style="2" customWidth="1"/>
    <col min="5865" max="5865" width="12.53515625" style="2" customWidth="1"/>
    <col min="5866" max="5866" width="1.53515625" style="2" customWidth="1"/>
    <col min="5867" max="5867" width="9.53515625" style="2" customWidth="1"/>
    <col min="5868" max="5868" width="1.84375" style="2" customWidth="1"/>
    <col min="5869" max="5869" width="11.84375" style="2" customWidth="1"/>
    <col min="5870" max="5870" width="1.53515625" style="2" customWidth="1"/>
    <col min="5871" max="5871" width="10.07421875" style="2" customWidth="1"/>
    <col min="5872" max="5872" width="2" style="2" customWidth="1"/>
    <col min="5873" max="5873" width="9.53515625" style="2" customWidth="1"/>
    <col min="5874" max="6116" width="9.07421875" style="2"/>
    <col min="6117" max="6117" width="4.53515625" style="2" customWidth="1"/>
    <col min="6118" max="6118" width="1" style="2" customWidth="1"/>
    <col min="6119" max="6119" width="18" style="2" customWidth="1"/>
    <col min="6120" max="6120" width="1.84375" style="2" customWidth="1"/>
    <col min="6121" max="6121" width="12.53515625" style="2" customWidth="1"/>
    <col min="6122" max="6122" width="1.53515625" style="2" customWidth="1"/>
    <col min="6123" max="6123" width="9.53515625" style="2" customWidth="1"/>
    <col min="6124" max="6124" width="1.84375" style="2" customWidth="1"/>
    <col min="6125" max="6125" width="11.84375" style="2" customWidth="1"/>
    <col min="6126" max="6126" width="1.53515625" style="2" customWidth="1"/>
    <col min="6127" max="6127" width="10.07421875" style="2" customWidth="1"/>
    <col min="6128" max="6128" width="2" style="2" customWidth="1"/>
    <col min="6129" max="6129" width="9.53515625" style="2" customWidth="1"/>
    <col min="6130" max="6372" width="9.07421875" style="2"/>
    <col min="6373" max="6373" width="4.53515625" style="2" customWidth="1"/>
    <col min="6374" max="6374" width="1" style="2" customWidth="1"/>
    <col min="6375" max="6375" width="18" style="2" customWidth="1"/>
    <col min="6376" max="6376" width="1.84375" style="2" customWidth="1"/>
    <col min="6377" max="6377" width="12.53515625" style="2" customWidth="1"/>
    <col min="6378" max="6378" width="1.53515625" style="2" customWidth="1"/>
    <col min="6379" max="6379" width="9.53515625" style="2" customWidth="1"/>
    <col min="6380" max="6380" width="1.84375" style="2" customWidth="1"/>
    <col min="6381" max="6381" width="11.84375" style="2" customWidth="1"/>
    <col min="6382" max="6382" width="1.53515625" style="2" customWidth="1"/>
    <col min="6383" max="6383" width="10.07421875" style="2" customWidth="1"/>
    <col min="6384" max="6384" width="2" style="2" customWidth="1"/>
    <col min="6385" max="6385" width="9.53515625" style="2" customWidth="1"/>
    <col min="6386" max="6628" width="9.07421875" style="2"/>
    <col min="6629" max="6629" width="4.53515625" style="2" customWidth="1"/>
    <col min="6630" max="6630" width="1" style="2" customWidth="1"/>
    <col min="6631" max="6631" width="18" style="2" customWidth="1"/>
    <col min="6632" max="6632" width="1.84375" style="2" customWidth="1"/>
    <col min="6633" max="6633" width="12.53515625" style="2" customWidth="1"/>
    <col min="6634" max="6634" width="1.53515625" style="2" customWidth="1"/>
    <col min="6635" max="6635" width="9.53515625" style="2" customWidth="1"/>
    <col min="6636" max="6636" width="1.84375" style="2" customWidth="1"/>
    <col min="6637" max="6637" width="11.84375" style="2" customWidth="1"/>
    <col min="6638" max="6638" width="1.53515625" style="2" customWidth="1"/>
    <col min="6639" max="6639" width="10.07421875" style="2" customWidth="1"/>
    <col min="6640" max="6640" width="2" style="2" customWidth="1"/>
    <col min="6641" max="6641" width="9.53515625" style="2" customWidth="1"/>
    <col min="6642" max="6884" width="9.07421875" style="2"/>
    <col min="6885" max="6885" width="4.53515625" style="2" customWidth="1"/>
    <col min="6886" max="6886" width="1" style="2" customWidth="1"/>
    <col min="6887" max="6887" width="18" style="2" customWidth="1"/>
    <col min="6888" max="6888" width="1.84375" style="2" customWidth="1"/>
    <col min="6889" max="6889" width="12.53515625" style="2" customWidth="1"/>
    <col min="6890" max="6890" width="1.53515625" style="2" customWidth="1"/>
    <col min="6891" max="6891" width="9.53515625" style="2" customWidth="1"/>
    <col min="6892" max="6892" width="1.84375" style="2" customWidth="1"/>
    <col min="6893" max="6893" width="11.84375" style="2" customWidth="1"/>
    <col min="6894" max="6894" width="1.53515625" style="2" customWidth="1"/>
    <col min="6895" max="6895" width="10.07421875" style="2" customWidth="1"/>
    <col min="6896" max="6896" width="2" style="2" customWidth="1"/>
    <col min="6897" max="6897" width="9.53515625" style="2" customWidth="1"/>
    <col min="6898" max="7140" width="9.07421875" style="2"/>
    <col min="7141" max="7141" width="4.53515625" style="2" customWidth="1"/>
    <col min="7142" max="7142" width="1" style="2" customWidth="1"/>
    <col min="7143" max="7143" width="18" style="2" customWidth="1"/>
    <col min="7144" max="7144" width="1.84375" style="2" customWidth="1"/>
    <col min="7145" max="7145" width="12.53515625" style="2" customWidth="1"/>
    <col min="7146" max="7146" width="1.53515625" style="2" customWidth="1"/>
    <col min="7147" max="7147" width="9.53515625" style="2" customWidth="1"/>
    <col min="7148" max="7148" width="1.84375" style="2" customWidth="1"/>
    <col min="7149" max="7149" width="11.84375" style="2" customWidth="1"/>
    <col min="7150" max="7150" width="1.53515625" style="2" customWidth="1"/>
    <col min="7151" max="7151" width="10.07421875" style="2" customWidth="1"/>
    <col min="7152" max="7152" width="2" style="2" customWidth="1"/>
    <col min="7153" max="7153" width="9.53515625" style="2" customWidth="1"/>
    <col min="7154" max="7396" width="9.07421875" style="2"/>
    <col min="7397" max="7397" width="4.53515625" style="2" customWidth="1"/>
    <col min="7398" max="7398" width="1" style="2" customWidth="1"/>
    <col min="7399" max="7399" width="18" style="2" customWidth="1"/>
    <col min="7400" max="7400" width="1.84375" style="2" customWidth="1"/>
    <col min="7401" max="7401" width="12.53515625" style="2" customWidth="1"/>
    <col min="7402" max="7402" width="1.53515625" style="2" customWidth="1"/>
    <col min="7403" max="7403" width="9.53515625" style="2" customWidth="1"/>
    <col min="7404" max="7404" width="1.84375" style="2" customWidth="1"/>
    <col min="7405" max="7405" width="11.84375" style="2" customWidth="1"/>
    <col min="7406" max="7406" width="1.53515625" style="2" customWidth="1"/>
    <col min="7407" max="7407" width="10.07421875" style="2" customWidth="1"/>
    <col min="7408" max="7408" width="2" style="2" customWidth="1"/>
    <col min="7409" max="7409" width="9.53515625" style="2" customWidth="1"/>
    <col min="7410" max="7652" width="9.07421875" style="2"/>
    <col min="7653" max="7653" width="4.53515625" style="2" customWidth="1"/>
    <col min="7654" max="7654" width="1" style="2" customWidth="1"/>
    <col min="7655" max="7655" width="18" style="2" customWidth="1"/>
    <col min="7656" max="7656" width="1.84375" style="2" customWidth="1"/>
    <col min="7657" max="7657" width="12.53515625" style="2" customWidth="1"/>
    <col min="7658" max="7658" width="1.53515625" style="2" customWidth="1"/>
    <col min="7659" max="7659" width="9.53515625" style="2" customWidth="1"/>
    <col min="7660" max="7660" width="1.84375" style="2" customWidth="1"/>
    <col min="7661" max="7661" width="11.84375" style="2" customWidth="1"/>
    <col min="7662" max="7662" width="1.53515625" style="2" customWidth="1"/>
    <col min="7663" max="7663" width="10.07421875" style="2" customWidth="1"/>
    <col min="7664" max="7664" width="2" style="2" customWidth="1"/>
    <col min="7665" max="7665" width="9.53515625" style="2" customWidth="1"/>
    <col min="7666" max="7908" width="9.07421875" style="2"/>
    <col min="7909" max="7909" width="4.53515625" style="2" customWidth="1"/>
    <col min="7910" max="7910" width="1" style="2" customWidth="1"/>
    <col min="7911" max="7911" width="18" style="2" customWidth="1"/>
    <col min="7912" max="7912" width="1.84375" style="2" customWidth="1"/>
    <col min="7913" max="7913" width="12.53515625" style="2" customWidth="1"/>
    <col min="7914" max="7914" width="1.53515625" style="2" customWidth="1"/>
    <col min="7915" max="7915" width="9.53515625" style="2" customWidth="1"/>
    <col min="7916" max="7916" width="1.84375" style="2" customWidth="1"/>
    <col min="7917" max="7917" width="11.84375" style="2" customWidth="1"/>
    <col min="7918" max="7918" width="1.53515625" style="2" customWidth="1"/>
    <col min="7919" max="7919" width="10.07421875" style="2" customWidth="1"/>
    <col min="7920" max="7920" width="2" style="2" customWidth="1"/>
    <col min="7921" max="7921" width="9.53515625" style="2" customWidth="1"/>
    <col min="7922" max="8164" width="9.07421875" style="2"/>
    <col min="8165" max="8165" width="4.53515625" style="2" customWidth="1"/>
    <col min="8166" max="8166" width="1" style="2" customWidth="1"/>
    <col min="8167" max="8167" width="18" style="2" customWidth="1"/>
    <col min="8168" max="8168" width="1.84375" style="2" customWidth="1"/>
    <col min="8169" max="8169" width="12.53515625" style="2" customWidth="1"/>
    <col min="8170" max="8170" width="1.53515625" style="2" customWidth="1"/>
    <col min="8171" max="8171" width="9.53515625" style="2" customWidth="1"/>
    <col min="8172" max="8172" width="1.84375" style="2" customWidth="1"/>
    <col min="8173" max="8173" width="11.84375" style="2" customWidth="1"/>
    <col min="8174" max="8174" width="1.53515625" style="2" customWidth="1"/>
    <col min="8175" max="8175" width="10.07421875" style="2" customWidth="1"/>
    <col min="8176" max="8176" width="2" style="2" customWidth="1"/>
    <col min="8177" max="8177" width="9.53515625" style="2" customWidth="1"/>
    <col min="8178" max="8420" width="9.07421875" style="2"/>
    <col min="8421" max="8421" width="4.53515625" style="2" customWidth="1"/>
    <col min="8422" max="8422" width="1" style="2" customWidth="1"/>
    <col min="8423" max="8423" width="18" style="2" customWidth="1"/>
    <col min="8424" max="8424" width="1.84375" style="2" customWidth="1"/>
    <col min="8425" max="8425" width="12.53515625" style="2" customWidth="1"/>
    <col min="8426" max="8426" width="1.53515625" style="2" customWidth="1"/>
    <col min="8427" max="8427" width="9.53515625" style="2" customWidth="1"/>
    <col min="8428" max="8428" width="1.84375" style="2" customWidth="1"/>
    <col min="8429" max="8429" width="11.84375" style="2" customWidth="1"/>
    <col min="8430" max="8430" width="1.53515625" style="2" customWidth="1"/>
    <col min="8431" max="8431" width="10.07421875" style="2" customWidth="1"/>
    <col min="8432" max="8432" width="2" style="2" customWidth="1"/>
    <col min="8433" max="8433" width="9.53515625" style="2" customWidth="1"/>
    <col min="8434" max="8676" width="9.07421875" style="2"/>
    <col min="8677" max="8677" width="4.53515625" style="2" customWidth="1"/>
    <col min="8678" max="8678" width="1" style="2" customWidth="1"/>
    <col min="8679" max="8679" width="18" style="2" customWidth="1"/>
    <col min="8680" max="8680" width="1.84375" style="2" customWidth="1"/>
    <col min="8681" max="8681" width="12.53515625" style="2" customWidth="1"/>
    <col min="8682" max="8682" width="1.53515625" style="2" customWidth="1"/>
    <col min="8683" max="8683" width="9.53515625" style="2" customWidth="1"/>
    <col min="8684" max="8684" width="1.84375" style="2" customWidth="1"/>
    <col min="8685" max="8685" width="11.84375" style="2" customWidth="1"/>
    <col min="8686" max="8686" width="1.53515625" style="2" customWidth="1"/>
    <col min="8687" max="8687" width="10.07421875" style="2" customWidth="1"/>
    <col min="8688" max="8688" width="2" style="2" customWidth="1"/>
    <col min="8689" max="8689" width="9.53515625" style="2" customWidth="1"/>
    <col min="8690" max="8932" width="9.07421875" style="2"/>
    <col min="8933" max="8933" width="4.53515625" style="2" customWidth="1"/>
    <col min="8934" max="8934" width="1" style="2" customWidth="1"/>
    <col min="8935" max="8935" width="18" style="2" customWidth="1"/>
    <col min="8936" max="8936" width="1.84375" style="2" customWidth="1"/>
    <col min="8937" max="8937" width="12.53515625" style="2" customWidth="1"/>
    <col min="8938" max="8938" width="1.53515625" style="2" customWidth="1"/>
    <col min="8939" max="8939" width="9.53515625" style="2" customWidth="1"/>
    <col min="8940" max="8940" width="1.84375" style="2" customWidth="1"/>
    <col min="8941" max="8941" width="11.84375" style="2" customWidth="1"/>
    <col min="8942" max="8942" width="1.53515625" style="2" customWidth="1"/>
    <col min="8943" max="8943" width="10.07421875" style="2" customWidth="1"/>
    <col min="8944" max="8944" width="2" style="2" customWidth="1"/>
    <col min="8945" max="8945" width="9.53515625" style="2" customWidth="1"/>
    <col min="8946" max="9188" width="9.07421875" style="2"/>
    <col min="9189" max="9189" width="4.53515625" style="2" customWidth="1"/>
    <col min="9190" max="9190" width="1" style="2" customWidth="1"/>
    <col min="9191" max="9191" width="18" style="2" customWidth="1"/>
    <col min="9192" max="9192" width="1.84375" style="2" customWidth="1"/>
    <col min="9193" max="9193" width="12.53515625" style="2" customWidth="1"/>
    <col min="9194" max="9194" width="1.53515625" style="2" customWidth="1"/>
    <col min="9195" max="9195" width="9.53515625" style="2" customWidth="1"/>
    <col min="9196" max="9196" width="1.84375" style="2" customWidth="1"/>
    <col min="9197" max="9197" width="11.84375" style="2" customWidth="1"/>
    <col min="9198" max="9198" width="1.53515625" style="2" customWidth="1"/>
    <col min="9199" max="9199" width="10.07421875" style="2" customWidth="1"/>
    <col min="9200" max="9200" width="2" style="2" customWidth="1"/>
    <col min="9201" max="9201" width="9.53515625" style="2" customWidth="1"/>
    <col min="9202" max="9444" width="9.07421875" style="2"/>
    <col min="9445" max="9445" width="4.53515625" style="2" customWidth="1"/>
    <col min="9446" max="9446" width="1" style="2" customWidth="1"/>
    <col min="9447" max="9447" width="18" style="2" customWidth="1"/>
    <col min="9448" max="9448" width="1.84375" style="2" customWidth="1"/>
    <col min="9449" max="9449" width="12.53515625" style="2" customWidth="1"/>
    <col min="9450" max="9450" width="1.53515625" style="2" customWidth="1"/>
    <col min="9451" max="9451" width="9.53515625" style="2" customWidth="1"/>
    <col min="9452" max="9452" width="1.84375" style="2" customWidth="1"/>
    <col min="9453" max="9453" width="11.84375" style="2" customWidth="1"/>
    <col min="9454" max="9454" width="1.53515625" style="2" customWidth="1"/>
    <col min="9455" max="9455" width="10.07421875" style="2" customWidth="1"/>
    <col min="9456" max="9456" width="2" style="2" customWidth="1"/>
    <col min="9457" max="9457" width="9.53515625" style="2" customWidth="1"/>
    <col min="9458" max="9700" width="9.07421875" style="2"/>
    <col min="9701" max="9701" width="4.53515625" style="2" customWidth="1"/>
    <col min="9702" max="9702" width="1" style="2" customWidth="1"/>
    <col min="9703" max="9703" width="18" style="2" customWidth="1"/>
    <col min="9704" max="9704" width="1.84375" style="2" customWidth="1"/>
    <col min="9705" max="9705" width="12.53515625" style="2" customWidth="1"/>
    <col min="9706" max="9706" width="1.53515625" style="2" customWidth="1"/>
    <col min="9707" max="9707" width="9.53515625" style="2" customWidth="1"/>
    <col min="9708" max="9708" width="1.84375" style="2" customWidth="1"/>
    <col min="9709" max="9709" width="11.84375" style="2" customWidth="1"/>
    <col min="9710" max="9710" width="1.53515625" style="2" customWidth="1"/>
    <col min="9711" max="9711" width="10.07421875" style="2" customWidth="1"/>
    <col min="9712" max="9712" width="2" style="2" customWidth="1"/>
    <col min="9713" max="9713" width="9.53515625" style="2" customWidth="1"/>
    <col min="9714" max="9956" width="9.07421875" style="2"/>
    <col min="9957" max="9957" width="4.53515625" style="2" customWidth="1"/>
    <col min="9958" max="9958" width="1" style="2" customWidth="1"/>
    <col min="9959" max="9959" width="18" style="2" customWidth="1"/>
    <col min="9960" max="9960" width="1.84375" style="2" customWidth="1"/>
    <col min="9961" max="9961" width="12.53515625" style="2" customWidth="1"/>
    <col min="9962" max="9962" width="1.53515625" style="2" customWidth="1"/>
    <col min="9963" max="9963" width="9.53515625" style="2" customWidth="1"/>
    <col min="9964" max="9964" width="1.84375" style="2" customWidth="1"/>
    <col min="9965" max="9965" width="11.84375" style="2" customWidth="1"/>
    <col min="9966" max="9966" width="1.53515625" style="2" customWidth="1"/>
    <col min="9967" max="9967" width="10.07421875" style="2" customWidth="1"/>
    <col min="9968" max="9968" width="2" style="2" customWidth="1"/>
    <col min="9969" max="9969" width="9.53515625" style="2" customWidth="1"/>
    <col min="9970" max="10212" width="9.07421875" style="2"/>
    <col min="10213" max="10213" width="4.53515625" style="2" customWidth="1"/>
    <col min="10214" max="10214" width="1" style="2" customWidth="1"/>
    <col min="10215" max="10215" width="18" style="2" customWidth="1"/>
    <col min="10216" max="10216" width="1.84375" style="2" customWidth="1"/>
    <col min="10217" max="10217" width="12.53515625" style="2" customWidth="1"/>
    <col min="10218" max="10218" width="1.53515625" style="2" customWidth="1"/>
    <col min="10219" max="10219" width="9.53515625" style="2" customWidth="1"/>
    <col min="10220" max="10220" width="1.84375" style="2" customWidth="1"/>
    <col min="10221" max="10221" width="11.84375" style="2" customWidth="1"/>
    <col min="10222" max="10222" width="1.53515625" style="2" customWidth="1"/>
    <col min="10223" max="10223" width="10.07421875" style="2" customWidth="1"/>
    <col min="10224" max="10224" width="2" style="2" customWidth="1"/>
    <col min="10225" max="10225" width="9.53515625" style="2" customWidth="1"/>
    <col min="10226" max="10468" width="9.07421875" style="2"/>
    <col min="10469" max="10469" width="4.53515625" style="2" customWidth="1"/>
    <col min="10470" max="10470" width="1" style="2" customWidth="1"/>
    <col min="10471" max="10471" width="18" style="2" customWidth="1"/>
    <col min="10472" max="10472" width="1.84375" style="2" customWidth="1"/>
    <col min="10473" max="10473" width="12.53515625" style="2" customWidth="1"/>
    <col min="10474" max="10474" width="1.53515625" style="2" customWidth="1"/>
    <col min="10475" max="10475" width="9.53515625" style="2" customWidth="1"/>
    <col min="10476" max="10476" width="1.84375" style="2" customWidth="1"/>
    <col min="10477" max="10477" width="11.84375" style="2" customWidth="1"/>
    <col min="10478" max="10478" width="1.53515625" style="2" customWidth="1"/>
    <col min="10479" max="10479" width="10.07421875" style="2" customWidth="1"/>
    <col min="10480" max="10480" width="2" style="2" customWidth="1"/>
    <col min="10481" max="10481" width="9.53515625" style="2" customWidth="1"/>
    <col min="10482" max="10724" width="9.07421875" style="2"/>
    <col min="10725" max="10725" width="4.53515625" style="2" customWidth="1"/>
    <col min="10726" max="10726" width="1" style="2" customWidth="1"/>
    <col min="10727" max="10727" width="18" style="2" customWidth="1"/>
    <col min="10728" max="10728" width="1.84375" style="2" customWidth="1"/>
    <col min="10729" max="10729" width="12.53515625" style="2" customWidth="1"/>
    <col min="10730" max="10730" width="1.53515625" style="2" customWidth="1"/>
    <col min="10731" max="10731" width="9.53515625" style="2" customWidth="1"/>
    <col min="10732" max="10732" width="1.84375" style="2" customWidth="1"/>
    <col min="10733" max="10733" width="11.84375" style="2" customWidth="1"/>
    <col min="10734" max="10734" width="1.53515625" style="2" customWidth="1"/>
    <col min="10735" max="10735" width="10.07421875" style="2" customWidth="1"/>
    <col min="10736" max="10736" width="2" style="2" customWidth="1"/>
    <col min="10737" max="10737" width="9.53515625" style="2" customWidth="1"/>
    <col min="10738" max="10980" width="9.07421875" style="2"/>
    <col min="10981" max="10981" width="4.53515625" style="2" customWidth="1"/>
    <col min="10982" max="10982" width="1" style="2" customWidth="1"/>
    <col min="10983" max="10983" width="18" style="2" customWidth="1"/>
    <col min="10984" max="10984" width="1.84375" style="2" customWidth="1"/>
    <col min="10985" max="10985" width="12.53515625" style="2" customWidth="1"/>
    <col min="10986" max="10986" width="1.53515625" style="2" customWidth="1"/>
    <col min="10987" max="10987" width="9.53515625" style="2" customWidth="1"/>
    <col min="10988" max="10988" width="1.84375" style="2" customWidth="1"/>
    <col min="10989" max="10989" width="11.84375" style="2" customWidth="1"/>
    <col min="10990" max="10990" width="1.53515625" style="2" customWidth="1"/>
    <col min="10991" max="10991" width="10.07421875" style="2" customWidth="1"/>
    <col min="10992" max="10992" width="2" style="2" customWidth="1"/>
    <col min="10993" max="10993" width="9.53515625" style="2" customWidth="1"/>
    <col min="10994" max="11236" width="9.07421875" style="2"/>
    <col min="11237" max="11237" width="4.53515625" style="2" customWidth="1"/>
    <col min="11238" max="11238" width="1" style="2" customWidth="1"/>
    <col min="11239" max="11239" width="18" style="2" customWidth="1"/>
    <col min="11240" max="11240" width="1.84375" style="2" customWidth="1"/>
    <col min="11241" max="11241" width="12.53515625" style="2" customWidth="1"/>
    <col min="11242" max="11242" width="1.53515625" style="2" customWidth="1"/>
    <col min="11243" max="11243" width="9.53515625" style="2" customWidth="1"/>
    <col min="11244" max="11244" width="1.84375" style="2" customWidth="1"/>
    <col min="11245" max="11245" width="11.84375" style="2" customWidth="1"/>
    <col min="11246" max="11246" width="1.53515625" style="2" customWidth="1"/>
    <col min="11247" max="11247" width="10.07421875" style="2" customWidth="1"/>
    <col min="11248" max="11248" width="2" style="2" customWidth="1"/>
    <col min="11249" max="11249" width="9.53515625" style="2" customWidth="1"/>
    <col min="11250" max="11492" width="9.07421875" style="2"/>
    <col min="11493" max="11493" width="4.53515625" style="2" customWidth="1"/>
    <col min="11494" max="11494" width="1" style="2" customWidth="1"/>
    <col min="11495" max="11495" width="18" style="2" customWidth="1"/>
    <col min="11496" max="11496" width="1.84375" style="2" customWidth="1"/>
    <col min="11497" max="11497" width="12.53515625" style="2" customWidth="1"/>
    <col min="11498" max="11498" width="1.53515625" style="2" customWidth="1"/>
    <col min="11499" max="11499" width="9.53515625" style="2" customWidth="1"/>
    <col min="11500" max="11500" width="1.84375" style="2" customWidth="1"/>
    <col min="11501" max="11501" width="11.84375" style="2" customWidth="1"/>
    <col min="11502" max="11502" width="1.53515625" style="2" customWidth="1"/>
    <col min="11503" max="11503" width="10.07421875" style="2" customWidth="1"/>
    <col min="11504" max="11504" width="2" style="2" customWidth="1"/>
    <col min="11505" max="11505" width="9.53515625" style="2" customWidth="1"/>
    <col min="11506" max="11748" width="9.07421875" style="2"/>
    <col min="11749" max="11749" width="4.53515625" style="2" customWidth="1"/>
    <col min="11750" max="11750" width="1" style="2" customWidth="1"/>
    <col min="11751" max="11751" width="18" style="2" customWidth="1"/>
    <col min="11752" max="11752" width="1.84375" style="2" customWidth="1"/>
    <col min="11753" max="11753" width="12.53515625" style="2" customWidth="1"/>
    <col min="11754" max="11754" width="1.53515625" style="2" customWidth="1"/>
    <col min="11755" max="11755" width="9.53515625" style="2" customWidth="1"/>
    <col min="11756" max="11756" width="1.84375" style="2" customWidth="1"/>
    <col min="11757" max="11757" width="11.84375" style="2" customWidth="1"/>
    <col min="11758" max="11758" width="1.53515625" style="2" customWidth="1"/>
    <col min="11759" max="11759" width="10.07421875" style="2" customWidth="1"/>
    <col min="11760" max="11760" width="2" style="2" customWidth="1"/>
    <col min="11761" max="11761" width="9.53515625" style="2" customWidth="1"/>
    <col min="11762" max="12004" width="9.07421875" style="2"/>
    <col min="12005" max="12005" width="4.53515625" style="2" customWidth="1"/>
    <col min="12006" max="12006" width="1" style="2" customWidth="1"/>
    <col min="12007" max="12007" width="18" style="2" customWidth="1"/>
    <col min="12008" max="12008" width="1.84375" style="2" customWidth="1"/>
    <col min="12009" max="12009" width="12.53515625" style="2" customWidth="1"/>
    <col min="12010" max="12010" width="1.53515625" style="2" customWidth="1"/>
    <col min="12011" max="12011" width="9.53515625" style="2" customWidth="1"/>
    <col min="12012" max="12012" width="1.84375" style="2" customWidth="1"/>
    <col min="12013" max="12013" width="11.84375" style="2" customWidth="1"/>
    <col min="12014" max="12014" width="1.53515625" style="2" customWidth="1"/>
    <col min="12015" max="12015" width="10.07421875" style="2" customWidth="1"/>
    <col min="12016" max="12016" width="2" style="2" customWidth="1"/>
    <col min="12017" max="12017" width="9.53515625" style="2" customWidth="1"/>
    <col min="12018" max="12260" width="9.07421875" style="2"/>
    <col min="12261" max="12261" width="4.53515625" style="2" customWidth="1"/>
    <col min="12262" max="12262" width="1" style="2" customWidth="1"/>
    <col min="12263" max="12263" width="18" style="2" customWidth="1"/>
    <col min="12264" max="12264" width="1.84375" style="2" customWidth="1"/>
    <col min="12265" max="12265" width="12.53515625" style="2" customWidth="1"/>
    <col min="12266" max="12266" width="1.53515625" style="2" customWidth="1"/>
    <col min="12267" max="12267" width="9.53515625" style="2" customWidth="1"/>
    <col min="12268" max="12268" width="1.84375" style="2" customWidth="1"/>
    <col min="12269" max="12269" width="11.84375" style="2" customWidth="1"/>
    <col min="12270" max="12270" width="1.53515625" style="2" customWidth="1"/>
    <col min="12271" max="12271" width="10.07421875" style="2" customWidth="1"/>
    <col min="12272" max="12272" width="2" style="2" customWidth="1"/>
    <col min="12273" max="12273" width="9.53515625" style="2" customWidth="1"/>
    <col min="12274" max="12516" width="9.07421875" style="2"/>
    <col min="12517" max="12517" width="4.53515625" style="2" customWidth="1"/>
    <col min="12518" max="12518" width="1" style="2" customWidth="1"/>
    <col min="12519" max="12519" width="18" style="2" customWidth="1"/>
    <col min="12520" max="12520" width="1.84375" style="2" customWidth="1"/>
    <col min="12521" max="12521" width="12.53515625" style="2" customWidth="1"/>
    <col min="12522" max="12522" width="1.53515625" style="2" customWidth="1"/>
    <col min="12523" max="12523" width="9.53515625" style="2" customWidth="1"/>
    <col min="12524" max="12524" width="1.84375" style="2" customWidth="1"/>
    <col min="12525" max="12525" width="11.84375" style="2" customWidth="1"/>
    <col min="12526" max="12526" width="1.53515625" style="2" customWidth="1"/>
    <col min="12527" max="12527" width="10.07421875" style="2" customWidth="1"/>
    <col min="12528" max="12528" width="2" style="2" customWidth="1"/>
    <col min="12529" max="12529" width="9.53515625" style="2" customWidth="1"/>
    <col min="12530" max="12772" width="9.07421875" style="2"/>
    <col min="12773" max="12773" width="4.53515625" style="2" customWidth="1"/>
    <col min="12774" max="12774" width="1" style="2" customWidth="1"/>
    <col min="12775" max="12775" width="18" style="2" customWidth="1"/>
    <col min="12776" max="12776" width="1.84375" style="2" customWidth="1"/>
    <col min="12777" max="12777" width="12.53515625" style="2" customWidth="1"/>
    <col min="12778" max="12778" width="1.53515625" style="2" customWidth="1"/>
    <col min="12779" max="12779" width="9.53515625" style="2" customWidth="1"/>
    <col min="12780" max="12780" width="1.84375" style="2" customWidth="1"/>
    <col min="12781" max="12781" width="11.84375" style="2" customWidth="1"/>
    <col min="12782" max="12782" width="1.53515625" style="2" customWidth="1"/>
    <col min="12783" max="12783" width="10.07421875" style="2" customWidth="1"/>
    <col min="12784" max="12784" width="2" style="2" customWidth="1"/>
    <col min="12785" max="12785" width="9.53515625" style="2" customWidth="1"/>
    <col min="12786" max="13028" width="9.07421875" style="2"/>
    <col min="13029" max="13029" width="4.53515625" style="2" customWidth="1"/>
    <col min="13030" max="13030" width="1" style="2" customWidth="1"/>
    <col min="13031" max="13031" width="18" style="2" customWidth="1"/>
    <col min="13032" max="13032" width="1.84375" style="2" customWidth="1"/>
    <col min="13033" max="13033" width="12.53515625" style="2" customWidth="1"/>
    <col min="13034" max="13034" width="1.53515625" style="2" customWidth="1"/>
    <col min="13035" max="13035" width="9.53515625" style="2" customWidth="1"/>
    <col min="13036" max="13036" width="1.84375" style="2" customWidth="1"/>
    <col min="13037" max="13037" width="11.84375" style="2" customWidth="1"/>
    <col min="13038" max="13038" width="1.53515625" style="2" customWidth="1"/>
    <col min="13039" max="13039" width="10.07421875" style="2" customWidth="1"/>
    <col min="13040" max="13040" width="2" style="2" customWidth="1"/>
    <col min="13041" max="13041" width="9.53515625" style="2" customWidth="1"/>
    <col min="13042" max="13284" width="9.07421875" style="2"/>
    <col min="13285" max="13285" width="4.53515625" style="2" customWidth="1"/>
    <col min="13286" max="13286" width="1" style="2" customWidth="1"/>
    <col min="13287" max="13287" width="18" style="2" customWidth="1"/>
    <col min="13288" max="13288" width="1.84375" style="2" customWidth="1"/>
    <col min="13289" max="13289" width="12.53515625" style="2" customWidth="1"/>
    <col min="13290" max="13290" width="1.53515625" style="2" customWidth="1"/>
    <col min="13291" max="13291" width="9.53515625" style="2" customWidth="1"/>
    <col min="13292" max="13292" width="1.84375" style="2" customWidth="1"/>
    <col min="13293" max="13293" width="11.84375" style="2" customWidth="1"/>
    <col min="13294" max="13294" width="1.53515625" style="2" customWidth="1"/>
    <col min="13295" max="13295" width="10.07421875" style="2" customWidth="1"/>
    <col min="13296" max="13296" width="2" style="2" customWidth="1"/>
    <col min="13297" max="13297" width="9.53515625" style="2" customWidth="1"/>
    <col min="13298" max="13540" width="9.07421875" style="2"/>
    <col min="13541" max="13541" width="4.53515625" style="2" customWidth="1"/>
    <col min="13542" max="13542" width="1" style="2" customWidth="1"/>
    <col min="13543" max="13543" width="18" style="2" customWidth="1"/>
    <col min="13544" max="13544" width="1.84375" style="2" customWidth="1"/>
    <col min="13545" max="13545" width="12.53515625" style="2" customWidth="1"/>
    <col min="13546" max="13546" width="1.53515625" style="2" customWidth="1"/>
    <col min="13547" max="13547" width="9.53515625" style="2" customWidth="1"/>
    <col min="13548" max="13548" width="1.84375" style="2" customWidth="1"/>
    <col min="13549" max="13549" width="11.84375" style="2" customWidth="1"/>
    <col min="13550" max="13550" width="1.53515625" style="2" customWidth="1"/>
    <col min="13551" max="13551" width="10.07421875" style="2" customWidth="1"/>
    <col min="13552" max="13552" width="2" style="2" customWidth="1"/>
    <col min="13553" max="13553" width="9.53515625" style="2" customWidth="1"/>
    <col min="13554" max="13796" width="9.07421875" style="2"/>
    <col min="13797" max="13797" width="4.53515625" style="2" customWidth="1"/>
    <col min="13798" max="13798" width="1" style="2" customWidth="1"/>
    <col min="13799" max="13799" width="18" style="2" customWidth="1"/>
    <col min="13800" max="13800" width="1.84375" style="2" customWidth="1"/>
    <col min="13801" max="13801" width="12.53515625" style="2" customWidth="1"/>
    <col min="13802" max="13802" width="1.53515625" style="2" customWidth="1"/>
    <col min="13803" max="13803" width="9.53515625" style="2" customWidth="1"/>
    <col min="13804" max="13804" width="1.84375" style="2" customWidth="1"/>
    <col min="13805" max="13805" width="11.84375" style="2" customWidth="1"/>
    <col min="13806" max="13806" width="1.53515625" style="2" customWidth="1"/>
    <col min="13807" max="13807" width="10.07421875" style="2" customWidth="1"/>
    <col min="13808" max="13808" width="2" style="2" customWidth="1"/>
    <col min="13809" max="13809" width="9.53515625" style="2" customWidth="1"/>
    <col min="13810" max="14052" width="9.07421875" style="2"/>
    <col min="14053" max="14053" width="4.53515625" style="2" customWidth="1"/>
    <col min="14054" max="14054" width="1" style="2" customWidth="1"/>
    <col min="14055" max="14055" width="18" style="2" customWidth="1"/>
    <col min="14056" max="14056" width="1.84375" style="2" customWidth="1"/>
    <col min="14057" max="14057" width="12.53515625" style="2" customWidth="1"/>
    <col min="14058" max="14058" width="1.53515625" style="2" customWidth="1"/>
    <col min="14059" max="14059" width="9.53515625" style="2" customWidth="1"/>
    <col min="14060" max="14060" width="1.84375" style="2" customWidth="1"/>
    <col min="14061" max="14061" width="11.84375" style="2" customWidth="1"/>
    <col min="14062" max="14062" width="1.53515625" style="2" customWidth="1"/>
    <col min="14063" max="14063" width="10.07421875" style="2" customWidth="1"/>
    <col min="14064" max="14064" width="2" style="2" customWidth="1"/>
    <col min="14065" max="14065" width="9.53515625" style="2" customWidth="1"/>
    <col min="14066" max="14308" width="9.07421875" style="2"/>
    <col min="14309" max="14309" width="4.53515625" style="2" customWidth="1"/>
    <col min="14310" max="14310" width="1" style="2" customWidth="1"/>
    <col min="14311" max="14311" width="18" style="2" customWidth="1"/>
    <col min="14312" max="14312" width="1.84375" style="2" customWidth="1"/>
    <col min="14313" max="14313" width="12.53515625" style="2" customWidth="1"/>
    <col min="14314" max="14314" width="1.53515625" style="2" customWidth="1"/>
    <col min="14315" max="14315" width="9.53515625" style="2" customWidth="1"/>
    <col min="14316" max="14316" width="1.84375" style="2" customWidth="1"/>
    <col min="14317" max="14317" width="11.84375" style="2" customWidth="1"/>
    <col min="14318" max="14318" width="1.53515625" style="2" customWidth="1"/>
    <col min="14319" max="14319" width="10.07421875" style="2" customWidth="1"/>
    <col min="14320" max="14320" width="2" style="2" customWidth="1"/>
    <col min="14321" max="14321" width="9.53515625" style="2" customWidth="1"/>
    <col min="14322" max="14564" width="9.07421875" style="2"/>
    <col min="14565" max="14565" width="4.53515625" style="2" customWidth="1"/>
    <col min="14566" max="14566" width="1" style="2" customWidth="1"/>
    <col min="14567" max="14567" width="18" style="2" customWidth="1"/>
    <col min="14568" max="14568" width="1.84375" style="2" customWidth="1"/>
    <col min="14569" max="14569" width="12.53515625" style="2" customWidth="1"/>
    <col min="14570" max="14570" width="1.53515625" style="2" customWidth="1"/>
    <col min="14571" max="14571" width="9.53515625" style="2" customWidth="1"/>
    <col min="14572" max="14572" width="1.84375" style="2" customWidth="1"/>
    <col min="14573" max="14573" width="11.84375" style="2" customWidth="1"/>
    <col min="14574" max="14574" width="1.53515625" style="2" customWidth="1"/>
    <col min="14575" max="14575" width="10.07421875" style="2" customWidth="1"/>
    <col min="14576" max="14576" width="2" style="2" customWidth="1"/>
    <col min="14577" max="14577" width="9.53515625" style="2" customWidth="1"/>
    <col min="14578" max="14820" width="9.07421875" style="2"/>
    <col min="14821" max="14821" width="4.53515625" style="2" customWidth="1"/>
    <col min="14822" max="14822" width="1" style="2" customWidth="1"/>
    <col min="14823" max="14823" width="18" style="2" customWidth="1"/>
    <col min="14824" max="14824" width="1.84375" style="2" customWidth="1"/>
    <col min="14825" max="14825" width="12.53515625" style="2" customWidth="1"/>
    <col min="14826" max="14826" width="1.53515625" style="2" customWidth="1"/>
    <col min="14827" max="14827" width="9.53515625" style="2" customWidth="1"/>
    <col min="14828" max="14828" width="1.84375" style="2" customWidth="1"/>
    <col min="14829" max="14829" width="11.84375" style="2" customWidth="1"/>
    <col min="14830" max="14830" width="1.53515625" style="2" customWidth="1"/>
    <col min="14831" max="14831" width="10.07421875" style="2" customWidth="1"/>
    <col min="14832" max="14832" width="2" style="2" customWidth="1"/>
    <col min="14833" max="14833" width="9.53515625" style="2" customWidth="1"/>
    <col min="14834" max="15076" width="9.07421875" style="2"/>
    <col min="15077" max="15077" width="4.53515625" style="2" customWidth="1"/>
    <col min="15078" max="15078" width="1" style="2" customWidth="1"/>
    <col min="15079" max="15079" width="18" style="2" customWidth="1"/>
    <col min="15080" max="15080" width="1.84375" style="2" customWidth="1"/>
    <col min="15081" max="15081" width="12.53515625" style="2" customWidth="1"/>
    <col min="15082" max="15082" width="1.53515625" style="2" customWidth="1"/>
    <col min="15083" max="15083" width="9.53515625" style="2" customWidth="1"/>
    <col min="15084" max="15084" width="1.84375" style="2" customWidth="1"/>
    <col min="15085" max="15085" width="11.84375" style="2" customWidth="1"/>
    <col min="15086" max="15086" width="1.53515625" style="2" customWidth="1"/>
    <col min="15087" max="15087" width="10.07421875" style="2" customWidth="1"/>
    <col min="15088" max="15088" width="2" style="2" customWidth="1"/>
    <col min="15089" max="15089" width="9.53515625" style="2" customWidth="1"/>
    <col min="15090" max="15332" width="9.07421875" style="2"/>
    <col min="15333" max="15333" width="4.53515625" style="2" customWidth="1"/>
    <col min="15334" max="15334" width="1" style="2" customWidth="1"/>
    <col min="15335" max="15335" width="18" style="2" customWidth="1"/>
    <col min="15336" max="15336" width="1.84375" style="2" customWidth="1"/>
    <col min="15337" max="15337" width="12.53515625" style="2" customWidth="1"/>
    <col min="15338" max="15338" width="1.53515625" style="2" customWidth="1"/>
    <col min="15339" max="15339" width="9.53515625" style="2" customWidth="1"/>
    <col min="15340" max="15340" width="1.84375" style="2" customWidth="1"/>
    <col min="15341" max="15341" width="11.84375" style="2" customWidth="1"/>
    <col min="15342" max="15342" width="1.53515625" style="2" customWidth="1"/>
    <col min="15343" max="15343" width="10.07421875" style="2" customWidth="1"/>
    <col min="15344" max="15344" width="2" style="2" customWidth="1"/>
    <col min="15345" max="15345" width="9.53515625" style="2" customWidth="1"/>
    <col min="15346" max="15588" width="9.07421875" style="2"/>
    <col min="15589" max="15589" width="4.53515625" style="2" customWidth="1"/>
    <col min="15590" max="15590" width="1" style="2" customWidth="1"/>
    <col min="15591" max="15591" width="18" style="2" customWidth="1"/>
    <col min="15592" max="15592" width="1.84375" style="2" customWidth="1"/>
    <col min="15593" max="15593" width="12.53515625" style="2" customWidth="1"/>
    <col min="15594" max="15594" width="1.53515625" style="2" customWidth="1"/>
    <col min="15595" max="15595" width="9.53515625" style="2" customWidth="1"/>
    <col min="15596" max="15596" width="1.84375" style="2" customWidth="1"/>
    <col min="15597" max="15597" width="11.84375" style="2" customWidth="1"/>
    <col min="15598" max="15598" width="1.53515625" style="2" customWidth="1"/>
    <col min="15599" max="15599" width="10.07421875" style="2" customWidth="1"/>
    <col min="15600" max="15600" width="2" style="2" customWidth="1"/>
    <col min="15601" max="15601" width="9.53515625" style="2" customWidth="1"/>
    <col min="15602" max="15844" width="9.07421875" style="2"/>
    <col min="15845" max="15845" width="4.53515625" style="2" customWidth="1"/>
    <col min="15846" max="15846" width="1" style="2" customWidth="1"/>
    <col min="15847" max="15847" width="18" style="2" customWidth="1"/>
    <col min="15848" max="15848" width="1.84375" style="2" customWidth="1"/>
    <col min="15849" max="15849" width="12.53515625" style="2" customWidth="1"/>
    <col min="15850" max="15850" width="1.53515625" style="2" customWidth="1"/>
    <col min="15851" max="15851" width="9.53515625" style="2" customWidth="1"/>
    <col min="15852" max="15852" width="1.84375" style="2" customWidth="1"/>
    <col min="15853" max="15853" width="11.84375" style="2" customWidth="1"/>
    <col min="15854" max="15854" width="1.53515625" style="2" customWidth="1"/>
    <col min="15855" max="15855" width="10.07421875" style="2" customWidth="1"/>
    <col min="15856" max="15856" width="2" style="2" customWidth="1"/>
    <col min="15857" max="15857" width="9.53515625" style="2" customWidth="1"/>
    <col min="15858" max="16100" width="9.07421875" style="2"/>
    <col min="16101" max="16101" width="4.53515625" style="2" customWidth="1"/>
    <col min="16102" max="16102" width="1" style="2" customWidth="1"/>
    <col min="16103" max="16103" width="18" style="2" customWidth="1"/>
    <col min="16104" max="16104" width="1.84375" style="2" customWidth="1"/>
    <col min="16105" max="16105" width="12.53515625" style="2" customWidth="1"/>
    <col min="16106" max="16106" width="1.53515625" style="2" customWidth="1"/>
    <col min="16107" max="16107" width="9.53515625" style="2" customWidth="1"/>
    <col min="16108" max="16108" width="1.84375" style="2" customWidth="1"/>
    <col min="16109" max="16109" width="11.84375" style="2" customWidth="1"/>
    <col min="16110" max="16110" width="1.53515625" style="2" customWidth="1"/>
    <col min="16111" max="16111" width="10.07421875" style="2" customWidth="1"/>
    <col min="16112" max="16112" width="2" style="2" customWidth="1"/>
    <col min="16113" max="16113" width="9.53515625" style="2" customWidth="1"/>
    <col min="16114" max="16371" width="9.07421875" style="2"/>
    <col min="16372" max="16374" width="9.07421875" style="2" customWidth="1"/>
    <col min="16375" max="16384" width="9.07421875" style="2"/>
  </cols>
  <sheetData>
    <row r="8" spans="2:26" ht="15" customHeight="1" x14ac:dyDescent="0.3">
      <c r="B8" s="93" t="s">
        <v>0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2:26" x14ac:dyDescent="0.3">
      <c r="B9" s="93" t="s">
        <v>1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spans="2:26" x14ac:dyDescent="0.3">
      <c r="B10" s="54"/>
      <c r="C10" s="54"/>
      <c r="D10" s="54"/>
      <c r="E10" s="54"/>
      <c r="F10" s="55"/>
      <c r="G10" s="54"/>
      <c r="H10" s="55"/>
      <c r="I10" s="54"/>
      <c r="J10" s="55"/>
      <c r="K10" s="55"/>
      <c r="L10" s="55"/>
      <c r="M10" s="55"/>
      <c r="N10" s="55"/>
      <c r="O10" s="54"/>
      <c r="P10" s="54"/>
      <c r="Q10" s="54"/>
      <c r="R10" s="54"/>
      <c r="S10" s="54"/>
      <c r="T10" s="54"/>
      <c r="U10" s="54"/>
      <c r="V10" s="54"/>
      <c r="W10" s="54"/>
      <c r="X10" s="3"/>
      <c r="Z10" s="3"/>
    </row>
    <row r="11" spans="2:26" x14ac:dyDescent="0.3">
      <c r="B11" s="55"/>
      <c r="C11" s="55"/>
      <c r="D11" s="55"/>
      <c r="E11" s="55"/>
      <c r="F11" s="54"/>
      <c r="G11" s="55"/>
      <c r="H11" s="54"/>
      <c r="I11" s="55"/>
      <c r="J11" s="56" t="s">
        <v>2</v>
      </c>
      <c r="K11" s="56"/>
      <c r="L11" s="56"/>
      <c r="M11" s="55"/>
      <c r="N11" s="55"/>
      <c r="O11" s="55"/>
      <c r="P11" s="56" t="s">
        <v>3</v>
      </c>
      <c r="Q11" s="56"/>
      <c r="R11" s="56"/>
      <c r="S11" s="56"/>
      <c r="T11" s="56"/>
      <c r="U11" s="56"/>
      <c r="V11" s="56"/>
      <c r="W11" s="56"/>
      <c r="X11" s="4"/>
      <c r="Y11" s="4"/>
      <c r="Z11" s="4"/>
    </row>
    <row r="12" spans="2:26" x14ac:dyDescent="0.3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3"/>
      <c r="Z12" s="3"/>
    </row>
    <row r="13" spans="2:26" s="5" customFormat="1" ht="37.299999999999997" x14ac:dyDescent="0.3">
      <c r="B13" s="57" t="s">
        <v>4</v>
      </c>
      <c r="C13" s="57"/>
      <c r="D13" s="57"/>
      <c r="E13" s="57"/>
      <c r="F13" s="58" t="s">
        <v>5</v>
      </c>
      <c r="G13" s="57"/>
      <c r="H13" s="5" t="s">
        <v>6</v>
      </c>
      <c r="I13" s="57"/>
      <c r="J13" s="5" t="s">
        <v>7</v>
      </c>
      <c r="L13" s="5" t="s">
        <v>8</v>
      </c>
      <c r="M13" s="57"/>
      <c r="N13" s="5" t="s">
        <v>9</v>
      </c>
      <c r="O13" s="57"/>
      <c r="P13" s="57" t="s">
        <v>10</v>
      </c>
      <c r="Q13" s="57"/>
      <c r="R13" s="5" t="s">
        <v>11</v>
      </c>
      <c r="S13" s="57"/>
      <c r="T13" s="5" t="s">
        <v>7</v>
      </c>
      <c r="U13" s="57"/>
      <c r="V13" s="5" t="s">
        <v>8</v>
      </c>
      <c r="W13" s="57"/>
      <c r="X13" s="57" t="s">
        <v>12</v>
      </c>
      <c r="Y13" s="57"/>
      <c r="Z13" s="57" t="s">
        <v>13</v>
      </c>
    </row>
    <row r="14" spans="2:26" ht="14.15" x14ac:dyDescent="0.3">
      <c r="B14" s="59" t="s">
        <v>14</v>
      </c>
      <c r="C14" s="60"/>
      <c r="D14" s="61" t="s">
        <v>15</v>
      </c>
      <c r="E14" s="58"/>
      <c r="F14" s="59" t="s">
        <v>16</v>
      </c>
      <c r="G14" s="58"/>
      <c r="H14" s="59" t="s">
        <v>17</v>
      </c>
      <c r="I14" s="58"/>
      <c r="J14" s="59" t="s">
        <v>18</v>
      </c>
      <c r="L14" s="59" t="s">
        <v>19</v>
      </c>
      <c r="M14" s="58"/>
      <c r="N14" s="59" t="s">
        <v>18</v>
      </c>
      <c r="O14" s="58"/>
      <c r="P14" s="59" t="s">
        <v>18</v>
      </c>
      <c r="Q14" s="58"/>
      <c r="R14" s="59" t="s">
        <v>18</v>
      </c>
      <c r="S14" s="58"/>
      <c r="T14" s="59" t="s">
        <v>18</v>
      </c>
      <c r="U14" s="58"/>
      <c r="V14" s="59" t="s">
        <v>19</v>
      </c>
      <c r="W14" s="58"/>
      <c r="X14" s="59" t="s">
        <v>20</v>
      </c>
      <c r="Y14" s="58"/>
      <c r="Z14" s="59" t="s">
        <v>21</v>
      </c>
    </row>
    <row r="15" spans="2:26" x14ac:dyDescent="0.3">
      <c r="B15" s="58"/>
      <c r="C15" s="60"/>
      <c r="D15" s="60"/>
      <c r="E15" s="58"/>
      <c r="F15" s="58"/>
      <c r="G15" s="58"/>
      <c r="H15" s="58" t="s">
        <v>22</v>
      </c>
      <c r="I15" s="58"/>
      <c r="J15" s="58" t="s">
        <v>23</v>
      </c>
      <c r="K15" s="58"/>
      <c r="L15" s="58" t="s">
        <v>24</v>
      </c>
      <c r="M15" s="58"/>
      <c r="N15" s="58" t="s">
        <v>25</v>
      </c>
      <c r="O15" s="58"/>
      <c r="P15" s="58" t="s">
        <v>26</v>
      </c>
      <c r="Q15" s="58"/>
      <c r="R15" s="58" t="s">
        <v>27</v>
      </c>
      <c r="S15" s="58"/>
      <c r="T15" s="62" t="s">
        <v>28</v>
      </c>
      <c r="U15" s="58"/>
      <c r="V15" s="62" t="s">
        <v>29</v>
      </c>
      <c r="W15" s="58"/>
      <c r="X15" s="62" t="s">
        <v>30</v>
      </c>
      <c r="Y15" s="58"/>
      <c r="Z15" s="62" t="s">
        <v>31</v>
      </c>
    </row>
    <row r="16" spans="2:26" x14ac:dyDescent="0.3">
      <c r="B16" s="58"/>
      <c r="C16" s="60"/>
      <c r="D16" s="60"/>
      <c r="E16" s="58"/>
      <c r="F16" s="6"/>
      <c r="G16" s="58"/>
      <c r="H16" s="6"/>
      <c r="I16" s="58"/>
      <c r="J16" s="6"/>
      <c r="K16" s="58"/>
      <c r="L16" s="58"/>
      <c r="M16" s="58"/>
      <c r="N16" s="6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2:26" x14ac:dyDescent="0.3">
      <c r="B17" s="58"/>
      <c r="C17" s="60"/>
      <c r="D17" s="7" t="s">
        <v>32</v>
      </c>
      <c r="E17" s="58"/>
      <c r="F17" s="6"/>
      <c r="G17" s="58"/>
      <c r="H17" s="6"/>
      <c r="I17" s="58"/>
      <c r="J17" s="6"/>
      <c r="K17" s="58"/>
      <c r="L17" s="58"/>
      <c r="M17" s="58"/>
      <c r="N17" s="8"/>
      <c r="O17" s="58"/>
      <c r="P17" s="9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2:26" x14ac:dyDescent="0.3">
      <c r="B18" s="58">
        <v>1</v>
      </c>
      <c r="C18" s="60"/>
      <c r="D18" s="10" t="s">
        <v>33</v>
      </c>
      <c r="E18" s="58"/>
      <c r="F18" s="11" t="s">
        <v>34</v>
      </c>
      <c r="G18" s="58"/>
      <c r="H18" s="12">
        <v>9056375.211896237</v>
      </c>
      <c r="I18" s="63"/>
      <c r="J18" s="12"/>
      <c r="K18" s="64"/>
      <c r="L18" s="12"/>
      <c r="M18" s="64"/>
      <c r="N18" s="12"/>
      <c r="O18" s="13"/>
      <c r="P18" s="12">
        <v>291498.80325520912</v>
      </c>
      <c r="Q18" s="13"/>
      <c r="R18" s="12">
        <f t="shared" ref="R18:R20" si="0">T18-P18</f>
        <v>-28268.932622804132</v>
      </c>
      <c r="S18" s="64"/>
      <c r="T18" s="64">
        <f>V18*H18/1000</f>
        <v>263229.87063240499</v>
      </c>
      <c r="U18" s="64"/>
      <c r="V18" s="65">
        <v>29.06569841393415</v>
      </c>
      <c r="W18" s="64"/>
      <c r="X18" s="14">
        <f>T18/P18</f>
        <v>0.90302213145604415</v>
      </c>
      <c r="Y18" s="15"/>
      <c r="Z18" s="16"/>
    </row>
    <row r="19" spans="2:26" x14ac:dyDescent="0.3">
      <c r="B19" s="58">
        <f>MAX(B$18:B18)+1</f>
        <v>2</v>
      </c>
      <c r="C19" s="60"/>
      <c r="D19" s="10" t="s">
        <v>35</v>
      </c>
      <c r="E19" s="58"/>
      <c r="F19" s="11" t="s">
        <v>36</v>
      </c>
      <c r="G19" s="58"/>
      <c r="H19" s="12">
        <v>1691744.2069005587</v>
      </c>
      <c r="I19" s="63"/>
      <c r="J19" s="12"/>
      <c r="K19" s="64"/>
      <c r="L19" s="12"/>
      <c r="M19" s="64"/>
      <c r="N19" s="12"/>
      <c r="O19" s="13"/>
      <c r="P19" s="12">
        <v>6607.0941760513424</v>
      </c>
      <c r="Q19" s="13"/>
      <c r="R19" s="12">
        <f t="shared" si="0"/>
        <v>0</v>
      </c>
      <c r="S19" s="64"/>
      <c r="T19" s="12">
        <f t="shared" ref="T19:T20" si="1">$H19*V19/100</f>
        <v>6607.0941760513433</v>
      </c>
      <c r="U19" s="66"/>
      <c r="V19" s="25">
        <v>0.39054924196585178</v>
      </c>
      <c r="W19" s="64"/>
      <c r="X19" s="14">
        <f t="shared" ref="X19:X20" si="2">T19/P19</f>
        <v>1.0000000000000002</v>
      </c>
      <c r="Y19" s="15"/>
      <c r="Z19" s="16"/>
    </row>
    <row r="20" spans="2:26" x14ac:dyDescent="0.3">
      <c r="B20" s="58">
        <f>MAX(B$19:B19)+1</f>
        <v>3</v>
      </c>
      <c r="C20" s="60"/>
      <c r="D20" s="10" t="s">
        <v>37</v>
      </c>
      <c r="E20" s="58"/>
      <c r="F20" s="11" t="s">
        <v>38</v>
      </c>
      <c r="G20" s="58"/>
      <c r="H20" s="12">
        <v>202329.27117195126</v>
      </c>
      <c r="I20" s="63"/>
      <c r="J20" s="12"/>
      <c r="K20" s="64"/>
      <c r="L20" s="12"/>
      <c r="M20" s="64"/>
      <c r="N20" s="12"/>
      <c r="O20" s="13"/>
      <c r="P20" s="12">
        <v>131451.66245139908</v>
      </c>
      <c r="Q20" s="13"/>
      <c r="R20" s="12">
        <f t="shared" si="0"/>
        <v>26698.939540294959</v>
      </c>
      <c r="S20" s="64"/>
      <c r="T20" s="12">
        <f t="shared" si="1"/>
        <v>158150.60199169404</v>
      </c>
      <c r="U20" s="64"/>
      <c r="V20" s="25">
        <v>78.164964009230474</v>
      </c>
      <c r="W20" s="64"/>
      <c r="X20" s="14">
        <f t="shared" si="2"/>
        <v>1.2031084205585167</v>
      </c>
      <c r="Y20" s="15"/>
      <c r="Z20" s="16"/>
    </row>
    <row r="21" spans="2:26" x14ac:dyDescent="0.3">
      <c r="B21" s="58">
        <f>MAX(B$19:B20)+1</f>
        <v>4</v>
      </c>
      <c r="C21" s="60"/>
      <c r="D21" s="10" t="s">
        <v>39</v>
      </c>
      <c r="E21" s="58"/>
      <c r="F21" s="11"/>
      <c r="G21" s="58"/>
      <c r="H21" s="67">
        <f>H19</f>
        <v>1691744.2069005587</v>
      </c>
      <c r="I21" s="63"/>
      <c r="J21" s="17"/>
      <c r="K21" s="64"/>
      <c r="L21" s="63"/>
      <c r="M21" s="64"/>
      <c r="N21" s="18"/>
      <c r="O21" s="13"/>
      <c r="P21" s="67">
        <f>SUM(P18:P20)</f>
        <v>429557.55988265952</v>
      </c>
      <c r="Q21" s="13"/>
      <c r="R21" s="67">
        <f>SUM(R18:R20)</f>
        <v>-1569.9930825091724</v>
      </c>
      <c r="S21" s="64"/>
      <c r="T21" s="67">
        <f>SUM(T18:T20)</f>
        <v>427987.56680015032</v>
      </c>
      <c r="U21" s="64"/>
      <c r="V21" s="19">
        <f>T21/$H21*100</f>
        <v>25.298598041855602</v>
      </c>
      <c r="W21" s="64"/>
      <c r="X21" s="68">
        <f>T21/P21</f>
        <v>0.99634509265082405</v>
      </c>
      <c r="Y21" s="15"/>
      <c r="Z21" s="16"/>
    </row>
    <row r="22" spans="2:26" x14ac:dyDescent="0.3">
      <c r="B22" s="58"/>
      <c r="E22" s="58"/>
      <c r="F22" s="11"/>
      <c r="G22" s="58"/>
      <c r="H22" s="12"/>
      <c r="I22" s="63"/>
      <c r="J22" s="17"/>
      <c r="K22" s="64"/>
      <c r="L22" s="63"/>
      <c r="M22" s="64"/>
      <c r="N22" s="18"/>
      <c r="O22" s="13"/>
      <c r="P22" s="12"/>
      <c r="Q22" s="13"/>
      <c r="R22" s="12"/>
      <c r="S22" s="64"/>
      <c r="T22" s="12"/>
      <c r="U22" s="64"/>
      <c r="V22" s="25"/>
      <c r="W22" s="64"/>
      <c r="X22" s="14"/>
      <c r="Y22" s="15"/>
      <c r="Z22" s="16"/>
    </row>
    <row r="23" spans="2:26" x14ac:dyDescent="0.3">
      <c r="B23" s="58"/>
      <c r="C23" s="60"/>
      <c r="D23" s="10" t="s">
        <v>40</v>
      </c>
      <c r="E23" s="58"/>
      <c r="F23" s="66"/>
      <c r="G23" s="58"/>
      <c r="H23" s="12"/>
      <c r="I23" s="63"/>
      <c r="J23" s="17"/>
      <c r="K23" s="64"/>
      <c r="L23" s="63"/>
      <c r="M23" s="64"/>
      <c r="N23" s="18"/>
      <c r="O23" s="13"/>
      <c r="P23" s="12"/>
      <c r="Q23" s="13"/>
      <c r="R23" s="12"/>
      <c r="S23" s="64"/>
      <c r="T23" s="12"/>
      <c r="U23" s="64"/>
      <c r="V23" s="20"/>
      <c r="W23" s="64"/>
      <c r="X23" s="14"/>
      <c r="Y23" s="15"/>
      <c r="Z23" s="16"/>
    </row>
    <row r="24" spans="2:26" x14ac:dyDescent="0.3">
      <c r="B24" s="58">
        <f>MAX(B$19:B23)+1</f>
        <v>5</v>
      </c>
      <c r="C24" s="60"/>
      <c r="D24" s="21" t="s">
        <v>41</v>
      </c>
      <c r="E24" s="58"/>
      <c r="F24" s="66" t="s">
        <v>36</v>
      </c>
      <c r="G24" s="58"/>
      <c r="H24" s="12">
        <v>1676334.5954655632</v>
      </c>
      <c r="I24" s="63"/>
      <c r="J24" s="12"/>
      <c r="K24" s="64"/>
      <c r="L24" s="12"/>
      <c r="M24" s="64"/>
      <c r="N24" s="12"/>
      <c r="O24" s="64"/>
      <c r="P24" s="12">
        <v>137262.52527011442</v>
      </c>
      <c r="Q24" s="64"/>
      <c r="R24" s="12">
        <f>T24-P24</f>
        <v>0</v>
      </c>
      <c r="S24" s="64"/>
      <c r="T24" s="12">
        <f t="shared" ref="T24:T25" si="3">$H24*V24/100</f>
        <v>137262.52527011442</v>
      </c>
      <c r="U24" s="64"/>
      <c r="V24" s="25">
        <v>8.1882534454282343</v>
      </c>
      <c r="W24" s="64"/>
      <c r="X24" s="12"/>
      <c r="Y24" s="64"/>
      <c r="Z24" s="12"/>
    </row>
    <row r="25" spans="2:26" x14ac:dyDescent="0.3">
      <c r="B25" s="58">
        <f>MAX(B$19:B24)+1</f>
        <v>6</v>
      </c>
      <c r="C25" s="60"/>
      <c r="D25" s="21" t="s">
        <v>42</v>
      </c>
      <c r="E25" s="58"/>
      <c r="F25" s="66" t="s">
        <v>36</v>
      </c>
      <c r="G25" s="58"/>
      <c r="H25" s="12">
        <v>15409.61143499547</v>
      </c>
      <c r="I25" s="63"/>
      <c r="J25" s="12"/>
      <c r="K25" s="64"/>
      <c r="L25" s="12"/>
      <c r="M25" s="64"/>
      <c r="N25" s="12"/>
      <c r="O25" s="64"/>
      <c r="P25" s="12">
        <v>1661.1806044876171</v>
      </c>
      <c r="Q25" s="64"/>
      <c r="R25" s="12">
        <f>T25-P25</f>
        <v>0</v>
      </c>
      <c r="S25" s="64"/>
      <c r="T25" s="12">
        <f t="shared" si="3"/>
        <v>1661.1806044876171</v>
      </c>
      <c r="U25" s="64"/>
      <c r="V25" s="25">
        <v>10.780158938434033</v>
      </c>
      <c r="W25" s="64"/>
      <c r="X25" s="14"/>
      <c r="Y25" s="64"/>
      <c r="Z25" s="12"/>
    </row>
    <row r="26" spans="2:26" x14ac:dyDescent="0.3">
      <c r="B26" s="58">
        <f>MAX(B$19:B25)+1</f>
        <v>7</v>
      </c>
      <c r="C26" s="60"/>
      <c r="D26" s="10" t="s">
        <v>40</v>
      </c>
      <c r="E26" s="58"/>
      <c r="F26" s="11" t="s">
        <v>43</v>
      </c>
      <c r="G26" s="58"/>
      <c r="H26" s="67">
        <f>SUM(H25:H25)</f>
        <v>15409.61143499547</v>
      </c>
      <c r="I26" s="63"/>
      <c r="J26" s="17"/>
      <c r="K26" s="64"/>
      <c r="L26" s="63"/>
      <c r="M26" s="64"/>
      <c r="N26" s="18"/>
      <c r="O26" s="13"/>
      <c r="P26" s="67">
        <f>SUM(P24:P25)</f>
        <v>138923.70587460205</v>
      </c>
      <c r="Q26" s="13"/>
      <c r="R26" s="67">
        <f>SUM(R25:R25)</f>
        <v>0</v>
      </c>
      <c r="S26" s="64"/>
      <c r="T26" s="67">
        <f>SUM(T24:T25)</f>
        <v>138923.70587460205</v>
      </c>
      <c r="U26" s="64"/>
      <c r="V26" s="19">
        <f>T26/$H26*100</f>
        <v>901.53931824071913</v>
      </c>
      <c r="W26" s="64"/>
      <c r="X26" s="68">
        <f>T26/P26</f>
        <v>1</v>
      </c>
      <c r="Y26" s="15"/>
      <c r="Z26" s="16"/>
    </row>
    <row r="27" spans="2:26" x14ac:dyDescent="0.3">
      <c r="B27" s="58"/>
      <c r="H27" s="15"/>
      <c r="I27" s="15"/>
      <c r="J27" s="17"/>
      <c r="K27" s="15"/>
      <c r="L27" s="63"/>
      <c r="M27" s="15"/>
      <c r="N27" s="18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6"/>
    </row>
    <row r="28" spans="2:26" x14ac:dyDescent="0.3">
      <c r="B28" s="58">
        <f>MAX(B$19:B27)+1</f>
        <v>8</v>
      </c>
      <c r="C28" s="60"/>
      <c r="D28" s="10" t="s">
        <v>44</v>
      </c>
      <c r="E28" s="58"/>
      <c r="F28" s="11" t="s">
        <v>36</v>
      </c>
      <c r="G28" s="58"/>
      <c r="H28" s="12">
        <v>1600988.2578342555</v>
      </c>
      <c r="I28" s="63"/>
      <c r="J28" s="17"/>
      <c r="K28" s="64"/>
      <c r="L28" s="63"/>
      <c r="M28" s="64"/>
      <c r="N28" s="18"/>
      <c r="O28" s="13"/>
      <c r="P28" s="12">
        <v>181286.10828852531</v>
      </c>
      <c r="Q28" s="13"/>
      <c r="R28" s="12">
        <f>T28-P28</f>
        <v>150.25402018017485</v>
      </c>
      <c r="S28" s="64"/>
      <c r="T28" s="12">
        <f>$H28*V28/100</f>
        <v>181436.36230870549</v>
      </c>
      <c r="U28" s="64"/>
      <c r="V28" s="25">
        <v>11.332772830835399</v>
      </c>
      <c r="W28" s="64"/>
      <c r="X28" s="14"/>
      <c r="Y28" s="15"/>
      <c r="Z28" s="16"/>
    </row>
    <row r="29" spans="2:26" x14ac:dyDescent="0.3">
      <c r="B29" s="58"/>
      <c r="C29" s="60"/>
      <c r="D29" s="10"/>
      <c r="E29" s="58"/>
      <c r="F29" s="11"/>
      <c r="G29" s="58"/>
      <c r="H29" s="12"/>
      <c r="I29" s="63"/>
      <c r="J29" s="12"/>
      <c r="K29" s="64"/>
      <c r="L29" s="25"/>
      <c r="M29" s="64"/>
      <c r="N29" s="18"/>
      <c r="O29" s="13"/>
      <c r="P29" s="12"/>
      <c r="Q29" s="13"/>
      <c r="R29" s="12"/>
      <c r="S29" s="64"/>
      <c r="T29" s="12"/>
      <c r="U29" s="64"/>
      <c r="V29" s="25"/>
      <c r="W29" s="64"/>
      <c r="X29" s="14"/>
      <c r="Y29" s="15"/>
      <c r="Z29" s="16"/>
    </row>
    <row r="30" spans="2:26" ht="12.9" thickBot="1" x14ac:dyDescent="0.35">
      <c r="B30" s="58">
        <f>MAX(B$19:B29)+1</f>
        <v>9</v>
      </c>
      <c r="C30" s="60"/>
      <c r="D30" s="23" t="s">
        <v>45</v>
      </c>
      <c r="E30" s="58"/>
      <c r="F30" s="11"/>
      <c r="G30" s="58"/>
      <c r="H30" s="69">
        <f>H21</f>
        <v>1691744.2069005587</v>
      </c>
      <c r="I30" s="63"/>
      <c r="J30" s="69">
        <v>716211.00692641782</v>
      </c>
      <c r="K30" s="64"/>
      <c r="L30" s="24">
        <f>J30/$H30*100</f>
        <v>42.33565594639078</v>
      </c>
      <c r="M30" s="64"/>
      <c r="N30" s="69">
        <f>J30-P30</f>
        <v>-33556.367119369097</v>
      </c>
      <c r="O30" s="13"/>
      <c r="P30" s="69">
        <f>SUM(P21,P26,P28)</f>
        <v>749767.37404578691</v>
      </c>
      <c r="Q30" s="13"/>
      <c r="R30" s="69">
        <f>R21+R28</f>
        <v>-1419.7390623289975</v>
      </c>
      <c r="S30" s="64"/>
      <c r="T30" s="69">
        <f>SUM(T21,T26,T28)</f>
        <v>748347.63498345786</v>
      </c>
      <c r="U30" s="64"/>
      <c r="V30" s="24">
        <f>T30/$H30*100</f>
        <v>44.235271025665526</v>
      </c>
      <c r="W30" s="64"/>
      <c r="X30" s="70">
        <f>T30/P30</f>
        <v>0.99810642725800658</v>
      </c>
      <c r="Y30" s="15"/>
      <c r="Z30" s="71">
        <f>V30/L30-1</f>
        <v>4.4870335342865886E-2</v>
      </c>
    </row>
    <row r="31" spans="2:26" ht="12.9" thickTop="1" x14ac:dyDescent="0.3">
      <c r="B31" s="58"/>
      <c r="C31" s="60"/>
      <c r="D31" s="23"/>
      <c r="E31" s="58"/>
      <c r="F31" s="11"/>
      <c r="G31" s="58"/>
      <c r="H31" s="64"/>
      <c r="I31" s="63"/>
      <c r="J31" s="64"/>
      <c r="K31" s="64"/>
      <c r="L31" s="25"/>
      <c r="M31" s="64"/>
      <c r="N31" s="64"/>
      <c r="O31" s="13"/>
      <c r="P31" s="64"/>
      <c r="Q31" s="13"/>
      <c r="R31" s="64"/>
      <c r="S31" s="64"/>
      <c r="T31" s="64"/>
      <c r="U31" s="64"/>
      <c r="V31" s="25"/>
      <c r="W31" s="64"/>
      <c r="X31" s="72"/>
      <c r="Y31" s="15"/>
      <c r="Z31" s="31"/>
    </row>
    <row r="32" spans="2:26" x14ac:dyDescent="0.3">
      <c r="B32" s="58"/>
      <c r="C32" s="60"/>
      <c r="D32" s="60"/>
      <c r="E32" s="58"/>
      <c r="F32" s="26"/>
      <c r="G32" s="58"/>
      <c r="H32" s="26"/>
      <c r="I32" s="58"/>
      <c r="J32" s="26"/>
      <c r="K32" s="66"/>
      <c r="L32" s="26"/>
      <c r="M32" s="66"/>
      <c r="N32" s="26"/>
      <c r="O32" s="66"/>
      <c r="P32" s="26"/>
      <c r="Q32" s="66"/>
      <c r="R32" s="66"/>
      <c r="S32" s="66"/>
      <c r="T32" s="22"/>
      <c r="U32" s="66"/>
      <c r="V32" s="26"/>
      <c r="W32" s="66"/>
      <c r="X32" s="73"/>
      <c r="Y32" s="58"/>
      <c r="Z32" s="73"/>
    </row>
    <row r="33" spans="2:26" x14ac:dyDescent="0.3">
      <c r="B33" s="58"/>
      <c r="C33" s="60"/>
      <c r="D33" s="7" t="s">
        <v>46</v>
      </c>
      <c r="E33" s="58"/>
      <c r="F33" s="6"/>
      <c r="G33" s="58"/>
      <c r="H33" s="17"/>
      <c r="I33" s="63"/>
      <c r="J33" s="20"/>
      <c r="K33" s="64"/>
      <c r="L33" s="20"/>
      <c r="M33" s="63"/>
      <c r="N33" s="20"/>
      <c r="O33" s="63"/>
      <c r="P33" s="27"/>
      <c r="Q33" s="63"/>
      <c r="R33" s="64"/>
      <c r="S33" s="63"/>
      <c r="T33" s="64"/>
      <c r="U33" s="63"/>
      <c r="V33" s="63"/>
      <c r="W33" s="63"/>
      <c r="X33" s="63"/>
      <c r="Y33" s="63"/>
      <c r="Z33" s="64"/>
    </row>
    <row r="34" spans="2:26" x14ac:dyDescent="0.3">
      <c r="B34" s="58">
        <f>MAX(B$19:B33)+1</f>
        <v>10</v>
      </c>
      <c r="C34" s="60"/>
      <c r="D34" s="10" t="s">
        <v>33</v>
      </c>
      <c r="E34" s="58"/>
      <c r="F34" s="11" t="s">
        <v>34</v>
      </c>
      <c r="G34" s="58"/>
      <c r="H34" s="12">
        <v>177992.75614420278</v>
      </c>
      <c r="I34" s="63"/>
      <c r="J34" s="12"/>
      <c r="K34" s="63"/>
      <c r="L34" s="12"/>
      <c r="M34" s="64"/>
      <c r="N34" s="12"/>
      <c r="O34" s="13"/>
      <c r="P34" s="12">
        <v>20941.817985800408</v>
      </c>
      <c r="Q34" s="13"/>
      <c r="R34" s="12">
        <f t="shared" ref="R34:R36" si="4">T34-P34</f>
        <v>-15768.334215848085</v>
      </c>
      <c r="S34" s="64"/>
      <c r="T34" s="12">
        <f>V34*H34/1000</f>
        <v>5173.4837699523223</v>
      </c>
      <c r="U34" s="64"/>
      <c r="V34" s="65">
        <v>29.06569841393415</v>
      </c>
      <c r="W34" s="64"/>
      <c r="X34" s="14">
        <f>T34/P34</f>
        <v>0.24704081438680259</v>
      </c>
      <c r="Y34" s="15"/>
      <c r="Z34" s="12"/>
    </row>
    <row r="35" spans="2:26" x14ac:dyDescent="0.3">
      <c r="B35" s="58">
        <f>MAX(B$19:B34)+1</f>
        <v>11</v>
      </c>
      <c r="C35" s="60"/>
      <c r="D35" s="10" t="s">
        <v>35</v>
      </c>
      <c r="E35" s="58"/>
      <c r="F35" s="11" t="s">
        <v>36</v>
      </c>
      <c r="G35" s="58"/>
      <c r="H35" s="12">
        <v>982063.55868365662</v>
      </c>
      <c r="I35" s="63"/>
      <c r="J35" s="12"/>
      <c r="K35" s="63"/>
      <c r="L35" s="12"/>
      <c r="M35" s="64"/>
      <c r="N35" s="12"/>
      <c r="O35" s="13"/>
      <c r="P35" s="12">
        <v>4171.367244164614</v>
      </c>
      <c r="Q35" s="13"/>
      <c r="R35" s="12">
        <f t="shared" si="4"/>
        <v>0</v>
      </c>
      <c r="S35" s="64"/>
      <c r="T35" s="12">
        <f>H35*V35/100</f>
        <v>4171.367244164614</v>
      </c>
      <c r="U35" s="64"/>
      <c r="V35" s="25">
        <v>0.42475532334748811</v>
      </c>
      <c r="W35" s="64"/>
      <c r="X35" s="14">
        <f t="shared" ref="X35:X36" si="5">T35/P35</f>
        <v>1</v>
      </c>
      <c r="Y35" s="15"/>
      <c r="Z35" s="12"/>
    </row>
    <row r="36" spans="2:26" x14ac:dyDescent="0.3">
      <c r="B36" s="58">
        <f>MAX(B$19:B35)+1</f>
        <v>12</v>
      </c>
      <c r="C36" s="60"/>
      <c r="D36" s="10" t="s">
        <v>37</v>
      </c>
      <c r="E36" s="58"/>
      <c r="F36" s="11" t="s">
        <v>38</v>
      </c>
      <c r="G36" s="58"/>
      <c r="H36" s="12">
        <v>130797.31707772793</v>
      </c>
      <c r="I36" s="63"/>
      <c r="J36" s="12"/>
      <c r="K36" s="63"/>
      <c r="L36" s="12"/>
      <c r="M36" s="64"/>
      <c r="N36" s="12"/>
      <c r="O36" s="13"/>
      <c r="P36" s="12">
        <v>73807.761567377427</v>
      </c>
      <c r="Q36" s="13"/>
      <c r="R36" s="12">
        <f t="shared" si="4"/>
        <v>14794.778980815041</v>
      </c>
      <c r="S36" s="64"/>
      <c r="T36" s="12">
        <f>H36*V36/100</f>
        <v>88602.540548192468</v>
      </c>
      <c r="U36" s="64"/>
      <c r="V36" s="25">
        <v>67.74033483847326</v>
      </c>
      <c r="W36" s="64"/>
      <c r="X36" s="14">
        <f t="shared" si="5"/>
        <v>1.2004501784993062</v>
      </c>
      <c r="Y36" s="15"/>
      <c r="Z36" s="12"/>
    </row>
    <row r="37" spans="2:26" x14ac:dyDescent="0.3">
      <c r="B37" s="58">
        <f>MAX(B$18:B36)+1</f>
        <v>13</v>
      </c>
      <c r="C37" s="60"/>
      <c r="D37" s="10" t="s">
        <v>39</v>
      </c>
      <c r="E37" s="58"/>
      <c r="F37" s="11"/>
      <c r="G37" s="58"/>
      <c r="H37" s="67">
        <f>H35</f>
        <v>982063.55868365662</v>
      </c>
      <c r="I37" s="63"/>
      <c r="J37" s="12"/>
      <c r="K37" s="63"/>
      <c r="L37" s="12"/>
      <c r="M37" s="64"/>
      <c r="N37" s="12"/>
      <c r="O37" s="13"/>
      <c r="P37" s="67">
        <f>SUM(P34:P36)</f>
        <v>98920.946797342447</v>
      </c>
      <c r="Q37" s="64"/>
      <c r="R37" s="67">
        <f>SUM(R34:R36)</f>
        <v>-973.55523503304357</v>
      </c>
      <c r="S37" s="64"/>
      <c r="T37" s="67">
        <f>SUM(T34:T36)</f>
        <v>97947.391562309407</v>
      </c>
      <c r="U37" s="64"/>
      <c r="V37" s="19">
        <f>T37/$H37*100</f>
        <v>9.9736305961293006</v>
      </c>
      <c r="W37" s="64"/>
      <c r="X37" s="68">
        <f>T37/P37</f>
        <v>0.9901582499303454</v>
      </c>
      <c r="Y37" s="15"/>
      <c r="Z37" s="12"/>
    </row>
    <row r="38" spans="2:26" x14ac:dyDescent="0.3">
      <c r="B38" s="58"/>
      <c r="E38" s="58"/>
      <c r="F38" s="11"/>
      <c r="G38" s="58"/>
      <c r="H38" s="12"/>
      <c r="I38" s="63"/>
      <c r="J38" s="20"/>
      <c r="K38" s="64"/>
      <c r="L38" s="20"/>
      <c r="M38" s="64"/>
      <c r="N38" s="20"/>
      <c r="O38" s="13"/>
      <c r="P38" s="12"/>
      <c r="Q38" s="13"/>
      <c r="R38" s="12"/>
      <c r="S38" s="64"/>
      <c r="T38" s="12"/>
      <c r="U38" s="64"/>
      <c r="V38" s="25"/>
      <c r="W38" s="64"/>
      <c r="X38" s="14"/>
      <c r="Y38" s="15"/>
      <c r="Z38" s="63"/>
    </row>
    <row r="39" spans="2:26" x14ac:dyDescent="0.3">
      <c r="B39" s="58"/>
      <c r="C39" s="60"/>
      <c r="D39" s="10" t="s">
        <v>40</v>
      </c>
      <c r="E39" s="58"/>
      <c r="F39" s="66"/>
      <c r="G39" s="58"/>
      <c r="H39" s="12"/>
      <c r="I39" s="63"/>
      <c r="J39" s="20"/>
      <c r="K39" s="64"/>
      <c r="L39" s="20"/>
      <c r="M39" s="64"/>
      <c r="N39" s="20"/>
      <c r="O39" s="13"/>
      <c r="P39" s="12"/>
      <c r="Q39" s="13"/>
      <c r="R39" s="12"/>
      <c r="S39" s="64"/>
      <c r="T39" s="12"/>
      <c r="U39" s="64"/>
      <c r="V39" s="20"/>
      <c r="W39" s="64"/>
      <c r="X39" s="14"/>
      <c r="Y39" s="15"/>
      <c r="Z39" s="63"/>
    </row>
    <row r="40" spans="2:26" x14ac:dyDescent="0.3">
      <c r="B40" s="58">
        <f>MAX(B$18:B39)+1</f>
        <v>14</v>
      </c>
      <c r="C40" s="60"/>
      <c r="D40" s="21" t="s">
        <v>41</v>
      </c>
      <c r="E40" s="58"/>
      <c r="F40" s="66" t="s">
        <v>36</v>
      </c>
      <c r="G40" s="58"/>
      <c r="H40" s="12">
        <v>925764.09009210975</v>
      </c>
      <c r="I40" s="63"/>
      <c r="J40" s="12"/>
      <c r="K40" s="64"/>
      <c r="L40" s="12"/>
      <c r="M40" s="64"/>
      <c r="N40" s="12"/>
      <c r="O40" s="64"/>
      <c r="P40" s="12">
        <v>81121.143688886325</v>
      </c>
      <c r="Q40" s="64"/>
      <c r="R40" s="12">
        <f>T40-P40</f>
        <v>0</v>
      </c>
      <c r="S40" s="64"/>
      <c r="T40" s="12">
        <f>H40*V40/100</f>
        <v>81121.143688886339</v>
      </c>
      <c r="U40" s="64"/>
      <c r="V40" s="25">
        <v>8.7626150719256266</v>
      </c>
      <c r="W40" s="64"/>
      <c r="X40" s="14">
        <f>T40/P40</f>
        <v>1.0000000000000002</v>
      </c>
      <c r="Y40" s="63"/>
      <c r="Z40" s="12"/>
    </row>
    <row r="41" spans="2:26" x14ac:dyDescent="0.3">
      <c r="B41" s="58">
        <f>MAX(B$18:B40)+1</f>
        <v>15</v>
      </c>
      <c r="C41" s="60"/>
      <c r="D41" s="21" t="s">
        <v>42</v>
      </c>
      <c r="E41" s="58"/>
      <c r="F41" s="66" t="s">
        <v>36</v>
      </c>
      <c r="G41" s="58"/>
      <c r="H41" s="12">
        <v>52418.459222521546</v>
      </c>
      <c r="I41" s="63"/>
      <c r="J41" s="12"/>
      <c r="K41" s="64"/>
      <c r="L41" s="12"/>
      <c r="M41" s="64"/>
      <c r="N41" s="12"/>
      <c r="O41" s="64"/>
      <c r="P41" s="12">
        <v>5951.8647322414017</v>
      </c>
      <c r="Q41" s="64"/>
      <c r="R41" s="12">
        <f>T41-P41</f>
        <v>0</v>
      </c>
      <c r="S41" s="64"/>
      <c r="T41" s="12">
        <f>H41*V41/100</f>
        <v>5951.8647322414026</v>
      </c>
      <c r="U41" s="64"/>
      <c r="V41" s="25">
        <v>11.354520564931425</v>
      </c>
      <c r="W41" s="64"/>
      <c r="X41" s="14">
        <f t="shared" ref="X41" si="6">T41/P41</f>
        <v>1.0000000000000002</v>
      </c>
      <c r="Y41" s="63"/>
      <c r="Z41" s="12"/>
    </row>
    <row r="42" spans="2:26" x14ac:dyDescent="0.3">
      <c r="B42" s="58">
        <f>MAX(B$18:B41)+1</f>
        <v>16</v>
      </c>
      <c r="C42" s="60"/>
      <c r="D42" s="10" t="s">
        <v>40</v>
      </c>
      <c r="E42" s="58"/>
      <c r="F42" s="11"/>
      <c r="G42" s="58"/>
      <c r="H42" s="67">
        <f>SUM(H41:H41)</f>
        <v>52418.459222521546</v>
      </c>
      <c r="I42" s="63"/>
      <c r="J42" s="12"/>
      <c r="K42" s="64"/>
      <c r="L42" s="12"/>
      <c r="M42" s="64"/>
      <c r="N42" s="12"/>
      <c r="O42" s="13"/>
      <c r="P42" s="67">
        <f>SUM(P40:P41)</f>
        <v>87073.008421127728</v>
      </c>
      <c r="Q42" s="13"/>
      <c r="R42" s="67">
        <f>SUM(R40:R41)</f>
        <v>0</v>
      </c>
      <c r="S42" s="64"/>
      <c r="T42" s="67">
        <f>SUM(T40:T41)</f>
        <v>87073.008421127743</v>
      </c>
      <c r="U42" s="64"/>
      <c r="V42" s="19">
        <f>T42/$H42*100</f>
        <v>166.11134648482169</v>
      </c>
      <c r="W42" s="64"/>
      <c r="X42" s="68">
        <f>T42/P42</f>
        <v>1.0000000000000002</v>
      </c>
      <c r="Y42" s="15"/>
      <c r="Z42" s="12"/>
    </row>
    <row r="43" spans="2:26" x14ac:dyDescent="0.3">
      <c r="B43" s="58"/>
      <c r="H43" s="15"/>
      <c r="I43" s="15"/>
      <c r="J43" s="20"/>
      <c r="K43" s="64"/>
      <c r="L43" s="20"/>
      <c r="M43" s="15"/>
      <c r="N43" s="20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63"/>
    </row>
    <row r="44" spans="2:26" x14ac:dyDescent="0.3">
      <c r="B44" s="58">
        <f>MAX(B$18:B43)+1</f>
        <v>17</v>
      </c>
      <c r="C44" s="60"/>
      <c r="D44" s="10" t="s">
        <v>44</v>
      </c>
      <c r="E44" s="58"/>
      <c r="F44" s="66" t="s">
        <v>36</v>
      </c>
      <c r="G44" s="58"/>
      <c r="H44" s="12">
        <v>620986.57963316736</v>
      </c>
      <c r="I44" s="63"/>
      <c r="J44" s="12"/>
      <c r="K44" s="64"/>
      <c r="L44" s="12"/>
      <c r="M44" s="64"/>
      <c r="N44" s="12"/>
      <c r="O44" s="13"/>
      <c r="P44" s="12">
        <v>70316.718295852683</v>
      </c>
      <c r="Q44" s="13"/>
      <c r="R44" s="12">
        <f t="shared" ref="R44" si="7">T44-P44</f>
        <v>58.280083948935498</v>
      </c>
      <c r="S44" s="64"/>
      <c r="T44" s="12">
        <f>H44*V44/100</f>
        <v>70374.998379801618</v>
      </c>
      <c r="U44" s="64"/>
      <c r="V44" s="25">
        <v>11.332772830835399</v>
      </c>
      <c r="W44" s="64"/>
      <c r="X44" s="14">
        <f>T44/P44</f>
        <v>1.00082882258105</v>
      </c>
      <c r="Y44" s="15"/>
      <c r="Z44" s="12"/>
    </row>
    <row r="45" spans="2:26" x14ac:dyDescent="0.3">
      <c r="B45" s="58"/>
      <c r="C45" s="60"/>
      <c r="D45" s="10"/>
      <c r="E45" s="58"/>
      <c r="F45" s="11"/>
      <c r="G45" s="58"/>
      <c r="H45" s="12"/>
      <c r="I45" s="63"/>
      <c r="J45" s="12"/>
      <c r="K45" s="64"/>
      <c r="L45" s="25"/>
      <c r="M45" s="64"/>
      <c r="N45" s="12"/>
      <c r="O45" s="13"/>
      <c r="P45" s="12"/>
      <c r="Q45" s="13"/>
      <c r="R45" s="12"/>
      <c r="S45" s="64"/>
      <c r="T45" s="12"/>
      <c r="U45" s="64"/>
      <c r="V45" s="25"/>
      <c r="W45" s="64"/>
      <c r="X45" s="14"/>
      <c r="Y45" s="15"/>
      <c r="Z45" s="16"/>
    </row>
    <row r="46" spans="2:26" ht="12.9" thickBot="1" x14ac:dyDescent="0.35">
      <c r="B46" s="58">
        <f>MAX(B$18:B45)+1</f>
        <v>18</v>
      </c>
      <c r="C46" s="60"/>
      <c r="D46" s="23" t="s">
        <v>47</v>
      </c>
      <c r="E46" s="58"/>
      <c r="F46" s="11"/>
      <c r="G46" s="58"/>
      <c r="H46" s="69">
        <f>H37</f>
        <v>982063.55868365662</v>
      </c>
      <c r="I46" s="63"/>
      <c r="J46" s="69">
        <v>212685.59774762159</v>
      </c>
      <c r="K46" s="64"/>
      <c r="L46" s="24">
        <f>J46/$H46*100</f>
        <v>21.657009453919887</v>
      </c>
      <c r="M46" s="64"/>
      <c r="N46" s="69">
        <f>J46-P46</f>
        <v>-43625.07576670128</v>
      </c>
      <c r="O46" s="13"/>
      <c r="P46" s="69">
        <f>SUM(P37,P42,P44)</f>
        <v>256310.67351432287</v>
      </c>
      <c r="Q46" s="13"/>
      <c r="R46" s="69">
        <f>R37+R42+R44</f>
        <v>-915.27515108410807</v>
      </c>
      <c r="S46" s="64"/>
      <c r="T46" s="69">
        <f>SUM(T37,T42,T44)</f>
        <v>255395.39836323878</v>
      </c>
      <c r="U46" s="64"/>
      <c r="V46" s="24">
        <f>T46/$H46*100</f>
        <v>26.005994836583383</v>
      </c>
      <c r="W46" s="64"/>
      <c r="X46" s="70">
        <f t="shared" ref="X46" si="8">T46/P46</f>
        <v>0.9964290400452912</v>
      </c>
      <c r="Y46" s="15"/>
      <c r="Z46" s="28">
        <f>V46/L46-1</f>
        <v>0.2008119076605166</v>
      </c>
    </row>
    <row r="47" spans="2:26" ht="12.9" thickTop="1" x14ac:dyDescent="0.3">
      <c r="B47" s="58"/>
      <c r="C47" s="60"/>
      <c r="D47" s="55"/>
      <c r="F47" s="66"/>
      <c r="H47" s="64"/>
      <c r="I47" s="15"/>
      <c r="J47" s="64"/>
      <c r="K47" s="64"/>
      <c r="L47" s="20"/>
      <c r="M47" s="64"/>
      <c r="N47" s="64"/>
      <c r="O47" s="64"/>
      <c r="P47" s="64"/>
      <c r="Q47" s="64"/>
      <c r="R47" s="64"/>
      <c r="S47" s="64"/>
      <c r="T47" s="64"/>
      <c r="U47" s="64"/>
      <c r="V47" s="20"/>
      <c r="W47" s="64"/>
      <c r="X47" s="72"/>
      <c r="Y47" s="63"/>
      <c r="Z47" s="20"/>
    </row>
    <row r="48" spans="2:26" x14ac:dyDescent="0.3">
      <c r="B48" s="58"/>
      <c r="C48" s="60"/>
      <c r="D48" s="60"/>
      <c r="F48" s="60"/>
      <c r="H48" s="74"/>
      <c r="J48" s="75"/>
      <c r="K48" s="60"/>
      <c r="L48" s="29"/>
      <c r="M48" s="60"/>
      <c r="N48" s="75"/>
      <c r="O48" s="60"/>
      <c r="P48" s="75"/>
      <c r="Q48" s="60"/>
      <c r="R48" s="75"/>
      <c r="S48" s="60"/>
      <c r="T48" s="75"/>
      <c r="U48" s="60"/>
      <c r="V48" s="29"/>
      <c r="W48" s="58"/>
      <c r="X48" s="58"/>
      <c r="Y48" s="58"/>
      <c r="Z48" s="26"/>
    </row>
    <row r="49" spans="2:26" x14ac:dyDescent="0.3">
      <c r="B49" s="58"/>
      <c r="C49" s="60"/>
      <c r="D49" s="7" t="s">
        <v>48</v>
      </c>
      <c r="E49" s="58"/>
      <c r="F49" s="6"/>
      <c r="G49" s="58"/>
      <c r="H49" s="17"/>
      <c r="I49" s="63"/>
      <c r="J49" s="17"/>
      <c r="K49" s="63"/>
      <c r="L49" s="63"/>
      <c r="M49" s="63"/>
      <c r="N49" s="18"/>
      <c r="O49" s="63"/>
      <c r="P49" s="27"/>
      <c r="Q49" s="63"/>
      <c r="R49" s="64"/>
      <c r="S49" s="63"/>
      <c r="T49" s="64"/>
      <c r="U49" s="63"/>
      <c r="V49" s="63"/>
      <c r="W49" s="63"/>
      <c r="X49" s="63"/>
      <c r="Y49" s="63"/>
      <c r="Z49" s="63"/>
    </row>
    <row r="50" spans="2:26" x14ac:dyDescent="0.3">
      <c r="B50" s="58">
        <f>MAX(B$18:B49)+1</f>
        <v>19</v>
      </c>
      <c r="C50" s="60"/>
      <c r="D50" s="10" t="s">
        <v>33</v>
      </c>
      <c r="E50" s="58"/>
      <c r="F50" s="11" t="s">
        <v>34</v>
      </c>
      <c r="G50" s="58"/>
      <c r="H50" s="12">
        <v>936</v>
      </c>
      <c r="I50" s="63"/>
      <c r="J50" s="12"/>
      <c r="K50" s="63"/>
      <c r="L50" s="12"/>
      <c r="M50" s="64"/>
      <c r="N50" s="12"/>
      <c r="O50" s="13"/>
      <c r="P50" s="12">
        <v>2631.7132089286465</v>
      </c>
      <c r="Q50" s="13"/>
      <c r="R50" s="12">
        <f>T50-P50</f>
        <v>-2163.7132089286465</v>
      </c>
      <c r="S50" s="64"/>
      <c r="T50" s="12">
        <f>H50*V50/1000</f>
        <v>468</v>
      </c>
      <c r="U50" s="64"/>
      <c r="V50" s="76">
        <v>500</v>
      </c>
      <c r="W50" s="64"/>
      <c r="X50" s="14">
        <f>T50/P50</f>
        <v>0.17783092717405929</v>
      </c>
      <c r="Y50" s="15"/>
      <c r="Z50" s="12"/>
    </row>
    <row r="51" spans="2:26" x14ac:dyDescent="0.3">
      <c r="B51" s="58">
        <f>MAX(B$18:B50)+1</f>
        <v>20</v>
      </c>
      <c r="C51" s="60"/>
      <c r="D51" s="10" t="s">
        <v>35</v>
      </c>
      <c r="E51" s="58"/>
      <c r="F51" s="11" t="s">
        <v>36</v>
      </c>
      <c r="G51" s="58"/>
      <c r="H51" s="12">
        <v>318399.39711540058</v>
      </c>
      <c r="I51" s="63"/>
      <c r="J51" s="12"/>
      <c r="K51" s="63"/>
      <c r="L51" s="12"/>
      <c r="M51" s="64"/>
      <c r="N51" s="12"/>
      <c r="O51" s="13"/>
      <c r="P51" s="12">
        <v>754.31779487415417</v>
      </c>
      <c r="Q51" s="13"/>
      <c r="R51" s="12">
        <f>T51-P51</f>
        <v>0</v>
      </c>
      <c r="S51" s="64"/>
      <c r="T51" s="12">
        <f>$H51*V51/100</f>
        <v>754.31779487415417</v>
      </c>
      <c r="U51" s="64"/>
      <c r="V51" s="25">
        <v>0.23690930375749406</v>
      </c>
      <c r="W51" s="64"/>
      <c r="X51" s="14">
        <f t="shared" ref="X51" si="9">T51/P51</f>
        <v>1</v>
      </c>
      <c r="Y51" s="15"/>
      <c r="Z51" s="12"/>
    </row>
    <row r="52" spans="2:26" x14ac:dyDescent="0.3">
      <c r="B52" s="58"/>
      <c r="C52" s="60"/>
      <c r="D52" s="10" t="s">
        <v>49</v>
      </c>
      <c r="E52" s="58"/>
      <c r="F52" s="11"/>
      <c r="G52" s="58"/>
      <c r="H52" s="12"/>
      <c r="I52" s="63"/>
      <c r="J52" s="17"/>
      <c r="K52" s="63"/>
      <c r="L52" s="63"/>
      <c r="M52" s="64"/>
      <c r="N52" s="18"/>
      <c r="O52" s="13"/>
      <c r="P52" s="12"/>
      <c r="Q52" s="13"/>
      <c r="R52" s="12"/>
      <c r="S52" s="64"/>
      <c r="T52" s="12"/>
      <c r="U52" s="64"/>
      <c r="V52" s="25"/>
      <c r="W52" s="64"/>
      <c r="X52" s="14"/>
      <c r="Y52" s="15"/>
      <c r="Z52" s="18"/>
    </row>
    <row r="53" spans="2:26" ht="14.15" x14ac:dyDescent="0.3">
      <c r="B53" s="58">
        <f>MAX(B$18:B52)+1</f>
        <v>21</v>
      </c>
      <c r="C53" s="60"/>
      <c r="D53" s="21" t="s">
        <v>50</v>
      </c>
      <c r="E53" s="58"/>
      <c r="F53" s="11" t="s">
        <v>38</v>
      </c>
      <c r="G53" s="58"/>
      <c r="H53" s="12">
        <v>11804.394</v>
      </c>
      <c r="I53" s="63"/>
      <c r="J53" s="12"/>
      <c r="K53" s="63"/>
      <c r="L53" s="12"/>
      <c r="M53" s="64"/>
      <c r="N53" s="12"/>
      <c r="O53" s="13"/>
      <c r="P53" s="12">
        <v>5602.1675653226666</v>
      </c>
      <c r="Q53" s="13"/>
      <c r="R53" s="12">
        <f>T53-P53</f>
        <v>1215.0396921447546</v>
      </c>
      <c r="S53" s="64"/>
      <c r="T53" s="12">
        <f>$H53*V53/100</f>
        <v>6817.2072574674212</v>
      </c>
      <c r="U53" s="64"/>
      <c r="V53" s="25">
        <v>57.751437790600868</v>
      </c>
      <c r="W53" s="64"/>
      <c r="X53" s="14"/>
      <c r="Y53" s="15"/>
      <c r="Z53" s="12"/>
    </row>
    <row r="54" spans="2:26" ht="14.15" x14ac:dyDescent="0.3">
      <c r="B54" s="58">
        <f>MAX(B$18:B53)+1</f>
        <v>22</v>
      </c>
      <c r="C54" s="60"/>
      <c r="D54" s="21" t="s">
        <v>51</v>
      </c>
      <c r="E54" s="58"/>
      <c r="F54" s="11" t="s">
        <v>38</v>
      </c>
      <c r="G54" s="58"/>
      <c r="H54" s="12">
        <v>9841.3739999999998</v>
      </c>
      <c r="I54" s="63"/>
      <c r="J54" s="12"/>
      <c r="K54" s="63"/>
      <c r="L54" s="12"/>
      <c r="M54" s="64"/>
      <c r="N54" s="12"/>
      <c r="O54" s="13"/>
      <c r="P54" s="12">
        <v>3749.5316644153154</v>
      </c>
      <c r="Q54" s="13"/>
      <c r="R54" s="12">
        <f t="shared" ref="R54" si="10">T54-P54</f>
        <v>809.54963996297101</v>
      </c>
      <c r="S54" s="64"/>
      <c r="T54" s="12">
        <f>$H54*V54/100</f>
        <v>4559.0813043782864</v>
      </c>
      <c r="U54" s="64"/>
      <c r="V54" s="25">
        <v>46.325658433246076</v>
      </c>
      <c r="W54" s="64"/>
      <c r="X54" s="14"/>
      <c r="Y54" s="15"/>
      <c r="Z54" s="12"/>
    </row>
    <row r="55" spans="2:26" x14ac:dyDescent="0.3">
      <c r="B55" s="58">
        <f>MAX(B$18:B54)+1</f>
        <v>23</v>
      </c>
      <c r="C55" s="60"/>
      <c r="D55" s="10" t="s">
        <v>49</v>
      </c>
      <c r="E55" s="58"/>
      <c r="F55" s="11"/>
      <c r="G55" s="58"/>
      <c r="H55" s="67">
        <f>SUM(H53:H54)</f>
        <v>21645.768</v>
      </c>
      <c r="I55" s="63"/>
      <c r="J55" s="12"/>
      <c r="K55" s="63"/>
      <c r="L55" s="12"/>
      <c r="M55" s="64"/>
      <c r="N55" s="12"/>
      <c r="O55" s="13"/>
      <c r="P55" s="67">
        <f>SUM(P53:P54)</f>
        <v>9351.699229737982</v>
      </c>
      <c r="Q55" s="13"/>
      <c r="R55" s="67">
        <f>SUM(R53:R54)</f>
        <v>2024.5893321077256</v>
      </c>
      <c r="S55" s="64"/>
      <c r="T55" s="67">
        <f>SUM(T53:T54)</f>
        <v>11376.288561845708</v>
      </c>
      <c r="U55" s="64"/>
      <c r="V55" s="19">
        <f>T55/$H55*100</f>
        <v>52.556640918657671</v>
      </c>
      <c r="W55" s="64"/>
      <c r="X55" s="68">
        <f>T55/P55</f>
        <v>1.2164942736470419</v>
      </c>
      <c r="Y55" s="15"/>
      <c r="Z55" s="12"/>
    </row>
    <row r="56" spans="2:26" x14ac:dyDescent="0.3">
      <c r="B56" s="58"/>
      <c r="C56" s="60"/>
      <c r="D56" s="10"/>
      <c r="E56" s="58"/>
      <c r="F56" s="11"/>
      <c r="G56" s="58"/>
      <c r="H56" s="64"/>
      <c r="I56" s="63"/>
      <c r="J56" s="12"/>
      <c r="K56" s="63"/>
      <c r="L56" s="12"/>
      <c r="M56" s="64"/>
      <c r="N56" s="12"/>
      <c r="O56" s="13"/>
      <c r="P56" s="64"/>
      <c r="Q56" s="13"/>
      <c r="R56" s="64"/>
      <c r="S56" s="64"/>
      <c r="T56" s="64"/>
      <c r="U56" s="64"/>
      <c r="V56" s="25"/>
      <c r="W56" s="64"/>
      <c r="X56" s="72"/>
      <c r="Y56" s="15"/>
      <c r="Z56" s="12"/>
    </row>
    <row r="57" spans="2:26" x14ac:dyDescent="0.3">
      <c r="B57" s="58">
        <f>MAX(B$18:B56)+1</f>
        <v>24</v>
      </c>
      <c r="C57" s="60"/>
      <c r="D57" s="10" t="s">
        <v>39</v>
      </c>
      <c r="E57" s="58"/>
      <c r="F57" s="11"/>
      <c r="G57" s="58"/>
      <c r="H57" s="67">
        <f>H51</f>
        <v>318399.39711540058</v>
      </c>
      <c r="I57" s="63"/>
      <c r="J57" s="12"/>
      <c r="K57" s="63"/>
      <c r="L57" s="12"/>
      <c r="M57" s="64"/>
      <c r="N57" s="12"/>
      <c r="O57" s="13"/>
      <c r="P57" s="67">
        <f>SUM(P50,P51,P53:P54)</f>
        <v>12737.730233540782</v>
      </c>
      <c r="Q57" s="64"/>
      <c r="R57" s="67">
        <f>SUM(R50,R51,R53:R54)</f>
        <v>-139.12387682092094</v>
      </c>
      <c r="S57" s="64"/>
      <c r="T57" s="67">
        <f>SUM(T50,T51,T53:T54)</f>
        <v>12598.606356719862</v>
      </c>
      <c r="U57" s="64"/>
      <c r="V57" s="19">
        <f>T57/$H57*100</f>
        <v>3.9568562223607557</v>
      </c>
      <c r="W57" s="64"/>
      <c r="X57" s="68">
        <f>T57/P57</f>
        <v>0.98907781258747485</v>
      </c>
      <c r="Y57" s="15"/>
      <c r="Z57" s="12"/>
    </row>
    <row r="58" spans="2:26" x14ac:dyDescent="0.3">
      <c r="B58" s="58"/>
      <c r="E58" s="58"/>
      <c r="F58" s="11"/>
      <c r="G58" s="58"/>
      <c r="H58" s="12"/>
      <c r="I58" s="63"/>
      <c r="J58" s="17"/>
      <c r="K58" s="63"/>
      <c r="L58" s="63"/>
      <c r="M58" s="64"/>
      <c r="N58" s="18"/>
      <c r="O58" s="13"/>
      <c r="P58" s="12"/>
      <c r="Q58" s="13"/>
      <c r="R58" s="12"/>
      <c r="S58" s="64"/>
      <c r="T58" s="12"/>
      <c r="U58" s="64"/>
      <c r="V58" s="25"/>
      <c r="W58" s="64"/>
      <c r="X58" s="14"/>
      <c r="Y58" s="15"/>
      <c r="Z58" s="18"/>
    </row>
    <row r="59" spans="2:26" x14ac:dyDescent="0.3">
      <c r="B59" s="58"/>
      <c r="C59" s="60"/>
      <c r="D59" s="10" t="s">
        <v>40</v>
      </c>
      <c r="E59" s="58"/>
      <c r="G59" s="58"/>
      <c r="H59" s="12"/>
      <c r="I59" s="63"/>
      <c r="J59" s="17"/>
      <c r="K59" s="63"/>
      <c r="L59" s="63"/>
      <c r="M59" s="64"/>
      <c r="N59" s="18"/>
      <c r="O59" s="13"/>
      <c r="P59" s="12"/>
      <c r="Q59" s="13"/>
      <c r="R59" s="12"/>
      <c r="S59" s="64"/>
      <c r="T59" s="12"/>
      <c r="U59" s="64"/>
      <c r="V59" s="20"/>
      <c r="W59" s="64"/>
      <c r="X59" s="14"/>
      <c r="Y59" s="15"/>
      <c r="Z59" s="18"/>
    </row>
    <row r="60" spans="2:26" x14ac:dyDescent="0.3">
      <c r="B60" s="58">
        <f>MAX(B$18:B59)+1</f>
        <v>25</v>
      </c>
      <c r="C60" s="60"/>
      <c r="D60" s="21" t="s">
        <v>41</v>
      </c>
      <c r="E60" s="58"/>
      <c r="F60" s="66" t="s">
        <v>36</v>
      </c>
      <c r="G60" s="58"/>
      <c r="H60" s="12">
        <v>288183.7110790466</v>
      </c>
      <c r="I60" s="63"/>
      <c r="J60" s="12"/>
      <c r="K60" s="63"/>
      <c r="L60" s="12"/>
      <c r="M60" s="64"/>
      <c r="N60" s="12"/>
      <c r="O60" s="64"/>
      <c r="P60" s="12">
        <v>14457.517204605781</v>
      </c>
      <c r="Q60" s="64"/>
      <c r="R60" s="12">
        <f>T60-P60</f>
        <v>0</v>
      </c>
      <c r="S60" s="64"/>
      <c r="T60" s="12">
        <f>$H60*V60/100</f>
        <v>14457.517204605778</v>
      </c>
      <c r="U60" s="64"/>
      <c r="V60" s="25">
        <v>5.016771125082844</v>
      </c>
      <c r="W60" s="64"/>
      <c r="X60" s="72">
        <f>T60/P60</f>
        <v>0.99999999999999978</v>
      </c>
      <c r="Y60" s="63"/>
      <c r="Z60" s="12"/>
    </row>
    <row r="61" spans="2:26" x14ac:dyDescent="0.3">
      <c r="B61" s="58">
        <f>MAX(B$18:B60)+1</f>
        <v>26</v>
      </c>
      <c r="C61" s="60"/>
      <c r="D61" s="21" t="s">
        <v>42</v>
      </c>
      <c r="E61" s="58"/>
      <c r="F61" s="66" t="s">
        <v>36</v>
      </c>
      <c r="G61" s="58"/>
      <c r="H61" s="12">
        <v>30215.686036353993</v>
      </c>
      <c r="I61" s="63"/>
      <c r="J61" s="12"/>
      <c r="K61" s="63"/>
      <c r="L61" s="12"/>
      <c r="M61" s="64"/>
      <c r="N61" s="12"/>
      <c r="O61" s="64"/>
      <c r="P61" s="12">
        <v>2299.0138384431416</v>
      </c>
      <c r="Q61" s="64"/>
      <c r="R61" s="12">
        <f t="shared" ref="R61" si="11">T61-P61</f>
        <v>0</v>
      </c>
      <c r="S61" s="64"/>
      <c r="T61" s="12">
        <f t="shared" ref="T61" si="12">$H61*V61/100</f>
        <v>2299.0138384431416</v>
      </c>
      <c r="U61" s="64"/>
      <c r="V61" s="25">
        <v>7.6086766180886434</v>
      </c>
      <c r="W61" s="64"/>
      <c r="X61" s="72">
        <f t="shared" ref="X61" si="13">T61/P61</f>
        <v>1</v>
      </c>
      <c r="Y61" s="63"/>
      <c r="Z61" s="12"/>
    </row>
    <row r="62" spans="2:26" x14ac:dyDescent="0.3">
      <c r="B62" s="58">
        <f>MAX(B$18:B61)+1</f>
        <v>27</v>
      </c>
      <c r="C62" s="60"/>
      <c r="D62" s="10" t="s">
        <v>40</v>
      </c>
      <c r="E62" s="58"/>
      <c r="F62" s="11"/>
      <c r="G62" s="58"/>
      <c r="H62" s="67">
        <f>SUM(H60:H61)</f>
        <v>318399.39711540058</v>
      </c>
      <c r="I62" s="63"/>
      <c r="J62" s="12"/>
      <c r="K62" s="63"/>
      <c r="L62" s="12"/>
      <c r="M62" s="64"/>
      <c r="N62" s="12"/>
      <c r="O62" s="13"/>
      <c r="P62" s="67">
        <f>SUM(P60:P61)</f>
        <v>16756.531043048923</v>
      </c>
      <c r="Q62" s="13"/>
      <c r="R62" s="67">
        <f>SUM(R60:R61)</f>
        <v>0</v>
      </c>
      <c r="S62" s="64"/>
      <c r="T62" s="67">
        <f>SUM(T60:T61)</f>
        <v>16756.531043048919</v>
      </c>
      <c r="U62" s="64"/>
      <c r="V62" s="19">
        <f>T62/$H62*100</f>
        <v>5.2627395638490126</v>
      </c>
      <c r="W62" s="64"/>
      <c r="X62" s="68">
        <f>T62/P62</f>
        <v>0.99999999999999978</v>
      </c>
      <c r="Y62" s="15"/>
      <c r="Z62" s="12"/>
    </row>
    <row r="63" spans="2:26" x14ac:dyDescent="0.3">
      <c r="B63" s="58"/>
      <c r="H63" s="15"/>
      <c r="I63" s="15"/>
      <c r="J63" s="17"/>
      <c r="K63" s="63"/>
      <c r="L63" s="63"/>
      <c r="M63" s="15"/>
      <c r="N63" s="18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6"/>
    </row>
    <row r="64" spans="2:26" x14ac:dyDescent="0.3">
      <c r="B64" s="58">
        <f>MAX(B$18:B63)+1</f>
        <v>28</v>
      </c>
      <c r="C64" s="60"/>
      <c r="D64" s="10" t="s">
        <v>44</v>
      </c>
      <c r="E64" s="58"/>
      <c r="F64" s="66" t="s">
        <v>36</v>
      </c>
      <c r="G64" s="58"/>
      <c r="H64" s="12">
        <v>56360.79763002001</v>
      </c>
      <c r="I64" s="63"/>
      <c r="J64" s="12"/>
      <c r="K64" s="63"/>
      <c r="L64" s="12"/>
      <c r="M64" s="64"/>
      <c r="N64" s="12"/>
      <c r="O64" s="13"/>
      <c r="P64" s="12">
        <v>6381.9516554138527</v>
      </c>
      <c r="Q64" s="13"/>
      <c r="R64" s="12">
        <f t="shared" ref="R64" si="14">ROUND(T64,0)-ROUND(P64,0)</f>
        <v>5</v>
      </c>
      <c r="S64" s="64"/>
      <c r="T64" s="12">
        <f>$H64*V64/100</f>
        <v>6387.2411610570298</v>
      </c>
      <c r="U64" s="64"/>
      <c r="V64" s="25">
        <v>11.332772830835399</v>
      </c>
      <c r="W64" s="64"/>
      <c r="X64" s="14">
        <f>T64/P64</f>
        <v>1.0008288225810502</v>
      </c>
      <c r="Y64" s="15"/>
      <c r="Z64" s="12"/>
    </row>
    <row r="65" spans="2:26" x14ac:dyDescent="0.3">
      <c r="B65" s="58"/>
      <c r="C65" s="60"/>
      <c r="D65" s="10"/>
      <c r="E65" s="58"/>
      <c r="F65" s="11"/>
      <c r="G65" s="58"/>
      <c r="H65" s="12"/>
      <c r="I65" s="63"/>
      <c r="J65" s="12"/>
      <c r="K65" s="64"/>
      <c r="L65" s="25"/>
      <c r="M65" s="64"/>
      <c r="N65" s="18"/>
      <c r="O65" s="13"/>
      <c r="P65" s="12"/>
      <c r="Q65" s="13"/>
      <c r="R65" s="12"/>
      <c r="S65" s="64"/>
      <c r="T65" s="12"/>
      <c r="U65" s="64"/>
      <c r="V65" s="25"/>
      <c r="W65" s="64"/>
      <c r="X65" s="14"/>
      <c r="Y65" s="15"/>
      <c r="Z65" s="16"/>
    </row>
    <row r="66" spans="2:26" ht="12.9" thickBot="1" x14ac:dyDescent="0.35">
      <c r="B66" s="58">
        <f>MAX(B$18:B65)+1</f>
        <v>29</v>
      </c>
      <c r="C66" s="60"/>
      <c r="D66" s="23" t="s">
        <v>52</v>
      </c>
      <c r="E66" s="58"/>
      <c r="F66" s="11"/>
      <c r="G66" s="58"/>
      <c r="H66" s="69">
        <f>H57</f>
        <v>318399.39711540058</v>
      </c>
      <c r="I66" s="63"/>
      <c r="J66" s="69">
        <v>24971.440791506637</v>
      </c>
      <c r="K66" s="64"/>
      <c r="L66" s="24">
        <f>J66/$H66*100</f>
        <v>7.8428040435189628</v>
      </c>
      <c r="M66" s="64"/>
      <c r="N66" s="69">
        <f>J66-P66</f>
        <v>-10904.772140496923</v>
      </c>
      <c r="O66" s="13"/>
      <c r="P66" s="69">
        <f>SUM(P57,P62,P64)</f>
        <v>35876.21293200356</v>
      </c>
      <c r="Q66" s="13"/>
      <c r="R66" s="69">
        <f>SUM(R57,R62,R64)</f>
        <v>-134.12387682092094</v>
      </c>
      <c r="S66" s="64"/>
      <c r="T66" s="69">
        <f>SUM(T57,T62,T64)</f>
        <v>35742.378560825811</v>
      </c>
      <c r="U66" s="64"/>
      <c r="V66" s="24">
        <f>T66/$H66*100</f>
        <v>11.225642662844413</v>
      </c>
      <c r="W66" s="64"/>
      <c r="X66" s="70">
        <f>T66/P66</f>
        <v>0.99626955131993988</v>
      </c>
      <c r="Y66" s="15"/>
      <c r="Z66" s="28">
        <f>V66/L66-1</f>
        <v>0.43133024879295778</v>
      </c>
    </row>
    <row r="67" spans="2:26" ht="12.9" thickTop="1" x14ac:dyDescent="0.3">
      <c r="B67" s="58"/>
    </row>
    <row r="69" spans="2:26" x14ac:dyDescent="0.3">
      <c r="B69" s="58"/>
      <c r="C69" s="60"/>
      <c r="D69" s="7" t="s">
        <v>53</v>
      </c>
      <c r="E69" s="58"/>
      <c r="F69" s="6"/>
      <c r="G69" s="58"/>
      <c r="H69" s="17"/>
      <c r="I69" s="63"/>
      <c r="J69" s="15"/>
      <c r="K69" s="15"/>
      <c r="L69" s="15"/>
      <c r="M69" s="15"/>
      <c r="N69" s="15"/>
      <c r="O69" s="63"/>
      <c r="P69" s="27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2:26" x14ac:dyDescent="0.3">
      <c r="D70" s="30" t="s">
        <v>41</v>
      </c>
      <c r="F70" s="44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3">
      <c r="B71" s="58">
        <f>MAX(B$18:B69)+1</f>
        <v>30</v>
      </c>
      <c r="C71" s="60"/>
      <c r="D71" s="10" t="s">
        <v>33</v>
      </c>
      <c r="E71" s="58"/>
      <c r="F71" s="11" t="s">
        <v>34</v>
      </c>
      <c r="G71" s="58"/>
      <c r="H71" s="12">
        <v>0</v>
      </c>
      <c r="I71" s="63"/>
      <c r="J71" s="12"/>
      <c r="K71" s="15"/>
      <c r="L71" s="12"/>
      <c r="M71" s="15"/>
      <c r="N71" s="12"/>
      <c r="O71" s="13"/>
      <c r="P71" s="12">
        <v>0</v>
      </c>
      <c r="Q71" s="13"/>
      <c r="R71" s="12">
        <f>T71-P71</f>
        <v>0</v>
      </c>
      <c r="S71" s="64"/>
      <c r="T71" s="12">
        <f>$H71*V71/1000</f>
        <v>0</v>
      </c>
      <c r="U71" s="64"/>
      <c r="V71" s="25">
        <v>0</v>
      </c>
      <c r="W71" s="64"/>
      <c r="X71" s="14" t="str">
        <f>IFERROR(T71/P71,"-")</f>
        <v>-</v>
      </c>
      <c r="Y71" s="15"/>
      <c r="Z71" s="12"/>
    </row>
    <row r="72" spans="2:26" x14ac:dyDescent="0.3">
      <c r="B72" s="58">
        <f>MAX(B$18:B71)+1</f>
        <v>31</v>
      </c>
      <c r="C72" s="60"/>
      <c r="D72" s="10" t="s">
        <v>54</v>
      </c>
      <c r="E72" s="58"/>
      <c r="F72" s="11" t="s">
        <v>36</v>
      </c>
      <c r="G72" s="58"/>
      <c r="H72" s="12">
        <v>0</v>
      </c>
      <c r="I72" s="63"/>
      <c r="J72" s="12"/>
      <c r="K72" s="15"/>
      <c r="L72" s="12"/>
      <c r="M72" s="15"/>
      <c r="N72" s="12"/>
      <c r="O72" s="13"/>
      <c r="P72" s="12">
        <v>0</v>
      </c>
      <c r="Q72" s="13"/>
      <c r="R72" s="12">
        <f t="shared" ref="R72:R77" si="15">T72-P72</f>
        <v>0</v>
      </c>
      <c r="S72" s="64"/>
      <c r="T72" s="12">
        <f t="shared" ref="T72" si="16">$H72*V72/1000</f>
        <v>0</v>
      </c>
      <c r="U72" s="64"/>
      <c r="V72" s="25">
        <v>0</v>
      </c>
      <c r="W72" s="64"/>
      <c r="X72" s="12">
        <v>0</v>
      </c>
      <c r="Y72" s="15"/>
      <c r="Z72" s="12"/>
    </row>
    <row r="73" spans="2:26" x14ac:dyDescent="0.3">
      <c r="B73" s="58">
        <f>MAX(B$18:B72)+1</f>
        <v>32</v>
      </c>
      <c r="C73" s="60"/>
      <c r="D73" s="10" t="s">
        <v>55</v>
      </c>
      <c r="E73" s="58"/>
      <c r="F73" s="11"/>
      <c r="G73" s="58"/>
      <c r="H73" s="12"/>
      <c r="I73" s="63"/>
      <c r="J73" s="12"/>
      <c r="K73" s="15"/>
      <c r="L73" s="12"/>
      <c r="M73" s="15"/>
      <c r="N73" s="12"/>
      <c r="O73" s="13"/>
      <c r="P73" s="12">
        <v>0</v>
      </c>
      <c r="Q73" s="13"/>
      <c r="R73" s="12">
        <f t="shared" si="15"/>
        <v>0</v>
      </c>
      <c r="S73" s="64"/>
      <c r="T73" s="12">
        <v>0</v>
      </c>
      <c r="U73" s="64"/>
      <c r="V73" s="25">
        <v>0</v>
      </c>
      <c r="W73" s="64"/>
      <c r="X73" s="14"/>
      <c r="Y73" s="31"/>
      <c r="Z73" s="12"/>
    </row>
    <row r="74" spans="2:26" x14ac:dyDescent="0.3">
      <c r="B74" s="58"/>
      <c r="C74" s="60"/>
      <c r="D74" s="10" t="s">
        <v>56</v>
      </c>
      <c r="E74" s="58"/>
      <c r="F74" s="11"/>
      <c r="G74" s="58"/>
      <c r="H74" s="12"/>
      <c r="I74" s="63"/>
      <c r="J74" s="12"/>
      <c r="K74" s="15"/>
      <c r="L74" s="12"/>
      <c r="M74" s="15"/>
      <c r="N74" s="12"/>
      <c r="O74" s="13"/>
      <c r="P74" s="12"/>
      <c r="Q74" s="13"/>
      <c r="R74" s="12"/>
      <c r="S74" s="64"/>
      <c r="T74" s="12"/>
      <c r="U74" s="64"/>
      <c r="V74" s="25"/>
      <c r="W74" s="64"/>
      <c r="X74" s="14"/>
      <c r="Y74" s="15"/>
      <c r="Z74" s="12"/>
    </row>
    <row r="75" spans="2:26" ht="14.15" x14ac:dyDescent="0.3">
      <c r="B75" s="58">
        <f>MAX(B$18:B74)+1</f>
        <v>33</v>
      </c>
      <c r="C75" s="60"/>
      <c r="D75" s="21" t="s">
        <v>57</v>
      </c>
      <c r="E75" s="58"/>
      <c r="F75" s="11" t="s">
        <v>38</v>
      </c>
      <c r="G75" s="58"/>
      <c r="H75" s="12">
        <v>0</v>
      </c>
      <c r="I75" s="63"/>
      <c r="J75" s="12"/>
      <c r="K75" s="15"/>
      <c r="L75" s="12"/>
      <c r="M75" s="15"/>
      <c r="N75" s="12"/>
      <c r="O75" s="13"/>
      <c r="P75" s="12">
        <v>0</v>
      </c>
      <c r="Q75" s="13"/>
      <c r="R75" s="12">
        <f t="shared" si="15"/>
        <v>0</v>
      </c>
      <c r="S75" s="64"/>
      <c r="T75" s="12">
        <f>$H75*V75/100</f>
        <v>0</v>
      </c>
      <c r="U75" s="64"/>
      <c r="V75" s="25">
        <v>0</v>
      </c>
      <c r="W75" s="64"/>
      <c r="X75" s="14"/>
      <c r="Y75" s="15"/>
      <c r="Z75" s="12"/>
    </row>
    <row r="76" spans="2:26" ht="14.15" x14ac:dyDescent="0.3">
      <c r="B76" s="58">
        <f>MAX(B$18:B75)+1</f>
        <v>34</v>
      </c>
      <c r="C76" s="60"/>
      <c r="D76" s="21" t="s">
        <v>58</v>
      </c>
      <c r="E76" s="58"/>
      <c r="F76" s="11" t="s">
        <v>38</v>
      </c>
      <c r="G76" s="58"/>
      <c r="H76" s="12">
        <v>0</v>
      </c>
      <c r="I76" s="63"/>
      <c r="J76" s="12"/>
      <c r="K76" s="15"/>
      <c r="L76" s="12"/>
      <c r="M76" s="15"/>
      <c r="N76" s="12"/>
      <c r="O76" s="13"/>
      <c r="P76" s="12">
        <v>0</v>
      </c>
      <c r="Q76" s="13"/>
      <c r="R76" s="12">
        <f t="shared" si="15"/>
        <v>0</v>
      </c>
      <c r="S76" s="64"/>
      <c r="T76" s="12">
        <f t="shared" ref="T76:T77" si="17">$H76*V76/100</f>
        <v>0</v>
      </c>
      <c r="U76" s="64"/>
      <c r="V76" s="25">
        <v>0</v>
      </c>
      <c r="W76" s="64"/>
      <c r="X76" s="14"/>
      <c r="Y76" s="15"/>
      <c r="Z76" s="12"/>
    </row>
    <row r="77" spans="2:26" ht="14.15" x14ac:dyDescent="0.3">
      <c r="B77" s="58">
        <f>MAX(B$18:B76)+1</f>
        <v>35</v>
      </c>
      <c r="C77" s="60"/>
      <c r="D77" s="21" t="s">
        <v>59</v>
      </c>
      <c r="E77" s="58"/>
      <c r="F77" s="11" t="s">
        <v>38</v>
      </c>
      <c r="G77" s="58"/>
      <c r="H77" s="12">
        <v>0</v>
      </c>
      <c r="I77" s="63"/>
      <c r="J77" s="12"/>
      <c r="K77" s="15"/>
      <c r="L77" s="12"/>
      <c r="M77" s="15"/>
      <c r="N77" s="12"/>
      <c r="O77" s="13"/>
      <c r="P77" s="12">
        <v>0</v>
      </c>
      <c r="Q77" s="13"/>
      <c r="R77" s="12">
        <f t="shared" si="15"/>
        <v>0</v>
      </c>
      <c r="S77" s="64"/>
      <c r="T77" s="12">
        <f t="shared" si="17"/>
        <v>0</v>
      </c>
      <c r="U77" s="64"/>
      <c r="V77" s="25">
        <v>0</v>
      </c>
      <c r="W77" s="64"/>
      <c r="X77" s="14"/>
      <c r="Y77" s="15"/>
      <c r="Z77" s="12"/>
    </row>
    <row r="78" spans="2:26" x14ac:dyDescent="0.3">
      <c r="B78" s="58">
        <f>MAX(B$18:B77)+1</f>
        <v>36</v>
      </c>
      <c r="C78" s="60"/>
      <c r="D78" s="10" t="s">
        <v>56</v>
      </c>
      <c r="E78" s="58"/>
      <c r="F78" s="11"/>
      <c r="G78" s="58"/>
      <c r="H78" s="67">
        <f>SUM(H75:H77)</f>
        <v>0</v>
      </c>
      <c r="I78" s="63"/>
      <c r="J78" s="15"/>
      <c r="K78" s="15"/>
      <c r="L78" s="15"/>
      <c r="M78" s="15"/>
      <c r="N78" s="15"/>
      <c r="O78" s="13"/>
      <c r="P78" s="67">
        <f>SUM(P75:P77)</f>
        <v>0</v>
      </c>
      <c r="Q78" s="13"/>
      <c r="R78" s="67">
        <f>SUM(R75:R77)</f>
        <v>0</v>
      </c>
      <c r="S78" s="64"/>
      <c r="T78" s="67">
        <f>SUM(T75:T77)</f>
        <v>0</v>
      </c>
      <c r="U78" s="64"/>
      <c r="V78" s="19" t="str">
        <f>IFERROR(T78/$H78*100,"-")</f>
        <v>-</v>
      </c>
      <c r="W78" s="64"/>
      <c r="X78" s="68" t="str">
        <f>IFERROR(T78/P78,"-")</f>
        <v>-</v>
      </c>
      <c r="Y78" s="15"/>
      <c r="Z78" s="63"/>
    </row>
    <row r="79" spans="2:26" x14ac:dyDescent="0.3">
      <c r="B79" s="58"/>
      <c r="C79" s="60"/>
      <c r="D79" s="10"/>
      <c r="E79" s="58"/>
      <c r="F79" s="11"/>
      <c r="G79" s="58"/>
      <c r="H79" s="12"/>
      <c r="I79" s="63"/>
      <c r="J79" s="15"/>
      <c r="K79" s="15"/>
      <c r="L79" s="15"/>
      <c r="M79" s="15"/>
      <c r="N79" s="15"/>
      <c r="O79" s="13"/>
      <c r="P79" s="12"/>
      <c r="Q79" s="13"/>
      <c r="R79" s="12"/>
      <c r="S79" s="64"/>
      <c r="T79" s="12"/>
      <c r="U79" s="64"/>
      <c r="V79" s="25"/>
      <c r="W79" s="64"/>
      <c r="X79" s="14"/>
      <c r="Y79" s="15"/>
      <c r="Z79" s="63"/>
    </row>
    <row r="80" spans="2:26" x14ac:dyDescent="0.3">
      <c r="B80" s="58">
        <f>MAX(B$18:B79)+1</f>
        <v>37</v>
      </c>
      <c r="C80" s="60"/>
      <c r="D80" s="10" t="s">
        <v>60</v>
      </c>
      <c r="E80" s="58"/>
      <c r="F80" s="11" t="s">
        <v>38</v>
      </c>
      <c r="G80" s="58"/>
      <c r="H80" s="12">
        <v>0</v>
      </c>
      <c r="I80" s="63"/>
      <c r="J80" s="12"/>
      <c r="K80" s="15"/>
      <c r="L80" s="12"/>
      <c r="M80" s="15"/>
      <c r="N80" s="12"/>
      <c r="O80" s="13"/>
      <c r="P80" s="12">
        <v>0</v>
      </c>
      <c r="Q80" s="13"/>
      <c r="R80" s="12">
        <f>T80-P80</f>
        <v>0</v>
      </c>
      <c r="S80" s="64"/>
      <c r="T80" s="12">
        <f>$H80*V80/100</f>
        <v>0</v>
      </c>
      <c r="U80" s="64"/>
      <c r="V80" s="25">
        <v>0</v>
      </c>
      <c r="W80" s="64"/>
      <c r="X80" s="14" t="str">
        <f>IFERROR(T80/P80,"-")</f>
        <v>-</v>
      </c>
      <c r="Y80" s="15"/>
      <c r="Z80" s="63"/>
    </row>
    <row r="81" spans="2:26" x14ac:dyDescent="0.3">
      <c r="B81" s="58">
        <f>MAX(B$18:B80)+1</f>
        <v>38</v>
      </c>
      <c r="C81" s="60"/>
      <c r="D81" s="10" t="s">
        <v>61</v>
      </c>
      <c r="E81" s="58"/>
      <c r="F81" s="66" t="s">
        <v>36</v>
      </c>
      <c r="G81" s="58"/>
      <c r="H81" s="12">
        <v>0</v>
      </c>
      <c r="I81" s="63"/>
      <c r="J81" s="12"/>
      <c r="K81" s="15"/>
      <c r="L81" s="12"/>
      <c r="M81" s="15"/>
      <c r="N81" s="12"/>
      <c r="O81" s="13"/>
      <c r="P81" s="12">
        <v>0</v>
      </c>
      <c r="Q81" s="13"/>
      <c r="R81" s="12">
        <f>T81-P81</f>
        <v>0</v>
      </c>
      <c r="S81" s="64"/>
      <c r="T81" s="12">
        <f>$H81*V81/100</f>
        <v>0</v>
      </c>
      <c r="U81" s="64"/>
      <c r="V81" s="25">
        <v>0</v>
      </c>
      <c r="W81" s="64"/>
      <c r="X81" s="14"/>
      <c r="Y81" s="15"/>
      <c r="Z81" s="63"/>
    </row>
    <row r="82" spans="2:26" x14ac:dyDescent="0.3">
      <c r="B82" s="58">
        <f>MAX(B$18:B81)+1</f>
        <v>39</v>
      </c>
      <c r="C82" s="60"/>
      <c r="D82" s="10" t="s">
        <v>62</v>
      </c>
      <c r="E82" s="58"/>
      <c r="F82" s="66" t="s">
        <v>36</v>
      </c>
      <c r="G82" s="58"/>
      <c r="H82" s="12">
        <v>0</v>
      </c>
      <c r="I82" s="63"/>
      <c r="J82" s="12"/>
      <c r="K82" s="15"/>
      <c r="L82" s="12"/>
      <c r="M82" s="15"/>
      <c r="N82" s="12"/>
      <c r="O82" s="13"/>
      <c r="P82" s="12"/>
      <c r="Q82" s="13"/>
      <c r="R82" s="12"/>
      <c r="S82" s="64"/>
      <c r="T82" s="12"/>
      <c r="U82" s="64"/>
      <c r="V82" s="25">
        <v>0</v>
      </c>
      <c r="W82" s="64"/>
      <c r="X82" s="14"/>
      <c r="Y82" s="15"/>
      <c r="Z82" s="63"/>
    </row>
    <row r="83" spans="2:26" x14ac:dyDescent="0.3">
      <c r="B83" s="58"/>
      <c r="C83" s="60"/>
      <c r="D83" s="10"/>
      <c r="E83" s="58"/>
      <c r="F83" s="11"/>
      <c r="G83" s="58"/>
      <c r="H83" s="12"/>
      <c r="I83" s="63"/>
      <c r="J83" s="15"/>
      <c r="K83" s="15"/>
      <c r="L83" s="15"/>
      <c r="M83" s="15"/>
      <c r="N83" s="15"/>
      <c r="O83" s="13"/>
      <c r="P83" s="12"/>
      <c r="Q83" s="13"/>
      <c r="R83" s="12"/>
      <c r="S83" s="64"/>
      <c r="T83" s="12"/>
      <c r="U83" s="64"/>
      <c r="V83" s="25"/>
      <c r="W83" s="64"/>
      <c r="X83" s="14"/>
      <c r="Y83" s="15"/>
      <c r="Z83" s="63"/>
    </row>
    <row r="84" spans="2:26" x14ac:dyDescent="0.3">
      <c r="B84" s="58">
        <f>MAX(B$18:B83)+1</f>
        <v>40</v>
      </c>
      <c r="C84" s="60"/>
      <c r="D84" s="10" t="s">
        <v>63</v>
      </c>
      <c r="E84" s="58"/>
      <c r="F84" s="11"/>
      <c r="G84" s="58"/>
      <c r="H84" s="67">
        <f>H72+H81</f>
        <v>0</v>
      </c>
      <c r="I84" s="63"/>
      <c r="J84" s="15"/>
      <c r="K84" s="15"/>
      <c r="L84" s="15"/>
      <c r="M84" s="15"/>
      <c r="N84" s="15"/>
      <c r="O84" s="13"/>
      <c r="P84" s="67">
        <f>SUM(P71,P72:P73,P78,P80,P81)</f>
        <v>0</v>
      </c>
      <c r="Q84" s="13"/>
      <c r="R84" s="67">
        <f>SUM(R71,R72:R73,R78,R80,R81)</f>
        <v>0</v>
      </c>
      <c r="S84" s="64"/>
      <c r="T84" s="67">
        <f>SUM(T71,T72:T73,T78,T80,T81)</f>
        <v>0</v>
      </c>
      <c r="U84" s="64"/>
      <c r="V84" s="19" t="str">
        <f>IFERROR(T84/$H84*100,"-")</f>
        <v>-</v>
      </c>
      <c r="W84" s="64"/>
      <c r="X84" s="68" t="str">
        <f>IFERROR(T84/P84,"-")</f>
        <v>-</v>
      </c>
      <c r="Y84" s="15"/>
      <c r="Z84" s="63"/>
    </row>
    <row r="85" spans="2:26" x14ac:dyDescent="0.3">
      <c r="E85" s="58"/>
      <c r="F85" s="11"/>
      <c r="G85" s="58"/>
      <c r="H85" s="12"/>
      <c r="I85" s="63"/>
      <c r="J85" s="15"/>
      <c r="K85" s="15"/>
      <c r="L85" s="15"/>
      <c r="M85" s="15"/>
      <c r="N85" s="15"/>
      <c r="O85" s="13"/>
      <c r="P85" s="12"/>
      <c r="Q85" s="13"/>
      <c r="R85" s="12"/>
      <c r="S85" s="64"/>
      <c r="T85" s="12"/>
      <c r="U85" s="64"/>
      <c r="V85" s="25"/>
      <c r="W85" s="64"/>
      <c r="X85" s="14"/>
      <c r="Y85" s="15"/>
      <c r="Z85" s="63"/>
    </row>
    <row r="86" spans="2:26" x14ac:dyDescent="0.3">
      <c r="B86" s="58"/>
      <c r="C86" s="60"/>
      <c r="D86" s="30" t="s">
        <v>64</v>
      </c>
      <c r="E86" s="58"/>
      <c r="F86" s="66"/>
      <c r="G86" s="58"/>
      <c r="H86" s="12"/>
      <c r="I86" s="63"/>
      <c r="J86" s="15"/>
      <c r="K86" s="15"/>
      <c r="L86" s="15"/>
      <c r="M86" s="15"/>
      <c r="N86" s="15"/>
      <c r="O86" s="13"/>
      <c r="P86" s="12"/>
      <c r="Q86" s="13"/>
      <c r="R86" s="12"/>
      <c r="S86" s="64"/>
      <c r="T86" s="12"/>
      <c r="U86" s="64"/>
      <c r="V86" s="20"/>
      <c r="W86" s="64"/>
      <c r="X86" s="14"/>
      <c r="Y86" s="15"/>
      <c r="Z86" s="63"/>
    </row>
    <row r="87" spans="2:26" x14ac:dyDescent="0.3">
      <c r="B87" s="58">
        <f>MAX(B$18:B86)+1</f>
        <v>41</v>
      </c>
      <c r="C87" s="60"/>
      <c r="D87" s="21" t="s">
        <v>65</v>
      </c>
      <c r="E87" s="58"/>
      <c r="F87" s="66" t="s">
        <v>172</v>
      </c>
      <c r="G87" s="58"/>
      <c r="H87" s="12">
        <v>0</v>
      </c>
      <c r="I87" s="63"/>
      <c r="J87" s="12"/>
      <c r="K87" s="15"/>
      <c r="L87" s="12"/>
      <c r="M87" s="15"/>
      <c r="N87" s="12"/>
      <c r="O87" s="13"/>
      <c r="P87" s="12">
        <v>0</v>
      </c>
      <c r="Q87" s="13"/>
      <c r="R87" s="12">
        <f>T87-P87</f>
        <v>0</v>
      </c>
      <c r="S87" s="64"/>
      <c r="T87" s="12">
        <f>$H87*V87/1000</f>
        <v>0</v>
      </c>
      <c r="U87" s="64"/>
      <c r="V87" s="77">
        <v>0</v>
      </c>
      <c r="W87" s="64"/>
      <c r="X87" s="14" t="str">
        <f>IFERROR(T87/P87,"-")</f>
        <v>-</v>
      </c>
      <c r="Y87" s="15"/>
      <c r="Z87" s="12"/>
    </row>
    <row r="88" spans="2:26" x14ac:dyDescent="0.3">
      <c r="B88" s="58"/>
      <c r="C88" s="60"/>
      <c r="D88" s="21" t="s">
        <v>66</v>
      </c>
      <c r="E88" s="58"/>
      <c r="F88" s="66"/>
      <c r="G88" s="58"/>
      <c r="H88" s="12"/>
      <c r="I88" s="63"/>
      <c r="J88" s="15"/>
      <c r="K88" s="15"/>
      <c r="L88" s="15"/>
      <c r="M88" s="15"/>
      <c r="N88" s="15"/>
      <c r="O88" s="13"/>
      <c r="P88" s="12"/>
      <c r="Q88" s="13"/>
      <c r="R88" s="12">
        <f t="shared" ref="R88:R93" si="18">T88-P88</f>
        <v>0</v>
      </c>
      <c r="S88" s="64"/>
      <c r="T88" s="12">
        <f t="shared" ref="T88:T92" si="19">$H88*V88/1000</f>
        <v>0</v>
      </c>
      <c r="U88" s="64"/>
      <c r="V88" s="20"/>
      <c r="W88" s="64"/>
      <c r="X88" s="14"/>
      <c r="Y88" s="15"/>
      <c r="Z88" s="15"/>
    </row>
    <row r="89" spans="2:26" x14ac:dyDescent="0.3">
      <c r="B89" s="58">
        <f>MAX(B$18:B88)+1</f>
        <v>42</v>
      </c>
      <c r="C89" s="60"/>
      <c r="D89" s="32" t="s">
        <v>67</v>
      </c>
      <c r="E89" s="58"/>
      <c r="F89" s="66" t="s">
        <v>172</v>
      </c>
      <c r="G89" s="58"/>
      <c r="H89" s="12">
        <v>0</v>
      </c>
      <c r="I89" s="63"/>
      <c r="J89" s="12"/>
      <c r="K89" s="15"/>
      <c r="L89" s="12"/>
      <c r="M89" s="15"/>
      <c r="N89" s="12"/>
      <c r="O89" s="13"/>
      <c r="P89" s="12">
        <v>0</v>
      </c>
      <c r="Q89" s="13"/>
      <c r="R89" s="12">
        <f t="shared" si="18"/>
        <v>0</v>
      </c>
      <c r="S89" s="64"/>
      <c r="T89" s="12">
        <f t="shared" si="19"/>
        <v>0</v>
      </c>
      <c r="U89" s="64"/>
      <c r="V89" s="77">
        <v>0</v>
      </c>
      <c r="W89" s="64"/>
      <c r="X89" s="14" t="str">
        <f t="shared" ref="X89:X91" si="20">IFERROR(T89/P89,"-")</f>
        <v>-</v>
      </c>
      <c r="Y89" s="15"/>
      <c r="Z89" s="12"/>
    </row>
    <row r="90" spans="2:26" x14ac:dyDescent="0.3">
      <c r="B90" s="58">
        <f>MAX(B$18:B89)+1</f>
        <v>43</v>
      </c>
      <c r="C90" s="60"/>
      <c r="D90" s="32" t="s">
        <v>68</v>
      </c>
      <c r="E90" s="58"/>
      <c r="F90" s="66" t="s">
        <v>172</v>
      </c>
      <c r="G90" s="58"/>
      <c r="H90" s="12">
        <v>0</v>
      </c>
      <c r="I90" s="63"/>
      <c r="J90" s="12"/>
      <c r="K90" s="15"/>
      <c r="L90" s="12"/>
      <c r="M90" s="15"/>
      <c r="N90" s="12"/>
      <c r="O90" s="13"/>
      <c r="P90" s="12">
        <v>0</v>
      </c>
      <c r="Q90" s="13"/>
      <c r="R90" s="12">
        <f t="shared" si="18"/>
        <v>0</v>
      </c>
      <c r="S90" s="64"/>
      <c r="T90" s="12">
        <f t="shared" si="19"/>
        <v>0</v>
      </c>
      <c r="U90" s="64"/>
      <c r="V90" s="77">
        <v>0</v>
      </c>
      <c r="W90" s="64"/>
      <c r="X90" s="14" t="str">
        <f t="shared" si="20"/>
        <v>-</v>
      </c>
      <c r="Y90" s="15"/>
      <c r="Z90" s="12"/>
    </row>
    <row r="91" spans="2:26" x14ac:dyDescent="0.3">
      <c r="B91" s="58">
        <f>MAX(B$18:B90)+1</f>
        <v>44</v>
      </c>
      <c r="C91" s="60"/>
      <c r="D91" s="32" t="s">
        <v>69</v>
      </c>
      <c r="E91" s="58"/>
      <c r="F91" s="66" t="s">
        <v>172</v>
      </c>
      <c r="G91" s="58"/>
      <c r="H91" s="12">
        <v>0</v>
      </c>
      <c r="I91" s="63"/>
      <c r="J91" s="12"/>
      <c r="K91" s="15"/>
      <c r="L91" s="12"/>
      <c r="M91" s="15"/>
      <c r="N91" s="12"/>
      <c r="O91" s="13"/>
      <c r="P91" s="12">
        <v>0</v>
      </c>
      <c r="Q91" s="13"/>
      <c r="R91" s="12">
        <f t="shared" si="18"/>
        <v>0</v>
      </c>
      <c r="S91" s="64"/>
      <c r="T91" s="12">
        <f t="shared" si="19"/>
        <v>0</v>
      </c>
      <c r="U91" s="64"/>
      <c r="V91" s="77">
        <v>0</v>
      </c>
      <c r="W91" s="64"/>
      <c r="X91" s="14" t="str">
        <f t="shared" si="20"/>
        <v>-</v>
      </c>
      <c r="Y91" s="15"/>
      <c r="Z91" s="12"/>
    </row>
    <row r="92" spans="2:26" x14ac:dyDescent="0.3">
      <c r="B92" s="58">
        <f>MAX(B$18:B91)+1</f>
        <v>45</v>
      </c>
      <c r="D92" s="21" t="s">
        <v>70</v>
      </c>
      <c r="F92" s="1" t="s">
        <v>71</v>
      </c>
      <c r="H92" s="12">
        <v>0</v>
      </c>
      <c r="I92" s="63"/>
      <c r="J92" s="12"/>
      <c r="K92" s="15"/>
      <c r="L92" s="12"/>
      <c r="M92" s="15"/>
      <c r="N92" s="12"/>
      <c r="O92" s="13"/>
      <c r="P92" s="12">
        <v>0</v>
      </c>
      <c r="Q92" s="13"/>
      <c r="R92" s="12">
        <f t="shared" si="18"/>
        <v>0</v>
      </c>
      <c r="S92" s="64"/>
      <c r="T92" s="12">
        <f t="shared" si="19"/>
        <v>0</v>
      </c>
      <c r="U92" s="64"/>
      <c r="V92" s="77">
        <v>0</v>
      </c>
      <c r="W92" s="64"/>
      <c r="X92" s="12">
        <v>0</v>
      </c>
      <c r="Y92" s="15"/>
      <c r="Z92" s="12"/>
    </row>
    <row r="93" spans="2:26" x14ac:dyDescent="0.3">
      <c r="B93" s="58">
        <f>MAX(B$18:B92)+1</f>
        <v>46</v>
      </c>
      <c r="C93" s="60"/>
      <c r="D93" s="21" t="s">
        <v>72</v>
      </c>
      <c r="E93" s="58"/>
      <c r="F93" s="11"/>
      <c r="G93" s="58"/>
      <c r="H93" s="12"/>
      <c r="I93" s="63"/>
      <c r="J93" s="12"/>
      <c r="K93" s="15"/>
      <c r="L93" s="12"/>
      <c r="M93" s="15"/>
      <c r="N93" s="12"/>
      <c r="O93" s="13"/>
      <c r="P93" s="12">
        <v>0</v>
      </c>
      <c r="Q93" s="13"/>
      <c r="R93" s="12">
        <f t="shared" si="18"/>
        <v>0</v>
      </c>
      <c r="S93" s="64"/>
      <c r="T93" s="12">
        <v>0</v>
      </c>
      <c r="U93" s="64"/>
      <c r="V93" s="25">
        <v>0</v>
      </c>
      <c r="W93" s="64"/>
      <c r="X93" s="12"/>
      <c r="Y93" s="15"/>
      <c r="Z93" s="12"/>
    </row>
    <row r="94" spans="2:26" x14ac:dyDescent="0.3">
      <c r="B94" s="58"/>
      <c r="C94" s="60"/>
      <c r="D94" s="10"/>
      <c r="E94" s="58"/>
      <c r="F94" s="11"/>
      <c r="G94" s="58"/>
      <c r="H94" s="12"/>
      <c r="I94" s="63"/>
      <c r="J94" s="15"/>
      <c r="K94" s="15"/>
      <c r="L94" s="15"/>
      <c r="M94" s="15"/>
      <c r="N94" s="15"/>
      <c r="O94" s="13"/>
      <c r="P94" s="12"/>
      <c r="Q94" s="13"/>
      <c r="R94" s="12"/>
      <c r="S94" s="64"/>
      <c r="T94" s="12"/>
      <c r="U94" s="64"/>
      <c r="V94" s="25"/>
      <c r="W94" s="64"/>
      <c r="X94" s="14"/>
      <c r="Y94" s="15"/>
      <c r="Z94" s="63"/>
    </row>
    <row r="95" spans="2:26" x14ac:dyDescent="0.3">
      <c r="B95" s="58">
        <f>MAX(B$18:B94)+1</f>
        <v>47</v>
      </c>
      <c r="C95" s="60"/>
      <c r="D95" s="10" t="s">
        <v>73</v>
      </c>
      <c r="E95" s="58"/>
      <c r="F95" s="11"/>
      <c r="G95" s="58"/>
      <c r="H95" s="67">
        <f>H84</f>
        <v>0</v>
      </c>
      <c r="I95" s="63"/>
      <c r="J95" s="12"/>
      <c r="K95" s="15"/>
      <c r="L95" s="12"/>
      <c r="M95" s="15"/>
      <c r="N95" s="12"/>
      <c r="O95" s="13"/>
      <c r="P95" s="67">
        <f>SUM(P87:P93)</f>
        <v>0</v>
      </c>
      <c r="Q95" s="13"/>
      <c r="R95" s="67">
        <f>SUM(R87:R93)</f>
        <v>0</v>
      </c>
      <c r="S95" s="64"/>
      <c r="T95" s="67">
        <f>SUM(T87:T93)</f>
        <v>0</v>
      </c>
      <c r="U95" s="64"/>
      <c r="V95" s="19" t="str">
        <f>IFERROR(T95/$H95*100,"-")</f>
        <v>-</v>
      </c>
      <c r="W95" s="64"/>
      <c r="X95" s="68" t="str">
        <f>IFERROR(T95/P95,"-")</f>
        <v>-</v>
      </c>
      <c r="Y95" s="15"/>
      <c r="Z95" s="63"/>
    </row>
    <row r="96" spans="2:26" x14ac:dyDescent="0.3">
      <c r="E96" s="58"/>
      <c r="F96" s="11"/>
      <c r="G96" s="58"/>
      <c r="H96" s="12"/>
      <c r="I96" s="63"/>
      <c r="J96" s="12"/>
      <c r="K96" s="64"/>
      <c r="L96" s="25"/>
      <c r="M96" s="64"/>
      <c r="N96" s="12"/>
      <c r="O96" s="13"/>
      <c r="P96" s="12"/>
      <c r="Q96" s="13"/>
      <c r="R96" s="12"/>
      <c r="S96" s="64"/>
      <c r="T96" s="12"/>
      <c r="U96" s="64"/>
      <c r="V96" s="25"/>
      <c r="W96" s="64"/>
      <c r="X96" s="14"/>
      <c r="Y96" s="15"/>
      <c r="Z96" s="16"/>
    </row>
    <row r="97" spans="2:26" ht="12.9" thickBot="1" x14ac:dyDescent="0.35">
      <c r="B97" s="58">
        <f>MAX(B$18:B96)+1</f>
        <v>48</v>
      </c>
      <c r="C97" s="60"/>
      <c r="D97" s="23" t="s">
        <v>74</v>
      </c>
      <c r="E97" s="58"/>
      <c r="F97" s="11"/>
      <c r="G97" s="58"/>
      <c r="H97" s="69">
        <f>H84</f>
        <v>0</v>
      </c>
      <c r="I97" s="63"/>
      <c r="J97" s="69">
        <v>0</v>
      </c>
      <c r="K97" s="64"/>
      <c r="L97" s="24" t="str">
        <f>IFERROR(J97/$H97*100,"-")</f>
        <v>-</v>
      </c>
      <c r="M97" s="64"/>
      <c r="N97" s="69">
        <f>J97-P97</f>
        <v>0</v>
      </c>
      <c r="O97" s="13"/>
      <c r="P97" s="69">
        <f>P84+P95</f>
        <v>0</v>
      </c>
      <c r="Q97" s="13"/>
      <c r="R97" s="69">
        <f>R84+R95</f>
        <v>0</v>
      </c>
      <c r="S97" s="64"/>
      <c r="T97" s="69">
        <f>T84+T95</f>
        <v>0</v>
      </c>
      <c r="U97" s="64"/>
      <c r="V97" s="24" t="str">
        <f>IFERROR(T97/$H97*100,"-")</f>
        <v>-</v>
      </c>
      <c r="W97" s="64"/>
      <c r="X97" s="70" t="str">
        <f>IFERROR(107/P97,"-")</f>
        <v>-</v>
      </c>
      <c r="Y97" s="15"/>
      <c r="Z97" s="28" t="str">
        <f>IFERROR(V97/L97-1,"-")</f>
        <v>-</v>
      </c>
    </row>
    <row r="98" spans="2:26" ht="12.9" thickTop="1" x14ac:dyDescent="0.3">
      <c r="B98" s="58"/>
    </row>
    <row r="99" spans="2:26" x14ac:dyDescent="0.3">
      <c r="B99" s="58"/>
    </row>
    <row r="100" spans="2:26" ht="11.4" customHeight="1" x14ac:dyDescent="0.3">
      <c r="B100" s="58"/>
      <c r="C100" s="23"/>
      <c r="D100" s="7" t="s">
        <v>75</v>
      </c>
      <c r="E100" s="23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ht="11.4" customHeight="1" x14ac:dyDescent="0.3">
      <c r="B101" s="58">
        <f>MAX(B$18:B100)+1</f>
        <v>49</v>
      </c>
      <c r="C101" s="23"/>
      <c r="D101" s="10" t="s">
        <v>33</v>
      </c>
      <c r="F101" s="44" t="s">
        <v>34</v>
      </c>
      <c r="G101" s="23"/>
      <c r="H101" s="12">
        <v>588</v>
      </c>
      <c r="I101" s="15"/>
      <c r="J101" s="12"/>
      <c r="K101" s="15"/>
      <c r="L101" s="12"/>
      <c r="M101" s="15"/>
      <c r="N101" s="12"/>
      <c r="O101" s="15"/>
      <c r="P101" s="12">
        <v>2119.0048805163779</v>
      </c>
      <c r="Q101" s="15"/>
      <c r="R101" s="12">
        <f>T101-P101</f>
        <v>-1237.0048805163779</v>
      </c>
      <c r="S101" s="64"/>
      <c r="T101" s="12">
        <f>$H101*V101/1000</f>
        <v>882</v>
      </c>
      <c r="U101" s="15"/>
      <c r="V101" s="76">
        <v>1500</v>
      </c>
      <c r="W101" s="15"/>
      <c r="X101" s="14"/>
      <c r="Y101" s="15"/>
      <c r="Z101" s="12"/>
    </row>
    <row r="102" spans="2:26" ht="11.4" customHeight="1" x14ac:dyDescent="0.3">
      <c r="B102" s="58"/>
      <c r="C102" s="23"/>
      <c r="D102" s="10"/>
      <c r="F102" s="44"/>
      <c r="H102" s="12"/>
      <c r="I102" s="15"/>
      <c r="J102" s="12"/>
      <c r="K102" s="15"/>
      <c r="L102" s="12"/>
      <c r="M102" s="15"/>
      <c r="N102" s="12"/>
      <c r="O102" s="15"/>
      <c r="P102" s="12"/>
      <c r="Q102" s="15"/>
      <c r="R102" s="12"/>
      <c r="S102" s="64"/>
      <c r="T102" s="12"/>
      <c r="U102" s="15"/>
      <c r="V102" s="76"/>
      <c r="W102" s="15"/>
      <c r="X102" s="14"/>
      <c r="Y102" s="15"/>
      <c r="Z102" s="12"/>
    </row>
    <row r="103" spans="2:26" x14ac:dyDescent="0.3">
      <c r="B103" s="58">
        <f>MAX(B$18:B102)+1</f>
        <v>50</v>
      </c>
      <c r="D103" s="10" t="s">
        <v>54</v>
      </c>
      <c r="F103" s="44" t="s">
        <v>36</v>
      </c>
      <c r="H103" s="12">
        <v>981552.03998941171</v>
      </c>
      <c r="I103" s="15"/>
      <c r="J103" s="12"/>
      <c r="K103" s="15"/>
      <c r="L103" s="12"/>
      <c r="M103" s="15"/>
      <c r="N103" s="12"/>
      <c r="O103" s="15"/>
      <c r="P103" s="12">
        <v>655.7262638613463</v>
      </c>
      <c r="Q103" s="15"/>
      <c r="R103" s="12">
        <f t="shared" ref="R103" si="21">T103-P103</f>
        <v>0</v>
      </c>
      <c r="S103" s="64"/>
      <c r="T103" s="12">
        <f>$H103*V103/100</f>
        <v>655.72626386134641</v>
      </c>
      <c r="U103" s="15"/>
      <c r="V103" s="25">
        <v>6.6805043150684085E-2</v>
      </c>
      <c r="W103" s="15"/>
      <c r="X103" s="14"/>
      <c r="Y103" s="15"/>
      <c r="Z103" s="12"/>
    </row>
    <row r="104" spans="2:26" x14ac:dyDescent="0.3">
      <c r="B104" s="58"/>
      <c r="D104" s="10"/>
      <c r="F104" s="44"/>
      <c r="H104" s="12"/>
      <c r="I104" s="15"/>
      <c r="J104" s="12"/>
      <c r="K104" s="15"/>
      <c r="L104" s="12"/>
      <c r="M104" s="15"/>
      <c r="N104" s="12"/>
      <c r="O104" s="15"/>
      <c r="P104" s="12"/>
      <c r="Q104" s="15"/>
      <c r="R104" s="12"/>
      <c r="S104" s="64"/>
      <c r="T104" s="12"/>
      <c r="U104" s="15"/>
      <c r="V104" s="78"/>
      <c r="W104" s="15"/>
      <c r="X104" s="14"/>
      <c r="Y104" s="15"/>
      <c r="Z104" s="12"/>
    </row>
    <row r="105" spans="2:26" x14ac:dyDescent="0.3">
      <c r="B105" s="58"/>
      <c r="D105" s="10" t="s">
        <v>56</v>
      </c>
      <c r="F105" s="44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33"/>
      <c r="W105" s="15"/>
      <c r="X105" s="15"/>
      <c r="Y105" s="15"/>
      <c r="Z105" s="15"/>
    </row>
    <row r="106" spans="2:26" ht="14.15" x14ac:dyDescent="0.3">
      <c r="B106" s="58">
        <f>MAX(B$18:B105)+1</f>
        <v>51</v>
      </c>
      <c r="D106" s="21" t="s">
        <v>57</v>
      </c>
      <c r="F106" s="44" t="s">
        <v>38</v>
      </c>
      <c r="H106" s="12">
        <v>13312.763999999999</v>
      </c>
      <c r="I106" s="15"/>
      <c r="J106" s="12"/>
      <c r="K106" s="15"/>
      <c r="L106" s="12"/>
      <c r="M106" s="15"/>
      <c r="N106" s="12"/>
      <c r="O106" s="15"/>
      <c r="P106" s="12">
        <v>3514.9224189586207</v>
      </c>
      <c r="Q106" s="15"/>
      <c r="R106" s="12">
        <f>T106-P106</f>
        <v>358.16872061263985</v>
      </c>
      <c r="S106" s="64"/>
      <c r="T106" s="12">
        <f>$H106*V106/100</f>
        <v>3873.0911395712606</v>
      </c>
      <c r="U106" s="15"/>
      <c r="V106" s="25">
        <v>29.093065418806049</v>
      </c>
      <c r="W106" s="15"/>
      <c r="X106" s="12"/>
      <c r="Y106" s="15"/>
      <c r="Z106" s="12"/>
    </row>
    <row r="107" spans="2:26" ht="14.15" x14ac:dyDescent="0.3">
      <c r="B107" s="58">
        <f>MAX(B$18:B106)+1</f>
        <v>52</v>
      </c>
      <c r="D107" s="21" t="s">
        <v>76</v>
      </c>
      <c r="F107" s="44" t="s">
        <v>38</v>
      </c>
      <c r="H107" s="12">
        <v>49393.440000000002</v>
      </c>
      <c r="I107" s="15"/>
      <c r="J107" s="12"/>
      <c r="K107" s="15"/>
      <c r="L107" s="12"/>
      <c r="M107" s="15"/>
      <c r="N107" s="12"/>
      <c r="O107" s="15"/>
      <c r="P107" s="12">
        <v>6636.5939639914805</v>
      </c>
      <c r="Q107" s="15"/>
      <c r="R107" s="12">
        <f>T107-P107</f>
        <v>659.69944331133775</v>
      </c>
      <c r="S107" s="64"/>
      <c r="T107" s="12">
        <f>$H107*V107/100</f>
        <v>7296.2934073028182</v>
      </c>
      <c r="U107" s="15"/>
      <c r="V107" s="25">
        <v>14.771786308673414</v>
      </c>
      <c r="W107" s="15"/>
      <c r="X107" s="12"/>
      <c r="Y107" s="15"/>
      <c r="Z107" s="12"/>
    </row>
    <row r="108" spans="2:26" x14ac:dyDescent="0.3">
      <c r="B108" s="58">
        <f>MAX(B$18:B107)+1</f>
        <v>53</v>
      </c>
      <c r="D108" s="10" t="s">
        <v>56</v>
      </c>
      <c r="H108" s="67">
        <f>SUM(H106:H107)</f>
        <v>62706.203999999998</v>
      </c>
      <c r="I108" s="63"/>
      <c r="J108" s="15"/>
      <c r="K108" s="15"/>
      <c r="L108" s="15"/>
      <c r="M108" s="15"/>
      <c r="N108" s="15"/>
      <c r="O108" s="13"/>
      <c r="P108" s="67">
        <f>SUM(P106:P107)</f>
        <v>10151.516382950102</v>
      </c>
      <c r="Q108" s="13"/>
      <c r="R108" s="67">
        <f>SUM(R106:R107)</f>
        <v>1017.8681639239776</v>
      </c>
      <c r="S108" s="64"/>
      <c r="T108" s="67">
        <f>SUM(T106:T107)</f>
        <v>11169.384546874078</v>
      </c>
      <c r="U108" s="64"/>
      <c r="V108" s="19">
        <f>T108/$H108*100</f>
        <v>17.812247966523501</v>
      </c>
      <c r="W108" s="64"/>
      <c r="X108" s="68">
        <f>T108/P108</f>
        <v>1.1002675980145713</v>
      </c>
      <c r="Y108" s="15"/>
      <c r="Z108" s="15"/>
    </row>
    <row r="109" spans="2:26" x14ac:dyDescent="0.3">
      <c r="B109" s="58"/>
      <c r="D109" s="10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3">
      <c r="B110" s="58">
        <f>MAX(B$18:B109)+1</f>
        <v>54</v>
      </c>
      <c r="D110" s="10" t="s">
        <v>60</v>
      </c>
      <c r="F110" s="44" t="s">
        <v>38</v>
      </c>
      <c r="H110" s="12">
        <v>67936.392000000007</v>
      </c>
      <c r="I110" s="15"/>
      <c r="J110" s="12"/>
      <c r="K110" s="15"/>
      <c r="L110" s="12"/>
      <c r="M110" s="15"/>
      <c r="N110" s="12"/>
      <c r="O110" s="15"/>
      <c r="P110" s="12">
        <v>695.03692733575588</v>
      </c>
      <c r="Q110" s="15"/>
      <c r="R110" s="12">
        <f>T110-P110</f>
        <v>0</v>
      </c>
      <c r="S110" s="64"/>
      <c r="T110" s="12">
        <f>$H110*V110/100</f>
        <v>695.03692733575599</v>
      </c>
      <c r="U110" s="15"/>
      <c r="V110" s="25">
        <v>1.0230701202615469</v>
      </c>
      <c r="W110" s="15"/>
      <c r="X110" s="14"/>
      <c r="Y110" s="15"/>
      <c r="Z110" s="12"/>
    </row>
    <row r="111" spans="2:26" x14ac:dyDescent="0.3">
      <c r="B111" s="58">
        <f>MAX(B$18:B110)+1</f>
        <v>55</v>
      </c>
      <c r="D111" s="10" t="s">
        <v>61</v>
      </c>
      <c r="F111" s="44" t="s">
        <v>36</v>
      </c>
      <c r="H111" s="12">
        <v>0</v>
      </c>
      <c r="I111" s="15"/>
      <c r="J111" s="12"/>
      <c r="K111" s="15"/>
      <c r="L111" s="12"/>
      <c r="M111" s="15"/>
      <c r="N111" s="12"/>
      <c r="O111" s="15"/>
      <c r="P111" s="12">
        <v>0</v>
      </c>
      <c r="Q111" s="15"/>
      <c r="R111" s="12">
        <v>0</v>
      </c>
      <c r="S111" s="15"/>
      <c r="T111" s="12">
        <f t="shared" ref="T111" si="22">$H111*V111/100</f>
        <v>0</v>
      </c>
      <c r="U111" s="15"/>
      <c r="V111" s="25">
        <v>0.10044022518668014</v>
      </c>
      <c r="W111" s="15"/>
      <c r="X111" s="12"/>
      <c r="Y111" s="15"/>
      <c r="Z111" s="12"/>
    </row>
    <row r="112" spans="2:26" x14ac:dyDescent="0.3">
      <c r="B112" s="58"/>
      <c r="D112" s="10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ht="12.9" thickBot="1" x14ac:dyDescent="0.35">
      <c r="B113" s="58">
        <f>MAX(B$18:B112)+1</f>
        <v>56</v>
      </c>
      <c r="D113" s="23" t="s">
        <v>77</v>
      </c>
      <c r="H113" s="69">
        <f>H103</f>
        <v>981552.03998941171</v>
      </c>
      <c r="I113" s="63"/>
      <c r="J113" s="69">
        <v>22727.163198775015</v>
      </c>
      <c r="K113" s="64"/>
      <c r="L113" s="24">
        <f>J113/$H113*100</f>
        <v>2.3154313039805996</v>
      </c>
      <c r="M113" s="64"/>
      <c r="N113" s="69">
        <f>J113-P113</f>
        <v>9105.8787441114346</v>
      </c>
      <c r="O113" s="13"/>
      <c r="P113" s="69">
        <f>SUM(P101:P103,P108,P110:P111)</f>
        <v>13621.284454663581</v>
      </c>
      <c r="Q113" s="64"/>
      <c r="R113" s="69">
        <f>SUM(R101:R103,R108,R110:R111)</f>
        <v>-219.13671659240026</v>
      </c>
      <c r="S113" s="64"/>
      <c r="T113" s="69">
        <f>SUM(T101:T103,T108,T110:T111)</f>
        <v>13402.14773807118</v>
      </c>
      <c r="U113" s="64"/>
      <c r="V113" s="24">
        <f>T113/$H113*100</f>
        <v>1.3654036864123631</v>
      </c>
      <c r="W113" s="64"/>
      <c r="X113" s="70">
        <f>T113/P113</f>
        <v>0.98391218410262526</v>
      </c>
      <c r="Y113" s="15"/>
      <c r="Z113" s="71">
        <f>V113/L113-1</f>
        <v>-0.41030265762365137</v>
      </c>
    </row>
    <row r="114" spans="2:26" ht="12.9" thickTop="1" x14ac:dyDescent="0.3">
      <c r="B114" s="58"/>
      <c r="D114" s="10"/>
    </row>
    <row r="115" spans="2:26" x14ac:dyDescent="0.3">
      <c r="B115" s="58"/>
      <c r="D115" s="10"/>
      <c r="V115" s="34"/>
    </row>
    <row r="116" spans="2:26" x14ac:dyDescent="0.3">
      <c r="B116" s="58"/>
      <c r="D116" s="35" t="s">
        <v>78</v>
      </c>
      <c r="Y116" s="15"/>
      <c r="Z116" s="15"/>
    </row>
    <row r="117" spans="2:26" x14ac:dyDescent="0.3">
      <c r="B117" s="58">
        <f>MAX(B$18:B116)+1</f>
        <v>57</v>
      </c>
      <c r="D117" s="10" t="s">
        <v>33</v>
      </c>
      <c r="F117" s="44" t="s">
        <v>34</v>
      </c>
      <c r="H117" s="12">
        <v>36</v>
      </c>
      <c r="I117" s="15"/>
      <c r="J117" s="12"/>
      <c r="K117" s="15"/>
      <c r="L117" s="12"/>
      <c r="M117" s="15"/>
      <c r="N117" s="12"/>
      <c r="O117" s="15"/>
      <c r="P117" s="12">
        <v>1282.7724887817374</v>
      </c>
      <c r="Q117" s="15"/>
      <c r="R117" s="12">
        <f t="shared" ref="R117" si="23">T117-P117</f>
        <v>-751.97038858549161</v>
      </c>
      <c r="S117" s="64"/>
      <c r="T117" s="12">
        <f>$H117*V117/1000</f>
        <v>530.80210019624576</v>
      </c>
      <c r="U117" s="15"/>
      <c r="V117" s="76">
        <v>14744.502783229049</v>
      </c>
      <c r="W117" s="15"/>
      <c r="X117" s="14">
        <f t="shared" ref="X117" si="24">T117/P117</f>
        <v>0.4137928625990055</v>
      </c>
      <c r="Y117" s="15"/>
      <c r="Z117" s="12"/>
    </row>
    <row r="118" spans="2:26" x14ac:dyDescent="0.3">
      <c r="B118" s="58"/>
      <c r="D118" s="32"/>
      <c r="F118" s="44"/>
      <c r="H118" s="12"/>
      <c r="I118" s="15"/>
      <c r="J118" s="12"/>
      <c r="K118" s="15"/>
      <c r="L118" s="12"/>
      <c r="M118" s="15"/>
      <c r="N118" s="12"/>
      <c r="O118" s="15"/>
      <c r="P118" s="12"/>
      <c r="Q118" s="15"/>
      <c r="R118" s="12"/>
      <c r="S118" s="64"/>
      <c r="T118" s="12"/>
      <c r="U118" s="15"/>
      <c r="V118" s="76"/>
      <c r="W118" s="15"/>
      <c r="X118" s="14"/>
      <c r="Y118" s="15"/>
      <c r="Z118" s="12"/>
    </row>
    <row r="119" spans="2:26" x14ac:dyDescent="0.3">
      <c r="B119" s="58">
        <f>MAX(B$18:B118)+1</f>
        <v>58</v>
      </c>
      <c r="D119" s="10" t="s">
        <v>54</v>
      </c>
      <c r="F119" s="44" t="s">
        <v>36</v>
      </c>
      <c r="H119" s="12">
        <v>1009730.1449434098</v>
      </c>
      <c r="I119" s="15"/>
      <c r="J119" s="12"/>
      <c r="K119" s="15"/>
      <c r="L119" s="12"/>
      <c r="M119" s="15"/>
      <c r="N119" s="12"/>
      <c r="O119" s="15"/>
      <c r="P119" s="12">
        <v>63.080000782478805</v>
      </c>
      <c r="Q119" s="15"/>
      <c r="R119" s="12">
        <f>T119-P119</f>
        <v>0</v>
      </c>
      <c r="S119" s="64"/>
      <c r="T119" s="12">
        <f>$H119*V119/100</f>
        <v>63.080000782478812</v>
      </c>
      <c r="U119" s="15"/>
      <c r="V119" s="25">
        <v>6.2472137826502265E-3</v>
      </c>
      <c r="W119" s="15"/>
      <c r="X119" s="14">
        <f>T119/P119</f>
        <v>1.0000000000000002</v>
      </c>
      <c r="Y119" s="15"/>
      <c r="Z119" s="12"/>
    </row>
    <row r="120" spans="2:26" x14ac:dyDescent="0.3">
      <c r="B120" s="58"/>
      <c r="D120" s="32"/>
      <c r="F120" s="44"/>
      <c r="H120" s="12"/>
      <c r="I120" s="15"/>
      <c r="J120" s="12"/>
      <c r="K120" s="15"/>
      <c r="L120" s="12"/>
      <c r="M120" s="15"/>
      <c r="N120" s="12"/>
      <c r="O120" s="15"/>
      <c r="P120" s="12"/>
      <c r="Q120" s="15"/>
      <c r="R120" s="12"/>
      <c r="S120" s="64"/>
      <c r="T120" s="12"/>
      <c r="U120" s="15"/>
      <c r="V120" s="25"/>
      <c r="W120" s="15"/>
      <c r="X120" s="14"/>
      <c r="Y120" s="15"/>
      <c r="Z120" s="12"/>
    </row>
    <row r="121" spans="2:26" x14ac:dyDescent="0.3">
      <c r="B121" s="58">
        <f>MAX(B$18:B120)+1</f>
        <v>59</v>
      </c>
      <c r="D121" s="10" t="s">
        <v>55</v>
      </c>
      <c r="F121" s="44"/>
      <c r="H121" s="12"/>
      <c r="I121" s="15"/>
      <c r="J121" s="15"/>
      <c r="K121" s="15"/>
      <c r="L121" s="15"/>
      <c r="M121" s="15"/>
      <c r="N121" s="15"/>
      <c r="O121" s="15"/>
      <c r="P121" s="12">
        <v>611.47065825243101</v>
      </c>
      <c r="Q121" s="15"/>
      <c r="R121" s="12">
        <f t="shared" ref="R121" si="25">T121-P121</f>
        <v>0</v>
      </c>
      <c r="S121" s="15"/>
      <c r="T121" s="12">
        <v>611.47065825243101</v>
      </c>
      <c r="U121" s="15"/>
      <c r="V121" s="78">
        <v>4.2462810021565781E-3</v>
      </c>
      <c r="W121" s="64"/>
      <c r="X121" s="14"/>
      <c r="Y121" s="15"/>
      <c r="Z121" s="15"/>
    </row>
    <row r="122" spans="2:26" x14ac:dyDescent="0.3">
      <c r="B122" s="58"/>
      <c r="D122" s="10"/>
      <c r="F122" s="44"/>
      <c r="H122" s="12"/>
      <c r="I122" s="15"/>
      <c r="J122" s="15"/>
      <c r="K122" s="15"/>
      <c r="L122" s="15"/>
      <c r="M122" s="15"/>
      <c r="N122" s="15"/>
      <c r="O122" s="15"/>
      <c r="P122" s="12"/>
      <c r="Q122" s="15"/>
      <c r="R122" s="12"/>
      <c r="S122" s="15"/>
      <c r="T122" s="12"/>
      <c r="U122" s="15"/>
      <c r="V122" s="78"/>
      <c r="W122" s="64"/>
      <c r="X122" s="14"/>
      <c r="Y122" s="15"/>
      <c r="Z122" s="15"/>
    </row>
    <row r="123" spans="2:26" x14ac:dyDescent="0.3">
      <c r="B123" s="58">
        <f>MAX(B$18:B122)+1</f>
        <v>60</v>
      </c>
      <c r="D123" s="10" t="s">
        <v>79</v>
      </c>
      <c r="F123" s="44" t="s">
        <v>38</v>
      </c>
      <c r="H123" s="12">
        <v>62520</v>
      </c>
      <c r="I123" s="15"/>
      <c r="J123" s="12"/>
      <c r="K123" s="15"/>
      <c r="L123" s="12"/>
      <c r="M123" s="15"/>
      <c r="N123" s="12"/>
      <c r="O123" s="15"/>
      <c r="P123" s="12">
        <v>8454.0246459475165</v>
      </c>
      <c r="Q123" s="15"/>
      <c r="R123" s="12">
        <f>T123-P123</f>
        <v>726.53623310778858</v>
      </c>
      <c r="S123" s="64"/>
      <c r="T123" s="12">
        <f>$H123*V123/100</f>
        <v>9180.5608790553051</v>
      </c>
      <c r="U123" s="15"/>
      <c r="V123" s="25">
        <v>14.684198462980333</v>
      </c>
      <c r="W123" s="15"/>
      <c r="X123" s="14">
        <f>T123/P123</f>
        <v>1.0859396871354117</v>
      </c>
      <c r="Y123" s="15"/>
      <c r="Z123" s="12"/>
    </row>
    <row r="124" spans="2:26" x14ac:dyDescent="0.3">
      <c r="B124" s="58"/>
      <c r="D124" s="10"/>
      <c r="F124" s="44"/>
      <c r="H124" s="12"/>
      <c r="I124" s="15"/>
      <c r="J124" s="12"/>
      <c r="K124" s="15"/>
      <c r="L124" s="12"/>
      <c r="M124" s="15"/>
      <c r="N124" s="12"/>
      <c r="O124" s="15"/>
      <c r="P124" s="12"/>
      <c r="Q124" s="15"/>
      <c r="R124" s="12"/>
      <c r="S124" s="64"/>
      <c r="T124" s="12"/>
      <c r="U124" s="15"/>
      <c r="V124" s="25"/>
      <c r="W124" s="15"/>
      <c r="X124" s="14"/>
      <c r="Y124" s="15"/>
      <c r="Z124" s="12"/>
    </row>
    <row r="125" spans="2:26" x14ac:dyDescent="0.3">
      <c r="B125" s="58">
        <f>MAX(B$18:B124)+1</f>
        <v>61</v>
      </c>
      <c r="D125" s="10" t="s">
        <v>80</v>
      </c>
      <c r="F125" s="44" t="s">
        <v>38</v>
      </c>
      <c r="H125" s="12">
        <v>141702.81599999999</v>
      </c>
      <c r="I125" s="15"/>
      <c r="J125" s="12"/>
      <c r="K125" s="15"/>
      <c r="L125" s="12"/>
      <c r="M125" s="15"/>
      <c r="N125" s="12"/>
      <c r="O125" s="15"/>
      <c r="P125" s="12">
        <v>1223.9580301865772</v>
      </c>
      <c r="Q125" s="15"/>
      <c r="R125" s="12">
        <f>T125-P125</f>
        <v>0</v>
      </c>
      <c r="S125" s="64"/>
      <c r="T125" s="12">
        <f>$H125*V125/100</f>
        <v>1223.9580301865772</v>
      </c>
      <c r="U125" s="15"/>
      <c r="V125" s="25">
        <v>0.86374996964532957</v>
      </c>
      <c r="W125" s="15"/>
      <c r="X125" s="14">
        <f>T125/P125</f>
        <v>1</v>
      </c>
      <c r="Y125" s="15"/>
      <c r="Z125" s="12"/>
    </row>
    <row r="126" spans="2:26" x14ac:dyDescent="0.3">
      <c r="B126" s="58"/>
      <c r="D126" s="32"/>
      <c r="F126" s="44"/>
      <c r="H126" s="12"/>
      <c r="I126" s="15"/>
      <c r="J126" s="12"/>
      <c r="K126" s="15"/>
      <c r="L126" s="12"/>
      <c r="M126" s="15"/>
      <c r="N126" s="12"/>
      <c r="O126" s="15"/>
      <c r="P126" s="12"/>
      <c r="Q126" s="15"/>
      <c r="R126" s="12"/>
      <c r="S126" s="64"/>
      <c r="T126" s="12"/>
      <c r="U126" s="15"/>
      <c r="V126" s="25"/>
      <c r="W126" s="15"/>
      <c r="X126" s="14"/>
      <c r="Y126" s="15"/>
      <c r="Z126" s="12"/>
    </row>
    <row r="127" spans="2:26" x14ac:dyDescent="0.3">
      <c r="B127" s="58">
        <f>MAX(B$18:B126)+1</f>
        <v>62</v>
      </c>
      <c r="D127" s="10" t="s">
        <v>61</v>
      </c>
      <c r="F127" s="44" t="s">
        <v>36</v>
      </c>
      <c r="H127" s="12">
        <v>0</v>
      </c>
      <c r="I127" s="15"/>
      <c r="J127" s="12"/>
      <c r="K127" s="15"/>
      <c r="L127" s="12"/>
      <c r="M127" s="15"/>
      <c r="N127" s="12"/>
      <c r="O127" s="15"/>
      <c r="P127" s="12">
        <v>0</v>
      </c>
      <c r="Q127" s="15"/>
      <c r="R127" s="12">
        <f>T127-P127</f>
        <v>0</v>
      </c>
      <c r="S127" s="15"/>
      <c r="T127" s="12">
        <f>$H127*V127/100</f>
        <v>0</v>
      </c>
      <c r="U127" s="15"/>
      <c r="V127" s="25">
        <v>6.2472137826502265E-3</v>
      </c>
      <c r="W127" s="15"/>
      <c r="X127" s="14"/>
      <c r="Y127" s="15"/>
      <c r="Z127" s="12"/>
    </row>
    <row r="128" spans="2:26" x14ac:dyDescent="0.3">
      <c r="B128" s="58"/>
      <c r="D128" s="10"/>
      <c r="F128" s="44"/>
      <c r="H128" s="12"/>
      <c r="I128" s="15"/>
      <c r="J128" s="12"/>
      <c r="K128" s="15"/>
      <c r="L128" s="12"/>
      <c r="M128" s="15"/>
      <c r="N128" s="12"/>
      <c r="O128" s="15"/>
      <c r="P128" s="12"/>
      <c r="Q128" s="15"/>
      <c r="R128" s="12"/>
      <c r="S128" s="15"/>
      <c r="T128" s="12"/>
      <c r="U128" s="15"/>
      <c r="V128" s="25"/>
      <c r="W128" s="15"/>
      <c r="X128" s="14"/>
      <c r="Y128" s="15"/>
      <c r="Z128" s="12"/>
    </row>
    <row r="129" spans="2:26" x14ac:dyDescent="0.3">
      <c r="B129" s="58">
        <f>MAX(B$18:B127)+1</f>
        <v>63</v>
      </c>
      <c r="D129" s="10" t="s">
        <v>81</v>
      </c>
      <c r="F129" s="44" t="s">
        <v>38</v>
      </c>
      <c r="H129" s="12">
        <v>0</v>
      </c>
      <c r="I129" s="15"/>
      <c r="J129" s="12"/>
      <c r="K129" s="15"/>
      <c r="L129" s="12"/>
      <c r="M129" s="15"/>
      <c r="N129" s="12"/>
      <c r="O129" s="15"/>
      <c r="P129" s="12">
        <v>0</v>
      </c>
      <c r="Q129" s="15"/>
      <c r="R129" s="12">
        <f>T129-P129</f>
        <v>0</v>
      </c>
      <c r="S129" s="64"/>
      <c r="T129" s="12">
        <f>$H129*V129/100</f>
        <v>0</v>
      </c>
      <c r="U129" s="15"/>
      <c r="V129" s="77">
        <v>0</v>
      </c>
      <c r="W129" s="15"/>
      <c r="X129" s="14" t="str">
        <f>IFERROR(T129/P129,"-")</f>
        <v>-</v>
      </c>
      <c r="Y129" s="15"/>
      <c r="Z129" s="12"/>
    </row>
    <row r="130" spans="2:26" x14ac:dyDescent="0.3">
      <c r="B130" s="58">
        <f>MAX(B$18:B129)+1</f>
        <v>64</v>
      </c>
      <c r="D130" s="10" t="s">
        <v>82</v>
      </c>
      <c r="H130" s="12">
        <v>0</v>
      </c>
      <c r="I130" s="15"/>
      <c r="J130" s="12"/>
      <c r="K130" s="15"/>
      <c r="L130" s="12"/>
      <c r="M130" s="15"/>
      <c r="N130" s="12"/>
      <c r="O130" s="15"/>
      <c r="P130" s="12">
        <v>0</v>
      </c>
      <c r="Q130" s="15"/>
      <c r="R130" s="12">
        <f>T130-P130</f>
        <v>0</v>
      </c>
      <c r="S130" s="64"/>
      <c r="T130" s="12">
        <v>0</v>
      </c>
      <c r="U130" s="15"/>
      <c r="V130" s="77">
        <v>0</v>
      </c>
      <c r="W130" s="15"/>
      <c r="X130" s="14" t="str">
        <f>IFERROR(T130/P130,"-")</f>
        <v>-</v>
      </c>
      <c r="Y130" s="15"/>
      <c r="Z130" s="12"/>
    </row>
    <row r="131" spans="2:26" x14ac:dyDescent="0.3">
      <c r="B131" s="58"/>
      <c r="D131" s="10"/>
      <c r="F131" s="44"/>
      <c r="H131" s="12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2:26" ht="12.9" thickBot="1" x14ac:dyDescent="0.35">
      <c r="B132" s="58">
        <f>MAX(B$18:B131)+1</f>
        <v>65</v>
      </c>
      <c r="D132" s="23" t="s">
        <v>83</v>
      </c>
      <c r="H132" s="69">
        <f>SUM(H119:H119)</f>
        <v>1009730.1449434098</v>
      </c>
      <c r="I132" s="63"/>
      <c r="J132" s="69">
        <v>18856.815072511035</v>
      </c>
      <c r="K132" s="64"/>
      <c r="L132" s="24">
        <f>J132/$H132*100</f>
        <v>1.8675103607576122</v>
      </c>
      <c r="M132" s="64"/>
      <c r="N132" s="69">
        <f>J132-P132</f>
        <v>7221.5092485602945</v>
      </c>
      <c r="O132" s="13"/>
      <c r="P132" s="69">
        <f>SUM(P117:P130)</f>
        <v>11635.305823950741</v>
      </c>
      <c r="Q132" s="13"/>
      <c r="R132" s="69">
        <f>SUM(R117:R130)</f>
        <v>-25.43415547770303</v>
      </c>
      <c r="S132" s="64"/>
      <c r="T132" s="69">
        <f>SUM(T117:T130)</f>
        <v>11609.871668473037</v>
      </c>
      <c r="U132" s="64"/>
      <c r="V132" s="24">
        <f>T132/$H132*100</f>
        <v>1.1497994515280825</v>
      </c>
      <c r="W132" s="64"/>
      <c r="X132" s="70">
        <f t="shared" ref="X132" si="26">T132/P132</f>
        <v>0.99781405354852393</v>
      </c>
      <c r="Y132" s="15"/>
      <c r="Z132" s="71">
        <f>V132/L132-1</f>
        <v>-0.38431428510970533</v>
      </c>
    </row>
    <row r="133" spans="2:26" ht="12.9" thickTop="1" x14ac:dyDescent="0.3">
      <c r="B133" s="58"/>
      <c r="D133" s="10"/>
    </row>
    <row r="134" spans="2:26" x14ac:dyDescent="0.3">
      <c r="B134" s="58"/>
      <c r="D134" s="10"/>
    </row>
    <row r="135" spans="2:26" x14ac:dyDescent="0.3">
      <c r="B135" s="58"/>
      <c r="D135" s="35" t="s">
        <v>84</v>
      </c>
    </row>
    <row r="136" spans="2:26" x14ac:dyDescent="0.3">
      <c r="B136" s="58">
        <f>MAX(B$18:B135)+1</f>
        <v>66</v>
      </c>
      <c r="D136" s="10" t="s">
        <v>33</v>
      </c>
      <c r="F136" s="44" t="s">
        <v>34</v>
      </c>
      <c r="H136" s="12">
        <v>52.777663606557027</v>
      </c>
      <c r="I136" s="15"/>
      <c r="J136" s="12"/>
      <c r="K136" s="15"/>
      <c r="L136" s="12"/>
      <c r="M136" s="15"/>
      <c r="N136" s="12"/>
      <c r="O136" s="15"/>
      <c r="P136" s="12">
        <v>154.4395629862527</v>
      </c>
      <c r="Q136" s="15"/>
      <c r="R136" s="12">
        <f>T136-P136</f>
        <v>-128.05073118297418</v>
      </c>
      <c r="S136" s="15"/>
      <c r="T136" s="12">
        <f>$H136*V136/1000</f>
        <v>26.388831803278514</v>
      </c>
      <c r="U136" s="15"/>
      <c r="V136" s="76">
        <v>500</v>
      </c>
      <c r="W136" s="15"/>
      <c r="X136" s="14">
        <f>IFERROR(T136/P136,"-")</f>
        <v>0.1708683402945623</v>
      </c>
      <c r="Y136" s="15"/>
      <c r="Z136" s="12"/>
    </row>
    <row r="137" spans="2:26" x14ac:dyDescent="0.3">
      <c r="B137" s="58">
        <f>MAX(B$18:B136)+1</f>
        <v>67</v>
      </c>
      <c r="D137" s="10" t="s">
        <v>85</v>
      </c>
      <c r="F137" s="44" t="s">
        <v>36</v>
      </c>
      <c r="H137" s="12">
        <v>43599.897200360007</v>
      </c>
      <c r="I137" s="15"/>
      <c r="J137" s="12"/>
      <c r="K137" s="15"/>
      <c r="L137" s="12"/>
      <c r="M137" s="15"/>
      <c r="N137" s="12"/>
      <c r="O137" s="15"/>
      <c r="P137" s="12">
        <v>72.931421268826938</v>
      </c>
      <c r="Q137" s="15"/>
      <c r="R137" s="12">
        <f>T137-P137</f>
        <v>0</v>
      </c>
      <c r="S137" s="15"/>
      <c r="T137" s="12">
        <f>$H137*V137/100</f>
        <v>72.931421268826938</v>
      </c>
      <c r="U137" s="15"/>
      <c r="V137" s="25">
        <v>0.16727429639037025</v>
      </c>
      <c r="W137" s="15"/>
      <c r="X137" s="14">
        <f>T137/P137</f>
        <v>1</v>
      </c>
      <c r="Y137" s="15"/>
      <c r="Z137" s="12"/>
    </row>
    <row r="138" spans="2:26" x14ac:dyDescent="0.3">
      <c r="B138" s="58">
        <f>MAX(B$18:B137)+1</f>
        <v>68</v>
      </c>
      <c r="D138" s="10" t="s">
        <v>86</v>
      </c>
      <c r="F138" s="44" t="s">
        <v>38</v>
      </c>
      <c r="H138" s="12">
        <v>8599.0560000000005</v>
      </c>
      <c r="I138" s="15"/>
      <c r="J138" s="12"/>
      <c r="K138" s="15"/>
      <c r="L138" s="12"/>
      <c r="M138" s="15"/>
      <c r="N138" s="12"/>
      <c r="O138" s="15"/>
      <c r="P138" s="12">
        <v>275.61327197119641</v>
      </c>
      <c r="Q138" s="15"/>
      <c r="R138" s="12">
        <f>T138-P138</f>
        <v>427.52109394372161</v>
      </c>
      <c r="S138" s="15"/>
      <c r="T138" s="12">
        <f>$H138*V138/100</f>
        <v>703.13436591491802</v>
      </c>
      <c r="U138" s="15"/>
      <c r="V138" s="25">
        <v>8.1768785540519566</v>
      </c>
      <c r="W138" s="15"/>
      <c r="X138" s="14">
        <f>T138/P138</f>
        <v>2.5511629425030034</v>
      </c>
      <c r="Y138" s="15"/>
      <c r="Z138" s="12"/>
    </row>
    <row r="139" spans="2:26" x14ac:dyDescent="0.3">
      <c r="B139" s="58">
        <f>MAX(B$18:B138)+1</f>
        <v>69</v>
      </c>
      <c r="D139" s="10" t="s">
        <v>87</v>
      </c>
      <c r="F139" s="44" t="s">
        <v>38</v>
      </c>
      <c r="H139" s="12">
        <v>0</v>
      </c>
      <c r="I139" s="15"/>
      <c r="J139" s="12"/>
      <c r="K139" s="15"/>
      <c r="L139" s="12"/>
      <c r="M139" s="15"/>
      <c r="N139" s="12"/>
      <c r="O139" s="15"/>
      <c r="P139" s="12">
        <v>0</v>
      </c>
      <c r="Q139" s="15"/>
      <c r="R139" s="12">
        <f>T139-P139</f>
        <v>0</v>
      </c>
      <c r="S139" s="15"/>
      <c r="T139" s="12">
        <f>$H139*V139/100</f>
        <v>0</v>
      </c>
      <c r="U139" s="15"/>
      <c r="V139" s="25">
        <v>67.74033483847326</v>
      </c>
      <c r="W139" s="15"/>
      <c r="X139" s="14" t="str">
        <f>IFERROR(T139/P139,"-")</f>
        <v>-</v>
      </c>
      <c r="Y139" s="15"/>
      <c r="Z139" s="12"/>
    </row>
    <row r="140" spans="2:26" x14ac:dyDescent="0.3">
      <c r="B140" s="58">
        <f>MAX(B$18:B139)+1</f>
        <v>70</v>
      </c>
      <c r="C140" s="60"/>
      <c r="D140" s="10" t="s">
        <v>39</v>
      </c>
      <c r="E140" s="58"/>
      <c r="F140" s="11"/>
      <c r="G140" s="58"/>
      <c r="H140" s="67">
        <f>SUM(H137:H137)</f>
        <v>43599.897200360007</v>
      </c>
      <c r="I140" s="63"/>
      <c r="J140" s="12"/>
      <c r="K140" s="63"/>
      <c r="L140" s="12"/>
      <c r="M140" s="64"/>
      <c r="N140" s="12"/>
      <c r="O140" s="13"/>
      <c r="P140" s="67">
        <f>SUM(P136:P139)</f>
        <v>502.98425622627605</v>
      </c>
      <c r="Q140" s="13"/>
      <c r="R140" s="67">
        <f>SUM(R136:R139)</f>
        <v>299.47036276074743</v>
      </c>
      <c r="S140" s="64"/>
      <c r="T140" s="67">
        <f>SUM(T136:T139)</f>
        <v>802.45461898702342</v>
      </c>
      <c r="U140" s="64"/>
      <c r="V140" s="19">
        <f>T140/$H140*100</f>
        <v>1.8404965848873549</v>
      </c>
      <c r="W140" s="64"/>
      <c r="X140" s="68">
        <f t="shared" ref="X140" si="27">T140/P140</f>
        <v>1.595387149903208</v>
      </c>
      <c r="Y140" s="15"/>
      <c r="Z140" s="12"/>
    </row>
    <row r="141" spans="2:26" x14ac:dyDescent="0.3">
      <c r="B141" s="58"/>
      <c r="C141" s="60"/>
      <c r="D141" s="10"/>
      <c r="E141" s="58"/>
      <c r="F141" s="11"/>
      <c r="G141" s="58"/>
      <c r="H141" s="64"/>
      <c r="I141" s="63"/>
      <c r="J141" s="12"/>
      <c r="K141" s="63"/>
      <c r="L141" s="12"/>
      <c r="M141" s="64"/>
      <c r="N141" s="12"/>
      <c r="O141" s="13"/>
      <c r="P141" s="64"/>
      <c r="Q141" s="13"/>
      <c r="R141" s="64"/>
      <c r="S141" s="64"/>
      <c r="T141" s="64"/>
      <c r="U141" s="64"/>
      <c r="V141" s="25"/>
      <c r="W141" s="64"/>
      <c r="X141" s="72"/>
      <c r="Y141" s="15"/>
      <c r="Z141" s="12"/>
    </row>
    <row r="142" spans="2:26" x14ac:dyDescent="0.3">
      <c r="B142" s="58">
        <f>MAX(B$18:B141)+1</f>
        <v>71</v>
      </c>
      <c r="C142" s="60"/>
      <c r="D142" s="10" t="s">
        <v>61</v>
      </c>
      <c r="E142" s="58"/>
      <c r="F142" s="11"/>
      <c r="G142" s="58"/>
      <c r="H142" s="64"/>
      <c r="I142" s="63"/>
      <c r="J142" s="12"/>
      <c r="K142" s="63"/>
      <c r="L142" s="12"/>
      <c r="M142" s="64"/>
      <c r="N142" s="12"/>
      <c r="O142" s="13"/>
      <c r="P142" s="64"/>
      <c r="Q142" s="13"/>
      <c r="R142" s="64"/>
      <c r="S142" s="64"/>
      <c r="T142" s="64"/>
      <c r="U142" s="64"/>
      <c r="V142" s="25">
        <v>2.3603435803430286</v>
      </c>
      <c r="W142" s="64"/>
      <c r="X142" s="72"/>
      <c r="Y142" s="15"/>
      <c r="Z142" s="12"/>
    </row>
    <row r="143" spans="2:26" x14ac:dyDescent="0.3">
      <c r="B143" s="58"/>
      <c r="C143" s="60"/>
      <c r="D143" s="10"/>
      <c r="E143" s="58"/>
      <c r="F143" s="11"/>
      <c r="G143" s="58"/>
      <c r="H143" s="64"/>
      <c r="I143" s="63"/>
      <c r="J143" s="12"/>
      <c r="K143" s="63"/>
      <c r="L143" s="12"/>
      <c r="M143" s="64"/>
      <c r="N143" s="12"/>
      <c r="O143" s="13"/>
      <c r="P143" s="64"/>
      <c r="Q143" s="13"/>
      <c r="R143" s="64"/>
      <c r="S143" s="64"/>
      <c r="T143" s="64"/>
      <c r="U143" s="64"/>
      <c r="V143" s="25"/>
      <c r="W143" s="64"/>
      <c r="X143" s="72"/>
      <c r="Y143" s="15"/>
      <c r="Z143" s="12"/>
    </row>
    <row r="144" spans="2:26" x14ac:dyDescent="0.3">
      <c r="B144" s="58"/>
      <c r="C144" s="60"/>
      <c r="D144" s="10" t="s">
        <v>40</v>
      </c>
      <c r="E144" s="58"/>
      <c r="Y144" s="15"/>
      <c r="Z144" s="18"/>
    </row>
    <row r="145" spans="2:26" x14ac:dyDescent="0.3">
      <c r="B145" s="58">
        <f>MAX(B$18:B144)+1</f>
        <v>72</v>
      </c>
      <c r="D145" s="21" t="s">
        <v>41</v>
      </c>
      <c r="E145" s="58"/>
      <c r="F145" s="66" t="s">
        <v>36</v>
      </c>
      <c r="H145" s="12">
        <v>43599.897200360007</v>
      </c>
      <c r="I145" s="15"/>
      <c r="J145" s="12"/>
      <c r="K145" s="15"/>
      <c r="L145" s="12"/>
      <c r="M145" s="15"/>
      <c r="N145" s="12"/>
      <c r="O145" s="15"/>
      <c r="P145" s="12">
        <v>1568.0049792039395</v>
      </c>
      <c r="Q145" s="15"/>
      <c r="R145" s="12">
        <f>T145-P145</f>
        <v>0</v>
      </c>
      <c r="S145" s="15"/>
      <c r="T145" s="12">
        <f>$H145*V145/100</f>
        <v>1568.0049792039395</v>
      </c>
      <c r="U145" s="15"/>
      <c r="V145" s="25">
        <v>3.5963501748600275</v>
      </c>
      <c r="W145" s="15"/>
      <c r="X145" s="14">
        <f>T145/P145</f>
        <v>1</v>
      </c>
      <c r="Y145" s="15"/>
      <c r="Z145" s="12"/>
    </row>
    <row r="146" spans="2:26" x14ac:dyDescent="0.3">
      <c r="B146" s="58">
        <f>MAX(B$18:B145)+1</f>
        <v>73</v>
      </c>
      <c r="D146" s="21" t="s">
        <v>42</v>
      </c>
      <c r="E146" s="58"/>
      <c r="F146" s="66" t="s">
        <v>36</v>
      </c>
      <c r="H146" s="12">
        <v>0</v>
      </c>
      <c r="I146" s="15"/>
      <c r="J146" s="12"/>
      <c r="K146" s="15"/>
      <c r="L146" s="12"/>
      <c r="M146" s="15"/>
      <c r="N146" s="12"/>
      <c r="O146" s="15"/>
      <c r="P146" s="12">
        <v>0</v>
      </c>
      <c r="Q146" s="15"/>
      <c r="R146" s="12">
        <f>T146-P146</f>
        <v>0</v>
      </c>
      <c r="S146" s="15"/>
      <c r="T146" s="12">
        <f>$H146*V146/100</f>
        <v>0</v>
      </c>
      <c r="U146" s="15"/>
      <c r="V146" s="25">
        <v>6.1882556678658274</v>
      </c>
      <c r="W146" s="15"/>
      <c r="X146" s="12" t="str">
        <f>IFERROR(T146/P146,"-")</f>
        <v>-</v>
      </c>
      <c r="Y146" s="15"/>
      <c r="Z146" s="12"/>
    </row>
    <row r="147" spans="2:26" x14ac:dyDescent="0.3">
      <c r="B147" s="58">
        <f>MAX(B$18:B146)+1</f>
        <v>74</v>
      </c>
      <c r="C147" s="60"/>
      <c r="D147" s="10" t="s">
        <v>40</v>
      </c>
      <c r="E147" s="58"/>
      <c r="F147" s="11"/>
      <c r="G147" s="58"/>
      <c r="H147" s="67">
        <f>SUM(H145:H145)</f>
        <v>43599.897200360007</v>
      </c>
      <c r="I147" s="63"/>
      <c r="J147" s="12"/>
      <c r="K147" s="63"/>
      <c r="L147" s="12"/>
      <c r="M147" s="64"/>
      <c r="N147" s="12"/>
      <c r="O147" s="13"/>
      <c r="P147" s="67">
        <f>SUM(P145:P146)</f>
        <v>1568.0049792039395</v>
      </c>
      <c r="Q147" s="13"/>
      <c r="R147" s="67">
        <f>SUM(R145:R146)</f>
        <v>0</v>
      </c>
      <c r="S147" s="64"/>
      <c r="T147" s="67">
        <f>SUM(T145:T146)</f>
        <v>1568.0049792039395</v>
      </c>
      <c r="U147" s="64"/>
      <c r="V147" s="19">
        <f>T147/$H147*100</f>
        <v>3.5963501748600279</v>
      </c>
      <c r="W147" s="64"/>
      <c r="X147" s="68">
        <f t="shared" ref="X147" si="28">T147/P147</f>
        <v>1</v>
      </c>
      <c r="Y147" s="15"/>
      <c r="Z147" s="12"/>
    </row>
    <row r="148" spans="2:26" x14ac:dyDescent="0.3">
      <c r="B148" s="58"/>
      <c r="D148" s="36"/>
      <c r="F148" s="44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33"/>
      <c r="W148" s="15"/>
      <c r="X148" s="15"/>
      <c r="Y148" s="15"/>
      <c r="Z148" s="15"/>
    </row>
    <row r="149" spans="2:26" x14ac:dyDescent="0.3">
      <c r="B149" s="58">
        <f>MAX(B$18:B148)+1</f>
        <v>75</v>
      </c>
      <c r="D149" s="10" t="s">
        <v>44</v>
      </c>
      <c r="F149" s="44" t="s">
        <v>36</v>
      </c>
      <c r="H149" s="12">
        <v>5702.756940360001</v>
      </c>
      <c r="I149" s="15"/>
      <c r="J149" s="12"/>
      <c r="K149" s="15"/>
      <c r="L149" s="12"/>
      <c r="M149" s="15"/>
      <c r="N149" s="12"/>
      <c r="O149" s="15"/>
      <c r="P149" s="12">
        <v>645.74528087530234</v>
      </c>
      <c r="Q149" s="15"/>
      <c r="R149" s="12">
        <f>ROUND(T149,0)-ROUND(P149,0)</f>
        <v>0</v>
      </c>
      <c r="S149" s="15"/>
      <c r="T149" s="12">
        <f>$H149*V149/100</f>
        <v>646.28048914569831</v>
      </c>
      <c r="U149" s="15"/>
      <c r="V149" s="25">
        <v>11.332772830835399</v>
      </c>
      <c r="W149" s="15"/>
      <c r="X149" s="14">
        <f t="shared" ref="X149" si="29">T149/P149</f>
        <v>1.00082882258105</v>
      </c>
      <c r="Y149" s="15"/>
      <c r="Z149" s="12"/>
    </row>
    <row r="150" spans="2:26" x14ac:dyDescent="0.3">
      <c r="B150" s="58"/>
      <c r="D150" s="36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ht="12.9" thickBot="1" x14ac:dyDescent="0.35">
      <c r="B151" s="58">
        <f>MAX(B$18:B150)+1</f>
        <v>76</v>
      </c>
      <c r="D151" s="23" t="s">
        <v>88</v>
      </c>
      <c r="H151" s="69">
        <f>H140</f>
        <v>43599.897200360007</v>
      </c>
      <c r="I151" s="63"/>
      <c r="J151" s="69">
        <v>1420.8748884348875</v>
      </c>
      <c r="K151" s="64"/>
      <c r="L151" s="24">
        <f>J151/$H151*100</f>
        <v>3.2588950425854564</v>
      </c>
      <c r="M151" s="64"/>
      <c r="N151" s="69">
        <f>J151-P151</f>
        <v>-1295.8596278706304</v>
      </c>
      <c r="O151" s="13"/>
      <c r="P151" s="69">
        <f>SUM(P140,P147,P149:P149)</f>
        <v>2716.7345163055179</v>
      </c>
      <c r="Q151" s="13"/>
      <c r="R151" s="69">
        <f>R140</f>
        <v>299.47036276074743</v>
      </c>
      <c r="S151" s="64"/>
      <c r="T151" s="69">
        <f>SUM(T140,T147,T149:T149)</f>
        <v>3016.7400873366614</v>
      </c>
      <c r="U151" s="64"/>
      <c r="V151" s="24">
        <f>T151/$H151*100</f>
        <v>6.9191449545705623</v>
      </c>
      <c r="W151" s="64"/>
      <c r="X151" s="70">
        <f t="shared" ref="X151" si="30">T151/P151</f>
        <v>1.1104287405451456</v>
      </c>
      <c r="Y151" s="15"/>
      <c r="Z151" s="28">
        <f>V151/L151-1</f>
        <v>1.1231567338484254</v>
      </c>
    </row>
    <row r="152" spans="2:26" ht="12.9" thickTop="1" x14ac:dyDescent="0.3">
      <c r="B152" s="58"/>
    </row>
    <row r="153" spans="2:26" x14ac:dyDescent="0.3">
      <c r="B153" s="58"/>
      <c r="D153" s="60"/>
    </row>
    <row r="154" spans="2:26" x14ac:dyDescent="0.3">
      <c r="B154" s="58"/>
      <c r="D154" s="35" t="s">
        <v>89</v>
      </c>
      <c r="Y154" s="15"/>
      <c r="Z154" s="15"/>
    </row>
    <row r="155" spans="2:26" x14ac:dyDescent="0.3">
      <c r="B155" s="58">
        <f>MAX(B$18:B154)+1</f>
        <v>77</v>
      </c>
      <c r="D155" s="10" t="s">
        <v>33</v>
      </c>
      <c r="F155" s="44" t="s">
        <v>34</v>
      </c>
      <c r="H155" s="12">
        <v>96</v>
      </c>
      <c r="I155" s="15"/>
      <c r="J155" s="12"/>
      <c r="K155" s="15"/>
      <c r="L155" s="12"/>
      <c r="M155" s="15"/>
      <c r="N155" s="12"/>
      <c r="O155" s="15"/>
      <c r="P155" s="12">
        <v>337.76252530688464</v>
      </c>
      <c r="Q155" s="15"/>
      <c r="R155" s="12">
        <f>T155-P155</f>
        <v>-289.76252530688464</v>
      </c>
      <c r="S155" s="15"/>
      <c r="T155" s="12">
        <f>$H155*V155/1000</f>
        <v>48</v>
      </c>
      <c r="U155" s="15"/>
      <c r="V155" s="76">
        <v>500</v>
      </c>
      <c r="W155" s="15"/>
      <c r="X155" s="14">
        <f>IFERROR(T155/P155,"-")</f>
        <v>0.14211168025934229</v>
      </c>
      <c r="Y155" s="15"/>
      <c r="Z155" s="12"/>
    </row>
    <row r="156" spans="2:26" x14ac:dyDescent="0.3">
      <c r="B156" s="58">
        <f>MAX(B$18:B155)+1</f>
        <v>78</v>
      </c>
      <c r="D156" s="10" t="s">
        <v>85</v>
      </c>
      <c r="F156" s="44" t="s">
        <v>36</v>
      </c>
      <c r="H156" s="12">
        <v>8461.6675999999989</v>
      </c>
      <c r="I156" s="15"/>
      <c r="J156" s="12"/>
      <c r="K156" s="15"/>
      <c r="L156" s="12"/>
      <c r="M156" s="15"/>
      <c r="N156" s="12"/>
      <c r="O156" s="15"/>
      <c r="P156" s="12">
        <v>14.132809928670461</v>
      </c>
      <c r="Q156" s="15"/>
      <c r="R156" s="12">
        <f>T156-P156</f>
        <v>0</v>
      </c>
      <c r="S156" s="15"/>
      <c r="T156" s="12">
        <f>$H156*V156/100</f>
        <v>14.132809928670463</v>
      </c>
      <c r="U156" s="15"/>
      <c r="V156" s="25">
        <v>0.16702156828602513</v>
      </c>
      <c r="W156" s="15"/>
      <c r="X156" s="14">
        <f>IFERROR(T156/P156,"-")</f>
        <v>1.0000000000000002</v>
      </c>
      <c r="Y156" s="15"/>
      <c r="Z156" s="12"/>
    </row>
    <row r="157" spans="2:26" x14ac:dyDescent="0.3">
      <c r="B157" s="58">
        <f>MAX(B$18:B156)+1</f>
        <v>79</v>
      </c>
      <c r="D157" s="10" t="s">
        <v>90</v>
      </c>
      <c r="F157" s="44" t="s">
        <v>38</v>
      </c>
      <c r="H157" s="12">
        <v>1600.2</v>
      </c>
      <c r="I157" s="15"/>
      <c r="J157" s="12"/>
      <c r="K157" s="15"/>
      <c r="L157" s="12"/>
      <c r="M157" s="15"/>
      <c r="N157" s="12"/>
      <c r="O157" s="15"/>
      <c r="P157" s="12">
        <v>191.32017373094476</v>
      </c>
      <c r="Q157" s="15"/>
      <c r="R157" s="12">
        <f>T157-P157</f>
        <v>-10.280991859858062</v>
      </c>
      <c r="S157" s="15"/>
      <c r="T157" s="12">
        <f>$H157*V157/100</f>
        <v>181.0391818710867</v>
      </c>
      <c r="U157" s="15"/>
      <c r="V157" s="25">
        <v>11.31353467510853</v>
      </c>
      <c r="W157" s="15"/>
      <c r="X157" s="14">
        <f>IFERROR(T157/P157,"-")</f>
        <v>0.94626289711446576</v>
      </c>
      <c r="Y157" s="15"/>
      <c r="Z157" s="12"/>
    </row>
    <row r="158" spans="2:26" x14ac:dyDescent="0.3">
      <c r="B158" s="58">
        <f>MAX(B$18:B157)+1</f>
        <v>80</v>
      </c>
      <c r="C158" s="60"/>
      <c r="D158" s="10" t="s">
        <v>39</v>
      </c>
      <c r="E158" s="58"/>
      <c r="F158" s="11"/>
      <c r="G158" s="58"/>
      <c r="H158" s="67">
        <f>SUM(H156:H156)</f>
        <v>8461.6675999999989</v>
      </c>
      <c r="I158" s="63"/>
      <c r="J158" s="12"/>
      <c r="K158" s="63"/>
      <c r="L158" s="12"/>
      <c r="M158" s="64"/>
      <c r="N158" s="12"/>
      <c r="O158" s="13"/>
      <c r="P158" s="67">
        <f>SUM(P155:P157)</f>
        <v>543.21550896649978</v>
      </c>
      <c r="Q158" s="13"/>
      <c r="R158" s="67">
        <f>SUM(R155:R157)</f>
        <v>-300.04351716674273</v>
      </c>
      <c r="S158" s="64"/>
      <c r="T158" s="67">
        <f>SUM(T155:T157)</f>
        <v>243.17199179975717</v>
      </c>
      <c r="U158" s="64"/>
      <c r="V158" s="19">
        <f>T158/$H158*100</f>
        <v>2.8738069526597476</v>
      </c>
      <c r="W158" s="64"/>
      <c r="X158" s="68">
        <f t="shared" ref="X158" si="31">T158/P158</f>
        <v>0.44765288874466513</v>
      </c>
      <c r="Y158" s="15"/>
      <c r="Z158" s="12"/>
    </row>
    <row r="159" spans="2:26" x14ac:dyDescent="0.3">
      <c r="B159" s="58"/>
      <c r="C159" s="60"/>
      <c r="D159" s="10"/>
      <c r="E159" s="58"/>
      <c r="F159" s="11"/>
      <c r="G159" s="58"/>
      <c r="H159" s="64"/>
      <c r="I159" s="63"/>
      <c r="J159" s="12"/>
      <c r="K159" s="63"/>
      <c r="L159" s="12"/>
      <c r="M159" s="64"/>
      <c r="N159" s="12"/>
      <c r="O159" s="13"/>
      <c r="P159" s="64"/>
      <c r="Q159" s="13"/>
      <c r="R159" s="64"/>
      <c r="S159" s="64"/>
      <c r="T159" s="64"/>
      <c r="U159" s="64"/>
      <c r="V159" s="25"/>
      <c r="W159" s="64"/>
      <c r="X159" s="72"/>
      <c r="Y159" s="15"/>
      <c r="Z159" s="12"/>
    </row>
    <row r="160" spans="2:26" x14ac:dyDescent="0.3">
      <c r="B160" s="58"/>
      <c r="C160" s="60"/>
      <c r="D160" s="10" t="s">
        <v>40</v>
      </c>
      <c r="E160" s="58"/>
      <c r="F160" s="66"/>
      <c r="G160" s="58"/>
      <c r="H160" s="12"/>
      <c r="I160" s="63"/>
      <c r="J160" s="17"/>
      <c r="K160" s="63"/>
      <c r="L160" s="63"/>
      <c r="M160" s="64"/>
      <c r="N160" s="18"/>
      <c r="O160" s="13"/>
      <c r="P160" s="12"/>
      <c r="Q160" s="13"/>
      <c r="R160" s="12"/>
      <c r="S160" s="64"/>
      <c r="T160" s="12"/>
      <c r="U160" s="64"/>
      <c r="V160" s="20"/>
      <c r="W160" s="64"/>
      <c r="X160" s="14"/>
      <c r="Y160" s="15"/>
      <c r="Z160" s="18"/>
    </row>
    <row r="161" spans="2:26" x14ac:dyDescent="0.3">
      <c r="B161" s="58">
        <f>MAX(B$18:B160)+1</f>
        <v>81</v>
      </c>
      <c r="D161" s="21" t="s">
        <v>41</v>
      </c>
      <c r="E161" s="58"/>
      <c r="F161" s="66" t="s">
        <v>36</v>
      </c>
      <c r="H161" s="12">
        <v>8461.6675999999989</v>
      </c>
      <c r="I161" s="15"/>
      <c r="J161" s="12"/>
      <c r="K161" s="15"/>
      <c r="L161" s="12"/>
      <c r="M161" s="15"/>
      <c r="N161" s="12"/>
      <c r="O161" s="15"/>
      <c r="P161" s="12">
        <v>303.82597195976336</v>
      </c>
      <c r="Q161" s="15"/>
      <c r="R161" s="12">
        <f>T161-P161</f>
        <v>0</v>
      </c>
      <c r="S161" s="15"/>
      <c r="T161" s="12">
        <f>$H161*V161/100</f>
        <v>303.82597195976336</v>
      </c>
      <c r="U161" s="15"/>
      <c r="V161" s="25">
        <v>3.5906157783811246</v>
      </c>
      <c r="W161" s="15"/>
      <c r="X161" s="14">
        <f>IFERROR(T161/P161,"-")</f>
        <v>1</v>
      </c>
      <c r="Y161" s="15"/>
      <c r="Z161" s="12"/>
    </row>
    <row r="162" spans="2:26" x14ac:dyDescent="0.3">
      <c r="B162" s="58">
        <f>MAX(B$18:B161)+1</f>
        <v>82</v>
      </c>
      <c r="D162" s="21" t="s">
        <v>42</v>
      </c>
      <c r="E162" s="58"/>
      <c r="F162" s="66" t="s">
        <v>36</v>
      </c>
      <c r="H162" s="12">
        <v>0</v>
      </c>
      <c r="I162" s="15"/>
      <c r="J162" s="12"/>
      <c r="K162" s="15"/>
      <c r="L162" s="12"/>
      <c r="M162" s="15"/>
      <c r="N162" s="12"/>
      <c r="O162" s="15"/>
      <c r="P162" s="12">
        <v>0</v>
      </c>
      <c r="Q162" s="15"/>
      <c r="R162" s="12">
        <f>T162-P162</f>
        <v>0</v>
      </c>
      <c r="S162" s="15"/>
      <c r="T162" s="12">
        <f>$H162*V162/100</f>
        <v>0</v>
      </c>
      <c r="U162" s="15"/>
      <c r="V162" s="25">
        <v>6.182521271386924</v>
      </c>
      <c r="W162" s="15"/>
      <c r="X162" s="12" t="str">
        <f>IFERROR(T162/P162,"-")</f>
        <v>-</v>
      </c>
      <c r="Y162" s="15"/>
      <c r="Z162" s="12"/>
    </row>
    <row r="163" spans="2:26" x14ac:dyDescent="0.3">
      <c r="B163" s="58">
        <f>MAX(B$18:B162)+1</f>
        <v>83</v>
      </c>
      <c r="C163" s="60"/>
      <c r="D163" s="10" t="s">
        <v>40</v>
      </c>
      <c r="E163" s="58"/>
      <c r="F163" s="11"/>
      <c r="G163" s="58"/>
      <c r="H163" s="67">
        <f>SUM(H161:H162)</f>
        <v>8461.6675999999989</v>
      </c>
      <c r="I163" s="63"/>
      <c r="J163" s="12"/>
      <c r="K163" s="63"/>
      <c r="L163" s="12"/>
      <c r="M163" s="64"/>
      <c r="N163" s="12"/>
      <c r="O163" s="13"/>
      <c r="P163" s="67">
        <f>SUM(P161:P162)</f>
        <v>303.82597195976336</v>
      </c>
      <c r="Q163" s="13"/>
      <c r="R163" s="67">
        <f>SUM(R161:R162)</f>
        <v>0</v>
      </c>
      <c r="S163" s="64"/>
      <c r="T163" s="67">
        <f>SUM(T161:T162)</f>
        <v>303.82597195976336</v>
      </c>
      <c r="U163" s="64"/>
      <c r="V163" s="19">
        <f>T163/$H163*100</f>
        <v>3.5906157783811246</v>
      </c>
      <c r="W163" s="64"/>
      <c r="X163" s="68">
        <f t="shared" ref="X163" si="32">T163/P163</f>
        <v>1</v>
      </c>
      <c r="Y163" s="15"/>
      <c r="Z163" s="12"/>
    </row>
    <row r="164" spans="2:26" x14ac:dyDescent="0.3">
      <c r="B164" s="58"/>
      <c r="D164" s="36"/>
      <c r="F164" s="44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33"/>
      <c r="W164" s="15"/>
      <c r="X164" s="15"/>
      <c r="Y164" s="15"/>
      <c r="Z164" s="15"/>
    </row>
    <row r="165" spans="2:26" x14ac:dyDescent="0.3">
      <c r="B165" s="58">
        <f>MAX(B$18:B164)+1</f>
        <v>84</v>
      </c>
      <c r="D165" s="10" t="s">
        <v>44</v>
      </c>
      <c r="F165" s="66" t="s">
        <v>36</v>
      </c>
      <c r="H165" s="12">
        <v>489.30824999999999</v>
      </c>
      <c r="I165" s="15"/>
      <c r="J165" s="12"/>
      <c r="K165" s="15"/>
      <c r="L165" s="12"/>
      <c r="M165" s="15"/>
      <c r="N165" s="12"/>
      <c r="O165" s="15"/>
      <c r="P165" s="12">
        <v>55.406270446957947</v>
      </c>
      <c r="Q165" s="15"/>
      <c r="R165" s="12">
        <f>ROUND(T165-P165,0)</f>
        <v>0</v>
      </c>
      <c r="S165" s="15"/>
      <c r="T165" s="12">
        <f>$H165*V165/100</f>
        <v>55.452192415036151</v>
      </c>
      <c r="U165" s="15"/>
      <c r="V165" s="25">
        <v>11.332772830835399</v>
      </c>
      <c r="W165" s="15"/>
      <c r="X165" s="14">
        <f>IFERROR(T165/P165,"-")</f>
        <v>1.00082882258105</v>
      </c>
      <c r="Y165" s="15"/>
      <c r="Z165" s="12"/>
    </row>
    <row r="166" spans="2:26" x14ac:dyDescent="0.3">
      <c r="B166" s="58"/>
      <c r="D166" s="10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ht="12.9" thickBot="1" x14ac:dyDescent="0.35">
      <c r="B167" s="58">
        <f>MAX(B$18:B166)+1</f>
        <v>85</v>
      </c>
      <c r="D167" s="23" t="s">
        <v>91</v>
      </c>
      <c r="H167" s="69">
        <f>H158</f>
        <v>8461.6675999999989</v>
      </c>
      <c r="I167" s="63"/>
      <c r="J167" s="69">
        <v>385.62900370775321</v>
      </c>
      <c r="K167" s="64"/>
      <c r="L167" s="24">
        <f>J167/$H167*100</f>
        <v>4.5573641265198512</v>
      </c>
      <c r="M167" s="64"/>
      <c r="N167" s="69">
        <f>J167-P167</f>
        <v>-516.81874766546787</v>
      </c>
      <c r="O167" s="13"/>
      <c r="P167" s="69">
        <f>SUM(P158,P163,P165:P165)</f>
        <v>902.44775137322108</v>
      </c>
      <c r="Q167" s="13"/>
      <c r="R167" s="69">
        <f>SUM(R158,R163,R165:R165)</f>
        <v>-300.04351716674273</v>
      </c>
      <c r="S167" s="64"/>
      <c r="T167" s="69">
        <f>SUM(T158,T163,T165:T165)</f>
        <v>602.4501561745567</v>
      </c>
      <c r="U167" s="64"/>
      <c r="V167" s="24">
        <f>T167/$H167*100</f>
        <v>7.1197568216288341</v>
      </c>
      <c r="W167" s="64"/>
      <c r="X167" s="70">
        <f t="shared" ref="X167" si="33">T167/P167</f>
        <v>0.66757344705865884</v>
      </c>
      <c r="Y167" s="15"/>
      <c r="Z167" s="71">
        <f>V167/L167-1</f>
        <v>0.56225322883420947</v>
      </c>
    </row>
    <row r="168" spans="2:26" ht="12.9" thickTop="1" x14ac:dyDescent="0.3">
      <c r="B168" s="58"/>
      <c r="D168" s="10"/>
      <c r="H168" s="64"/>
      <c r="I168" s="63"/>
      <c r="J168" s="64"/>
      <c r="K168" s="64"/>
      <c r="L168" s="25"/>
      <c r="M168" s="64"/>
      <c r="N168" s="64"/>
      <c r="O168" s="13"/>
      <c r="P168" s="64"/>
      <c r="Q168" s="13"/>
      <c r="R168" s="64"/>
      <c r="S168" s="64"/>
      <c r="T168" s="64"/>
      <c r="U168" s="64"/>
      <c r="V168" s="25"/>
      <c r="W168" s="64"/>
      <c r="X168" s="72"/>
      <c r="Y168" s="15"/>
      <c r="Z168" s="37"/>
    </row>
    <row r="169" spans="2:26" x14ac:dyDescent="0.3">
      <c r="B169" s="58"/>
      <c r="D169" s="32"/>
    </row>
    <row r="170" spans="2:26" x14ac:dyDescent="0.3">
      <c r="B170" s="58"/>
      <c r="D170" s="35" t="s">
        <v>92</v>
      </c>
      <c r="V170" s="59" t="s">
        <v>93</v>
      </c>
    </row>
    <row r="171" spans="2:26" x14ac:dyDescent="0.3">
      <c r="B171" s="58"/>
      <c r="C171" s="60"/>
      <c r="D171" s="30" t="s">
        <v>64</v>
      </c>
      <c r="E171" s="58"/>
      <c r="Y171" s="15"/>
      <c r="Z171" s="63"/>
    </row>
    <row r="172" spans="2:26" x14ac:dyDescent="0.3">
      <c r="B172" s="58">
        <f>MAX(B$18:B171)+1</f>
        <v>86</v>
      </c>
      <c r="D172" s="21" t="s">
        <v>65</v>
      </c>
      <c r="F172" s="44" t="s">
        <v>172</v>
      </c>
      <c r="H172" s="12">
        <v>11791272</v>
      </c>
      <c r="I172" s="15"/>
      <c r="J172" s="12"/>
      <c r="K172" s="15"/>
      <c r="L172" s="12"/>
      <c r="M172" s="15"/>
      <c r="O172" s="15"/>
      <c r="P172" s="12">
        <v>175.99399502034854</v>
      </c>
      <c r="Q172" s="15"/>
      <c r="R172" s="12">
        <f>T172-P172</f>
        <v>0.27026665183362297</v>
      </c>
      <c r="S172" s="15"/>
      <c r="T172" s="12">
        <f>$H172*V172/1000</f>
        <v>176.26426167218216</v>
      </c>
      <c r="U172" s="15"/>
      <c r="V172" s="77">
        <v>1.4948706269534122E-2</v>
      </c>
      <c r="W172" s="15"/>
      <c r="X172" s="14">
        <f>T172/P172</f>
        <v>1.0015356583717665</v>
      </c>
      <c r="Y172" s="15"/>
      <c r="Z172" s="12"/>
    </row>
    <row r="173" spans="2:26" x14ac:dyDescent="0.3">
      <c r="B173" s="58"/>
      <c r="D173" s="21" t="s">
        <v>66</v>
      </c>
      <c r="Y173" s="15"/>
      <c r="Z173" s="15"/>
    </row>
    <row r="174" spans="2:26" x14ac:dyDescent="0.3">
      <c r="B174" s="58">
        <f>MAX(B$18:B173)+1</f>
        <v>87</v>
      </c>
      <c r="D174" s="32" t="s">
        <v>67</v>
      </c>
      <c r="F174" s="44" t="s">
        <v>172</v>
      </c>
      <c r="H174" s="12">
        <v>141504</v>
      </c>
      <c r="I174" s="15"/>
      <c r="J174" s="12"/>
      <c r="K174" s="15"/>
      <c r="L174" s="12"/>
      <c r="M174" s="15"/>
      <c r="N174" s="12"/>
      <c r="O174" s="15"/>
      <c r="P174" s="12">
        <v>338.90189341938037</v>
      </c>
      <c r="Q174" s="15"/>
      <c r="R174" s="12">
        <f>T174-P174</f>
        <v>25.228218694905991</v>
      </c>
      <c r="S174" s="15"/>
      <c r="T174" s="12">
        <f>$H174*V174/1000</f>
        <v>364.13011211428636</v>
      </c>
      <c r="U174" s="15"/>
      <c r="V174" s="77">
        <v>2.5732849397493101</v>
      </c>
      <c r="W174" s="15"/>
      <c r="X174" s="14">
        <f t="shared" ref="X174" si="34">T174/P174</f>
        <v>1.074441067414418</v>
      </c>
      <c r="Y174" s="15"/>
      <c r="Z174" s="12"/>
    </row>
    <row r="175" spans="2:26" x14ac:dyDescent="0.3">
      <c r="B175" s="58">
        <f>MAX(B$18:B174)+1</f>
        <v>88</v>
      </c>
      <c r="D175" s="21" t="s">
        <v>68</v>
      </c>
      <c r="F175" s="44" t="s">
        <v>172</v>
      </c>
      <c r="H175" s="12">
        <v>0</v>
      </c>
      <c r="I175" s="15"/>
      <c r="J175" s="12"/>
      <c r="K175" s="15"/>
      <c r="L175" s="12"/>
      <c r="M175" s="15"/>
      <c r="N175" s="12"/>
      <c r="O175" s="15"/>
      <c r="P175" s="12">
        <v>0</v>
      </c>
      <c r="Q175" s="15"/>
      <c r="R175" s="12">
        <f t="shared" ref="R175:R177" si="35">T175-P175</f>
        <v>0</v>
      </c>
      <c r="S175" s="15"/>
      <c r="T175" s="12">
        <f t="shared" ref="T175:T177" si="36">$H175*V175/1000</f>
        <v>0</v>
      </c>
      <c r="U175" s="15"/>
      <c r="V175" s="77">
        <v>2.3949986814463209</v>
      </c>
      <c r="W175" s="15"/>
      <c r="X175" s="14" t="str">
        <f>IFERROR(T175/P175,"-")</f>
        <v>-</v>
      </c>
      <c r="Y175" s="15"/>
      <c r="Z175" s="12"/>
    </row>
    <row r="176" spans="2:26" x14ac:dyDescent="0.3">
      <c r="B176" s="58">
        <f>MAX(B$18:B175)+1</f>
        <v>89</v>
      </c>
      <c r="D176" s="21" t="s">
        <v>69</v>
      </c>
      <c r="F176" s="44" t="s">
        <v>172</v>
      </c>
      <c r="H176" s="12">
        <v>0</v>
      </c>
      <c r="I176" s="15"/>
      <c r="J176" s="12"/>
      <c r="K176" s="15"/>
      <c r="L176" s="12"/>
      <c r="M176" s="15"/>
      <c r="N176" s="12"/>
      <c r="O176" s="15"/>
      <c r="P176" s="12">
        <v>0</v>
      </c>
      <c r="Q176" s="15"/>
      <c r="R176" s="12">
        <f t="shared" si="35"/>
        <v>0</v>
      </c>
      <c r="S176" s="15"/>
      <c r="T176" s="12">
        <f t="shared" si="36"/>
        <v>0</v>
      </c>
      <c r="U176" s="15"/>
      <c r="V176" s="77">
        <v>2.3949986814463209</v>
      </c>
      <c r="W176" s="15"/>
      <c r="X176" s="14" t="str">
        <f t="shared" ref="X176:X177" si="37">IFERROR(T176/P176,"-")</f>
        <v>-</v>
      </c>
      <c r="Y176" s="15"/>
      <c r="Z176" s="12"/>
    </row>
    <row r="177" spans="2:26" x14ac:dyDescent="0.3">
      <c r="B177" s="58">
        <f>MAX(B$18:B176)+1</f>
        <v>90</v>
      </c>
      <c r="D177" s="21" t="s">
        <v>70</v>
      </c>
      <c r="F177" s="44" t="s">
        <v>71</v>
      </c>
      <c r="H177" s="12">
        <v>522359</v>
      </c>
      <c r="I177" s="15"/>
      <c r="J177" s="12"/>
      <c r="K177" s="15"/>
      <c r="L177" s="12"/>
      <c r="M177" s="15"/>
      <c r="N177" s="12"/>
      <c r="O177" s="15"/>
      <c r="P177" s="12">
        <v>0</v>
      </c>
      <c r="Q177" s="15"/>
      <c r="R177" s="12">
        <f t="shared" si="35"/>
        <v>0</v>
      </c>
      <c r="S177" s="15"/>
      <c r="T177" s="12">
        <f t="shared" si="36"/>
        <v>0</v>
      </c>
      <c r="U177" s="15"/>
      <c r="V177" s="77">
        <v>0</v>
      </c>
      <c r="W177" s="15"/>
      <c r="X177" s="14" t="str">
        <f t="shared" si="37"/>
        <v>-</v>
      </c>
      <c r="Y177" s="15"/>
      <c r="Z177" s="12"/>
    </row>
    <row r="178" spans="2:26" x14ac:dyDescent="0.3">
      <c r="B178" s="58"/>
      <c r="D178" s="21"/>
      <c r="F178" s="44"/>
      <c r="H178" s="12"/>
      <c r="I178" s="15"/>
      <c r="J178" s="12"/>
      <c r="K178" s="15"/>
      <c r="L178" s="12"/>
      <c r="M178" s="15"/>
      <c r="N178" s="12"/>
      <c r="O178" s="15"/>
      <c r="P178" s="12"/>
      <c r="Q178" s="15"/>
      <c r="R178" s="12"/>
      <c r="S178" s="15"/>
      <c r="T178" s="12"/>
      <c r="U178" s="15"/>
      <c r="V178" s="77"/>
      <c r="W178" s="15"/>
      <c r="X178" s="14"/>
      <c r="Y178" s="15"/>
      <c r="Z178" s="12"/>
    </row>
    <row r="179" spans="2:26" x14ac:dyDescent="0.3">
      <c r="B179" s="58">
        <f>MAX(B$18:B178)+1</f>
        <v>91</v>
      </c>
      <c r="D179" s="21" t="s">
        <v>72</v>
      </c>
      <c r="H179" s="15"/>
      <c r="I179" s="15"/>
      <c r="J179" s="15"/>
      <c r="K179" s="15"/>
      <c r="L179" s="12"/>
      <c r="M179" s="15"/>
      <c r="N179" s="12"/>
      <c r="O179" s="15"/>
      <c r="P179" s="12">
        <v>15.221100155063281</v>
      </c>
      <c r="Q179" s="15"/>
      <c r="R179" s="12">
        <f>ROUND(T179-P179,0)</f>
        <v>0</v>
      </c>
      <c r="S179" s="15"/>
      <c r="T179" s="12">
        <v>15.232390203071921</v>
      </c>
      <c r="U179" s="15"/>
      <c r="V179" s="79">
        <v>7.9936318892803778E-3</v>
      </c>
      <c r="W179" s="64"/>
      <c r="X179" s="14">
        <f>T179/P179</f>
        <v>1.000741736661189</v>
      </c>
      <c r="Y179" s="15"/>
      <c r="Z179" s="12"/>
    </row>
    <row r="180" spans="2:26" x14ac:dyDescent="0.3">
      <c r="B180" s="58"/>
      <c r="D180" s="21"/>
      <c r="H180" s="15"/>
      <c r="I180" s="15"/>
      <c r="J180" s="15"/>
      <c r="K180" s="15"/>
      <c r="L180" s="12"/>
      <c r="M180" s="15"/>
      <c r="N180" s="12"/>
      <c r="O180" s="15"/>
      <c r="P180" s="12"/>
      <c r="Q180" s="15"/>
      <c r="R180" s="12"/>
      <c r="S180" s="15"/>
      <c r="T180" s="12"/>
      <c r="U180" s="15"/>
      <c r="V180" s="77"/>
      <c r="W180" s="15"/>
      <c r="X180" s="14"/>
      <c r="Y180" s="15"/>
      <c r="Z180" s="12"/>
    </row>
    <row r="181" spans="2:26" x14ac:dyDescent="0.3">
      <c r="B181" s="58">
        <f>MAX(B$18:B180)+1</f>
        <v>92</v>
      </c>
      <c r="D181" s="21" t="s">
        <v>94</v>
      </c>
      <c r="F181" s="44" t="s">
        <v>71</v>
      </c>
      <c r="H181" s="12">
        <v>141504</v>
      </c>
      <c r="I181" s="15"/>
      <c r="J181" s="12"/>
      <c r="K181" s="15"/>
      <c r="L181" s="12"/>
      <c r="M181" s="15"/>
      <c r="N181" s="12"/>
      <c r="O181" s="15"/>
      <c r="P181" s="12">
        <v>1987.4511055232326</v>
      </c>
      <c r="Q181" s="15"/>
      <c r="R181" s="12">
        <f>T181-P181</f>
        <v>188.74733226292415</v>
      </c>
      <c r="S181" s="15"/>
      <c r="T181" s="12">
        <f>$H181*V181/1000</f>
        <v>2176.1984377861568</v>
      </c>
      <c r="U181" s="15"/>
      <c r="V181" s="77">
        <v>15.379059516240932</v>
      </c>
      <c r="W181" s="15"/>
      <c r="X181" s="14">
        <f>IFERROR(T181/P181,"-")</f>
        <v>1.0949695475467975</v>
      </c>
      <c r="Y181" s="15"/>
      <c r="Z181" s="12"/>
    </row>
    <row r="182" spans="2:26" x14ac:dyDescent="0.3">
      <c r="B182" s="58">
        <f>MAX(B$18:B181)+1</f>
        <v>93</v>
      </c>
      <c r="D182" s="21" t="s">
        <v>54</v>
      </c>
      <c r="F182" s="44" t="s">
        <v>71</v>
      </c>
      <c r="H182" s="12">
        <v>522359</v>
      </c>
      <c r="I182" s="15"/>
      <c r="J182" s="12"/>
      <c r="K182" s="15"/>
      <c r="L182" s="12"/>
      <c r="M182" s="15"/>
      <c r="N182" s="12"/>
      <c r="O182" s="15"/>
      <c r="P182" s="12">
        <v>18.577907982422282</v>
      </c>
      <c r="Q182" s="15"/>
      <c r="R182" s="12">
        <f>T182-P182</f>
        <v>4.9817648832734243</v>
      </c>
      <c r="S182" s="15"/>
      <c r="T182" s="12">
        <f>$H182*V182/1000</f>
        <v>23.559672865695706</v>
      </c>
      <c r="U182" s="15"/>
      <c r="V182" s="77">
        <v>4.5102454185140306E-2</v>
      </c>
      <c r="W182" s="15"/>
      <c r="X182" s="14">
        <f t="shared" ref="X182" si="38">T182/P182</f>
        <v>1.2681553212550618</v>
      </c>
      <c r="Y182" s="15"/>
      <c r="Z182" s="12"/>
    </row>
    <row r="183" spans="2:26" x14ac:dyDescent="0.3">
      <c r="B183" s="58"/>
      <c r="D183" s="10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ht="12.9" thickBot="1" x14ac:dyDescent="0.35">
      <c r="B184" s="58">
        <f>MAX(B$18:B183)+1</f>
        <v>94</v>
      </c>
      <c r="D184" s="23" t="s">
        <v>95</v>
      </c>
      <c r="H184" s="69">
        <v>0</v>
      </c>
      <c r="I184" s="63"/>
      <c r="J184" s="69">
        <v>2692.0861500000001</v>
      </c>
      <c r="K184" s="64"/>
      <c r="L184" s="70" t="str">
        <f>IFERROR(J184/$H184*1000,"-")</f>
        <v>-</v>
      </c>
      <c r="M184" s="64"/>
      <c r="N184" s="69">
        <f>J184-P184</f>
        <v>155.94014789955281</v>
      </c>
      <c r="O184" s="13"/>
      <c r="P184" s="69">
        <f>SUM(P172:P182)</f>
        <v>2536.1460021004473</v>
      </c>
      <c r="Q184" s="13"/>
      <c r="R184" s="69">
        <f>SUM(R172:R182)</f>
        <v>219.22758249293719</v>
      </c>
      <c r="S184" s="64"/>
      <c r="T184" s="69">
        <f>SUM(T172:T182)</f>
        <v>2755.3848746413928</v>
      </c>
      <c r="U184" s="64"/>
      <c r="V184" s="69" t="str">
        <f>IFERROR(T184/$H184*1000,"-")</f>
        <v>-</v>
      </c>
      <c r="W184" s="64"/>
      <c r="X184" s="70">
        <f>T184/P184</f>
        <v>1.0864456826852125</v>
      </c>
      <c r="Y184" s="15"/>
      <c r="Z184" s="28" t="str">
        <f>IFERROR(V184/L184-1,"-")</f>
        <v>-</v>
      </c>
    </row>
    <row r="185" spans="2:26" ht="12.9" thickTop="1" x14ac:dyDescent="0.3">
      <c r="B185" s="58"/>
      <c r="D185" s="80"/>
      <c r="H185" s="15"/>
    </row>
    <row r="186" spans="2:26" x14ac:dyDescent="0.3">
      <c r="B186" s="58"/>
      <c r="D186" s="7"/>
    </row>
    <row r="187" spans="2:26" x14ac:dyDescent="0.3">
      <c r="B187" s="58"/>
      <c r="D187" s="35" t="s">
        <v>96</v>
      </c>
      <c r="F187" s="51"/>
      <c r="H187" s="12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3">
      <c r="B188" s="58">
        <f>MAX(B$18:B187)+1</f>
        <v>95</v>
      </c>
      <c r="D188" s="10" t="s">
        <v>33</v>
      </c>
      <c r="F188" s="44" t="s">
        <v>34</v>
      </c>
      <c r="H188" s="12">
        <v>12</v>
      </c>
      <c r="I188" s="15"/>
      <c r="J188" s="12"/>
      <c r="K188" s="15"/>
      <c r="L188" s="12"/>
      <c r="M188" s="15"/>
      <c r="N188" s="12"/>
      <c r="O188" s="15"/>
      <c r="P188" s="12">
        <v>32.123102354161759</v>
      </c>
      <c r="Q188" s="15"/>
      <c r="R188" s="12">
        <f>T188-P188</f>
        <v>-26.123102354161759</v>
      </c>
      <c r="S188" s="15"/>
      <c r="T188" s="12">
        <f>$H188*V188/1000</f>
        <v>6</v>
      </c>
      <c r="U188" s="15"/>
      <c r="V188" s="76">
        <v>500</v>
      </c>
      <c r="W188" s="15"/>
      <c r="X188" s="14">
        <f>IFERROR(T188/P188,"-")</f>
        <v>0.1867814613249103</v>
      </c>
      <c r="Y188" s="15"/>
      <c r="Z188" s="12"/>
    </row>
    <row r="189" spans="2:26" x14ac:dyDescent="0.3">
      <c r="B189" s="58">
        <f>MAX(B$18:B188)+1</f>
        <v>96</v>
      </c>
      <c r="D189" s="10" t="s">
        <v>85</v>
      </c>
      <c r="F189" s="44" t="s">
        <v>36</v>
      </c>
      <c r="H189" s="12">
        <v>188852.1</v>
      </c>
      <c r="I189" s="15"/>
      <c r="J189" s="12"/>
      <c r="K189" s="15"/>
      <c r="L189" s="12"/>
      <c r="M189" s="15"/>
      <c r="N189" s="12"/>
      <c r="O189" s="15"/>
      <c r="P189" s="12">
        <v>542.87075076914732</v>
      </c>
      <c r="Q189" s="15"/>
      <c r="R189" s="12">
        <f>T189-P189</f>
        <v>0</v>
      </c>
      <c r="S189" s="15"/>
      <c r="T189" s="12">
        <f>$H189*V189/100</f>
        <v>542.87075076914732</v>
      </c>
      <c r="U189" s="15"/>
      <c r="V189" s="25">
        <v>0.2874581488737204</v>
      </c>
      <c r="W189" s="15"/>
      <c r="X189" s="14">
        <f>IFERROR(T189/P189,"-")</f>
        <v>1</v>
      </c>
      <c r="Y189" s="15"/>
      <c r="Z189" s="12"/>
    </row>
    <row r="190" spans="2:26" x14ac:dyDescent="0.3">
      <c r="B190" s="58">
        <f>MAX(B$18:B189)+1</f>
        <v>97</v>
      </c>
      <c r="D190" s="10" t="s">
        <v>90</v>
      </c>
      <c r="F190" s="44" t="s">
        <v>38</v>
      </c>
      <c r="H190" s="12">
        <v>15025.2</v>
      </c>
      <c r="I190" s="15"/>
      <c r="J190" s="12"/>
      <c r="K190" s="15"/>
      <c r="L190" s="12"/>
      <c r="M190" s="15"/>
      <c r="N190" s="12"/>
      <c r="O190" s="15"/>
      <c r="P190" s="12">
        <v>4395.6583954290736</v>
      </c>
      <c r="Q190" s="15"/>
      <c r="R190" s="12">
        <f>T190-P190</f>
        <v>-92.339049864513981</v>
      </c>
      <c r="S190" s="15"/>
      <c r="T190" s="12">
        <f>$H190*V190/100</f>
        <v>4303.3193455645596</v>
      </c>
      <c r="U190" s="15"/>
      <c r="V190" s="25">
        <v>28.640679295879984</v>
      </c>
      <c r="W190" s="15"/>
      <c r="X190" s="14">
        <f>IFERROR(T190/P190,"-")</f>
        <v>0.97899312422445406</v>
      </c>
      <c r="Y190" s="15"/>
      <c r="Z190" s="12"/>
    </row>
    <row r="191" spans="2:26" x14ac:dyDescent="0.3">
      <c r="B191" s="58">
        <f>MAX(B$18:B190)+1</f>
        <v>98</v>
      </c>
      <c r="C191" s="60"/>
      <c r="D191" s="10" t="s">
        <v>39</v>
      </c>
      <c r="E191" s="58"/>
      <c r="F191" s="11"/>
      <c r="G191" s="58"/>
      <c r="H191" s="67">
        <f>SUM(H189:H189)</f>
        <v>188852.1</v>
      </c>
      <c r="I191" s="63"/>
      <c r="J191" s="12"/>
      <c r="K191" s="63"/>
      <c r="L191" s="12"/>
      <c r="M191" s="64"/>
      <c r="N191" s="12"/>
      <c r="O191" s="13"/>
      <c r="P191" s="67">
        <f>SUM(P188:P190)</f>
        <v>4970.6522485523828</v>
      </c>
      <c r="Q191" s="13"/>
      <c r="R191" s="67">
        <f>SUM(R188:R190)</f>
        <v>-118.46215221867574</v>
      </c>
      <c r="S191" s="64"/>
      <c r="T191" s="67">
        <f>SUM(T188:T190)</f>
        <v>4852.1900963337066</v>
      </c>
      <c r="U191" s="64"/>
      <c r="V191" s="19">
        <f>T191/$H191*100</f>
        <v>2.5693069318973456</v>
      </c>
      <c r="W191" s="64"/>
      <c r="X191" s="68">
        <f t="shared" ref="X191" si="39">T191/P191</f>
        <v>0.97616768458240544</v>
      </c>
      <c r="Y191" s="15"/>
      <c r="Z191" s="12"/>
    </row>
    <row r="192" spans="2:26" x14ac:dyDescent="0.3">
      <c r="B192" s="58"/>
      <c r="D192" s="10"/>
      <c r="F192" s="44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33"/>
      <c r="W192" s="15"/>
      <c r="X192" s="15"/>
      <c r="Y192" s="15"/>
      <c r="Z192" s="15"/>
    </row>
    <row r="193" spans="2:26" x14ac:dyDescent="0.3">
      <c r="B193" s="58"/>
      <c r="C193" s="60"/>
      <c r="D193" s="10" t="s">
        <v>40</v>
      </c>
      <c r="E193" s="58"/>
      <c r="Y193" s="15"/>
      <c r="Z193" s="18"/>
    </row>
    <row r="194" spans="2:26" x14ac:dyDescent="0.3">
      <c r="B194" s="58">
        <f>MAX(B$18:B193)+1</f>
        <v>99</v>
      </c>
      <c r="D194" s="21" t="s">
        <v>41</v>
      </c>
      <c r="E194" s="58"/>
      <c r="F194" s="66" t="s">
        <v>36</v>
      </c>
      <c r="H194" s="12">
        <v>188850.1</v>
      </c>
      <c r="I194" s="15"/>
      <c r="J194" s="12"/>
      <c r="K194" s="15"/>
      <c r="L194" s="12"/>
      <c r="M194" s="15"/>
      <c r="N194" s="12"/>
      <c r="O194" s="15"/>
      <c r="P194" s="12">
        <v>11403.334394149761</v>
      </c>
      <c r="Q194" s="15"/>
      <c r="R194" s="12">
        <f>T194-P194</f>
        <v>0</v>
      </c>
      <c r="S194" s="15"/>
      <c r="T194" s="12">
        <f>$H194*V194/100</f>
        <v>11403.334394149757</v>
      </c>
      <c r="U194" s="15"/>
      <c r="V194" s="25">
        <v>6.0382993676729626</v>
      </c>
      <c r="W194" s="15"/>
      <c r="X194" s="14">
        <f>IFERROR(T194/P194,"-")</f>
        <v>0.99999999999999967</v>
      </c>
      <c r="Y194" s="15"/>
      <c r="Z194" s="12"/>
    </row>
    <row r="195" spans="2:26" x14ac:dyDescent="0.3">
      <c r="B195" s="58">
        <f>MAX(B$18:B194)+1</f>
        <v>100</v>
      </c>
      <c r="D195" s="21" t="s">
        <v>42</v>
      </c>
      <c r="E195" s="58"/>
      <c r="F195" s="66" t="s">
        <v>36</v>
      </c>
      <c r="H195" s="12">
        <v>2</v>
      </c>
      <c r="I195" s="15"/>
      <c r="J195" s="12"/>
      <c r="K195" s="15"/>
      <c r="L195" s="12"/>
      <c r="M195" s="15"/>
      <c r="N195" s="12"/>
      <c r="O195" s="15"/>
      <c r="P195" s="12">
        <v>0.17260409721357522</v>
      </c>
      <c r="Q195" s="15"/>
      <c r="R195" s="12">
        <f>T195-P195</f>
        <v>0</v>
      </c>
      <c r="S195" s="15"/>
      <c r="T195" s="12">
        <f>$H195*V195/100</f>
        <v>0.17260409721357522</v>
      </c>
      <c r="U195" s="15"/>
      <c r="V195" s="25">
        <v>8.6302048606787611</v>
      </c>
      <c r="W195" s="15"/>
      <c r="X195" s="14">
        <f>IFERROR(T195/P195,"-")</f>
        <v>1</v>
      </c>
      <c r="Y195" s="15"/>
      <c r="Z195" s="12"/>
    </row>
    <row r="196" spans="2:26" x14ac:dyDescent="0.3">
      <c r="B196" s="58">
        <f>MAX(B$18:B195)+1</f>
        <v>101</v>
      </c>
      <c r="C196" s="60"/>
      <c r="D196" s="10" t="s">
        <v>40</v>
      </c>
      <c r="E196" s="58"/>
      <c r="F196" s="11"/>
      <c r="G196" s="58"/>
      <c r="H196" s="67">
        <f>SUM(H194:H195)</f>
        <v>188852.1</v>
      </c>
      <c r="I196" s="63"/>
      <c r="J196" s="12"/>
      <c r="K196" s="63"/>
      <c r="L196" s="12"/>
      <c r="M196" s="64"/>
      <c r="N196" s="12"/>
      <c r="O196" s="13"/>
      <c r="P196" s="67">
        <f>SUM(P194:P195)</f>
        <v>11403.506998246974</v>
      </c>
      <c r="Q196" s="13"/>
      <c r="R196" s="67">
        <f>SUM(R194:R195)</f>
        <v>0</v>
      </c>
      <c r="S196" s="64"/>
      <c r="T196" s="67">
        <f>SUM(T194:T195)</f>
        <v>11403.50699824697</v>
      </c>
      <c r="U196" s="64"/>
      <c r="V196" s="19">
        <f>T196/$H196*100</f>
        <v>6.0383268167242887</v>
      </c>
      <c r="W196" s="64"/>
      <c r="X196" s="68">
        <f t="shared" ref="X196" si="40">T196/P196</f>
        <v>0.99999999999999967</v>
      </c>
      <c r="Y196" s="15"/>
      <c r="Z196" s="12"/>
    </row>
    <row r="197" spans="2:26" x14ac:dyDescent="0.3">
      <c r="B197" s="58"/>
      <c r="D197" s="10"/>
      <c r="F197" s="44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33"/>
      <c r="W197" s="15"/>
      <c r="X197" s="15"/>
      <c r="Y197" s="15"/>
      <c r="Z197" s="15"/>
    </row>
    <row r="198" spans="2:26" x14ac:dyDescent="0.3">
      <c r="B198" s="58">
        <f>MAX(B$18:B197)+1</f>
        <v>102</v>
      </c>
      <c r="D198" s="10" t="s">
        <v>44</v>
      </c>
      <c r="F198" s="44" t="s">
        <v>36</v>
      </c>
      <c r="H198" s="12">
        <v>140305.60000000001</v>
      </c>
      <c r="I198" s="15"/>
      <c r="J198" s="12"/>
      <c r="K198" s="15"/>
      <c r="L198" s="12"/>
      <c r="M198" s="15"/>
      <c r="N198" s="12"/>
      <c r="O198" s="15"/>
      <c r="P198" s="12">
        <v>15887.347124890503</v>
      </c>
      <c r="Q198" s="15"/>
      <c r="R198" s="12">
        <f>T198-P198</f>
        <v>13.167792050089702</v>
      </c>
      <c r="S198" s="15"/>
      <c r="T198" s="12">
        <f>$H198*V198/100</f>
        <v>15900.514916940592</v>
      </c>
      <c r="U198" s="15"/>
      <c r="V198" s="25">
        <v>11.332772830835399</v>
      </c>
      <c r="W198" s="15"/>
      <c r="X198" s="14">
        <f>IFERROR(T198/P198,"-")</f>
        <v>1.00082882258105</v>
      </c>
      <c r="Y198" s="15"/>
      <c r="Z198" s="12"/>
    </row>
    <row r="199" spans="2:26" x14ac:dyDescent="0.3">
      <c r="B199" s="58"/>
      <c r="D199" s="10"/>
      <c r="F199" s="44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33"/>
      <c r="W199" s="15"/>
      <c r="X199" s="15"/>
      <c r="Y199" s="15"/>
      <c r="Z199" s="15"/>
    </row>
    <row r="200" spans="2:26" ht="12.9" thickBot="1" x14ac:dyDescent="0.35">
      <c r="B200" s="58">
        <f>MAX(B$18:B199)+1</f>
        <v>103</v>
      </c>
      <c r="D200" s="23" t="s">
        <v>97</v>
      </c>
      <c r="F200" s="44"/>
      <c r="H200" s="69">
        <f>H191</f>
        <v>188852.1</v>
      </c>
      <c r="I200" s="63"/>
      <c r="J200" s="69">
        <v>29315.707925300005</v>
      </c>
      <c r="K200" s="64"/>
      <c r="L200" s="24">
        <f>J200/$H200*100</f>
        <v>15.523104019123963</v>
      </c>
      <c r="M200" s="64"/>
      <c r="N200" s="69">
        <f>J200-P200</f>
        <v>-2945.7984463898538</v>
      </c>
      <c r="O200" s="13"/>
      <c r="P200" s="69">
        <f>SUM(P191,P196,P198:P198)</f>
        <v>32261.506371689858</v>
      </c>
      <c r="Q200" s="13"/>
      <c r="R200" s="69">
        <f>R191+R198</f>
        <v>-105.29436016858604</v>
      </c>
      <c r="S200" s="64"/>
      <c r="T200" s="69">
        <f>SUM(T191,T196,T198:T198)</f>
        <v>32156.212011521267</v>
      </c>
      <c r="U200" s="64"/>
      <c r="V200" s="24">
        <f>T200/$H200*100</f>
        <v>17.027193243560049</v>
      </c>
      <c r="W200" s="64"/>
      <c r="X200" s="70">
        <f t="shared" ref="X200" si="41">T200/P200</f>
        <v>0.99673622307168552</v>
      </c>
      <c r="Y200" s="15"/>
      <c r="Z200" s="28">
        <f>V200/L200-1</f>
        <v>9.6893586655291131E-2</v>
      </c>
    </row>
    <row r="201" spans="2:26" ht="12.9" thickTop="1" x14ac:dyDescent="0.3">
      <c r="B201" s="58"/>
      <c r="D201" s="10"/>
      <c r="F201" s="44"/>
      <c r="H201" s="64"/>
      <c r="I201" s="63"/>
      <c r="J201" s="64"/>
      <c r="K201" s="64"/>
      <c r="L201" s="25"/>
      <c r="M201" s="64"/>
      <c r="N201" s="64"/>
      <c r="O201" s="13"/>
      <c r="P201" s="64"/>
      <c r="Q201" s="13"/>
      <c r="R201" s="64"/>
      <c r="S201" s="64"/>
      <c r="T201" s="64"/>
      <c r="U201" s="64"/>
      <c r="V201" s="25"/>
      <c r="W201" s="64"/>
      <c r="X201" s="72"/>
      <c r="Y201" s="15"/>
      <c r="Z201" s="37"/>
    </row>
    <row r="202" spans="2:26" x14ac:dyDescent="0.3">
      <c r="B202" s="58"/>
      <c r="D202" s="80"/>
      <c r="F202" s="44"/>
      <c r="V202" s="38"/>
    </row>
    <row r="203" spans="2:26" x14ac:dyDescent="0.3">
      <c r="B203" s="58"/>
      <c r="D203" s="35" t="s">
        <v>98</v>
      </c>
      <c r="F203" s="5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3">
      <c r="B204" s="58"/>
      <c r="D204" s="30" t="s">
        <v>41</v>
      </c>
      <c r="F204" s="44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2:26" x14ac:dyDescent="0.3">
      <c r="B205" s="58">
        <f>MAX(B$18:B204)+1</f>
        <v>104</v>
      </c>
      <c r="D205" s="10" t="s">
        <v>33</v>
      </c>
      <c r="F205" s="44" t="s">
        <v>34</v>
      </c>
      <c r="H205" s="12">
        <v>0</v>
      </c>
      <c r="I205" s="15"/>
      <c r="J205" s="12"/>
      <c r="K205" s="15"/>
      <c r="L205" s="12"/>
      <c r="M205" s="15"/>
      <c r="N205" s="12"/>
      <c r="O205" s="15"/>
      <c r="P205" s="12">
        <v>0</v>
      </c>
      <c r="Q205" s="15"/>
      <c r="R205" s="12">
        <f t="shared" ref="R205:R208" si="42">T205-P205</f>
        <v>0</v>
      </c>
      <c r="S205" s="15"/>
      <c r="T205" s="12">
        <f>$H205*V205/1000</f>
        <v>0</v>
      </c>
      <c r="U205" s="15"/>
      <c r="V205" s="77">
        <v>0</v>
      </c>
      <c r="W205" s="15"/>
      <c r="X205" s="14" t="str">
        <f>IFERROR(T205/P205,"-")</f>
        <v>-</v>
      </c>
      <c r="Y205" s="15"/>
      <c r="Z205" s="15"/>
    </row>
    <row r="206" spans="2:26" x14ac:dyDescent="0.3">
      <c r="B206" s="58">
        <f>MAX(B$18:B205)+1</f>
        <v>105</v>
      </c>
      <c r="D206" s="10" t="s">
        <v>54</v>
      </c>
      <c r="F206" s="44" t="s">
        <v>36</v>
      </c>
      <c r="H206" s="12">
        <v>0</v>
      </c>
      <c r="I206" s="15"/>
      <c r="J206" s="12"/>
      <c r="K206" s="15"/>
      <c r="L206" s="12"/>
      <c r="M206" s="15"/>
      <c r="N206" s="12"/>
      <c r="O206" s="15"/>
      <c r="P206" s="12">
        <v>0</v>
      </c>
      <c r="Q206" s="15"/>
      <c r="R206" s="12">
        <f t="shared" si="42"/>
        <v>0</v>
      </c>
      <c r="S206" s="15"/>
      <c r="T206" s="12">
        <f>$H206*V206/100</f>
        <v>0</v>
      </c>
      <c r="U206" s="15"/>
      <c r="V206" s="77">
        <v>0</v>
      </c>
      <c r="W206" s="15"/>
      <c r="X206" s="14" t="str">
        <f>IFERROR(T206/P206,"-")</f>
        <v>-</v>
      </c>
      <c r="Y206" s="15"/>
      <c r="Z206" s="15"/>
    </row>
    <row r="207" spans="2:26" x14ac:dyDescent="0.3">
      <c r="B207" s="58">
        <f>MAX(B$18:B206)+1</f>
        <v>106</v>
      </c>
      <c r="D207" s="10" t="s">
        <v>55</v>
      </c>
      <c r="F207" s="44"/>
      <c r="H207" s="15"/>
      <c r="I207" s="15"/>
      <c r="J207" s="15"/>
      <c r="K207" s="15"/>
      <c r="L207" s="15"/>
      <c r="M207" s="15"/>
      <c r="N207" s="15"/>
      <c r="O207" s="15"/>
      <c r="P207" s="12">
        <v>0</v>
      </c>
      <c r="Q207" s="15"/>
      <c r="R207" s="12">
        <f t="shared" si="42"/>
        <v>0</v>
      </c>
      <c r="S207" s="15"/>
      <c r="T207" s="12">
        <v>0</v>
      </c>
      <c r="U207" s="15"/>
      <c r="V207" s="77">
        <v>0</v>
      </c>
      <c r="W207" s="64"/>
      <c r="X207" s="14"/>
      <c r="Y207" s="15"/>
      <c r="Z207" s="15"/>
    </row>
    <row r="208" spans="2:26" x14ac:dyDescent="0.3">
      <c r="B208" s="58">
        <f>MAX(B$18:B207)+1</f>
        <v>107</v>
      </c>
      <c r="D208" s="10" t="s">
        <v>56</v>
      </c>
      <c r="F208" s="44" t="s">
        <v>38</v>
      </c>
      <c r="H208" s="12">
        <v>0</v>
      </c>
      <c r="I208" s="15"/>
      <c r="J208" s="12"/>
      <c r="K208" s="15"/>
      <c r="L208" s="12"/>
      <c r="M208" s="15"/>
      <c r="N208" s="12"/>
      <c r="O208" s="15"/>
      <c r="P208" s="12">
        <v>0</v>
      </c>
      <c r="Q208" s="15"/>
      <c r="R208" s="12">
        <f t="shared" si="42"/>
        <v>0</v>
      </c>
      <c r="S208" s="15"/>
      <c r="T208" s="12">
        <f>$H208*V208/100</f>
        <v>0</v>
      </c>
      <c r="U208" s="15"/>
      <c r="V208" s="77">
        <v>0</v>
      </c>
      <c r="W208" s="15"/>
      <c r="X208" s="14" t="str">
        <f>IFERROR(T208/P208,"-")</f>
        <v>-</v>
      </c>
      <c r="Y208" s="15"/>
      <c r="Z208" s="15"/>
    </row>
    <row r="209" spans="2:26" x14ac:dyDescent="0.3">
      <c r="B209" s="58">
        <f>MAX(B$18:B208)+1</f>
        <v>108</v>
      </c>
      <c r="C209" s="60"/>
      <c r="D209" s="10" t="s">
        <v>63</v>
      </c>
      <c r="E209" s="58"/>
      <c r="F209" s="11"/>
      <c r="G209" s="58"/>
      <c r="H209" s="67">
        <f>H206</f>
        <v>0</v>
      </c>
      <c r="I209" s="63"/>
      <c r="J209" s="15"/>
      <c r="K209" s="15"/>
      <c r="L209" s="15"/>
      <c r="M209" s="15"/>
      <c r="N209" s="15"/>
      <c r="O209" s="13"/>
      <c r="P209" s="67">
        <f>SUM(P205:P208)</f>
        <v>0</v>
      </c>
      <c r="Q209" s="13"/>
      <c r="R209" s="67">
        <f>SUM(R205:R208)</f>
        <v>0</v>
      </c>
      <c r="S209" s="64"/>
      <c r="T209" s="67">
        <f>SUM(T205:T208)</f>
        <v>0</v>
      </c>
      <c r="U209" s="64"/>
      <c r="V209" s="19" t="str">
        <f>IFERROR(T209/$H209*100,"-")</f>
        <v>-</v>
      </c>
      <c r="W209" s="64"/>
      <c r="X209" s="68" t="str">
        <f>IFERROR(T209/P209,"-")</f>
        <v>-</v>
      </c>
      <c r="Y209" s="15"/>
      <c r="Z209" s="63"/>
    </row>
    <row r="210" spans="2:26" x14ac:dyDescent="0.3">
      <c r="B210" s="58"/>
      <c r="D210" s="10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3">
      <c r="B211" s="58"/>
      <c r="D211" s="30" t="s">
        <v>64</v>
      </c>
      <c r="F211" s="44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3">
      <c r="B212" s="58">
        <f>MAX(B$18:B211)+1</f>
        <v>109</v>
      </c>
      <c r="D212" s="21" t="s">
        <v>65</v>
      </c>
      <c r="F212" s="44" t="s">
        <v>172</v>
      </c>
      <c r="H212" s="12">
        <v>0</v>
      </c>
      <c r="I212" s="15"/>
      <c r="J212" s="12"/>
      <c r="K212" s="15"/>
      <c r="L212" s="12"/>
      <c r="M212" s="15"/>
      <c r="N212" s="12"/>
      <c r="O212" s="15"/>
      <c r="P212" s="12">
        <v>0</v>
      </c>
      <c r="Q212" s="15"/>
      <c r="R212" s="12">
        <f>T212-P212</f>
        <v>0</v>
      </c>
      <c r="S212" s="15"/>
      <c r="T212" s="12">
        <f>$H212*V212/1000</f>
        <v>0</v>
      </c>
      <c r="U212" s="15"/>
      <c r="V212" s="77">
        <v>0</v>
      </c>
      <c r="W212" s="15"/>
      <c r="X212" s="14" t="str">
        <f>IFERROR(T212/P212,"-")</f>
        <v>-</v>
      </c>
      <c r="Y212" s="15"/>
      <c r="Z212" s="15"/>
    </row>
    <row r="213" spans="2:26" x14ac:dyDescent="0.3">
      <c r="B213" s="58"/>
      <c r="D213" s="21" t="s">
        <v>66</v>
      </c>
      <c r="F213" s="44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77"/>
      <c r="W213" s="15"/>
      <c r="X213" s="14"/>
      <c r="Y213" s="15"/>
      <c r="Z213" s="15"/>
    </row>
    <row r="214" spans="2:26" x14ac:dyDescent="0.3">
      <c r="B214" s="58">
        <f>MAX(B$18:B213)+1</f>
        <v>110</v>
      </c>
      <c r="D214" s="32" t="s">
        <v>67</v>
      </c>
      <c r="F214" s="44" t="s">
        <v>172</v>
      </c>
      <c r="H214" s="12">
        <v>0</v>
      </c>
      <c r="I214" s="15"/>
      <c r="J214" s="12"/>
      <c r="K214" s="15"/>
      <c r="L214" s="12"/>
      <c r="M214" s="15"/>
      <c r="N214" s="12"/>
      <c r="O214" s="15"/>
      <c r="P214" s="12">
        <v>0</v>
      </c>
      <c r="Q214" s="15"/>
      <c r="R214" s="12">
        <f t="shared" ref="R214:R218" si="43">T214-P214</f>
        <v>0</v>
      </c>
      <c r="S214" s="15"/>
      <c r="T214" s="12">
        <f>$H214*V214/1000</f>
        <v>0</v>
      </c>
      <c r="U214" s="15"/>
      <c r="V214" s="77">
        <v>0</v>
      </c>
      <c r="W214" s="15"/>
      <c r="X214" s="14" t="str">
        <f>IFERROR(T214/P214,"-")</f>
        <v>-</v>
      </c>
      <c r="Y214" s="15"/>
      <c r="Z214" s="15"/>
    </row>
    <row r="215" spans="2:26" x14ac:dyDescent="0.3">
      <c r="B215" s="58">
        <f>MAX(B$18:B214)+1</f>
        <v>111</v>
      </c>
      <c r="D215" s="32" t="s">
        <v>68</v>
      </c>
      <c r="F215" s="44" t="s">
        <v>172</v>
      </c>
      <c r="H215" s="12">
        <v>0</v>
      </c>
      <c r="I215" s="15"/>
      <c r="J215" s="12"/>
      <c r="K215" s="15"/>
      <c r="L215" s="12"/>
      <c r="M215" s="15"/>
      <c r="N215" s="12"/>
      <c r="O215" s="15"/>
      <c r="P215" s="12">
        <v>0</v>
      </c>
      <c r="Q215" s="15"/>
      <c r="R215" s="12">
        <f t="shared" si="43"/>
        <v>0</v>
      </c>
      <c r="S215" s="15"/>
      <c r="T215" s="12">
        <f>$H215*V215/1000</f>
        <v>0</v>
      </c>
      <c r="U215" s="15"/>
      <c r="V215" s="77">
        <v>0</v>
      </c>
      <c r="W215" s="15"/>
      <c r="X215" s="14" t="str">
        <f>IFERROR(T215/P215,"-")</f>
        <v>-</v>
      </c>
      <c r="Y215" s="15"/>
      <c r="Z215" s="15"/>
    </row>
    <row r="216" spans="2:26" x14ac:dyDescent="0.3">
      <c r="B216" s="58">
        <f>MAX(B$18:B215)+1</f>
        <v>112</v>
      </c>
      <c r="D216" s="32" t="s">
        <v>69</v>
      </c>
      <c r="F216" s="44" t="s">
        <v>172</v>
      </c>
      <c r="H216" s="12">
        <v>0</v>
      </c>
      <c r="I216" s="15"/>
      <c r="J216" s="12"/>
      <c r="K216" s="15"/>
      <c r="L216" s="12"/>
      <c r="M216" s="15"/>
      <c r="N216" s="12"/>
      <c r="O216" s="15"/>
      <c r="P216" s="12">
        <v>0</v>
      </c>
      <c r="Q216" s="15"/>
      <c r="R216" s="12">
        <f t="shared" si="43"/>
        <v>0</v>
      </c>
      <c r="S216" s="15"/>
      <c r="T216" s="12">
        <f>$H216*V216/1000</f>
        <v>0</v>
      </c>
      <c r="U216" s="15"/>
      <c r="V216" s="77">
        <v>0</v>
      </c>
      <c r="W216" s="15"/>
      <c r="X216" s="14" t="str">
        <f>IFERROR(T216/P216,"-")</f>
        <v>-</v>
      </c>
      <c r="Y216" s="15"/>
      <c r="Z216" s="15"/>
    </row>
    <row r="217" spans="2:26" x14ac:dyDescent="0.3">
      <c r="B217" s="58">
        <f>MAX(B$18:B216)+1</f>
        <v>113</v>
      </c>
      <c r="D217" s="10" t="s">
        <v>70</v>
      </c>
      <c r="F217" s="44" t="s">
        <v>71</v>
      </c>
      <c r="H217" s="12">
        <v>0</v>
      </c>
      <c r="I217" s="15"/>
      <c r="J217" s="12"/>
      <c r="K217" s="15"/>
      <c r="L217" s="12"/>
      <c r="M217" s="15"/>
      <c r="N217" s="12"/>
      <c r="O217" s="15"/>
      <c r="P217" s="12">
        <v>0</v>
      </c>
      <c r="Q217" s="15"/>
      <c r="R217" s="12">
        <f t="shared" si="43"/>
        <v>0</v>
      </c>
      <c r="S217" s="15"/>
      <c r="T217" s="12">
        <f>$H217*V217/1000</f>
        <v>0</v>
      </c>
      <c r="U217" s="15"/>
      <c r="V217" s="77">
        <v>0</v>
      </c>
      <c r="W217" s="15"/>
      <c r="X217" s="14"/>
      <c r="Y217" s="15"/>
      <c r="Z217" s="15"/>
    </row>
    <row r="218" spans="2:26" x14ac:dyDescent="0.3">
      <c r="B218" s="58">
        <f>MAX(B$18:B217)+1</f>
        <v>114</v>
      </c>
      <c r="D218" s="10" t="s">
        <v>72</v>
      </c>
      <c r="F218" s="44"/>
      <c r="H218" s="12"/>
      <c r="I218" s="15"/>
      <c r="J218" s="12"/>
      <c r="K218" s="15"/>
      <c r="L218" s="12"/>
      <c r="M218" s="15"/>
      <c r="N218" s="12"/>
      <c r="O218" s="15"/>
      <c r="P218" s="12">
        <v>0</v>
      </c>
      <c r="Q218" s="15"/>
      <c r="R218" s="12">
        <f t="shared" si="43"/>
        <v>0</v>
      </c>
      <c r="S218" s="15"/>
      <c r="T218" s="12">
        <v>0</v>
      </c>
      <c r="U218" s="15"/>
      <c r="V218" s="77">
        <v>0</v>
      </c>
      <c r="W218" s="64"/>
      <c r="X218" s="14"/>
      <c r="Y218" s="15"/>
      <c r="Z218" s="15"/>
    </row>
    <row r="219" spans="2:26" x14ac:dyDescent="0.3">
      <c r="B219" s="58">
        <f>MAX(B$18:B218)+1</f>
        <v>115</v>
      </c>
      <c r="C219" s="60"/>
      <c r="D219" s="10" t="s">
        <v>73</v>
      </c>
      <c r="E219" s="58"/>
      <c r="F219" s="11"/>
      <c r="G219" s="58"/>
      <c r="H219" s="67">
        <f>H209</f>
        <v>0</v>
      </c>
      <c r="I219" s="63"/>
      <c r="J219" s="12"/>
      <c r="K219" s="15"/>
      <c r="L219" s="12"/>
      <c r="M219" s="15"/>
      <c r="N219" s="12"/>
      <c r="O219" s="13"/>
      <c r="P219" s="67">
        <f>SUM(P212:P218)</f>
        <v>0</v>
      </c>
      <c r="Q219" s="13"/>
      <c r="R219" s="67">
        <f>SUM(R212:R218)</f>
        <v>0</v>
      </c>
      <c r="S219" s="64"/>
      <c r="T219" s="67">
        <f>SUM(T212:T218)</f>
        <v>0</v>
      </c>
      <c r="U219" s="64"/>
      <c r="V219" s="19" t="str">
        <f>IFERROR(T219/$H219*100,"-")</f>
        <v>-</v>
      </c>
      <c r="W219" s="64"/>
      <c r="X219" s="68" t="str">
        <f>IFERROR(T219/P219,"-")</f>
        <v>-</v>
      </c>
      <c r="Y219" s="15"/>
      <c r="Z219" s="63"/>
    </row>
    <row r="220" spans="2:26" x14ac:dyDescent="0.3">
      <c r="B220" s="58"/>
      <c r="D220" s="10"/>
      <c r="F220" s="44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39"/>
      <c r="W220" s="15"/>
      <c r="X220" s="15"/>
      <c r="Y220" s="15"/>
      <c r="Z220" s="15"/>
    </row>
    <row r="221" spans="2:26" ht="12.9" thickBot="1" x14ac:dyDescent="0.35">
      <c r="B221" s="58">
        <f>MAX(B$18:B220)+1</f>
        <v>116</v>
      </c>
      <c r="D221" s="23" t="s">
        <v>99</v>
      </c>
      <c r="F221" s="44"/>
      <c r="H221" s="69">
        <f>H206</f>
        <v>0</v>
      </c>
      <c r="I221" s="63"/>
      <c r="J221" s="69">
        <v>0</v>
      </c>
      <c r="K221" s="64"/>
      <c r="L221" s="24" t="str">
        <f>IFERROR(J221/$H221*100,"-")</f>
        <v>-</v>
      </c>
      <c r="M221" s="64"/>
      <c r="N221" s="69">
        <f>J221-P221</f>
        <v>0</v>
      </c>
      <c r="O221" s="13"/>
      <c r="P221" s="69">
        <f>P209+P219</f>
        <v>0</v>
      </c>
      <c r="Q221" s="13"/>
      <c r="R221" s="69">
        <f>R209+R219</f>
        <v>0</v>
      </c>
      <c r="S221" s="64"/>
      <c r="T221" s="69">
        <f>T209+T219</f>
        <v>0</v>
      </c>
      <c r="U221" s="64"/>
      <c r="V221" s="24" t="str">
        <f>IFERROR(T221/$H221*100,"-")</f>
        <v>-</v>
      </c>
      <c r="W221" s="64"/>
      <c r="X221" s="70" t="str">
        <f>IFERROR(T221/P221,"-")</f>
        <v>-</v>
      </c>
      <c r="Y221" s="15"/>
      <c r="Z221" s="28" t="str">
        <f>IFERROR(V221/L221-1,"-")</f>
        <v>-</v>
      </c>
    </row>
    <row r="222" spans="2:26" ht="12.9" thickTop="1" x14ac:dyDescent="0.3">
      <c r="B222" s="58"/>
      <c r="D222" s="80"/>
      <c r="F222" s="51"/>
    </row>
    <row r="223" spans="2:26" ht="12.9" thickBot="1" x14ac:dyDescent="0.35">
      <c r="B223" s="58">
        <f>MAX(B$18:B222)+1</f>
        <v>117</v>
      </c>
      <c r="D223" s="23" t="s">
        <v>100</v>
      </c>
      <c r="J223" s="69">
        <f>J221+J200+J184+J167+J151+J132+J113+J97+J66+J46+J30</f>
        <v>1029266.3217042747</v>
      </c>
      <c r="K223" s="64"/>
      <c r="L223" s="12"/>
      <c r="M223" s="64"/>
      <c r="N223" s="69">
        <f>N221+N200+N184+N167+N151+N132+N113+N97+N66+N46+N30</f>
        <v>-76361.363707921962</v>
      </c>
      <c r="O223" s="13"/>
      <c r="P223" s="69">
        <f>P221+P200+P184+P167+P151+P132+P113+P97+P66+P46+P30</f>
        <v>1105627.6854121967</v>
      </c>
      <c r="Q223" s="13"/>
      <c r="R223" s="69">
        <f>ROUND(R221+R200+R184+R167+R151+R132+R113+R97+R66+R46+R30,0)</f>
        <v>-2600</v>
      </c>
      <c r="S223" s="64"/>
      <c r="T223" s="69">
        <f>ROUND(T221+T200+T184+T167+T151+T132+T113+T97+T66+T46+T30,0)</f>
        <v>1103028</v>
      </c>
    </row>
    <row r="224" spans="2:26" ht="12.9" thickTop="1" x14ac:dyDescent="0.3">
      <c r="D224" s="81"/>
      <c r="F224" s="44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64"/>
      <c r="V224" s="25"/>
      <c r="W224" s="64"/>
      <c r="X224" s="72"/>
      <c r="Y224" s="15"/>
      <c r="Z224" s="16"/>
    </row>
    <row r="225" spans="2:6" x14ac:dyDescent="0.3">
      <c r="F225" s="44"/>
    </row>
    <row r="226" spans="2:6" x14ac:dyDescent="0.3">
      <c r="B226" s="40" t="s">
        <v>101</v>
      </c>
      <c r="F226" s="44"/>
    </row>
    <row r="227" spans="2:6" x14ac:dyDescent="0.3">
      <c r="B227" s="82" t="s">
        <v>102</v>
      </c>
      <c r="C227" s="41"/>
      <c r="D227" s="41" t="s">
        <v>103</v>
      </c>
      <c r="F227" s="44"/>
    </row>
    <row r="228" spans="2:6" x14ac:dyDescent="0.3">
      <c r="B228" s="82" t="s">
        <v>104</v>
      </c>
      <c r="C228" s="41"/>
      <c r="D228" s="41" t="s">
        <v>105</v>
      </c>
      <c r="F228" s="44"/>
    </row>
    <row r="229" spans="2:6" x14ac:dyDescent="0.3">
      <c r="B229" s="82"/>
      <c r="D229" s="51"/>
      <c r="F229" s="51"/>
    </row>
  </sheetData>
  <mergeCells count="2">
    <mergeCell ref="B8:Z8"/>
    <mergeCell ref="B9:Z9"/>
  </mergeCells>
  <pageMargins left="0.70866141732283505" right="0.70866141732283505" top="0.74803149606299202" bottom="0.74803149606299202" header="0.31496062992126" footer="0.31496062992126"/>
  <pageSetup scale="44" fitToWidth="0" fitToHeight="0" orientation="landscape" blackAndWhite="1" r:id="rId1"/>
  <headerFooter>
    <oddHeader xml:space="preserve">&amp;R&amp;"Arial,Regular"&amp;10Filed: 2025-02-28
 EB-2025-0064
 Phase 3 Exhibit 8
 Tab 2
 Schedule 13
 Attachment 2
 Page &amp;P of 10
</oddHeader>
  </headerFooter>
  <rowBreaks count="3" manualBreakCount="3">
    <brk id="67" max="26" man="1"/>
    <brk id="133" max="26" man="1"/>
    <brk id="185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A0F9-47C5-4978-8C8F-F940A5079A8A}">
  <dimension ref="B8:Z230"/>
  <sheetViews>
    <sheetView view="pageLayout" topLeftCell="A134" zoomScale="80" zoomScaleNormal="80" zoomScalePageLayoutView="80" workbookViewId="0">
      <selection activeCell="F176" sqref="F176"/>
    </sheetView>
  </sheetViews>
  <sheetFormatPr defaultRowHeight="12.45" x14ac:dyDescent="0.3"/>
  <cols>
    <col min="1" max="1" width="1.53515625" style="2" customWidth="1"/>
    <col min="2" max="2" width="4.69140625" style="1" customWidth="1"/>
    <col min="3" max="3" width="1.53515625" style="2" customWidth="1"/>
    <col min="4" max="4" width="47" style="2" customWidth="1"/>
    <col min="5" max="5" width="1.53515625" style="2" customWidth="1"/>
    <col min="6" max="6" width="10.69140625" style="2" customWidth="1"/>
    <col min="7" max="7" width="1.53515625" style="2" customWidth="1"/>
    <col min="8" max="8" width="14.4609375" style="2" customWidth="1"/>
    <col min="9" max="9" width="1.53515625" style="2" customWidth="1"/>
    <col min="10" max="10" width="14.4609375" style="2" customWidth="1"/>
    <col min="11" max="11" width="1.53515625" style="2" customWidth="1"/>
    <col min="12" max="12" width="14.4609375" style="2" customWidth="1"/>
    <col min="13" max="13" width="1.53515625" style="2" customWidth="1"/>
    <col min="14" max="14" width="14.4609375" style="2" customWidth="1"/>
    <col min="15" max="15" width="1.53515625" style="2" customWidth="1"/>
    <col min="16" max="16" width="15.4609375" style="2" customWidth="1"/>
    <col min="17" max="17" width="1.53515625" style="2" customWidth="1"/>
    <col min="18" max="18" width="14.4609375" style="2" customWidth="1"/>
    <col min="19" max="19" width="1.53515625" style="2" customWidth="1"/>
    <col min="20" max="20" width="14.4609375" style="2" customWidth="1"/>
    <col min="21" max="21" width="1.53515625" style="2" customWidth="1"/>
    <col min="22" max="22" width="14.4609375" style="2" customWidth="1"/>
    <col min="23" max="23" width="1.53515625" style="2" customWidth="1"/>
    <col min="24" max="24" width="14.53515625" style="2" customWidth="1"/>
    <col min="25" max="25" width="1.53515625" style="2" customWidth="1"/>
    <col min="26" max="26" width="14.4609375" style="2" customWidth="1"/>
    <col min="27" max="27" width="1.53515625" style="2" customWidth="1"/>
    <col min="28" max="218" width="9.07421875" style="2"/>
    <col min="219" max="219" width="4.53515625" style="2" customWidth="1"/>
    <col min="220" max="220" width="1" style="2" customWidth="1"/>
    <col min="221" max="221" width="18" style="2" customWidth="1"/>
    <col min="222" max="222" width="1.84375" style="2" customWidth="1"/>
    <col min="223" max="223" width="12.53515625" style="2" customWidth="1"/>
    <col min="224" max="224" width="1.53515625" style="2" customWidth="1"/>
    <col min="225" max="225" width="9.53515625" style="2" customWidth="1"/>
    <col min="226" max="226" width="1.84375" style="2" customWidth="1"/>
    <col min="227" max="227" width="11.84375" style="2" customWidth="1"/>
    <col min="228" max="228" width="1.53515625" style="2" customWidth="1"/>
    <col min="229" max="229" width="10.07421875" style="2" customWidth="1"/>
    <col min="230" max="230" width="2" style="2" customWidth="1"/>
    <col min="231" max="231" width="9.53515625" style="2" customWidth="1"/>
    <col min="232" max="474" width="9.07421875" style="2"/>
    <col min="475" max="475" width="4.53515625" style="2" customWidth="1"/>
    <col min="476" max="476" width="1" style="2" customWidth="1"/>
    <col min="477" max="477" width="18" style="2" customWidth="1"/>
    <col min="478" max="478" width="1.84375" style="2" customWidth="1"/>
    <col min="479" max="479" width="12.53515625" style="2" customWidth="1"/>
    <col min="480" max="480" width="1.53515625" style="2" customWidth="1"/>
    <col min="481" max="481" width="9.53515625" style="2" customWidth="1"/>
    <col min="482" max="482" width="1.84375" style="2" customWidth="1"/>
    <col min="483" max="483" width="11.84375" style="2" customWidth="1"/>
    <col min="484" max="484" width="1.53515625" style="2" customWidth="1"/>
    <col min="485" max="485" width="10.07421875" style="2" customWidth="1"/>
    <col min="486" max="486" width="2" style="2" customWidth="1"/>
    <col min="487" max="487" width="9.53515625" style="2" customWidth="1"/>
    <col min="488" max="730" width="9.07421875" style="2"/>
    <col min="731" max="731" width="4.53515625" style="2" customWidth="1"/>
    <col min="732" max="732" width="1" style="2" customWidth="1"/>
    <col min="733" max="733" width="18" style="2" customWidth="1"/>
    <col min="734" max="734" width="1.84375" style="2" customWidth="1"/>
    <col min="735" max="735" width="12.53515625" style="2" customWidth="1"/>
    <col min="736" max="736" width="1.53515625" style="2" customWidth="1"/>
    <col min="737" max="737" width="9.53515625" style="2" customWidth="1"/>
    <col min="738" max="738" width="1.84375" style="2" customWidth="1"/>
    <col min="739" max="739" width="11.84375" style="2" customWidth="1"/>
    <col min="740" max="740" width="1.53515625" style="2" customWidth="1"/>
    <col min="741" max="741" width="10.07421875" style="2" customWidth="1"/>
    <col min="742" max="742" width="2" style="2" customWidth="1"/>
    <col min="743" max="743" width="9.53515625" style="2" customWidth="1"/>
    <col min="744" max="986" width="9.07421875" style="2"/>
    <col min="987" max="987" width="4.53515625" style="2" customWidth="1"/>
    <col min="988" max="988" width="1" style="2" customWidth="1"/>
    <col min="989" max="989" width="18" style="2" customWidth="1"/>
    <col min="990" max="990" width="1.84375" style="2" customWidth="1"/>
    <col min="991" max="991" width="12.53515625" style="2" customWidth="1"/>
    <col min="992" max="992" width="1.53515625" style="2" customWidth="1"/>
    <col min="993" max="993" width="9.53515625" style="2" customWidth="1"/>
    <col min="994" max="994" width="1.84375" style="2" customWidth="1"/>
    <col min="995" max="995" width="11.84375" style="2" customWidth="1"/>
    <col min="996" max="996" width="1.53515625" style="2" customWidth="1"/>
    <col min="997" max="997" width="10.07421875" style="2" customWidth="1"/>
    <col min="998" max="998" width="2" style="2" customWidth="1"/>
    <col min="999" max="999" width="9.53515625" style="2" customWidth="1"/>
    <col min="1000" max="1242" width="9.07421875" style="2"/>
    <col min="1243" max="1243" width="4.53515625" style="2" customWidth="1"/>
    <col min="1244" max="1244" width="1" style="2" customWidth="1"/>
    <col min="1245" max="1245" width="18" style="2" customWidth="1"/>
    <col min="1246" max="1246" width="1.84375" style="2" customWidth="1"/>
    <col min="1247" max="1247" width="12.53515625" style="2" customWidth="1"/>
    <col min="1248" max="1248" width="1.53515625" style="2" customWidth="1"/>
    <col min="1249" max="1249" width="9.53515625" style="2" customWidth="1"/>
    <col min="1250" max="1250" width="1.84375" style="2" customWidth="1"/>
    <col min="1251" max="1251" width="11.84375" style="2" customWidth="1"/>
    <col min="1252" max="1252" width="1.53515625" style="2" customWidth="1"/>
    <col min="1253" max="1253" width="10.07421875" style="2" customWidth="1"/>
    <col min="1254" max="1254" width="2" style="2" customWidth="1"/>
    <col min="1255" max="1255" width="9.53515625" style="2" customWidth="1"/>
    <col min="1256" max="1498" width="9.07421875" style="2"/>
    <col min="1499" max="1499" width="4.53515625" style="2" customWidth="1"/>
    <col min="1500" max="1500" width="1" style="2" customWidth="1"/>
    <col min="1501" max="1501" width="18" style="2" customWidth="1"/>
    <col min="1502" max="1502" width="1.84375" style="2" customWidth="1"/>
    <col min="1503" max="1503" width="12.53515625" style="2" customWidth="1"/>
    <col min="1504" max="1504" width="1.53515625" style="2" customWidth="1"/>
    <col min="1505" max="1505" width="9.53515625" style="2" customWidth="1"/>
    <col min="1506" max="1506" width="1.84375" style="2" customWidth="1"/>
    <col min="1507" max="1507" width="11.84375" style="2" customWidth="1"/>
    <col min="1508" max="1508" width="1.53515625" style="2" customWidth="1"/>
    <col min="1509" max="1509" width="10.07421875" style="2" customWidth="1"/>
    <col min="1510" max="1510" width="2" style="2" customWidth="1"/>
    <col min="1511" max="1511" width="9.53515625" style="2" customWidth="1"/>
    <col min="1512" max="1754" width="9.07421875" style="2"/>
    <col min="1755" max="1755" width="4.53515625" style="2" customWidth="1"/>
    <col min="1756" max="1756" width="1" style="2" customWidth="1"/>
    <col min="1757" max="1757" width="18" style="2" customWidth="1"/>
    <col min="1758" max="1758" width="1.84375" style="2" customWidth="1"/>
    <col min="1759" max="1759" width="12.53515625" style="2" customWidth="1"/>
    <col min="1760" max="1760" width="1.53515625" style="2" customWidth="1"/>
    <col min="1761" max="1761" width="9.53515625" style="2" customWidth="1"/>
    <col min="1762" max="1762" width="1.84375" style="2" customWidth="1"/>
    <col min="1763" max="1763" width="11.84375" style="2" customWidth="1"/>
    <col min="1764" max="1764" width="1.53515625" style="2" customWidth="1"/>
    <col min="1765" max="1765" width="10.07421875" style="2" customWidth="1"/>
    <col min="1766" max="1766" width="2" style="2" customWidth="1"/>
    <col min="1767" max="1767" width="9.53515625" style="2" customWidth="1"/>
    <col min="1768" max="2010" width="9.07421875" style="2"/>
    <col min="2011" max="2011" width="4.53515625" style="2" customWidth="1"/>
    <col min="2012" max="2012" width="1" style="2" customWidth="1"/>
    <col min="2013" max="2013" width="18" style="2" customWidth="1"/>
    <col min="2014" max="2014" width="1.84375" style="2" customWidth="1"/>
    <col min="2015" max="2015" width="12.53515625" style="2" customWidth="1"/>
    <col min="2016" max="2016" width="1.53515625" style="2" customWidth="1"/>
    <col min="2017" max="2017" width="9.53515625" style="2" customWidth="1"/>
    <col min="2018" max="2018" width="1.84375" style="2" customWidth="1"/>
    <col min="2019" max="2019" width="11.84375" style="2" customWidth="1"/>
    <col min="2020" max="2020" width="1.53515625" style="2" customWidth="1"/>
    <col min="2021" max="2021" width="10.07421875" style="2" customWidth="1"/>
    <col min="2022" max="2022" width="2" style="2" customWidth="1"/>
    <col min="2023" max="2023" width="9.53515625" style="2" customWidth="1"/>
    <col min="2024" max="2266" width="9.07421875" style="2"/>
    <col min="2267" max="2267" width="4.53515625" style="2" customWidth="1"/>
    <col min="2268" max="2268" width="1" style="2" customWidth="1"/>
    <col min="2269" max="2269" width="18" style="2" customWidth="1"/>
    <col min="2270" max="2270" width="1.84375" style="2" customWidth="1"/>
    <col min="2271" max="2271" width="12.53515625" style="2" customWidth="1"/>
    <col min="2272" max="2272" width="1.53515625" style="2" customWidth="1"/>
    <col min="2273" max="2273" width="9.53515625" style="2" customWidth="1"/>
    <col min="2274" max="2274" width="1.84375" style="2" customWidth="1"/>
    <col min="2275" max="2275" width="11.84375" style="2" customWidth="1"/>
    <col min="2276" max="2276" width="1.53515625" style="2" customWidth="1"/>
    <col min="2277" max="2277" width="10.07421875" style="2" customWidth="1"/>
    <col min="2278" max="2278" width="2" style="2" customWidth="1"/>
    <col min="2279" max="2279" width="9.53515625" style="2" customWidth="1"/>
    <col min="2280" max="2522" width="9.07421875" style="2"/>
    <col min="2523" max="2523" width="4.53515625" style="2" customWidth="1"/>
    <col min="2524" max="2524" width="1" style="2" customWidth="1"/>
    <col min="2525" max="2525" width="18" style="2" customWidth="1"/>
    <col min="2526" max="2526" width="1.84375" style="2" customWidth="1"/>
    <col min="2527" max="2527" width="12.53515625" style="2" customWidth="1"/>
    <col min="2528" max="2528" width="1.53515625" style="2" customWidth="1"/>
    <col min="2529" max="2529" width="9.53515625" style="2" customWidth="1"/>
    <col min="2530" max="2530" width="1.84375" style="2" customWidth="1"/>
    <col min="2531" max="2531" width="11.84375" style="2" customWidth="1"/>
    <col min="2532" max="2532" width="1.53515625" style="2" customWidth="1"/>
    <col min="2533" max="2533" width="10.07421875" style="2" customWidth="1"/>
    <col min="2534" max="2534" width="2" style="2" customWidth="1"/>
    <col min="2535" max="2535" width="9.53515625" style="2" customWidth="1"/>
    <col min="2536" max="2778" width="9.07421875" style="2"/>
    <col min="2779" max="2779" width="4.53515625" style="2" customWidth="1"/>
    <col min="2780" max="2780" width="1" style="2" customWidth="1"/>
    <col min="2781" max="2781" width="18" style="2" customWidth="1"/>
    <col min="2782" max="2782" width="1.84375" style="2" customWidth="1"/>
    <col min="2783" max="2783" width="12.53515625" style="2" customWidth="1"/>
    <col min="2784" max="2784" width="1.53515625" style="2" customWidth="1"/>
    <col min="2785" max="2785" width="9.53515625" style="2" customWidth="1"/>
    <col min="2786" max="2786" width="1.84375" style="2" customWidth="1"/>
    <col min="2787" max="2787" width="11.84375" style="2" customWidth="1"/>
    <col min="2788" max="2788" width="1.53515625" style="2" customWidth="1"/>
    <col min="2789" max="2789" width="10.07421875" style="2" customWidth="1"/>
    <col min="2790" max="2790" width="2" style="2" customWidth="1"/>
    <col min="2791" max="2791" width="9.53515625" style="2" customWidth="1"/>
    <col min="2792" max="3034" width="9.07421875" style="2"/>
    <col min="3035" max="3035" width="4.53515625" style="2" customWidth="1"/>
    <col min="3036" max="3036" width="1" style="2" customWidth="1"/>
    <col min="3037" max="3037" width="18" style="2" customWidth="1"/>
    <col min="3038" max="3038" width="1.84375" style="2" customWidth="1"/>
    <col min="3039" max="3039" width="12.53515625" style="2" customWidth="1"/>
    <col min="3040" max="3040" width="1.53515625" style="2" customWidth="1"/>
    <col min="3041" max="3041" width="9.53515625" style="2" customWidth="1"/>
    <col min="3042" max="3042" width="1.84375" style="2" customWidth="1"/>
    <col min="3043" max="3043" width="11.84375" style="2" customWidth="1"/>
    <col min="3044" max="3044" width="1.53515625" style="2" customWidth="1"/>
    <col min="3045" max="3045" width="10.07421875" style="2" customWidth="1"/>
    <col min="3046" max="3046" width="2" style="2" customWidth="1"/>
    <col min="3047" max="3047" width="9.53515625" style="2" customWidth="1"/>
    <col min="3048" max="3290" width="9.07421875" style="2"/>
    <col min="3291" max="3291" width="4.53515625" style="2" customWidth="1"/>
    <col min="3292" max="3292" width="1" style="2" customWidth="1"/>
    <col min="3293" max="3293" width="18" style="2" customWidth="1"/>
    <col min="3294" max="3294" width="1.84375" style="2" customWidth="1"/>
    <col min="3295" max="3295" width="12.53515625" style="2" customWidth="1"/>
    <col min="3296" max="3296" width="1.53515625" style="2" customWidth="1"/>
    <col min="3297" max="3297" width="9.53515625" style="2" customWidth="1"/>
    <col min="3298" max="3298" width="1.84375" style="2" customWidth="1"/>
    <col min="3299" max="3299" width="11.84375" style="2" customWidth="1"/>
    <col min="3300" max="3300" width="1.53515625" style="2" customWidth="1"/>
    <col min="3301" max="3301" width="10.07421875" style="2" customWidth="1"/>
    <col min="3302" max="3302" width="2" style="2" customWidth="1"/>
    <col min="3303" max="3303" width="9.53515625" style="2" customWidth="1"/>
    <col min="3304" max="3546" width="9.07421875" style="2"/>
    <col min="3547" max="3547" width="4.53515625" style="2" customWidth="1"/>
    <col min="3548" max="3548" width="1" style="2" customWidth="1"/>
    <col min="3549" max="3549" width="18" style="2" customWidth="1"/>
    <col min="3550" max="3550" width="1.84375" style="2" customWidth="1"/>
    <col min="3551" max="3551" width="12.53515625" style="2" customWidth="1"/>
    <col min="3552" max="3552" width="1.53515625" style="2" customWidth="1"/>
    <col min="3553" max="3553" width="9.53515625" style="2" customWidth="1"/>
    <col min="3554" max="3554" width="1.84375" style="2" customWidth="1"/>
    <col min="3555" max="3555" width="11.84375" style="2" customWidth="1"/>
    <col min="3556" max="3556" width="1.53515625" style="2" customWidth="1"/>
    <col min="3557" max="3557" width="10.07421875" style="2" customWidth="1"/>
    <col min="3558" max="3558" width="2" style="2" customWidth="1"/>
    <col min="3559" max="3559" width="9.53515625" style="2" customWidth="1"/>
    <col min="3560" max="3802" width="9.07421875" style="2"/>
    <col min="3803" max="3803" width="4.53515625" style="2" customWidth="1"/>
    <col min="3804" max="3804" width="1" style="2" customWidth="1"/>
    <col min="3805" max="3805" width="18" style="2" customWidth="1"/>
    <col min="3806" max="3806" width="1.84375" style="2" customWidth="1"/>
    <col min="3807" max="3807" width="12.53515625" style="2" customWidth="1"/>
    <col min="3808" max="3808" width="1.53515625" style="2" customWidth="1"/>
    <col min="3809" max="3809" width="9.53515625" style="2" customWidth="1"/>
    <col min="3810" max="3810" width="1.84375" style="2" customWidth="1"/>
    <col min="3811" max="3811" width="11.84375" style="2" customWidth="1"/>
    <col min="3812" max="3812" width="1.53515625" style="2" customWidth="1"/>
    <col min="3813" max="3813" width="10.07421875" style="2" customWidth="1"/>
    <col min="3814" max="3814" width="2" style="2" customWidth="1"/>
    <col min="3815" max="3815" width="9.53515625" style="2" customWidth="1"/>
    <col min="3816" max="4058" width="9.07421875" style="2"/>
    <col min="4059" max="4059" width="4.53515625" style="2" customWidth="1"/>
    <col min="4060" max="4060" width="1" style="2" customWidth="1"/>
    <col min="4061" max="4061" width="18" style="2" customWidth="1"/>
    <col min="4062" max="4062" width="1.84375" style="2" customWidth="1"/>
    <col min="4063" max="4063" width="12.53515625" style="2" customWidth="1"/>
    <col min="4064" max="4064" width="1.53515625" style="2" customWidth="1"/>
    <col min="4065" max="4065" width="9.53515625" style="2" customWidth="1"/>
    <col min="4066" max="4066" width="1.84375" style="2" customWidth="1"/>
    <col min="4067" max="4067" width="11.84375" style="2" customWidth="1"/>
    <col min="4068" max="4068" width="1.53515625" style="2" customWidth="1"/>
    <col min="4069" max="4069" width="10.07421875" style="2" customWidth="1"/>
    <col min="4070" max="4070" width="2" style="2" customWidth="1"/>
    <col min="4071" max="4071" width="9.53515625" style="2" customWidth="1"/>
    <col min="4072" max="4314" width="9.07421875" style="2"/>
    <col min="4315" max="4315" width="4.53515625" style="2" customWidth="1"/>
    <col min="4316" max="4316" width="1" style="2" customWidth="1"/>
    <col min="4317" max="4317" width="18" style="2" customWidth="1"/>
    <col min="4318" max="4318" width="1.84375" style="2" customWidth="1"/>
    <col min="4319" max="4319" width="12.53515625" style="2" customWidth="1"/>
    <col min="4320" max="4320" width="1.53515625" style="2" customWidth="1"/>
    <col min="4321" max="4321" width="9.53515625" style="2" customWidth="1"/>
    <col min="4322" max="4322" width="1.84375" style="2" customWidth="1"/>
    <col min="4323" max="4323" width="11.84375" style="2" customWidth="1"/>
    <col min="4324" max="4324" width="1.53515625" style="2" customWidth="1"/>
    <col min="4325" max="4325" width="10.07421875" style="2" customWidth="1"/>
    <col min="4326" max="4326" width="2" style="2" customWidth="1"/>
    <col min="4327" max="4327" width="9.53515625" style="2" customWidth="1"/>
    <col min="4328" max="4570" width="9.07421875" style="2"/>
    <col min="4571" max="4571" width="4.53515625" style="2" customWidth="1"/>
    <col min="4572" max="4572" width="1" style="2" customWidth="1"/>
    <col min="4573" max="4573" width="18" style="2" customWidth="1"/>
    <col min="4574" max="4574" width="1.84375" style="2" customWidth="1"/>
    <col min="4575" max="4575" width="12.53515625" style="2" customWidth="1"/>
    <col min="4576" max="4576" width="1.53515625" style="2" customWidth="1"/>
    <col min="4577" max="4577" width="9.53515625" style="2" customWidth="1"/>
    <col min="4578" max="4578" width="1.84375" style="2" customWidth="1"/>
    <col min="4579" max="4579" width="11.84375" style="2" customWidth="1"/>
    <col min="4580" max="4580" width="1.53515625" style="2" customWidth="1"/>
    <col min="4581" max="4581" width="10.07421875" style="2" customWidth="1"/>
    <col min="4582" max="4582" width="2" style="2" customWidth="1"/>
    <col min="4583" max="4583" width="9.53515625" style="2" customWidth="1"/>
    <col min="4584" max="4826" width="9.07421875" style="2"/>
    <col min="4827" max="4827" width="4.53515625" style="2" customWidth="1"/>
    <col min="4828" max="4828" width="1" style="2" customWidth="1"/>
    <col min="4829" max="4829" width="18" style="2" customWidth="1"/>
    <col min="4830" max="4830" width="1.84375" style="2" customWidth="1"/>
    <col min="4831" max="4831" width="12.53515625" style="2" customWidth="1"/>
    <col min="4832" max="4832" width="1.53515625" style="2" customWidth="1"/>
    <col min="4833" max="4833" width="9.53515625" style="2" customWidth="1"/>
    <col min="4834" max="4834" width="1.84375" style="2" customWidth="1"/>
    <col min="4835" max="4835" width="11.84375" style="2" customWidth="1"/>
    <col min="4836" max="4836" width="1.53515625" style="2" customWidth="1"/>
    <col min="4837" max="4837" width="10.07421875" style="2" customWidth="1"/>
    <col min="4838" max="4838" width="2" style="2" customWidth="1"/>
    <col min="4839" max="4839" width="9.53515625" style="2" customWidth="1"/>
    <col min="4840" max="5082" width="9.07421875" style="2"/>
    <col min="5083" max="5083" width="4.53515625" style="2" customWidth="1"/>
    <col min="5084" max="5084" width="1" style="2" customWidth="1"/>
    <col min="5085" max="5085" width="18" style="2" customWidth="1"/>
    <col min="5086" max="5086" width="1.84375" style="2" customWidth="1"/>
    <col min="5087" max="5087" width="12.53515625" style="2" customWidth="1"/>
    <col min="5088" max="5088" width="1.53515625" style="2" customWidth="1"/>
    <col min="5089" max="5089" width="9.53515625" style="2" customWidth="1"/>
    <col min="5090" max="5090" width="1.84375" style="2" customWidth="1"/>
    <col min="5091" max="5091" width="11.84375" style="2" customWidth="1"/>
    <col min="5092" max="5092" width="1.53515625" style="2" customWidth="1"/>
    <col min="5093" max="5093" width="10.07421875" style="2" customWidth="1"/>
    <col min="5094" max="5094" width="2" style="2" customWidth="1"/>
    <col min="5095" max="5095" width="9.53515625" style="2" customWidth="1"/>
    <col min="5096" max="5338" width="9.07421875" style="2"/>
    <col min="5339" max="5339" width="4.53515625" style="2" customWidth="1"/>
    <col min="5340" max="5340" width="1" style="2" customWidth="1"/>
    <col min="5341" max="5341" width="18" style="2" customWidth="1"/>
    <col min="5342" max="5342" width="1.84375" style="2" customWidth="1"/>
    <col min="5343" max="5343" width="12.53515625" style="2" customWidth="1"/>
    <col min="5344" max="5344" width="1.53515625" style="2" customWidth="1"/>
    <col min="5345" max="5345" width="9.53515625" style="2" customWidth="1"/>
    <col min="5346" max="5346" width="1.84375" style="2" customWidth="1"/>
    <col min="5347" max="5347" width="11.84375" style="2" customWidth="1"/>
    <col min="5348" max="5348" width="1.53515625" style="2" customWidth="1"/>
    <col min="5349" max="5349" width="10.07421875" style="2" customWidth="1"/>
    <col min="5350" max="5350" width="2" style="2" customWidth="1"/>
    <col min="5351" max="5351" width="9.53515625" style="2" customWidth="1"/>
    <col min="5352" max="5594" width="9.07421875" style="2"/>
    <col min="5595" max="5595" width="4.53515625" style="2" customWidth="1"/>
    <col min="5596" max="5596" width="1" style="2" customWidth="1"/>
    <col min="5597" max="5597" width="18" style="2" customWidth="1"/>
    <col min="5598" max="5598" width="1.84375" style="2" customWidth="1"/>
    <col min="5599" max="5599" width="12.53515625" style="2" customWidth="1"/>
    <col min="5600" max="5600" width="1.53515625" style="2" customWidth="1"/>
    <col min="5601" max="5601" width="9.53515625" style="2" customWidth="1"/>
    <col min="5602" max="5602" width="1.84375" style="2" customWidth="1"/>
    <col min="5603" max="5603" width="11.84375" style="2" customWidth="1"/>
    <col min="5604" max="5604" width="1.53515625" style="2" customWidth="1"/>
    <col min="5605" max="5605" width="10.07421875" style="2" customWidth="1"/>
    <col min="5606" max="5606" width="2" style="2" customWidth="1"/>
    <col min="5607" max="5607" width="9.53515625" style="2" customWidth="1"/>
    <col min="5608" max="5850" width="9.07421875" style="2"/>
    <col min="5851" max="5851" width="4.53515625" style="2" customWidth="1"/>
    <col min="5852" max="5852" width="1" style="2" customWidth="1"/>
    <col min="5853" max="5853" width="18" style="2" customWidth="1"/>
    <col min="5854" max="5854" width="1.84375" style="2" customWidth="1"/>
    <col min="5855" max="5855" width="12.53515625" style="2" customWidth="1"/>
    <col min="5856" max="5856" width="1.53515625" style="2" customWidth="1"/>
    <col min="5857" max="5857" width="9.53515625" style="2" customWidth="1"/>
    <col min="5858" max="5858" width="1.84375" style="2" customWidth="1"/>
    <col min="5859" max="5859" width="11.84375" style="2" customWidth="1"/>
    <col min="5860" max="5860" width="1.53515625" style="2" customWidth="1"/>
    <col min="5861" max="5861" width="10.07421875" style="2" customWidth="1"/>
    <col min="5862" max="5862" width="2" style="2" customWidth="1"/>
    <col min="5863" max="5863" width="9.53515625" style="2" customWidth="1"/>
    <col min="5864" max="6106" width="9.07421875" style="2"/>
    <col min="6107" max="6107" width="4.53515625" style="2" customWidth="1"/>
    <col min="6108" max="6108" width="1" style="2" customWidth="1"/>
    <col min="6109" max="6109" width="18" style="2" customWidth="1"/>
    <col min="6110" max="6110" width="1.84375" style="2" customWidth="1"/>
    <col min="6111" max="6111" width="12.53515625" style="2" customWidth="1"/>
    <col min="6112" max="6112" width="1.53515625" style="2" customWidth="1"/>
    <col min="6113" max="6113" width="9.53515625" style="2" customWidth="1"/>
    <col min="6114" max="6114" width="1.84375" style="2" customWidth="1"/>
    <col min="6115" max="6115" width="11.84375" style="2" customWidth="1"/>
    <col min="6116" max="6116" width="1.53515625" style="2" customWidth="1"/>
    <col min="6117" max="6117" width="10.07421875" style="2" customWidth="1"/>
    <col min="6118" max="6118" width="2" style="2" customWidth="1"/>
    <col min="6119" max="6119" width="9.53515625" style="2" customWidth="1"/>
    <col min="6120" max="6362" width="9.07421875" style="2"/>
    <col min="6363" max="6363" width="4.53515625" style="2" customWidth="1"/>
    <col min="6364" max="6364" width="1" style="2" customWidth="1"/>
    <col min="6365" max="6365" width="18" style="2" customWidth="1"/>
    <col min="6366" max="6366" width="1.84375" style="2" customWidth="1"/>
    <col min="6367" max="6367" width="12.53515625" style="2" customWidth="1"/>
    <col min="6368" max="6368" width="1.53515625" style="2" customWidth="1"/>
    <col min="6369" max="6369" width="9.53515625" style="2" customWidth="1"/>
    <col min="6370" max="6370" width="1.84375" style="2" customWidth="1"/>
    <col min="6371" max="6371" width="11.84375" style="2" customWidth="1"/>
    <col min="6372" max="6372" width="1.53515625" style="2" customWidth="1"/>
    <col min="6373" max="6373" width="10.07421875" style="2" customWidth="1"/>
    <col min="6374" max="6374" width="2" style="2" customWidth="1"/>
    <col min="6375" max="6375" width="9.53515625" style="2" customWidth="1"/>
    <col min="6376" max="6618" width="9.07421875" style="2"/>
    <col min="6619" max="6619" width="4.53515625" style="2" customWidth="1"/>
    <col min="6620" max="6620" width="1" style="2" customWidth="1"/>
    <col min="6621" max="6621" width="18" style="2" customWidth="1"/>
    <col min="6622" max="6622" width="1.84375" style="2" customWidth="1"/>
    <col min="6623" max="6623" width="12.53515625" style="2" customWidth="1"/>
    <col min="6624" max="6624" width="1.53515625" style="2" customWidth="1"/>
    <col min="6625" max="6625" width="9.53515625" style="2" customWidth="1"/>
    <col min="6626" max="6626" width="1.84375" style="2" customWidth="1"/>
    <col min="6627" max="6627" width="11.84375" style="2" customWidth="1"/>
    <col min="6628" max="6628" width="1.53515625" style="2" customWidth="1"/>
    <col min="6629" max="6629" width="10.07421875" style="2" customWidth="1"/>
    <col min="6630" max="6630" width="2" style="2" customWidth="1"/>
    <col min="6631" max="6631" width="9.53515625" style="2" customWidth="1"/>
    <col min="6632" max="6874" width="9.07421875" style="2"/>
    <col min="6875" max="6875" width="4.53515625" style="2" customWidth="1"/>
    <col min="6876" max="6876" width="1" style="2" customWidth="1"/>
    <col min="6877" max="6877" width="18" style="2" customWidth="1"/>
    <col min="6878" max="6878" width="1.84375" style="2" customWidth="1"/>
    <col min="6879" max="6879" width="12.53515625" style="2" customWidth="1"/>
    <col min="6880" max="6880" width="1.53515625" style="2" customWidth="1"/>
    <col min="6881" max="6881" width="9.53515625" style="2" customWidth="1"/>
    <col min="6882" max="6882" width="1.84375" style="2" customWidth="1"/>
    <col min="6883" max="6883" width="11.84375" style="2" customWidth="1"/>
    <col min="6884" max="6884" width="1.53515625" style="2" customWidth="1"/>
    <col min="6885" max="6885" width="10.07421875" style="2" customWidth="1"/>
    <col min="6886" max="6886" width="2" style="2" customWidth="1"/>
    <col min="6887" max="6887" width="9.53515625" style="2" customWidth="1"/>
    <col min="6888" max="7130" width="9.07421875" style="2"/>
    <col min="7131" max="7131" width="4.53515625" style="2" customWidth="1"/>
    <col min="7132" max="7132" width="1" style="2" customWidth="1"/>
    <col min="7133" max="7133" width="18" style="2" customWidth="1"/>
    <col min="7134" max="7134" width="1.84375" style="2" customWidth="1"/>
    <col min="7135" max="7135" width="12.53515625" style="2" customWidth="1"/>
    <col min="7136" max="7136" width="1.53515625" style="2" customWidth="1"/>
    <col min="7137" max="7137" width="9.53515625" style="2" customWidth="1"/>
    <col min="7138" max="7138" width="1.84375" style="2" customWidth="1"/>
    <col min="7139" max="7139" width="11.84375" style="2" customWidth="1"/>
    <col min="7140" max="7140" width="1.53515625" style="2" customWidth="1"/>
    <col min="7141" max="7141" width="10.07421875" style="2" customWidth="1"/>
    <col min="7142" max="7142" width="2" style="2" customWidth="1"/>
    <col min="7143" max="7143" width="9.53515625" style="2" customWidth="1"/>
    <col min="7144" max="7386" width="9.07421875" style="2"/>
    <col min="7387" max="7387" width="4.53515625" style="2" customWidth="1"/>
    <col min="7388" max="7388" width="1" style="2" customWidth="1"/>
    <col min="7389" max="7389" width="18" style="2" customWidth="1"/>
    <col min="7390" max="7390" width="1.84375" style="2" customWidth="1"/>
    <col min="7391" max="7391" width="12.53515625" style="2" customWidth="1"/>
    <col min="7392" max="7392" width="1.53515625" style="2" customWidth="1"/>
    <col min="7393" max="7393" width="9.53515625" style="2" customWidth="1"/>
    <col min="7394" max="7394" width="1.84375" style="2" customWidth="1"/>
    <col min="7395" max="7395" width="11.84375" style="2" customWidth="1"/>
    <col min="7396" max="7396" width="1.53515625" style="2" customWidth="1"/>
    <col min="7397" max="7397" width="10.07421875" style="2" customWidth="1"/>
    <col min="7398" max="7398" width="2" style="2" customWidth="1"/>
    <col min="7399" max="7399" width="9.53515625" style="2" customWidth="1"/>
    <col min="7400" max="7642" width="9.07421875" style="2"/>
    <col min="7643" max="7643" width="4.53515625" style="2" customWidth="1"/>
    <col min="7644" max="7644" width="1" style="2" customWidth="1"/>
    <col min="7645" max="7645" width="18" style="2" customWidth="1"/>
    <col min="7646" max="7646" width="1.84375" style="2" customWidth="1"/>
    <col min="7647" max="7647" width="12.53515625" style="2" customWidth="1"/>
    <col min="7648" max="7648" width="1.53515625" style="2" customWidth="1"/>
    <col min="7649" max="7649" width="9.53515625" style="2" customWidth="1"/>
    <col min="7650" max="7650" width="1.84375" style="2" customWidth="1"/>
    <col min="7651" max="7651" width="11.84375" style="2" customWidth="1"/>
    <col min="7652" max="7652" width="1.53515625" style="2" customWidth="1"/>
    <col min="7653" max="7653" width="10.07421875" style="2" customWidth="1"/>
    <col min="7654" max="7654" width="2" style="2" customWidth="1"/>
    <col min="7655" max="7655" width="9.53515625" style="2" customWidth="1"/>
    <col min="7656" max="7898" width="9.07421875" style="2"/>
    <col min="7899" max="7899" width="4.53515625" style="2" customWidth="1"/>
    <col min="7900" max="7900" width="1" style="2" customWidth="1"/>
    <col min="7901" max="7901" width="18" style="2" customWidth="1"/>
    <col min="7902" max="7902" width="1.84375" style="2" customWidth="1"/>
    <col min="7903" max="7903" width="12.53515625" style="2" customWidth="1"/>
    <col min="7904" max="7904" width="1.53515625" style="2" customWidth="1"/>
    <col min="7905" max="7905" width="9.53515625" style="2" customWidth="1"/>
    <col min="7906" max="7906" width="1.84375" style="2" customWidth="1"/>
    <col min="7907" max="7907" width="11.84375" style="2" customWidth="1"/>
    <col min="7908" max="7908" width="1.53515625" style="2" customWidth="1"/>
    <col min="7909" max="7909" width="10.07421875" style="2" customWidth="1"/>
    <col min="7910" max="7910" width="2" style="2" customWidth="1"/>
    <col min="7911" max="7911" width="9.53515625" style="2" customWidth="1"/>
    <col min="7912" max="8154" width="9.07421875" style="2"/>
    <col min="8155" max="8155" width="4.53515625" style="2" customWidth="1"/>
    <col min="8156" max="8156" width="1" style="2" customWidth="1"/>
    <col min="8157" max="8157" width="18" style="2" customWidth="1"/>
    <col min="8158" max="8158" width="1.84375" style="2" customWidth="1"/>
    <col min="8159" max="8159" width="12.53515625" style="2" customWidth="1"/>
    <col min="8160" max="8160" width="1.53515625" style="2" customWidth="1"/>
    <col min="8161" max="8161" width="9.53515625" style="2" customWidth="1"/>
    <col min="8162" max="8162" width="1.84375" style="2" customWidth="1"/>
    <col min="8163" max="8163" width="11.84375" style="2" customWidth="1"/>
    <col min="8164" max="8164" width="1.53515625" style="2" customWidth="1"/>
    <col min="8165" max="8165" width="10.07421875" style="2" customWidth="1"/>
    <col min="8166" max="8166" width="2" style="2" customWidth="1"/>
    <col min="8167" max="8167" width="9.53515625" style="2" customWidth="1"/>
    <col min="8168" max="8410" width="9.07421875" style="2"/>
    <col min="8411" max="8411" width="4.53515625" style="2" customWidth="1"/>
    <col min="8412" max="8412" width="1" style="2" customWidth="1"/>
    <col min="8413" max="8413" width="18" style="2" customWidth="1"/>
    <col min="8414" max="8414" width="1.84375" style="2" customWidth="1"/>
    <col min="8415" max="8415" width="12.53515625" style="2" customWidth="1"/>
    <col min="8416" max="8416" width="1.53515625" style="2" customWidth="1"/>
    <col min="8417" max="8417" width="9.53515625" style="2" customWidth="1"/>
    <col min="8418" max="8418" width="1.84375" style="2" customWidth="1"/>
    <col min="8419" max="8419" width="11.84375" style="2" customWidth="1"/>
    <col min="8420" max="8420" width="1.53515625" style="2" customWidth="1"/>
    <col min="8421" max="8421" width="10.07421875" style="2" customWidth="1"/>
    <col min="8422" max="8422" width="2" style="2" customWidth="1"/>
    <col min="8423" max="8423" width="9.53515625" style="2" customWidth="1"/>
    <col min="8424" max="8666" width="9.07421875" style="2"/>
    <col min="8667" max="8667" width="4.53515625" style="2" customWidth="1"/>
    <col min="8668" max="8668" width="1" style="2" customWidth="1"/>
    <col min="8669" max="8669" width="18" style="2" customWidth="1"/>
    <col min="8670" max="8670" width="1.84375" style="2" customWidth="1"/>
    <col min="8671" max="8671" width="12.53515625" style="2" customWidth="1"/>
    <col min="8672" max="8672" width="1.53515625" style="2" customWidth="1"/>
    <col min="8673" max="8673" width="9.53515625" style="2" customWidth="1"/>
    <col min="8674" max="8674" width="1.84375" style="2" customWidth="1"/>
    <col min="8675" max="8675" width="11.84375" style="2" customWidth="1"/>
    <col min="8676" max="8676" width="1.53515625" style="2" customWidth="1"/>
    <col min="8677" max="8677" width="10.07421875" style="2" customWidth="1"/>
    <col min="8678" max="8678" width="2" style="2" customWidth="1"/>
    <col min="8679" max="8679" width="9.53515625" style="2" customWidth="1"/>
    <col min="8680" max="8922" width="9.07421875" style="2"/>
    <col min="8923" max="8923" width="4.53515625" style="2" customWidth="1"/>
    <col min="8924" max="8924" width="1" style="2" customWidth="1"/>
    <col min="8925" max="8925" width="18" style="2" customWidth="1"/>
    <col min="8926" max="8926" width="1.84375" style="2" customWidth="1"/>
    <col min="8927" max="8927" width="12.53515625" style="2" customWidth="1"/>
    <col min="8928" max="8928" width="1.53515625" style="2" customWidth="1"/>
    <col min="8929" max="8929" width="9.53515625" style="2" customWidth="1"/>
    <col min="8930" max="8930" width="1.84375" style="2" customWidth="1"/>
    <col min="8931" max="8931" width="11.84375" style="2" customWidth="1"/>
    <col min="8932" max="8932" width="1.53515625" style="2" customWidth="1"/>
    <col min="8933" max="8933" width="10.07421875" style="2" customWidth="1"/>
    <col min="8934" max="8934" width="2" style="2" customWidth="1"/>
    <col min="8935" max="8935" width="9.53515625" style="2" customWidth="1"/>
    <col min="8936" max="9178" width="9.07421875" style="2"/>
    <col min="9179" max="9179" width="4.53515625" style="2" customWidth="1"/>
    <col min="9180" max="9180" width="1" style="2" customWidth="1"/>
    <col min="9181" max="9181" width="18" style="2" customWidth="1"/>
    <col min="9182" max="9182" width="1.84375" style="2" customWidth="1"/>
    <col min="9183" max="9183" width="12.53515625" style="2" customWidth="1"/>
    <col min="9184" max="9184" width="1.53515625" style="2" customWidth="1"/>
    <col min="9185" max="9185" width="9.53515625" style="2" customWidth="1"/>
    <col min="9186" max="9186" width="1.84375" style="2" customWidth="1"/>
    <col min="9187" max="9187" width="11.84375" style="2" customWidth="1"/>
    <col min="9188" max="9188" width="1.53515625" style="2" customWidth="1"/>
    <col min="9189" max="9189" width="10.07421875" style="2" customWidth="1"/>
    <col min="9190" max="9190" width="2" style="2" customWidth="1"/>
    <col min="9191" max="9191" width="9.53515625" style="2" customWidth="1"/>
    <col min="9192" max="9434" width="9.07421875" style="2"/>
    <col min="9435" max="9435" width="4.53515625" style="2" customWidth="1"/>
    <col min="9436" max="9436" width="1" style="2" customWidth="1"/>
    <col min="9437" max="9437" width="18" style="2" customWidth="1"/>
    <col min="9438" max="9438" width="1.84375" style="2" customWidth="1"/>
    <col min="9439" max="9439" width="12.53515625" style="2" customWidth="1"/>
    <col min="9440" max="9440" width="1.53515625" style="2" customWidth="1"/>
    <col min="9441" max="9441" width="9.53515625" style="2" customWidth="1"/>
    <col min="9442" max="9442" width="1.84375" style="2" customWidth="1"/>
    <col min="9443" max="9443" width="11.84375" style="2" customWidth="1"/>
    <col min="9444" max="9444" width="1.53515625" style="2" customWidth="1"/>
    <col min="9445" max="9445" width="10.07421875" style="2" customWidth="1"/>
    <col min="9446" max="9446" width="2" style="2" customWidth="1"/>
    <col min="9447" max="9447" width="9.53515625" style="2" customWidth="1"/>
    <col min="9448" max="9690" width="9.07421875" style="2"/>
    <col min="9691" max="9691" width="4.53515625" style="2" customWidth="1"/>
    <col min="9692" max="9692" width="1" style="2" customWidth="1"/>
    <col min="9693" max="9693" width="18" style="2" customWidth="1"/>
    <col min="9694" max="9694" width="1.84375" style="2" customWidth="1"/>
    <col min="9695" max="9695" width="12.53515625" style="2" customWidth="1"/>
    <col min="9696" max="9696" width="1.53515625" style="2" customWidth="1"/>
    <col min="9697" max="9697" width="9.53515625" style="2" customWidth="1"/>
    <col min="9698" max="9698" width="1.84375" style="2" customWidth="1"/>
    <col min="9699" max="9699" width="11.84375" style="2" customWidth="1"/>
    <col min="9700" max="9700" width="1.53515625" style="2" customWidth="1"/>
    <col min="9701" max="9701" width="10.07421875" style="2" customWidth="1"/>
    <col min="9702" max="9702" width="2" style="2" customWidth="1"/>
    <col min="9703" max="9703" width="9.53515625" style="2" customWidth="1"/>
    <col min="9704" max="9946" width="9.07421875" style="2"/>
    <col min="9947" max="9947" width="4.53515625" style="2" customWidth="1"/>
    <col min="9948" max="9948" width="1" style="2" customWidth="1"/>
    <col min="9949" max="9949" width="18" style="2" customWidth="1"/>
    <col min="9950" max="9950" width="1.84375" style="2" customWidth="1"/>
    <col min="9951" max="9951" width="12.53515625" style="2" customWidth="1"/>
    <col min="9952" max="9952" width="1.53515625" style="2" customWidth="1"/>
    <col min="9953" max="9953" width="9.53515625" style="2" customWidth="1"/>
    <col min="9954" max="9954" width="1.84375" style="2" customWidth="1"/>
    <col min="9955" max="9955" width="11.84375" style="2" customWidth="1"/>
    <col min="9956" max="9956" width="1.53515625" style="2" customWidth="1"/>
    <col min="9957" max="9957" width="10.07421875" style="2" customWidth="1"/>
    <col min="9958" max="9958" width="2" style="2" customWidth="1"/>
    <col min="9959" max="9959" width="9.53515625" style="2" customWidth="1"/>
    <col min="9960" max="10202" width="9.07421875" style="2"/>
    <col min="10203" max="10203" width="4.53515625" style="2" customWidth="1"/>
    <col min="10204" max="10204" width="1" style="2" customWidth="1"/>
    <col min="10205" max="10205" width="18" style="2" customWidth="1"/>
    <col min="10206" max="10206" width="1.84375" style="2" customWidth="1"/>
    <col min="10207" max="10207" width="12.53515625" style="2" customWidth="1"/>
    <col min="10208" max="10208" width="1.53515625" style="2" customWidth="1"/>
    <col min="10209" max="10209" width="9.53515625" style="2" customWidth="1"/>
    <col min="10210" max="10210" width="1.84375" style="2" customWidth="1"/>
    <col min="10211" max="10211" width="11.84375" style="2" customWidth="1"/>
    <col min="10212" max="10212" width="1.53515625" style="2" customWidth="1"/>
    <col min="10213" max="10213" width="10.07421875" style="2" customWidth="1"/>
    <col min="10214" max="10214" width="2" style="2" customWidth="1"/>
    <col min="10215" max="10215" width="9.53515625" style="2" customWidth="1"/>
    <col min="10216" max="10458" width="9.07421875" style="2"/>
    <col min="10459" max="10459" width="4.53515625" style="2" customWidth="1"/>
    <col min="10460" max="10460" width="1" style="2" customWidth="1"/>
    <col min="10461" max="10461" width="18" style="2" customWidth="1"/>
    <col min="10462" max="10462" width="1.84375" style="2" customWidth="1"/>
    <col min="10463" max="10463" width="12.53515625" style="2" customWidth="1"/>
    <col min="10464" max="10464" width="1.53515625" style="2" customWidth="1"/>
    <col min="10465" max="10465" width="9.53515625" style="2" customWidth="1"/>
    <col min="10466" max="10466" width="1.84375" style="2" customWidth="1"/>
    <col min="10467" max="10467" width="11.84375" style="2" customWidth="1"/>
    <col min="10468" max="10468" width="1.53515625" style="2" customWidth="1"/>
    <col min="10469" max="10469" width="10.07421875" style="2" customWidth="1"/>
    <col min="10470" max="10470" width="2" style="2" customWidth="1"/>
    <col min="10471" max="10471" width="9.53515625" style="2" customWidth="1"/>
    <col min="10472" max="10714" width="9.07421875" style="2"/>
    <col min="10715" max="10715" width="4.53515625" style="2" customWidth="1"/>
    <col min="10716" max="10716" width="1" style="2" customWidth="1"/>
    <col min="10717" max="10717" width="18" style="2" customWidth="1"/>
    <col min="10718" max="10718" width="1.84375" style="2" customWidth="1"/>
    <col min="10719" max="10719" width="12.53515625" style="2" customWidth="1"/>
    <col min="10720" max="10720" width="1.53515625" style="2" customWidth="1"/>
    <col min="10721" max="10721" width="9.53515625" style="2" customWidth="1"/>
    <col min="10722" max="10722" width="1.84375" style="2" customWidth="1"/>
    <col min="10723" max="10723" width="11.84375" style="2" customWidth="1"/>
    <col min="10724" max="10724" width="1.53515625" style="2" customWidth="1"/>
    <col min="10725" max="10725" width="10.07421875" style="2" customWidth="1"/>
    <col min="10726" max="10726" width="2" style="2" customWidth="1"/>
    <col min="10727" max="10727" width="9.53515625" style="2" customWidth="1"/>
    <col min="10728" max="10970" width="9.07421875" style="2"/>
    <col min="10971" max="10971" width="4.53515625" style="2" customWidth="1"/>
    <col min="10972" max="10972" width="1" style="2" customWidth="1"/>
    <col min="10973" max="10973" width="18" style="2" customWidth="1"/>
    <col min="10974" max="10974" width="1.84375" style="2" customWidth="1"/>
    <col min="10975" max="10975" width="12.53515625" style="2" customWidth="1"/>
    <col min="10976" max="10976" width="1.53515625" style="2" customWidth="1"/>
    <col min="10977" max="10977" width="9.53515625" style="2" customWidth="1"/>
    <col min="10978" max="10978" width="1.84375" style="2" customWidth="1"/>
    <col min="10979" max="10979" width="11.84375" style="2" customWidth="1"/>
    <col min="10980" max="10980" width="1.53515625" style="2" customWidth="1"/>
    <col min="10981" max="10981" width="10.07421875" style="2" customWidth="1"/>
    <col min="10982" max="10982" width="2" style="2" customWidth="1"/>
    <col min="10983" max="10983" width="9.53515625" style="2" customWidth="1"/>
    <col min="10984" max="11226" width="9.07421875" style="2"/>
    <col min="11227" max="11227" width="4.53515625" style="2" customWidth="1"/>
    <col min="11228" max="11228" width="1" style="2" customWidth="1"/>
    <col min="11229" max="11229" width="18" style="2" customWidth="1"/>
    <col min="11230" max="11230" width="1.84375" style="2" customWidth="1"/>
    <col min="11231" max="11231" width="12.53515625" style="2" customWidth="1"/>
    <col min="11232" max="11232" width="1.53515625" style="2" customWidth="1"/>
    <col min="11233" max="11233" width="9.53515625" style="2" customWidth="1"/>
    <col min="11234" max="11234" width="1.84375" style="2" customWidth="1"/>
    <col min="11235" max="11235" width="11.84375" style="2" customWidth="1"/>
    <col min="11236" max="11236" width="1.53515625" style="2" customWidth="1"/>
    <col min="11237" max="11237" width="10.07421875" style="2" customWidth="1"/>
    <col min="11238" max="11238" width="2" style="2" customWidth="1"/>
    <col min="11239" max="11239" width="9.53515625" style="2" customWidth="1"/>
    <col min="11240" max="11482" width="9.07421875" style="2"/>
    <col min="11483" max="11483" width="4.53515625" style="2" customWidth="1"/>
    <col min="11484" max="11484" width="1" style="2" customWidth="1"/>
    <col min="11485" max="11485" width="18" style="2" customWidth="1"/>
    <col min="11486" max="11486" width="1.84375" style="2" customWidth="1"/>
    <col min="11487" max="11487" width="12.53515625" style="2" customWidth="1"/>
    <col min="11488" max="11488" width="1.53515625" style="2" customWidth="1"/>
    <col min="11489" max="11489" width="9.53515625" style="2" customWidth="1"/>
    <col min="11490" max="11490" width="1.84375" style="2" customWidth="1"/>
    <col min="11491" max="11491" width="11.84375" style="2" customWidth="1"/>
    <col min="11492" max="11492" width="1.53515625" style="2" customWidth="1"/>
    <col min="11493" max="11493" width="10.07421875" style="2" customWidth="1"/>
    <col min="11494" max="11494" width="2" style="2" customWidth="1"/>
    <col min="11495" max="11495" width="9.53515625" style="2" customWidth="1"/>
    <col min="11496" max="11738" width="9.07421875" style="2"/>
    <col min="11739" max="11739" width="4.53515625" style="2" customWidth="1"/>
    <col min="11740" max="11740" width="1" style="2" customWidth="1"/>
    <col min="11741" max="11741" width="18" style="2" customWidth="1"/>
    <col min="11742" max="11742" width="1.84375" style="2" customWidth="1"/>
    <col min="11743" max="11743" width="12.53515625" style="2" customWidth="1"/>
    <col min="11744" max="11744" width="1.53515625" style="2" customWidth="1"/>
    <col min="11745" max="11745" width="9.53515625" style="2" customWidth="1"/>
    <col min="11746" max="11746" width="1.84375" style="2" customWidth="1"/>
    <col min="11747" max="11747" width="11.84375" style="2" customWidth="1"/>
    <col min="11748" max="11748" width="1.53515625" style="2" customWidth="1"/>
    <col min="11749" max="11749" width="10.07421875" style="2" customWidth="1"/>
    <col min="11750" max="11750" width="2" style="2" customWidth="1"/>
    <col min="11751" max="11751" width="9.53515625" style="2" customWidth="1"/>
    <col min="11752" max="11994" width="9.07421875" style="2"/>
    <col min="11995" max="11995" width="4.53515625" style="2" customWidth="1"/>
    <col min="11996" max="11996" width="1" style="2" customWidth="1"/>
    <col min="11997" max="11997" width="18" style="2" customWidth="1"/>
    <col min="11998" max="11998" width="1.84375" style="2" customWidth="1"/>
    <col min="11999" max="11999" width="12.53515625" style="2" customWidth="1"/>
    <col min="12000" max="12000" width="1.53515625" style="2" customWidth="1"/>
    <col min="12001" max="12001" width="9.53515625" style="2" customWidth="1"/>
    <col min="12002" max="12002" width="1.84375" style="2" customWidth="1"/>
    <col min="12003" max="12003" width="11.84375" style="2" customWidth="1"/>
    <col min="12004" max="12004" width="1.53515625" style="2" customWidth="1"/>
    <col min="12005" max="12005" width="10.07421875" style="2" customWidth="1"/>
    <col min="12006" max="12006" width="2" style="2" customWidth="1"/>
    <col min="12007" max="12007" width="9.53515625" style="2" customWidth="1"/>
    <col min="12008" max="12250" width="9.07421875" style="2"/>
    <col min="12251" max="12251" width="4.53515625" style="2" customWidth="1"/>
    <col min="12252" max="12252" width="1" style="2" customWidth="1"/>
    <col min="12253" max="12253" width="18" style="2" customWidth="1"/>
    <col min="12254" max="12254" width="1.84375" style="2" customWidth="1"/>
    <col min="12255" max="12255" width="12.53515625" style="2" customWidth="1"/>
    <col min="12256" max="12256" width="1.53515625" style="2" customWidth="1"/>
    <col min="12257" max="12257" width="9.53515625" style="2" customWidth="1"/>
    <col min="12258" max="12258" width="1.84375" style="2" customWidth="1"/>
    <col min="12259" max="12259" width="11.84375" style="2" customWidth="1"/>
    <col min="12260" max="12260" width="1.53515625" style="2" customWidth="1"/>
    <col min="12261" max="12261" width="10.07421875" style="2" customWidth="1"/>
    <col min="12262" max="12262" width="2" style="2" customWidth="1"/>
    <col min="12263" max="12263" width="9.53515625" style="2" customWidth="1"/>
    <col min="12264" max="12506" width="9.07421875" style="2"/>
    <col min="12507" max="12507" width="4.53515625" style="2" customWidth="1"/>
    <col min="12508" max="12508" width="1" style="2" customWidth="1"/>
    <col min="12509" max="12509" width="18" style="2" customWidth="1"/>
    <col min="12510" max="12510" width="1.84375" style="2" customWidth="1"/>
    <col min="12511" max="12511" width="12.53515625" style="2" customWidth="1"/>
    <col min="12512" max="12512" width="1.53515625" style="2" customWidth="1"/>
    <col min="12513" max="12513" width="9.53515625" style="2" customWidth="1"/>
    <col min="12514" max="12514" width="1.84375" style="2" customWidth="1"/>
    <col min="12515" max="12515" width="11.84375" style="2" customWidth="1"/>
    <col min="12516" max="12516" width="1.53515625" style="2" customWidth="1"/>
    <col min="12517" max="12517" width="10.07421875" style="2" customWidth="1"/>
    <col min="12518" max="12518" width="2" style="2" customWidth="1"/>
    <col min="12519" max="12519" width="9.53515625" style="2" customWidth="1"/>
    <col min="12520" max="12762" width="9.07421875" style="2"/>
    <col min="12763" max="12763" width="4.53515625" style="2" customWidth="1"/>
    <col min="12764" max="12764" width="1" style="2" customWidth="1"/>
    <col min="12765" max="12765" width="18" style="2" customWidth="1"/>
    <col min="12766" max="12766" width="1.84375" style="2" customWidth="1"/>
    <col min="12767" max="12767" width="12.53515625" style="2" customWidth="1"/>
    <col min="12768" max="12768" width="1.53515625" style="2" customWidth="1"/>
    <col min="12769" max="12769" width="9.53515625" style="2" customWidth="1"/>
    <col min="12770" max="12770" width="1.84375" style="2" customWidth="1"/>
    <col min="12771" max="12771" width="11.84375" style="2" customWidth="1"/>
    <col min="12772" max="12772" width="1.53515625" style="2" customWidth="1"/>
    <col min="12773" max="12773" width="10.07421875" style="2" customWidth="1"/>
    <col min="12774" max="12774" width="2" style="2" customWidth="1"/>
    <col min="12775" max="12775" width="9.53515625" style="2" customWidth="1"/>
    <col min="12776" max="13018" width="9.07421875" style="2"/>
    <col min="13019" max="13019" width="4.53515625" style="2" customWidth="1"/>
    <col min="13020" max="13020" width="1" style="2" customWidth="1"/>
    <col min="13021" max="13021" width="18" style="2" customWidth="1"/>
    <col min="13022" max="13022" width="1.84375" style="2" customWidth="1"/>
    <col min="13023" max="13023" width="12.53515625" style="2" customWidth="1"/>
    <col min="13024" max="13024" width="1.53515625" style="2" customWidth="1"/>
    <col min="13025" max="13025" width="9.53515625" style="2" customWidth="1"/>
    <col min="13026" max="13026" width="1.84375" style="2" customWidth="1"/>
    <col min="13027" max="13027" width="11.84375" style="2" customWidth="1"/>
    <col min="13028" max="13028" width="1.53515625" style="2" customWidth="1"/>
    <col min="13029" max="13029" width="10.07421875" style="2" customWidth="1"/>
    <col min="13030" max="13030" width="2" style="2" customWidth="1"/>
    <col min="13031" max="13031" width="9.53515625" style="2" customWidth="1"/>
    <col min="13032" max="13274" width="9.07421875" style="2"/>
    <col min="13275" max="13275" width="4.53515625" style="2" customWidth="1"/>
    <col min="13276" max="13276" width="1" style="2" customWidth="1"/>
    <col min="13277" max="13277" width="18" style="2" customWidth="1"/>
    <col min="13278" max="13278" width="1.84375" style="2" customWidth="1"/>
    <col min="13279" max="13279" width="12.53515625" style="2" customWidth="1"/>
    <col min="13280" max="13280" width="1.53515625" style="2" customWidth="1"/>
    <col min="13281" max="13281" width="9.53515625" style="2" customWidth="1"/>
    <col min="13282" max="13282" width="1.84375" style="2" customWidth="1"/>
    <col min="13283" max="13283" width="11.84375" style="2" customWidth="1"/>
    <col min="13284" max="13284" width="1.53515625" style="2" customWidth="1"/>
    <col min="13285" max="13285" width="10.07421875" style="2" customWidth="1"/>
    <col min="13286" max="13286" width="2" style="2" customWidth="1"/>
    <col min="13287" max="13287" width="9.53515625" style="2" customWidth="1"/>
    <col min="13288" max="13530" width="9.07421875" style="2"/>
    <col min="13531" max="13531" width="4.53515625" style="2" customWidth="1"/>
    <col min="13532" max="13532" width="1" style="2" customWidth="1"/>
    <col min="13533" max="13533" width="18" style="2" customWidth="1"/>
    <col min="13534" max="13534" width="1.84375" style="2" customWidth="1"/>
    <col min="13535" max="13535" width="12.53515625" style="2" customWidth="1"/>
    <col min="13536" max="13536" width="1.53515625" style="2" customWidth="1"/>
    <col min="13537" max="13537" width="9.53515625" style="2" customWidth="1"/>
    <col min="13538" max="13538" width="1.84375" style="2" customWidth="1"/>
    <col min="13539" max="13539" width="11.84375" style="2" customWidth="1"/>
    <col min="13540" max="13540" width="1.53515625" style="2" customWidth="1"/>
    <col min="13541" max="13541" width="10.07421875" style="2" customWidth="1"/>
    <col min="13542" max="13542" width="2" style="2" customWidth="1"/>
    <col min="13543" max="13543" width="9.53515625" style="2" customWidth="1"/>
    <col min="13544" max="13786" width="9.07421875" style="2"/>
    <col min="13787" max="13787" width="4.53515625" style="2" customWidth="1"/>
    <col min="13788" max="13788" width="1" style="2" customWidth="1"/>
    <col min="13789" max="13789" width="18" style="2" customWidth="1"/>
    <col min="13790" max="13790" width="1.84375" style="2" customWidth="1"/>
    <col min="13791" max="13791" width="12.53515625" style="2" customWidth="1"/>
    <col min="13792" max="13792" width="1.53515625" style="2" customWidth="1"/>
    <col min="13793" max="13793" width="9.53515625" style="2" customWidth="1"/>
    <col min="13794" max="13794" width="1.84375" style="2" customWidth="1"/>
    <col min="13795" max="13795" width="11.84375" style="2" customWidth="1"/>
    <col min="13796" max="13796" width="1.53515625" style="2" customWidth="1"/>
    <col min="13797" max="13797" width="10.07421875" style="2" customWidth="1"/>
    <col min="13798" max="13798" width="2" style="2" customWidth="1"/>
    <col min="13799" max="13799" width="9.53515625" style="2" customWidth="1"/>
    <col min="13800" max="14042" width="9.07421875" style="2"/>
    <col min="14043" max="14043" width="4.53515625" style="2" customWidth="1"/>
    <col min="14044" max="14044" width="1" style="2" customWidth="1"/>
    <col min="14045" max="14045" width="18" style="2" customWidth="1"/>
    <col min="14046" max="14046" width="1.84375" style="2" customWidth="1"/>
    <col min="14047" max="14047" width="12.53515625" style="2" customWidth="1"/>
    <col min="14048" max="14048" width="1.53515625" style="2" customWidth="1"/>
    <col min="14049" max="14049" width="9.53515625" style="2" customWidth="1"/>
    <col min="14050" max="14050" width="1.84375" style="2" customWidth="1"/>
    <col min="14051" max="14051" width="11.84375" style="2" customWidth="1"/>
    <col min="14052" max="14052" width="1.53515625" style="2" customWidth="1"/>
    <col min="14053" max="14053" width="10.07421875" style="2" customWidth="1"/>
    <col min="14054" max="14054" width="2" style="2" customWidth="1"/>
    <col min="14055" max="14055" width="9.53515625" style="2" customWidth="1"/>
    <col min="14056" max="14298" width="9.07421875" style="2"/>
    <col min="14299" max="14299" width="4.53515625" style="2" customWidth="1"/>
    <col min="14300" max="14300" width="1" style="2" customWidth="1"/>
    <col min="14301" max="14301" width="18" style="2" customWidth="1"/>
    <col min="14302" max="14302" width="1.84375" style="2" customWidth="1"/>
    <col min="14303" max="14303" width="12.53515625" style="2" customWidth="1"/>
    <col min="14304" max="14304" width="1.53515625" style="2" customWidth="1"/>
    <col min="14305" max="14305" width="9.53515625" style="2" customWidth="1"/>
    <col min="14306" max="14306" width="1.84375" style="2" customWidth="1"/>
    <col min="14307" max="14307" width="11.84375" style="2" customWidth="1"/>
    <col min="14308" max="14308" width="1.53515625" style="2" customWidth="1"/>
    <col min="14309" max="14309" width="10.07421875" style="2" customWidth="1"/>
    <col min="14310" max="14310" width="2" style="2" customWidth="1"/>
    <col min="14311" max="14311" width="9.53515625" style="2" customWidth="1"/>
    <col min="14312" max="14554" width="9.07421875" style="2"/>
    <col min="14555" max="14555" width="4.53515625" style="2" customWidth="1"/>
    <col min="14556" max="14556" width="1" style="2" customWidth="1"/>
    <col min="14557" max="14557" width="18" style="2" customWidth="1"/>
    <col min="14558" max="14558" width="1.84375" style="2" customWidth="1"/>
    <col min="14559" max="14559" width="12.53515625" style="2" customWidth="1"/>
    <col min="14560" max="14560" width="1.53515625" style="2" customWidth="1"/>
    <col min="14561" max="14561" width="9.53515625" style="2" customWidth="1"/>
    <col min="14562" max="14562" width="1.84375" style="2" customWidth="1"/>
    <col min="14563" max="14563" width="11.84375" style="2" customWidth="1"/>
    <col min="14564" max="14564" width="1.53515625" style="2" customWidth="1"/>
    <col min="14565" max="14565" width="10.07421875" style="2" customWidth="1"/>
    <col min="14566" max="14566" width="2" style="2" customWidth="1"/>
    <col min="14567" max="14567" width="9.53515625" style="2" customWidth="1"/>
    <col min="14568" max="14810" width="9.07421875" style="2"/>
    <col min="14811" max="14811" width="4.53515625" style="2" customWidth="1"/>
    <col min="14812" max="14812" width="1" style="2" customWidth="1"/>
    <col min="14813" max="14813" width="18" style="2" customWidth="1"/>
    <col min="14814" max="14814" width="1.84375" style="2" customWidth="1"/>
    <col min="14815" max="14815" width="12.53515625" style="2" customWidth="1"/>
    <col min="14816" max="14816" width="1.53515625" style="2" customWidth="1"/>
    <col min="14817" max="14817" width="9.53515625" style="2" customWidth="1"/>
    <col min="14818" max="14818" width="1.84375" style="2" customWidth="1"/>
    <col min="14819" max="14819" width="11.84375" style="2" customWidth="1"/>
    <col min="14820" max="14820" width="1.53515625" style="2" customWidth="1"/>
    <col min="14821" max="14821" width="10.07421875" style="2" customWidth="1"/>
    <col min="14822" max="14822" width="2" style="2" customWidth="1"/>
    <col min="14823" max="14823" width="9.53515625" style="2" customWidth="1"/>
    <col min="14824" max="15066" width="9.07421875" style="2"/>
    <col min="15067" max="15067" width="4.53515625" style="2" customWidth="1"/>
    <col min="15068" max="15068" width="1" style="2" customWidth="1"/>
    <col min="15069" max="15069" width="18" style="2" customWidth="1"/>
    <col min="15070" max="15070" width="1.84375" style="2" customWidth="1"/>
    <col min="15071" max="15071" width="12.53515625" style="2" customWidth="1"/>
    <col min="15072" max="15072" width="1.53515625" style="2" customWidth="1"/>
    <col min="15073" max="15073" width="9.53515625" style="2" customWidth="1"/>
    <col min="15074" max="15074" width="1.84375" style="2" customWidth="1"/>
    <col min="15075" max="15075" width="11.84375" style="2" customWidth="1"/>
    <col min="15076" max="15076" width="1.53515625" style="2" customWidth="1"/>
    <col min="15077" max="15077" width="10.07421875" style="2" customWidth="1"/>
    <col min="15078" max="15078" width="2" style="2" customWidth="1"/>
    <col min="15079" max="15079" width="9.53515625" style="2" customWidth="1"/>
    <col min="15080" max="15322" width="9.07421875" style="2"/>
    <col min="15323" max="15323" width="4.53515625" style="2" customWidth="1"/>
    <col min="15324" max="15324" width="1" style="2" customWidth="1"/>
    <col min="15325" max="15325" width="18" style="2" customWidth="1"/>
    <col min="15326" max="15326" width="1.84375" style="2" customWidth="1"/>
    <col min="15327" max="15327" width="12.53515625" style="2" customWidth="1"/>
    <col min="15328" max="15328" width="1.53515625" style="2" customWidth="1"/>
    <col min="15329" max="15329" width="9.53515625" style="2" customWidth="1"/>
    <col min="15330" max="15330" width="1.84375" style="2" customWidth="1"/>
    <col min="15331" max="15331" width="11.84375" style="2" customWidth="1"/>
    <col min="15332" max="15332" width="1.53515625" style="2" customWidth="1"/>
    <col min="15333" max="15333" width="10.07421875" style="2" customWidth="1"/>
    <col min="15334" max="15334" width="2" style="2" customWidth="1"/>
    <col min="15335" max="15335" width="9.53515625" style="2" customWidth="1"/>
    <col min="15336" max="15578" width="9.07421875" style="2"/>
    <col min="15579" max="15579" width="4.53515625" style="2" customWidth="1"/>
    <col min="15580" max="15580" width="1" style="2" customWidth="1"/>
    <col min="15581" max="15581" width="18" style="2" customWidth="1"/>
    <col min="15582" max="15582" width="1.84375" style="2" customWidth="1"/>
    <col min="15583" max="15583" width="12.53515625" style="2" customWidth="1"/>
    <col min="15584" max="15584" width="1.53515625" style="2" customWidth="1"/>
    <col min="15585" max="15585" width="9.53515625" style="2" customWidth="1"/>
    <col min="15586" max="15586" width="1.84375" style="2" customWidth="1"/>
    <col min="15587" max="15587" width="11.84375" style="2" customWidth="1"/>
    <col min="15588" max="15588" width="1.53515625" style="2" customWidth="1"/>
    <col min="15589" max="15589" width="10.07421875" style="2" customWidth="1"/>
    <col min="15590" max="15590" width="2" style="2" customWidth="1"/>
    <col min="15591" max="15591" width="9.53515625" style="2" customWidth="1"/>
    <col min="15592" max="15834" width="9.07421875" style="2"/>
    <col min="15835" max="15835" width="4.53515625" style="2" customWidth="1"/>
    <col min="15836" max="15836" width="1" style="2" customWidth="1"/>
    <col min="15837" max="15837" width="18" style="2" customWidth="1"/>
    <col min="15838" max="15838" width="1.84375" style="2" customWidth="1"/>
    <col min="15839" max="15839" width="12.53515625" style="2" customWidth="1"/>
    <col min="15840" max="15840" width="1.53515625" style="2" customWidth="1"/>
    <col min="15841" max="15841" width="9.53515625" style="2" customWidth="1"/>
    <col min="15842" max="15842" width="1.84375" style="2" customWidth="1"/>
    <col min="15843" max="15843" width="11.84375" style="2" customWidth="1"/>
    <col min="15844" max="15844" width="1.53515625" style="2" customWidth="1"/>
    <col min="15845" max="15845" width="10.07421875" style="2" customWidth="1"/>
    <col min="15846" max="15846" width="2" style="2" customWidth="1"/>
    <col min="15847" max="15847" width="9.53515625" style="2" customWidth="1"/>
    <col min="15848" max="16090" width="9.07421875" style="2"/>
    <col min="16091" max="16091" width="4.53515625" style="2" customWidth="1"/>
    <col min="16092" max="16092" width="1" style="2" customWidth="1"/>
    <col min="16093" max="16093" width="18" style="2" customWidth="1"/>
    <col min="16094" max="16094" width="1.84375" style="2" customWidth="1"/>
    <col min="16095" max="16095" width="12.53515625" style="2" customWidth="1"/>
    <col min="16096" max="16096" width="1.53515625" style="2" customWidth="1"/>
    <col min="16097" max="16097" width="9.53515625" style="2" customWidth="1"/>
    <col min="16098" max="16098" width="1.84375" style="2" customWidth="1"/>
    <col min="16099" max="16099" width="11.84375" style="2" customWidth="1"/>
    <col min="16100" max="16100" width="1.53515625" style="2" customWidth="1"/>
    <col min="16101" max="16101" width="10.07421875" style="2" customWidth="1"/>
    <col min="16102" max="16102" width="2" style="2" customWidth="1"/>
    <col min="16103" max="16103" width="9.53515625" style="2" customWidth="1"/>
    <col min="16104" max="16361" width="9.07421875" style="2"/>
    <col min="16362" max="16364" width="9.07421875" style="2" customWidth="1"/>
    <col min="16365" max="16384" width="9.07421875" style="2"/>
  </cols>
  <sheetData>
    <row r="8" spans="2:26" ht="15" customHeight="1" x14ac:dyDescent="0.3">
      <c r="B8" s="93" t="s">
        <v>0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2:26" x14ac:dyDescent="0.3">
      <c r="B9" s="93" t="s">
        <v>106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spans="2:26" x14ac:dyDescent="0.3">
      <c r="B10" s="54"/>
      <c r="C10" s="54"/>
      <c r="D10" s="54"/>
      <c r="E10" s="54"/>
      <c r="F10" s="55"/>
      <c r="G10" s="54"/>
      <c r="H10" s="55"/>
      <c r="I10" s="54"/>
      <c r="J10" s="55"/>
      <c r="K10" s="55"/>
      <c r="L10" s="55"/>
      <c r="M10" s="55"/>
      <c r="N10" s="55"/>
      <c r="O10" s="54"/>
      <c r="P10" s="54"/>
      <c r="Q10" s="54"/>
      <c r="R10" s="54"/>
      <c r="S10" s="54"/>
      <c r="T10" s="54"/>
      <c r="U10" s="54"/>
      <c r="V10" s="54"/>
      <c r="W10" s="54"/>
      <c r="X10" s="3"/>
      <c r="Z10" s="3"/>
    </row>
    <row r="11" spans="2:26" x14ac:dyDescent="0.3">
      <c r="B11" s="55"/>
      <c r="C11" s="55"/>
      <c r="D11" s="55"/>
      <c r="E11" s="55"/>
      <c r="F11" s="54"/>
      <c r="G11" s="55"/>
      <c r="H11" s="54"/>
      <c r="I11" s="55"/>
      <c r="J11" s="56" t="s">
        <v>2</v>
      </c>
      <c r="K11" s="56"/>
      <c r="L11" s="56"/>
      <c r="M11" s="55"/>
      <c r="N11" s="55"/>
      <c r="O11" s="55"/>
      <c r="P11" s="56" t="s">
        <v>3</v>
      </c>
      <c r="Q11" s="56"/>
      <c r="R11" s="56"/>
      <c r="S11" s="56"/>
      <c r="T11" s="56"/>
      <c r="U11" s="56"/>
      <c r="V11" s="56"/>
      <c r="W11" s="56"/>
      <c r="X11" s="4"/>
      <c r="Y11" s="4"/>
      <c r="Z11" s="4"/>
    </row>
    <row r="12" spans="2:26" x14ac:dyDescent="0.3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3"/>
      <c r="Z12" s="3"/>
    </row>
    <row r="13" spans="2:26" s="5" customFormat="1" ht="37.299999999999997" x14ac:dyDescent="0.3">
      <c r="B13" s="57" t="s">
        <v>4</v>
      </c>
      <c r="C13" s="57"/>
      <c r="D13" s="57"/>
      <c r="E13" s="57"/>
      <c r="F13" s="58" t="s">
        <v>5</v>
      </c>
      <c r="G13" s="57"/>
      <c r="H13" s="5" t="s">
        <v>6</v>
      </c>
      <c r="I13" s="57"/>
      <c r="J13" s="5" t="s">
        <v>7</v>
      </c>
      <c r="L13" s="5" t="s">
        <v>8</v>
      </c>
      <c r="M13" s="57"/>
      <c r="N13" s="5" t="s">
        <v>9</v>
      </c>
      <c r="O13" s="57"/>
      <c r="P13" s="57" t="s">
        <v>10</v>
      </c>
      <c r="Q13" s="57"/>
      <c r="R13" s="5" t="s">
        <v>11</v>
      </c>
      <c r="S13" s="57"/>
      <c r="T13" s="5" t="s">
        <v>7</v>
      </c>
      <c r="U13" s="57"/>
      <c r="V13" s="5" t="s">
        <v>8</v>
      </c>
      <c r="W13" s="57"/>
      <c r="X13" s="57" t="s">
        <v>12</v>
      </c>
      <c r="Y13" s="57"/>
      <c r="Z13" s="57" t="s">
        <v>13</v>
      </c>
    </row>
    <row r="14" spans="2:26" ht="14.15" x14ac:dyDescent="0.3">
      <c r="B14" s="59" t="s">
        <v>14</v>
      </c>
      <c r="C14" s="60"/>
      <c r="D14" s="61" t="s">
        <v>15</v>
      </c>
      <c r="E14" s="58"/>
      <c r="F14" s="59" t="s">
        <v>16</v>
      </c>
      <c r="G14" s="58"/>
      <c r="H14" s="59" t="s">
        <v>17</v>
      </c>
      <c r="I14" s="58"/>
      <c r="J14" s="59" t="s">
        <v>18</v>
      </c>
      <c r="L14" s="59" t="s">
        <v>19</v>
      </c>
      <c r="M14" s="58"/>
      <c r="N14" s="59" t="s">
        <v>18</v>
      </c>
      <c r="O14" s="58"/>
      <c r="P14" s="59" t="s">
        <v>18</v>
      </c>
      <c r="Q14" s="58"/>
      <c r="R14" s="59" t="s">
        <v>18</v>
      </c>
      <c r="S14" s="58"/>
      <c r="T14" s="59" t="s">
        <v>18</v>
      </c>
      <c r="U14" s="58"/>
      <c r="V14" s="59" t="s">
        <v>19</v>
      </c>
      <c r="W14" s="58"/>
      <c r="X14" s="59" t="s">
        <v>20</v>
      </c>
      <c r="Y14" s="58"/>
      <c r="Z14" s="59" t="s">
        <v>21</v>
      </c>
    </row>
    <row r="15" spans="2:26" x14ac:dyDescent="0.3">
      <c r="B15" s="58"/>
      <c r="C15" s="60"/>
      <c r="D15" s="60"/>
      <c r="E15" s="58"/>
      <c r="F15" s="58"/>
      <c r="G15" s="58"/>
      <c r="H15" s="58" t="s">
        <v>22</v>
      </c>
      <c r="I15" s="58"/>
      <c r="J15" s="58" t="s">
        <v>23</v>
      </c>
      <c r="K15" s="58"/>
      <c r="L15" s="58" t="s">
        <v>24</v>
      </c>
      <c r="M15" s="58"/>
      <c r="N15" s="58" t="s">
        <v>25</v>
      </c>
      <c r="O15" s="58"/>
      <c r="P15" s="58" t="s">
        <v>26</v>
      </c>
      <c r="Q15" s="58"/>
      <c r="R15" s="58" t="s">
        <v>27</v>
      </c>
      <c r="S15" s="58"/>
      <c r="T15" s="62" t="s">
        <v>28</v>
      </c>
      <c r="U15" s="58"/>
      <c r="V15" s="62" t="s">
        <v>29</v>
      </c>
      <c r="W15" s="58"/>
      <c r="X15" s="62" t="s">
        <v>30</v>
      </c>
      <c r="Y15" s="58"/>
      <c r="Z15" s="62" t="s">
        <v>31</v>
      </c>
    </row>
    <row r="16" spans="2:26" x14ac:dyDescent="0.3">
      <c r="B16" s="58"/>
      <c r="C16" s="60"/>
      <c r="D16" s="60"/>
      <c r="E16" s="58"/>
      <c r="F16" s="6"/>
      <c r="G16" s="58"/>
      <c r="H16" s="6"/>
      <c r="I16" s="58"/>
      <c r="J16" s="6"/>
      <c r="K16" s="58"/>
      <c r="L16" s="58"/>
      <c r="M16" s="58"/>
      <c r="N16" s="6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2:26" x14ac:dyDescent="0.3">
      <c r="B17" s="58"/>
      <c r="C17" s="60"/>
      <c r="D17" s="7" t="s">
        <v>32</v>
      </c>
      <c r="E17" s="58"/>
      <c r="F17" s="6"/>
      <c r="G17" s="58"/>
      <c r="H17" s="6"/>
      <c r="I17" s="58"/>
      <c r="J17" s="6"/>
      <c r="K17" s="58"/>
      <c r="L17" s="58"/>
      <c r="M17" s="58"/>
      <c r="N17" s="8"/>
      <c r="O17" s="58"/>
      <c r="P17" s="9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2:26" x14ac:dyDescent="0.3">
      <c r="B18" s="58">
        <v>1</v>
      </c>
      <c r="C18" s="60"/>
      <c r="D18" s="10" t="s">
        <v>33</v>
      </c>
      <c r="E18" s="58"/>
      <c r="F18" s="11" t="s">
        <v>34</v>
      </c>
      <c r="G18" s="58"/>
      <c r="H18" s="12">
        <v>36979295.677631304</v>
      </c>
      <c r="I18" s="63"/>
      <c r="J18" s="12"/>
      <c r="K18" s="64"/>
      <c r="L18" s="12"/>
      <c r="M18" s="64"/>
      <c r="N18" s="12"/>
      <c r="O18" s="13"/>
      <c r="P18" s="12">
        <v>1046560.1231029264</v>
      </c>
      <c r="Q18" s="13"/>
      <c r="R18" s="12">
        <f t="shared" ref="R18:R20" si="0">T18-P18</f>
        <v>28268.932622803841</v>
      </c>
      <c r="S18" s="64"/>
      <c r="T18" s="64">
        <f>V18*H18/1000</f>
        <v>1074829.0557257303</v>
      </c>
      <c r="U18" s="64"/>
      <c r="V18" s="65">
        <v>29.06569841393415</v>
      </c>
      <c r="W18" s="64"/>
      <c r="X18" s="14">
        <f>T18/P18</f>
        <v>1.0270112839183954</v>
      </c>
      <c r="Y18" s="15"/>
      <c r="Z18" s="16"/>
    </row>
    <row r="19" spans="2:26" x14ac:dyDescent="0.3">
      <c r="B19" s="58">
        <f>MAX(B$18:B18)+1</f>
        <v>2</v>
      </c>
      <c r="C19" s="60"/>
      <c r="D19" s="10" t="s">
        <v>35</v>
      </c>
      <c r="E19" s="58"/>
      <c r="F19" s="11" t="s">
        <v>36</v>
      </c>
      <c r="G19" s="58"/>
      <c r="H19" s="12">
        <v>7448402.1398053784</v>
      </c>
      <c r="I19" s="63"/>
      <c r="J19" s="12"/>
      <c r="K19" s="64"/>
      <c r="L19" s="12"/>
      <c r="M19" s="64"/>
      <c r="N19" s="12"/>
      <c r="O19" s="13"/>
      <c r="P19" s="12">
        <v>29208.144535950076</v>
      </c>
      <c r="Q19" s="13"/>
      <c r="R19" s="12">
        <f t="shared" si="0"/>
        <v>0</v>
      </c>
      <c r="S19" s="64"/>
      <c r="T19" s="12">
        <f t="shared" ref="T19:T20" si="1">$H19*V19/100</f>
        <v>29208.144535950079</v>
      </c>
      <c r="U19" s="66"/>
      <c r="V19" s="25">
        <v>0.39213973665381696</v>
      </c>
      <c r="W19" s="64"/>
      <c r="X19" s="14">
        <f t="shared" ref="X19:X20" si="2">T19/P19</f>
        <v>1.0000000000000002</v>
      </c>
      <c r="Y19" s="15"/>
      <c r="Z19" s="16"/>
    </row>
    <row r="20" spans="2:26" x14ac:dyDescent="0.3">
      <c r="B20" s="58">
        <f>MAX(B$19:B19)+1</f>
        <v>3</v>
      </c>
      <c r="C20" s="60"/>
      <c r="D20" s="10" t="s">
        <v>37</v>
      </c>
      <c r="E20" s="58"/>
      <c r="F20" s="11" t="s">
        <v>38</v>
      </c>
      <c r="G20" s="58"/>
      <c r="H20" s="12">
        <v>884798.19610456936</v>
      </c>
      <c r="I20" s="63"/>
      <c r="J20" s="12"/>
      <c r="K20" s="64"/>
      <c r="L20" s="12"/>
      <c r="M20" s="64"/>
      <c r="N20" s="12"/>
      <c r="O20" s="13"/>
      <c r="P20" s="12">
        <v>533850.51360996591</v>
      </c>
      <c r="Q20" s="13"/>
      <c r="R20" s="12">
        <f t="shared" si="0"/>
        <v>-35047.410367813369</v>
      </c>
      <c r="S20" s="64"/>
      <c r="T20" s="12">
        <f t="shared" si="1"/>
        <v>498803.10324215255</v>
      </c>
      <c r="U20" s="64"/>
      <c r="V20" s="25">
        <v>56.37478754344135</v>
      </c>
      <c r="W20" s="64"/>
      <c r="X20" s="14">
        <f t="shared" si="2"/>
        <v>0.93434976744553777</v>
      </c>
      <c r="Y20" s="15"/>
      <c r="Z20" s="16"/>
    </row>
    <row r="21" spans="2:26" x14ac:dyDescent="0.3">
      <c r="B21" s="58">
        <f>MAX(B$19:B20)+1</f>
        <v>4</v>
      </c>
      <c r="C21" s="60"/>
      <c r="D21" s="10" t="s">
        <v>39</v>
      </c>
      <c r="E21" s="58"/>
      <c r="F21" s="11"/>
      <c r="G21" s="58"/>
      <c r="H21" s="67">
        <f>H19</f>
        <v>7448402.1398053784</v>
      </c>
      <c r="I21" s="63"/>
      <c r="J21" s="17"/>
      <c r="K21" s="64"/>
      <c r="L21" s="63"/>
      <c r="M21" s="64"/>
      <c r="N21" s="18"/>
      <c r="O21" s="13"/>
      <c r="P21" s="67">
        <f>SUM(P18:P20)</f>
        <v>1609618.7812488424</v>
      </c>
      <c r="Q21" s="13"/>
      <c r="R21" s="67">
        <f>SUM(R18:R20)</f>
        <v>-6778.477745009528</v>
      </c>
      <c r="S21" s="64"/>
      <c r="T21" s="67">
        <f>SUM(T18:T20)</f>
        <v>1602840.303503833</v>
      </c>
      <c r="U21" s="64"/>
      <c r="V21" s="19">
        <f>T21/$H21*100</f>
        <v>21.519250349521464</v>
      </c>
      <c r="W21" s="64"/>
      <c r="X21" s="68">
        <f>T21/P21</f>
        <v>0.99578876823259344</v>
      </c>
      <c r="Y21" s="15"/>
      <c r="Z21" s="16"/>
    </row>
    <row r="22" spans="2:26" x14ac:dyDescent="0.3">
      <c r="B22" s="58"/>
      <c r="E22" s="58"/>
      <c r="F22" s="11"/>
      <c r="G22" s="58"/>
      <c r="H22" s="12"/>
      <c r="I22" s="63"/>
      <c r="J22" s="17"/>
      <c r="K22" s="64"/>
      <c r="L22" s="63"/>
      <c r="M22" s="64"/>
      <c r="N22" s="18"/>
      <c r="O22" s="13"/>
      <c r="P22" s="12"/>
      <c r="Q22" s="13"/>
      <c r="R22" s="12"/>
      <c r="S22" s="64"/>
      <c r="T22" s="12"/>
      <c r="U22" s="64"/>
      <c r="V22" s="25"/>
      <c r="W22" s="64"/>
      <c r="X22" s="14"/>
      <c r="Y22" s="15"/>
      <c r="Z22" s="16"/>
    </row>
    <row r="23" spans="2:26" x14ac:dyDescent="0.3">
      <c r="B23" s="58"/>
      <c r="C23" s="60"/>
      <c r="D23" s="10" t="s">
        <v>40</v>
      </c>
      <c r="E23" s="58"/>
      <c r="F23" s="66"/>
      <c r="G23" s="58"/>
      <c r="H23" s="12"/>
      <c r="I23" s="63"/>
      <c r="J23" s="17"/>
      <c r="K23" s="64"/>
      <c r="L23" s="63"/>
      <c r="M23" s="64"/>
      <c r="N23" s="18"/>
      <c r="O23" s="13"/>
      <c r="P23" s="12"/>
      <c r="Q23" s="13"/>
      <c r="R23" s="12"/>
      <c r="S23" s="64"/>
      <c r="T23" s="12"/>
      <c r="U23" s="64"/>
      <c r="V23" s="20"/>
      <c r="W23" s="64"/>
      <c r="X23" s="14"/>
      <c r="Y23" s="15"/>
      <c r="Z23" s="16"/>
    </row>
    <row r="24" spans="2:26" x14ac:dyDescent="0.3">
      <c r="B24" s="58">
        <f>MAX(B$19:B23)+1</f>
        <v>5</v>
      </c>
      <c r="C24" s="60"/>
      <c r="D24" s="21" t="s">
        <v>41</v>
      </c>
      <c r="E24" s="58"/>
      <c r="F24" s="66" t="s">
        <v>36</v>
      </c>
      <c r="G24" s="58"/>
      <c r="H24" s="12">
        <v>7418998.8439362729</v>
      </c>
      <c r="I24" s="63"/>
      <c r="J24" s="12"/>
      <c r="K24" s="64"/>
      <c r="L24" s="12"/>
      <c r="M24" s="64"/>
      <c r="N24" s="12"/>
      <c r="O24" s="64"/>
      <c r="P24" s="12">
        <v>22128.036121753572</v>
      </c>
      <c r="Q24" s="64"/>
      <c r="R24" s="12">
        <f>T24-P24</f>
        <v>0</v>
      </c>
      <c r="S24" s="64"/>
      <c r="T24" s="12">
        <f t="shared" ref="T24:T25" si="3">$H24*V24/100</f>
        <v>22128.036121753572</v>
      </c>
      <c r="U24" s="64"/>
      <c r="V24" s="25">
        <v>0.29826175454710241</v>
      </c>
      <c r="W24" s="64"/>
      <c r="X24" s="12"/>
      <c r="Y24" s="64"/>
      <c r="Z24" s="12"/>
    </row>
    <row r="25" spans="2:26" x14ac:dyDescent="0.3">
      <c r="B25" s="58">
        <f>MAX(B$19:B24)+1</f>
        <v>6</v>
      </c>
      <c r="C25" s="60"/>
      <c r="D25" s="21" t="s">
        <v>42</v>
      </c>
      <c r="E25" s="58"/>
      <c r="F25" s="66" t="s">
        <v>36</v>
      </c>
      <c r="G25" s="58"/>
      <c r="H25" s="12">
        <v>29403.295869105365</v>
      </c>
      <c r="I25" s="63"/>
      <c r="J25" s="12"/>
      <c r="K25" s="64"/>
      <c r="L25" s="12"/>
      <c r="M25" s="64"/>
      <c r="N25" s="12"/>
      <c r="O25" s="64"/>
      <c r="P25" s="12">
        <v>849.80442690995847</v>
      </c>
      <c r="Q25" s="64"/>
      <c r="R25" s="12">
        <f>T25-P25</f>
        <v>0</v>
      </c>
      <c r="S25" s="64"/>
      <c r="T25" s="12">
        <f t="shared" si="3"/>
        <v>849.80442690995858</v>
      </c>
      <c r="U25" s="64"/>
      <c r="V25" s="25">
        <v>2.8901672475529017</v>
      </c>
      <c r="W25" s="64"/>
      <c r="X25" s="14"/>
      <c r="Y25" s="64"/>
      <c r="Z25" s="12"/>
    </row>
    <row r="26" spans="2:26" x14ac:dyDescent="0.3">
      <c r="B26" s="58">
        <f>MAX(B$19:B25)+1</f>
        <v>7</v>
      </c>
      <c r="C26" s="60"/>
      <c r="D26" s="10" t="s">
        <v>40</v>
      </c>
      <c r="E26" s="58"/>
      <c r="F26" s="11" t="s">
        <v>43</v>
      </c>
      <c r="G26" s="58"/>
      <c r="H26" s="67">
        <f>SUM(H25:H25)</f>
        <v>29403.295869105365</v>
      </c>
      <c r="I26" s="63"/>
      <c r="J26" s="17"/>
      <c r="K26" s="64"/>
      <c r="L26" s="63"/>
      <c r="M26" s="64"/>
      <c r="N26" s="18"/>
      <c r="O26" s="13"/>
      <c r="P26" s="67">
        <f>SUM(P24:P25)</f>
        <v>22977.840548663531</v>
      </c>
      <c r="Q26" s="13"/>
      <c r="R26" s="67">
        <f>SUM(R25:R25)</f>
        <v>0</v>
      </c>
      <c r="S26" s="64"/>
      <c r="T26" s="67">
        <f>SUM(T24:T25)</f>
        <v>22977.840548663531</v>
      </c>
      <c r="U26" s="64"/>
      <c r="V26" s="19">
        <f>T26/$H26*100</f>
        <v>78.147159593788302</v>
      </c>
      <c r="W26" s="64"/>
      <c r="X26" s="68">
        <f>T26/P26</f>
        <v>1</v>
      </c>
      <c r="Y26" s="15"/>
      <c r="Z26" s="16"/>
    </row>
    <row r="27" spans="2:26" x14ac:dyDescent="0.3">
      <c r="B27" s="58"/>
      <c r="H27" s="15"/>
      <c r="I27" s="15"/>
      <c r="J27" s="17"/>
      <c r="K27" s="15"/>
      <c r="L27" s="63"/>
      <c r="M27" s="15"/>
      <c r="N27" s="18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6"/>
    </row>
    <row r="28" spans="2:26" x14ac:dyDescent="0.3">
      <c r="B28" s="58">
        <f>MAX(B$19:B27)+1</f>
        <v>8</v>
      </c>
      <c r="C28" s="60"/>
      <c r="D28" s="10" t="s">
        <v>44</v>
      </c>
      <c r="E28" s="58"/>
      <c r="F28" s="11" t="s">
        <v>36</v>
      </c>
      <c r="G28" s="58"/>
      <c r="H28" s="12">
        <v>7052128.3166810488</v>
      </c>
      <c r="I28" s="63"/>
      <c r="J28" s="17"/>
      <c r="K28" s="64"/>
      <c r="L28" s="63"/>
      <c r="M28" s="64"/>
      <c r="N28" s="18"/>
      <c r="O28" s="13"/>
      <c r="P28" s="12">
        <v>1064626.5091713064</v>
      </c>
      <c r="Q28" s="13"/>
      <c r="R28" s="12">
        <f>T28-P28</f>
        <v>-199.2161631193012</v>
      </c>
      <c r="S28" s="64"/>
      <c r="T28" s="12">
        <f>$H28*V28/100</f>
        <v>1064427.2930081871</v>
      </c>
      <c r="U28" s="64"/>
      <c r="V28" s="25">
        <v>15.093702854078806</v>
      </c>
      <c r="W28" s="64"/>
      <c r="X28" s="14"/>
      <c r="Y28" s="15"/>
      <c r="Z28" s="16"/>
    </row>
    <row r="29" spans="2:26" x14ac:dyDescent="0.3">
      <c r="B29" s="58"/>
      <c r="C29" s="60"/>
      <c r="D29" s="10"/>
      <c r="E29" s="58"/>
      <c r="F29" s="11"/>
      <c r="G29" s="58"/>
      <c r="H29" s="12"/>
      <c r="I29" s="63"/>
      <c r="J29" s="12"/>
      <c r="K29" s="64"/>
      <c r="L29" s="25"/>
      <c r="M29" s="64"/>
      <c r="N29" s="18"/>
      <c r="O29" s="13"/>
      <c r="P29" s="12"/>
      <c r="Q29" s="13"/>
      <c r="R29" s="12"/>
      <c r="S29" s="64"/>
      <c r="T29" s="12"/>
      <c r="U29" s="64"/>
      <c r="V29" s="25"/>
      <c r="W29" s="64"/>
      <c r="X29" s="14"/>
      <c r="Y29" s="15"/>
      <c r="Z29" s="16"/>
    </row>
    <row r="30" spans="2:26" ht="12.9" thickBot="1" x14ac:dyDescent="0.35">
      <c r="B30" s="58">
        <f>MAX(B$19:B29)+1</f>
        <v>9</v>
      </c>
      <c r="C30" s="60"/>
      <c r="D30" s="23" t="s">
        <v>45</v>
      </c>
      <c r="E30" s="58"/>
      <c r="F30" s="11"/>
      <c r="G30" s="58"/>
      <c r="H30" s="69">
        <f>H21</f>
        <v>7448402.1398053784</v>
      </c>
      <c r="I30" s="63"/>
      <c r="J30" s="69">
        <v>2776167.9282262661</v>
      </c>
      <c r="K30" s="64"/>
      <c r="L30" s="24">
        <f>J30/$H30*100</f>
        <v>37.271993054590972</v>
      </c>
      <c r="M30" s="64"/>
      <c r="N30" s="69">
        <f>J30-P30</f>
        <v>78944.797257453669</v>
      </c>
      <c r="O30" s="13"/>
      <c r="P30" s="69">
        <f>SUM(P21,P26,P28)</f>
        <v>2697223.1309688124</v>
      </c>
      <c r="Q30" s="13"/>
      <c r="R30" s="69">
        <f>R21+R28</f>
        <v>-6977.6939081288292</v>
      </c>
      <c r="S30" s="64"/>
      <c r="T30" s="69">
        <f>SUM(T21,T26,T28)</f>
        <v>2690245.437060684</v>
      </c>
      <c r="U30" s="64"/>
      <c r="V30" s="24">
        <f>T30/$H30*100</f>
        <v>36.118423610395695</v>
      </c>
      <c r="W30" s="64"/>
      <c r="X30" s="70">
        <f>T30/P30</f>
        <v>0.99741300827951074</v>
      </c>
      <c r="Y30" s="15"/>
      <c r="Z30" s="71">
        <f>V30/L30-1</f>
        <v>-3.0950033782891184E-2</v>
      </c>
    </row>
    <row r="31" spans="2:26" ht="12.9" thickTop="1" x14ac:dyDescent="0.3">
      <c r="B31" s="58"/>
      <c r="C31" s="60"/>
      <c r="D31" s="23"/>
      <c r="E31" s="58"/>
      <c r="F31" s="11"/>
      <c r="G31" s="58"/>
      <c r="H31" s="64"/>
      <c r="I31" s="63"/>
      <c r="J31" s="64"/>
      <c r="K31" s="64"/>
      <c r="L31" s="25"/>
      <c r="M31" s="64"/>
      <c r="N31" s="64"/>
      <c r="O31" s="13"/>
      <c r="P31" s="64"/>
      <c r="Q31" s="13"/>
      <c r="R31" s="64"/>
      <c r="S31" s="64"/>
      <c r="T31" s="64"/>
      <c r="U31" s="64"/>
      <c r="V31" s="25"/>
      <c r="W31" s="64"/>
      <c r="X31" s="72"/>
      <c r="Y31" s="15"/>
      <c r="Z31" s="31"/>
    </row>
    <row r="32" spans="2:26" x14ac:dyDescent="0.3">
      <c r="B32" s="58"/>
      <c r="C32" s="60"/>
      <c r="D32" s="60"/>
      <c r="E32" s="58"/>
      <c r="F32" s="26"/>
      <c r="G32" s="58"/>
      <c r="H32" s="26"/>
      <c r="I32" s="58"/>
      <c r="J32" s="26"/>
      <c r="K32" s="66"/>
      <c r="L32" s="26"/>
      <c r="M32" s="66"/>
      <c r="N32" s="26"/>
      <c r="O32" s="66"/>
      <c r="P32" s="26"/>
      <c r="Q32" s="66"/>
      <c r="R32" s="66"/>
      <c r="S32" s="66"/>
      <c r="T32" s="22"/>
      <c r="U32" s="66"/>
      <c r="V32" s="26"/>
      <c r="W32" s="66"/>
      <c r="X32" s="73"/>
      <c r="Y32" s="58"/>
      <c r="Z32" s="73"/>
    </row>
    <row r="33" spans="2:26" x14ac:dyDescent="0.3">
      <c r="B33" s="58"/>
      <c r="C33" s="60"/>
      <c r="D33" s="7" t="s">
        <v>46</v>
      </c>
      <c r="E33" s="58"/>
      <c r="F33" s="6"/>
      <c r="G33" s="58"/>
      <c r="H33" s="17"/>
      <c r="I33" s="63"/>
      <c r="J33" s="20"/>
      <c r="K33" s="64"/>
      <c r="L33" s="20"/>
      <c r="M33" s="63"/>
      <c r="N33" s="20"/>
      <c r="O33" s="63"/>
      <c r="P33" s="27"/>
      <c r="Q33" s="63"/>
      <c r="R33" s="64"/>
      <c r="S33" s="63"/>
      <c r="T33" s="64"/>
      <c r="U33" s="63"/>
      <c r="V33" s="63"/>
      <c r="W33" s="63"/>
      <c r="X33" s="63"/>
      <c r="Y33" s="63"/>
      <c r="Z33" s="64"/>
    </row>
    <row r="34" spans="2:26" x14ac:dyDescent="0.3">
      <c r="B34" s="58">
        <f>MAX(B$19:B33)+1</f>
        <v>10</v>
      </c>
      <c r="C34" s="60"/>
      <c r="D34" s="10" t="s">
        <v>33</v>
      </c>
      <c r="E34" s="58"/>
      <c r="F34" s="11" t="s">
        <v>34</v>
      </c>
      <c r="G34" s="58"/>
      <c r="H34" s="12">
        <v>843305.43332122045</v>
      </c>
      <c r="I34" s="63"/>
      <c r="J34" s="12"/>
      <c r="K34" s="63"/>
      <c r="L34" s="12"/>
      <c r="M34" s="64"/>
      <c r="N34" s="12"/>
      <c r="O34" s="13"/>
      <c r="P34" s="12">
        <v>92602.367017907382</v>
      </c>
      <c r="Q34" s="13"/>
      <c r="R34" s="12">
        <f t="shared" ref="R34:R36" si="4">T34-P34</f>
        <v>-68091.105622160729</v>
      </c>
      <c r="S34" s="64"/>
      <c r="T34" s="12">
        <f>V34*H34/1000</f>
        <v>24511.261395746649</v>
      </c>
      <c r="U34" s="64"/>
      <c r="V34" s="65">
        <v>29.06569841393415</v>
      </c>
      <c r="W34" s="64"/>
      <c r="X34" s="14">
        <f>T34/P34</f>
        <v>0.26469368100500801</v>
      </c>
      <c r="Y34" s="15"/>
      <c r="Z34" s="12"/>
    </row>
    <row r="35" spans="2:26" x14ac:dyDescent="0.3">
      <c r="B35" s="58">
        <f>MAX(B$19:B34)+1</f>
        <v>11</v>
      </c>
      <c r="C35" s="60"/>
      <c r="D35" s="10" t="s">
        <v>35</v>
      </c>
      <c r="E35" s="58"/>
      <c r="F35" s="11" t="s">
        <v>36</v>
      </c>
      <c r="G35" s="58"/>
      <c r="H35" s="12">
        <v>5588995.5264765844</v>
      </c>
      <c r="I35" s="63"/>
      <c r="J35" s="12"/>
      <c r="K35" s="63"/>
      <c r="L35" s="12"/>
      <c r="M35" s="64"/>
      <c r="N35" s="12"/>
      <c r="O35" s="13"/>
      <c r="P35" s="12">
        <v>21345.053482200012</v>
      </c>
      <c r="Q35" s="13"/>
      <c r="R35" s="12">
        <f t="shared" si="4"/>
        <v>0</v>
      </c>
      <c r="S35" s="64"/>
      <c r="T35" s="12">
        <f>H35*V35/100</f>
        <v>21345.053482200008</v>
      </c>
      <c r="U35" s="64"/>
      <c r="V35" s="25">
        <v>0.38191215901109093</v>
      </c>
      <c r="W35" s="64"/>
      <c r="X35" s="14">
        <f t="shared" ref="X35:X36" si="5">T35/P35</f>
        <v>0.99999999999999978</v>
      </c>
      <c r="Y35" s="15"/>
      <c r="Z35" s="12"/>
    </row>
    <row r="36" spans="2:26" x14ac:dyDescent="0.3">
      <c r="B36" s="58">
        <f>MAX(B$19:B35)+1</f>
        <v>12</v>
      </c>
      <c r="C36" s="60"/>
      <c r="D36" s="10" t="s">
        <v>37</v>
      </c>
      <c r="E36" s="58"/>
      <c r="F36" s="11" t="s">
        <v>38</v>
      </c>
      <c r="G36" s="58"/>
      <c r="H36" s="12">
        <v>641801.68292227224</v>
      </c>
      <c r="I36" s="63"/>
      <c r="J36" s="12"/>
      <c r="K36" s="63"/>
      <c r="L36" s="12"/>
      <c r="M36" s="64"/>
      <c r="N36" s="12"/>
      <c r="O36" s="13"/>
      <c r="P36" s="12">
        <v>322876.24856737634</v>
      </c>
      <c r="Q36" s="13"/>
      <c r="R36" s="12">
        <f t="shared" si="4"/>
        <v>63931.905593959731</v>
      </c>
      <c r="S36" s="64"/>
      <c r="T36" s="12">
        <f>H36*V36/100</f>
        <v>386808.15416133608</v>
      </c>
      <c r="U36" s="64"/>
      <c r="V36" s="25">
        <v>60.269108737781522</v>
      </c>
      <c r="W36" s="64"/>
      <c r="X36" s="14">
        <f t="shared" si="5"/>
        <v>1.1980074591352876</v>
      </c>
      <c r="Y36" s="15"/>
      <c r="Z36" s="12"/>
    </row>
    <row r="37" spans="2:26" x14ac:dyDescent="0.3">
      <c r="B37" s="58">
        <f>MAX(B$18:B36)+1</f>
        <v>13</v>
      </c>
      <c r="C37" s="60"/>
      <c r="D37" s="10" t="s">
        <v>39</v>
      </c>
      <c r="E37" s="58"/>
      <c r="F37" s="11"/>
      <c r="G37" s="58"/>
      <c r="H37" s="67">
        <f>H35</f>
        <v>5588995.5264765844</v>
      </c>
      <c r="I37" s="63"/>
      <c r="J37" s="12"/>
      <c r="K37" s="63"/>
      <c r="L37" s="12"/>
      <c r="M37" s="64"/>
      <c r="N37" s="12"/>
      <c r="O37" s="13"/>
      <c r="P37" s="67">
        <f>SUM(P34:P36)</f>
        <v>436823.66906748374</v>
      </c>
      <c r="Q37" s="64"/>
      <c r="R37" s="67">
        <f>SUM(R34:R36)</f>
        <v>-4159.2000282009976</v>
      </c>
      <c r="S37" s="64"/>
      <c r="T37" s="67">
        <f>SUM(T34:T36)</f>
        <v>432664.46903928276</v>
      </c>
      <c r="U37" s="64"/>
      <c r="V37" s="19">
        <f>T37/$H37*100</f>
        <v>7.7413636670423891</v>
      </c>
      <c r="W37" s="64"/>
      <c r="X37" s="68">
        <f>T37/P37</f>
        <v>0.99047853785698037</v>
      </c>
      <c r="Y37" s="15"/>
      <c r="Z37" s="12"/>
    </row>
    <row r="38" spans="2:26" x14ac:dyDescent="0.3">
      <c r="B38" s="58"/>
      <c r="E38" s="58"/>
      <c r="F38" s="11"/>
      <c r="G38" s="58"/>
      <c r="H38" s="12"/>
      <c r="I38" s="63"/>
      <c r="J38" s="20"/>
      <c r="K38" s="64"/>
      <c r="L38" s="20"/>
      <c r="M38" s="64"/>
      <c r="N38" s="20"/>
      <c r="O38" s="13"/>
      <c r="P38" s="12"/>
      <c r="Q38" s="13"/>
      <c r="R38" s="12"/>
      <c r="S38" s="64"/>
      <c r="T38" s="12"/>
      <c r="U38" s="64"/>
      <c r="V38" s="25"/>
      <c r="W38" s="64"/>
      <c r="X38" s="14"/>
      <c r="Y38" s="15"/>
      <c r="Z38" s="63"/>
    </row>
    <row r="39" spans="2:26" x14ac:dyDescent="0.3">
      <c r="B39" s="58"/>
      <c r="C39" s="60"/>
      <c r="D39" s="10" t="s">
        <v>40</v>
      </c>
      <c r="E39" s="58"/>
      <c r="F39" s="66"/>
      <c r="G39" s="58"/>
      <c r="H39" s="12"/>
      <c r="I39" s="63"/>
      <c r="J39" s="20"/>
      <c r="K39" s="64"/>
      <c r="L39" s="20"/>
      <c r="M39" s="64"/>
      <c r="N39" s="20"/>
      <c r="O39" s="13"/>
      <c r="P39" s="12"/>
      <c r="Q39" s="13"/>
      <c r="R39" s="12"/>
      <c r="S39" s="64"/>
      <c r="T39" s="12"/>
      <c r="U39" s="64"/>
      <c r="V39" s="20"/>
      <c r="W39" s="64"/>
      <c r="X39" s="14"/>
      <c r="Y39" s="15"/>
      <c r="Z39" s="63"/>
    </row>
    <row r="40" spans="2:26" x14ac:dyDescent="0.3">
      <c r="B40" s="58">
        <f>MAX(B$18:B39)+1</f>
        <v>14</v>
      </c>
      <c r="C40" s="60"/>
      <c r="D40" s="21" t="s">
        <v>41</v>
      </c>
      <c r="E40" s="58"/>
      <c r="F40" s="66" t="s">
        <v>36</v>
      </c>
      <c r="G40" s="58"/>
      <c r="H40" s="12">
        <v>5445792.1021920303</v>
      </c>
      <c r="I40" s="63"/>
      <c r="J40" s="12"/>
      <c r="K40" s="64"/>
      <c r="L40" s="12"/>
      <c r="M40" s="64"/>
      <c r="N40" s="12"/>
      <c r="O40" s="64"/>
      <c r="P40" s="12">
        <v>12383.72636844925</v>
      </c>
      <c r="Q40" s="64"/>
      <c r="R40" s="12">
        <f>T40-P40</f>
        <v>0</v>
      </c>
      <c r="S40" s="64"/>
      <c r="T40" s="12">
        <f>H40*V40/100</f>
        <v>12383.726368449248</v>
      </c>
      <c r="U40" s="64"/>
      <c r="V40" s="25">
        <v>0.22739991053761627</v>
      </c>
      <c r="W40" s="64"/>
      <c r="X40" s="14">
        <f>T40/P40</f>
        <v>0.99999999999999989</v>
      </c>
      <c r="Y40" s="63"/>
      <c r="Z40" s="12"/>
    </row>
    <row r="41" spans="2:26" x14ac:dyDescent="0.3">
      <c r="B41" s="58">
        <f>MAX(B$18:B40)+1</f>
        <v>15</v>
      </c>
      <c r="C41" s="60"/>
      <c r="D41" s="21" t="s">
        <v>42</v>
      </c>
      <c r="E41" s="58"/>
      <c r="F41" s="66" t="s">
        <v>36</v>
      </c>
      <c r="G41" s="58"/>
      <c r="H41" s="12">
        <v>143203.42428455449</v>
      </c>
      <c r="I41" s="63"/>
      <c r="J41" s="12"/>
      <c r="K41" s="64"/>
      <c r="L41" s="12"/>
      <c r="M41" s="64"/>
      <c r="N41" s="12"/>
      <c r="O41" s="64"/>
      <c r="P41" s="12">
        <v>4037.3418789136485</v>
      </c>
      <c r="Q41" s="64"/>
      <c r="R41" s="12">
        <f>T41-P41</f>
        <v>0</v>
      </c>
      <c r="S41" s="64"/>
      <c r="T41" s="12">
        <f>H41*V41/100</f>
        <v>4037.3418789136485</v>
      </c>
      <c r="U41" s="64"/>
      <c r="V41" s="25">
        <v>2.8193054035434155</v>
      </c>
      <c r="W41" s="64"/>
      <c r="X41" s="14">
        <f t="shared" ref="X41" si="6">T41/P41</f>
        <v>1</v>
      </c>
      <c r="Y41" s="63"/>
      <c r="Z41" s="12"/>
    </row>
    <row r="42" spans="2:26" x14ac:dyDescent="0.3">
      <c r="B42" s="58">
        <f>MAX(B$18:B41)+1</f>
        <v>16</v>
      </c>
      <c r="C42" s="60"/>
      <c r="D42" s="10" t="s">
        <v>40</v>
      </c>
      <c r="E42" s="58"/>
      <c r="F42" s="11"/>
      <c r="G42" s="58"/>
      <c r="H42" s="67">
        <f>SUM(H41:H41)</f>
        <v>143203.42428455449</v>
      </c>
      <c r="I42" s="63"/>
      <c r="J42" s="12"/>
      <c r="K42" s="64"/>
      <c r="L42" s="12"/>
      <c r="M42" s="64"/>
      <c r="N42" s="12"/>
      <c r="O42" s="13"/>
      <c r="P42" s="67">
        <f>SUM(P40:P41)</f>
        <v>16421.068247362899</v>
      </c>
      <c r="Q42" s="13"/>
      <c r="R42" s="67">
        <f>SUM(R40:R41)</f>
        <v>0</v>
      </c>
      <c r="S42" s="64"/>
      <c r="T42" s="67">
        <f>SUM(T40:T41)</f>
        <v>16421.068247362899</v>
      </c>
      <c r="U42" s="64"/>
      <c r="V42" s="19">
        <f>T42/$H42*100</f>
        <v>11.466952225062139</v>
      </c>
      <c r="W42" s="64"/>
      <c r="X42" s="68">
        <f>T42/P42</f>
        <v>1</v>
      </c>
      <c r="Y42" s="15"/>
      <c r="Z42" s="12"/>
    </row>
    <row r="43" spans="2:26" x14ac:dyDescent="0.3">
      <c r="B43" s="58"/>
      <c r="H43" s="15"/>
      <c r="I43" s="15"/>
      <c r="J43" s="20"/>
      <c r="K43" s="64"/>
      <c r="L43" s="20"/>
      <c r="M43" s="15"/>
      <c r="N43" s="20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63"/>
    </row>
    <row r="44" spans="2:26" x14ac:dyDescent="0.3">
      <c r="B44" s="58">
        <f>MAX(B$18:B43)+1</f>
        <v>17</v>
      </c>
      <c r="C44" s="60"/>
      <c r="D44" s="10" t="s">
        <v>44</v>
      </c>
      <c r="E44" s="58"/>
      <c r="F44" s="66" t="s">
        <v>36</v>
      </c>
      <c r="G44" s="58"/>
      <c r="H44" s="12">
        <v>3492999.8952274523</v>
      </c>
      <c r="I44" s="63"/>
      <c r="J44" s="12"/>
      <c r="K44" s="64"/>
      <c r="L44" s="12"/>
      <c r="M44" s="64"/>
      <c r="N44" s="12"/>
      <c r="O44" s="13"/>
      <c r="P44" s="12">
        <v>527321.69892533892</v>
      </c>
      <c r="Q44" s="13"/>
      <c r="R44" s="12">
        <f t="shared" ref="R44" si="7">T44-P44</f>
        <v>-98.674046423169784</v>
      </c>
      <c r="S44" s="64"/>
      <c r="T44" s="12">
        <f>H44*V44/100</f>
        <v>527223.02487891575</v>
      </c>
      <c r="U44" s="64"/>
      <c r="V44" s="25">
        <v>15.093702854078806</v>
      </c>
      <c r="W44" s="64"/>
      <c r="X44" s="14">
        <f>T44/P44</f>
        <v>0.99981287694660725</v>
      </c>
      <c r="Y44" s="15"/>
      <c r="Z44" s="12"/>
    </row>
    <row r="45" spans="2:26" x14ac:dyDescent="0.3">
      <c r="B45" s="58"/>
      <c r="C45" s="60"/>
      <c r="D45" s="10"/>
      <c r="E45" s="58"/>
      <c r="F45" s="11"/>
      <c r="G45" s="58"/>
      <c r="H45" s="12"/>
      <c r="I45" s="63"/>
      <c r="J45" s="12"/>
      <c r="K45" s="64"/>
      <c r="L45" s="25"/>
      <c r="M45" s="64"/>
      <c r="N45" s="12"/>
      <c r="O45" s="13"/>
      <c r="P45" s="12"/>
      <c r="Q45" s="13"/>
      <c r="R45" s="12"/>
      <c r="S45" s="64"/>
      <c r="T45" s="12"/>
      <c r="U45" s="64"/>
      <c r="V45" s="25"/>
      <c r="W45" s="64"/>
      <c r="X45" s="14"/>
      <c r="Y45" s="15"/>
      <c r="Z45" s="16"/>
    </row>
    <row r="46" spans="2:26" ht="12.9" thickBot="1" x14ac:dyDescent="0.35">
      <c r="B46" s="58">
        <f>MAX(B$18:B45)+1</f>
        <v>18</v>
      </c>
      <c r="C46" s="60"/>
      <c r="D46" s="23" t="s">
        <v>47</v>
      </c>
      <c r="E46" s="58"/>
      <c r="F46" s="11"/>
      <c r="G46" s="58"/>
      <c r="H46" s="69">
        <f>H37</f>
        <v>5588995.5264765844</v>
      </c>
      <c r="I46" s="63"/>
      <c r="J46" s="69">
        <v>1014773.3372630667</v>
      </c>
      <c r="K46" s="64"/>
      <c r="L46" s="24">
        <f>J46/$H46*100</f>
        <v>18.156631767833964</v>
      </c>
      <c r="M46" s="64"/>
      <c r="N46" s="69">
        <f>J46-P46</f>
        <v>34206.901022881153</v>
      </c>
      <c r="O46" s="13"/>
      <c r="P46" s="69">
        <f>SUM(P37,P42,P44)</f>
        <v>980566.43624018552</v>
      </c>
      <c r="Q46" s="13"/>
      <c r="R46" s="69">
        <f>R37+R42+R44</f>
        <v>-4257.8740746241674</v>
      </c>
      <c r="S46" s="64"/>
      <c r="T46" s="69">
        <f>SUM(T37,T42,T44)</f>
        <v>976308.56216556136</v>
      </c>
      <c r="U46" s="64"/>
      <c r="V46" s="24">
        <f>T46/$H46*100</f>
        <v>17.468408366772231</v>
      </c>
      <c r="W46" s="64"/>
      <c r="X46" s="70">
        <f t="shared" ref="X46" si="8">T46/P46</f>
        <v>0.99565774034551879</v>
      </c>
      <c r="Y46" s="15"/>
      <c r="Z46" s="71">
        <f>V46/L46-1</f>
        <v>-3.7904794780328155E-2</v>
      </c>
    </row>
    <row r="47" spans="2:26" ht="12.9" thickTop="1" x14ac:dyDescent="0.3">
      <c r="B47" s="58"/>
      <c r="C47" s="60"/>
      <c r="D47" s="55"/>
      <c r="F47" s="66"/>
      <c r="H47" s="64"/>
      <c r="I47" s="15"/>
      <c r="J47" s="64"/>
      <c r="K47" s="64"/>
      <c r="L47" s="20"/>
      <c r="M47" s="64"/>
      <c r="N47" s="64"/>
      <c r="O47" s="64"/>
      <c r="P47" s="64"/>
      <c r="Q47" s="64"/>
      <c r="R47" s="64"/>
      <c r="S47" s="64"/>
      <c r="T47" s="64"/>
      <c r="U47" s="64"/>
      <c r="V47" s="20"/>
      <c r="W47" s="64"/>
      <c r="X47" s="72"/>
      <c r="Y47" s="63"/>
      <c r="Z47" s="20"/>
    </row>
    <row r="48" spans="2:26" x14ac:dyDescent="0.3">
      <c r="B48" s="58"/>
      <c r="C48" s="60"/>
      <c r="D48" s="60"/>
      <c r="F48" s="60"/>
      <c r="H48" s="74"/>
      <c r="J48" s="75"/>
      <c r="K48" s="60"/>
      <c r="L48" s="29"/>
      <c r="M48" s="60"/>
      <c r="N48" s="75"/>
      <c r="O48" s="60"/>
      <c r="P48" s="75"/>
      <c r="Q48" s="60"/>
      <c r="R48" s="75"/>
      <c r="S48" s="60"/>
      <c r="T48" s="75"/>
      <c r="U48" s="60"/>
      <c r="V48" s="29"/>
      <c r="W48" s="58"/>
      <c r="X48" s="58"/>
      <c r="Y48" s="58"/>
      <c r="Z48" s="26"/>
    </row>
    <row r="49" spans="2:26" x14ac:dyDescent="0.3">
      <c r="B49" s="58"/>
      <c r="C49" s="60"/>
      <c r="D49" s="7" t="s">
        <v>48</v>
      </c>
      <c r="E49" s="58"/>
      <c r="F49" s="6"/>
      <c r="G49" s="58"/>
      <c r="H49" s="17"/>
      <c r="I49" s="63"/>
      <c r="J49" s="17"/>
      <c r="K49" s="63"/>
      <c r="L49" s="63"/>
      <c r="M49" s="63"/>
      <c r="N49" s="18"/>
      <c r="O49" s="63"/>
      <c r="P49" s="27"/>
      <c r="Q49" s="63"/>
      <c r="R49" s="64"/>
      <c r="S49" s="63"/>
      <c r="T49" s="64"/>
      <c r="U49" s="63"/>
      <c r="V49" s="63"/>
      <c r="W49" s="63"/>
      <c r="X49" s="63"/>
      <c r="Y49" s="63"/>
      <c r="Z49" s="63"/>
    </row>
    <row r="50" spans="2:26" x14ac:dyDescent="0.3">
      <c r="B50" s="58">
        <f>MAX(B$18:B49)+1</f>
        <v>19</v>
      </c>
      <c r="C50" s="60"/>
      <c r="D50" s="10" t="s">
        <v>33</v>
      </c>
      <c r="E50" s="58"/>
      <c r="F50" s="11" t="s">
        <v>34</v>
      </c>
      <c r="G50" s="58"/>
      <c r="H50" s="12">
        <v>8244</v>
      </c>
      <c r="I50" s="63"/>
      <c r="J50" s="12"/>
      <c r="K50" s="63"/>
      <c r="L50" s="12"/>
      <c r="M50" s="64"/>
      <c r="N50" s="12"/>
      <c r="O50" s="13"/>
      <c r="P50" s="12">
        <v>21226.241922032175</v>
      </c>
      <c r="Q50" s="13"/>
      <c r="R50" s="12">
        <f>T50-P50</f>
        <v>-17104.241922032175</v>
      </c>
      <c r="S50" s="64"/>
      <c r="T50" s="12">
        <f>H50*V50/1000</f>
        <v>4122</v>
      </c>
      <c r="U50" s="64"/>
      <c r="V50" s="76">
        <v>500</v>
      </c>
      <c r="W50" s="64"/>
      <c r="X50" s="14">
        <f>T50/P50</f>
        <v>0.19419358429725109</v>
      </c>
      <c r="Y50" s="15"/>
      <c r="Z50" s="12"/>
    </row>
    <row r="51" spans="2:26" x14ac:dyDescent="0.3">
      <c r="B51" s="58">
        <f>MAX(B$18:B50)+1</f>
        <v>20</v>
      </c>
      <c r="C51" s="60"/>
      <c r="D51" s="10" t="s">
        <v>35</v>
      </c>
      <c r="E51" s="58"/>
      <c r="F51" s="11" t="s">
        <v>36</v>
      </c>
      <c r="G51" s="58"/>
      <c r="H51" s="12">
        <v>2606103.8155579944</v>
      </c>
      <c r="I51" s="63"/>
      <c r="J51" s="12"/>
      <c r="K51" s="63"/>
      <c r="L51" s="12"/>
      <c r="M51" s="64"/>
      <c r="N51" s="12"/>
      <c r="O51" s="13"/>
      <c r="P51" s="12">
        <v>7177.5676527015312</v>
      </c>
      <c r="Q51" s="13"/>
      <c r="R51" s="12">
        <f>T51-P51</f>
        <v>0</v>
      </c>
      <c r="S51" s="64"/>
      <c r="T51" s="12">
        <f>$H51*V51/100</f>
        <v>7177.5676527015321</v>
      </c>
      <c r="U51" s="64"/>
      <c r="V51" s="25">
        <v>0.2754137271835711</v>
      </c>
      <c r="W51" s="64"/>
      <c r="X51" s="14">
        <f t="shared" ref="X51" si="9">T51/P51</f>
        <v>1.0000000000000002</v>
      </c>
      <c r="Y51" s="15"/>
      <c r="Z51" s="12"/>
    </row>
    <row r="52" spans="2:26" x14ac:dyDescent="0.3">
      <c r="B52" s="58"/>
      <c r="C52" s="60"/>
      <c r="D52" s="10" t="s">
        <v>49</v>
      </c>
      <c r="E52" s="58"/>
      <c r="F52" s="11"/>
      <c r="G52" s="58"/>
      <c r="H52" s="12"/>
      <c r="I52" s="63"/>
      <c r="J52" s="17"/>
      <c r="K52" s="63"/>
      <c r="L52" s="63"/>
      <c r="M52" s="64"/>
      <c r="N52" s="18"/>
      <c r="O52" s="13"/>
      <c r="P52" s="12"/>
      <c r="Q52" s="13"/>
      <c r="R52" s="12"/>
      <c r="S52" s="64"/>
      <c r="T52" s="12"/>
      <c r="U52" s="64"/>
      <c r="V52" s="25"/>
      <c r="W52" s="64"/>
      <c r="X52" s="14"/>
      <c r="Y52" s="15"/>
      <c r="Z52" s="18"/>
    </row>
    <row r="53" spans="2:26" ht="14.15" x14ac:dyDescent="0.3">
      <c r="B53" s="58">
        <f>MAX(B$18:B52)+1</f>
        <v>21</v>
      </c>
      <c r="C53" s="60"/>
      <c r="D53" s="21" t="s">
        <v>50</v>
      </c>
      <c r="E53" s="58"/>
      <c r="F53" s="11" t="s">
        <v>38</v>
      </c>
      <c r="G53" s="58"/>
      <c r="H53" s="12">
        <v>100070.23380000002</v>
      </c>
      <c r="I53" s="63"/>
      <c r="J53" s="12"/>
      <c r="K53" s="63"/>
      <c r="L53" s="12"/>
      <c r="M53" s="64"/>
      <c r="N53" s="12"/>
      <c r="O53" s="13"/>
      <c r="P53" s="12">
        <v>50948.9046280689</v>
      </c>
      <c r="Q53" s="13"/>
      <c r="R53" s="12">
        <f>T53-P53</f>
        <v>9524.6663809156962</v>
      </c>
      <c r="S53" s="64"/>
      <c r="T53" s="12">
        <f>$H53*V53/100</f>
        <v>60473.571008984596</v>
      </c>
      <c r="U53" s="64"/>
      <c r="V53" s="25">
        <v>60.431127931455464</v>
      </c>
      <c r="W53" s="64"/>
      <c r="X53" s="14"/>
      <c r="Y53" s="15"/>
      <c r="Z53" s="12"/>
    </row>
    <row r="54" spans="2:26" ht="14.15" x14ac:dyDescent="0.3">
      <c r="B54" s="58">
        <f>MAX(B$18:B53)+1</f>
        <v>22</v>
      </c>
      <c r="C54" s="60"/>
      <c r="D54" s="21" t="s">
        <v>51</v>
      </c>
      <c r="E54" s="58"/>
      <c r="F54" s="11" t="s">
        <v>38</v>
      </c>
      <c r="G54" s="58"/>
      <c r="H54" s="12">
        <v>100586.9662</v>
      </c>
      <c r="I54" s="63"/>
      <c r="J54" s="12"/>
      <c r="K54" s="63"/>
      <c r="L54" s="12"/>
      <c r="M54" s="64"/>
      <c r="N54" s="12"/>
      <c r="O54" s="13"/>
      <c r="P54" s="12">
        <v>34270.085745674194</v>
      </c>
      <c r="Q54" s="13"/>
      <c r="R54" s="12">
        <f t="shared" ref="R54" si="10">T54-P54</f>
        <v>6350.5866177847347</v>
      </c>
      <c r="S54" s="64"/>
      <c r="T54" s="12">
        <f>$H54*V54/100</f>
        <v>40620.672363458929</v>
      </c>
      <c r="U54" s="64"/>
      <c r="V54" s="25">
        <v>40.383634081071364</v>
      </c>
      <c r="W54" s="64"/>
      <c r="X54" s="14"/>
      <c r="Y54" s="15"/>
      <c r="Z54" s="12"/>
    </row>
    <row r="55" spans="2:26" x14ac:dyDescent="0.3">
      <c r="B55" s="58">
        <f>MAX(B$18:B54)+1</f>
        <v>23</v>
      </c>
      <c r="C55" s="60"/>
      <c r="D55" s="10" t="s">
        <v>49</v>
      </c>
      <c r="E55" s="58"/>
      <c r="F55" s="11"/>
      <c r="G55" s="58"/>
      <c r="H55" s="67">
        <f>SUM(H53:H54)</f>
        <v>200657.2</v>
      </c>
      <c r="I55" s="63"/>
      <c r="J55" s="12"/>
      <c r="K55" s="63"/>
      <c r="L55" s="12"/>
      <c r="M55" s="64"/>
      <c r="N55" s="12"/>
      <c r="O55" s="13"/>
      <c r="P55" s="67">
        <f>SUM(P53:P54)</f>
        <v>85218.990373743087</v>
      </c>
      <c r="Q55" s="13"/>
      <c r="R55" s="67">
        <f>SUM(R53:R54)</f>
        <v>15875.252998700431</v>
      </c>
      <c r="S55" s="64"/>
      <c r="T55" s="67">
        <f>SUM(T53:T54)</f>
        <v>101094.24337244353</v>
      </c>
      <c r="U55" s="64"/>
      <c r="V55" s="19">
        <f>T55/$H55*100</f>
        <v>50.381567854252687</v>
      </c>
      <c r="W55" s="64"/>
      <c r="X55" s="68">
        <f>T55/P55</f>
        <v>1.1862877385554169</v>
      </c>
      <c r="Y55" s="15"/>
      <c r="Z55" s="12"/>
    </row>
    <row r="56" spans="2:26" x14ac:dyDescent="0.3">
      <c r="B56" s="58"/>
      <c r="C56" s="60"/>
      <c r="D56" s="10"/>
      <c r="E56" s="58"/>
      <c r="F56" s="11"/>
      <c r="G56" s="58"/>
      <c r="H56" s="64"/>
      <c r="I56" s="63"/>
      <c r="J56" s="12"/>
      <c r="K56" s="63"/>
      <c r="L56" s="12"/>
      <c r="M56" s="64"/>
      <c r="N56" s="12"/>
      <c r="O56" s="13"/>
      <c r="P56" s="64"/>
      <c r="Q56" s="13"/>
      <c r="R56" s="64"/>
      <c r="S56" s="64"/>
      <c r="T56" s="64"/>
      <c r="U56" s="64"/>
      <c r="V56" s="25"/>
      <c r="W56" s="64"/>
      <c r="X56" s="72"/>
      <c r="Y56" s="15"/>
      <c r="Z56" s="12"/>
    </row>
    <row r="57" spans="2:26" x14ac:dyDescent="0.3">
      <c r="B57" s="58">
        <f>MAX(B$18:B56)+1</f>
        <v>24</v>
      </c>
      <c r="C57" s="60"/>
      <c r="D57" s="10" t="s">
        <v>39</v>
      </c>
      <c r="E57" s="58"/>
      <c r="F57" s="11"/>
      <c r="G57" s="58"/>
      <c r="H57" s="67">
        <f>H51</f>
        <v>2606103.8155579944</v>
      </c>
      <c r="I57" s="63"/>
      <c r="J57" s="12"/>
      <c r="K57" s="63"/>
      <c r="L57" s="12"/>
      <c r="M57" s="64"/>
      <c r="N57" s="12"/>
      <c r="O57" s="13"/>
      <c r="P57" s="67">
        <f>SUM(P50,P51,P53:P54)</f>
        <v>113622.79994847679</v>
      </c>
      <c r="Q57" s="64"/>
      <c r="R57" s="67">
        <f>SUM(R50,R51,R53:R54)</f>
        <v>-1228.9889233317444</v>
      </c>
      <c r="S57" s="64"/>
      <c r="T57" s="67">
        <f>SUM(T50,T51,T53:T54)</f>
        <v>112393.81102514506</v>
      </c>
      <c r="U57" s="64"/>
      <c r="V57" s="19">
        <f>T57/$H57*100</f>
        <v>4.3127142654169495</v>
      </c>
      <c r="W57" s="64"/>
      <c r="X57" s="68">
        <f>T57/P57</f>
        <v>0.98918360642503944</v>
      </c>
      <c r="Y57" s="15"/>
      <c r="Z57" s="12"/>
    </row>
    <row r="58" spans="2:26" x14ac:dyDescent="0.3">
      <c r="B58" s="58"/>
      <c r="E58" s="58"/>
      <c r="F58" s="11"/>
      <c r="G58" s="58"/>
      <c r="H58" s="12"/>
      <c r="I58" s="63"/>
      <c r="J58" s="17"/>
      <c r="K58" s="63"/>
      <c r="L58" s="63"/>
      <c r="M58" s="64"/>
      <c r="N58" s="18"/>
      <c r="O58" s="13"/>
      <c r="P58" s="12"/>
      <c r="Q58" s="13"/>
      <c r="R58" s="12"/>
      <c r="S58" s="64"/>
      <c r="T58" s="12"/>
      <c r="U58" s="64"/>
      <c r="V58" s="25"/>
      <c r="W58" s="64"/>
      <c r="X58" s="14"/>
      <c r="Y58" s="15"/>
      <c r="Z58" s="18"/>
    </row>
    <row r="59" spans="2:26" x14ac:dyDescent="0.3">
      <c r="B59" s="58"/>
      <c r="C59" s="60"/>
      <c r="D59" s="10" t="s">
        <v>40</v>
      </c>
      <c r="E59" s="58"/>
      <c r="G59" s="58"/>
      <c r="H59" s="12"/>
      <c r="I59" s="63"/>
      <c r="J59" s="17"/>
      <c r="K59" s="63"/>
      <c r="L59" s="63"/>
      <c r="M59" s="64"/>
      <c r="N59" s="18"/>
      <c r="O59" s="13"/>
      <c r="P59" s="12"/>
      <c r="Q59" s="13"/>
      <c r="R59" s="12"/>
      <c r="S59" s="64"/>
      <c r="T59" s="12"/>
      <c r="U59" s="64"/>
      <c r="V59" s="20"/>
      <c r="W59" s="64"/>
      <c r="X59" s="14"/>
      <c r="Y59" s="15"/>
      <c r="Z59" s="18"/>
    </row>
    <row r="60" spans="2:26" x14ac:dyDescent="0.3">
      <c r="B60" s="58">
        <f>MAX(B$18:B59)+1</f>
        <v>25</v>
      </c>
      <c r="C60" s="60"/>
      <c r="D60" s="21" t="s">
        <v>41</v>
      </c>
      <c r="E60" s="58"/>
      <c r="F60" s="66" t="s">
        <v>36</v>
      </c>
      <c r="G60" s="58"/>
      <c r="H60" s="12">
        <v>2595913.1648179945</v>
      </c>
      <c r="I60" s="63"/>
      <c r="J60" s="12"/>
      <c r="K60" s="63"/>
      <c r="L60" s="12"/>
      <c r="M60" s="64"/>
      <c r="N60" s="12"/>
      <c r="O60" s="64"/>
      <c r="P60" s="12">
        <v>5615.1455139290501</v>
      </c>
      <c r="Q60" s="64"/>
      <c r="R60" s="12">
        <f>T60-P60</f>
        <v>0</v>
      </c>
      <c r="S60" s="64"/>
      <c r="T60" s="12">
        <f>$H60*V60/100</f>
        <v>5615.145513929051</v>
      </c>
      <c r="U60" s="64"/>
      <c r="V60" s="25">
        <v>0.21630713962355291</v>
      </c>
      <c r="W60" s="64"/>
      <c r="X60" s="72">
        <f>T60/P60</f>
        <v>1.0000000000000002</v>
      </c>
      <c r="Y60" s="63"/>
      <c r="Z60" s="12"/>
    </row>
    <row r="61" spans="2:26" x14ac:dyDescent="0.3">
      <c r="B61" s="58">
        <f>MAX(B$18:B60)+1</f>
        <v>26</v>
      </c>
      <c r="C61" s="60"/>
      <c r="D61" s="21" t="s">
        <v>42</v>
      </c>
      <c r="E61" s="58"/>
      <c r="F61" s="66" t="s">
        <v>36</v>
      </c>
      <c r="G61" s="58"/>
      <c r="H61" s="12">
        <v>10190.650740000001</v>
      </c>
      <c r="I61" s="63"/>
      <c r="J61" s="12"/>
      <c r="K61" s="63"/>
      <c r="L61" s="12"/>
      <c r="M61" s="64"/>
      <c r="N61" s="12"/>
      <c r="O61" s="64"/>
      <c r="P61" s="12">
        <v>286.17514142781664</v>
      </c>
      <c r="Q61" s="64"/>
      <c r="R61" s="12">
        <f t="shared" ref="R61" si="11">T61-P61</f>
        <v>0</v>
      </c>
      <c r="S61" s="64"/>
      <c r="T61" s="12">
        <f t="shared" ref="T61" si="12">$H61*V61/100</f>
        <v>286.17514142781664</v>
      </c>
      <c r="U61" s="64"/>
      <c r="V61" s="25">
        <v>2.8082126326293526</v>
      </c>
      <c r="W61" s="64"/>
      <c r="X61" s="72">
        <f t="shared" ref="X61" si="13">T61/P61</f>
        <v>1</v>
      </c>
      <c r="Y61" s="63"/>
      <c r="Z61" s="12"/>
    </row>
    <row r="62" spans="2:26" x14ac:dyDescent="0.3">
      <c r="B62" s="58">
        <f>MAX(B$18:B61)+1</f>
        <v>27</v>
      </c>
      <c r="C62" s="60"/>
      <c r="D62" s="10" t="s">
        <v>40</v>
      </c>
      <c r="E62" s="58"/>
      <c r="F62" s="11"/>
      <c r="G62" s="58"/>
      <c r="H62" s="67">
        <f>SUM(H60:H61)</f>
        <v>2606103.8155579944</v>
      </c>
      <c r="I62" s="63"/>
      <c r="J62" s="12"/>
      <c r="K62" s="63"/>
      <c r="L62" s="12"/>
      <c r="M62" s="64"/>
      <c r="N62" s="12"/>
      <c r="O62" s="13"/>
      <c r="P62" s="67">
        <f>SUM(P60:P61)</f>
        <v>5901.3206553568671</v>
      </c>
      <c r="Q62" s="13"/>
      <c r="R62" s="67">
        <f>SUM(R60:R61)</f>
        <v>0</v>
      </c>
      <c r="S62" s="64"/>
      <c r="T62" s="67">
        <f>SUM(T60:T61)</f>
        <v>5901.320655356868</v>
      </c>
      <c r="U62" s="64"/>
      <c r="V62" s="19">
        <f>T62/$H62*100</f>
        <v>0.22644227064658715</v>
      </c>
      <c r="W62" s="64"/>
      <c r="X62" s="68">
        <f>T62/P62</f>
        <v>1.0000000000000002</v>
      </c>
      <c r="Y62" s="15"/>
      <c r="Z62" s="12"/>
    </row>
    <row r="63" spans="2:26" x14ac:dyDescent="0.3">
      <c r="B63" s="58"/>
      <c r="H63" s="15"/>
      <c r="I63" s="15"/>
      <c r="J63" s="17"/>
      <c r="K63" s="63"/>
      <c r="L63" s="63"/>
      <c r="M63" s="15"/>
      <c r="N63" s="18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6"/>
    </row>
    <row r="64" spans="2:26" x14ac:dyDescent="0.3">
      <c r="B64" s="58">
        <f>MAX(B$18:B63)+1</f>
        <v>28</v>
      </c>
      <c r="C64" s="60"/>
      <c r="D64" s="10" t="s">
        <v>44</v>
      </c>
      <c r="E64" s="58"/>
      <c r="F64" s="66" t="s">
        <v>36</v>
      </c>
      <c r="G64" s="58"/>
      <c r="H64" s="12">
        <v>170984.92397</v>
      </c>
      <c r="I64" s="63"/>
      <c r="J64" s="12"/>
      <c r="K64" s="63"/>
      <c r="L64" s="12"/>
      <c r="M64" s="64"/>
      <c r="N64" s="12"/>
      <c r="O64" s="13"/>
      <c r="P64" s="12">
        <v>25812.786516733955</v>
      </c>
      <c r="Q64" s="13"/>
      <c r="R64" s="12">
        <f t="shared" ref="R64" si="14">ROUND(T64,0)-ROUND(P64,0)</f>
        <v>-5</v>
      </c>
      <c r="S64" s="64"/>
      <c r="T64" s="12">
        <f>$H64*V64/100</f>
        <v>25807.956349304368</v>
      </c>
      <c r="U64" s="64"/>
      <c r="V64" s="25">
        <v>15.093702854078806</v>
      </c>
      <c r="W64" s="64"/>
      <c r="X64" s="14">
        <f>T64/P64</f>
        <v>0.99981287694660725</v>
      </c>
      <c r="Y64" s="15"/>
      <c r="Z64" s="12"/>
    </row>
    <row r="65" spans="2:26" x14ac:dyDescent="0.3">
      <c r="B65" s="58"/>
      <c r="C65" s="60"/>
      <c r="D65" s="10"/>
      <c r="E65" s="58"/>
      <c r="F65" s="11"/>
      <c r="G65" s="58"/>
      <c r="H65" s="12"/>
      <c r="I65" s="63"/>
      <c r="J65" s="12"/>
      <c r="K65" s="64"/>
      <c r="L65" s="25"/>
      <c r="M65" s="64"/>
      <c r="N65" s="18"/>
      <c r="O65" s="13"/>
      <c r="P65" s="12"/>
      <c r="Q65" s="13"/>
      <c r="R65" s="12"/>
      <c r="S65" s="64"/>
      <c r="T65" s="12"/>
      <c r="U65" s="64"/>
      <c r="V65" s="25"/>
      <c r="W65" s="64"/>
      <c r="X65" s="14"/>
      <c r="Y65" s="15"/>
      <c r="Z65" s="16"/>
    </row>
    <row r="66" spans="2:26" ht="12.9" thickBot="1" x14ac:dyDescent="0.35">
      <c r="B66" s="58">
        <f>MAX(B$18:B65)+1</f>
        <v>29</v>
      </c>
      <c r="C66" s="60"/>
      <c r="D66" s="23" t="s">
        <v>52</v>
      </c>
      <c r="E66" s="58"/>
      <c r="F66" s="11"/>
      <c r="G66" s="58"/>
      <c r="H66" s="69">
        <f>H57</f>
        <v>2606103.8155579944</v>
      </c>
      <c r="I66" s="63"/>
      <c r="J66" s="69">
        <v>142471.64279548649</v>
      </c>
      <c r="K66" s="64"/>
      <c r="L66" s="24">
        <f>J66/$H66*100</f>
        <v>5.466844488118821</v>
      </c>
      <c r="M66" s="64"/>
      <c r="N66" s="69">
        <f>J66-P66</f>
        <v>-2865.2643250811379</v>
      </c>
      <c r="O66" s="13"/>
      <c r="P66" s="69">
        <f>SUM(P57,P62,P64)</f>
        <v>145336.90712056763</v>
      </c>
      <c r="Q66" s="13"/>
      <c r="R66" s="69">
        <f>SUM(R57,R62,R64)</f>
        <v>-1233.9889233317444</v>
      </c>
      <c r="S66" s="64"/>
      <c r="T66" s="69">
        <f>SUM(T57,T62,T64)</f>
        <v>144103.0880298063</v>
      </c>
      <c r="U66" s="64"/>
      <c r="V66" s="24">
        <f>T66/$H66*100</f>
        <v>5.5294454184647401</v>
      </c>
      <c r="W66" s="64"/>
      <c r="X66" s="70">
        <f>T66/P66</f>
        <v>0.99151062785629673</v>
      </c>
      <c r="Y66" s="15"/>
      <c r="Z66" s="28">
        <f>V66/L66-1</f>
        <v>1.1451017215135861E-2</v>
      </c>
    </row>
    <row r="67" spans="2:26" ht="12.9" thickTop="1" x14ac:dyDescent="0.3">
      <c r="B67" s="58"/>
    </row>
    <row r="69" spans="2:26" x14ac:dyDescent="0.3">
      <c r="B69" s="58"/>
      <c r="C69" s="60"/>
      <c r="D69" s="7" t="s">
        <v>53</v>
      </c>
      <c r="E69" s="58"/>
      <c r="F69" s="6"/>
      <c r="G69" s="58"/>
      <c r="H69" s="17"/>
      <c r="I69" s="63"/>
      <c r="J69" s="15"/>
      <c r="K69" s="15"/>
      <c r="L69" s="15"/>
      <c r="M69" s="15"/>
      <c r="N69" s="15"/>
      <c r="O69" s="63"/>
      <c r="P69" s="27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2:26" x14ac:dyDescent="0.3">
      <c r="D70" s="30" t="s">
        <v>41</v>
      </c>
      <c r="F70" s="44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3">
      <c r="B71" s="58">
        <f>MAX(B$18:B69)+1</f>
        <v>30</v>
      </c>
      <c r="C71" s="60"/>
      <c r="D71" s="10" t="s">
        <v>33</v>
      </c>
      <c r="E71" s="58"/>
      <c r="F71" s="11" t="s">
        <v>34</v>
      </c>
      <c r="G71" s="58"/>
      <c r="H71" s="12">
        <v>960</v>
      </c>
      <c r="I71" s="63"/>
      <c r="J71" s="12"/>
      <c r="K71" s="15"/>
      <c r="L71" s="12"/>
      <c r="M71" s="15"/>
      <c r="N71" s="12"/>
      <c r="O71" s="13"/>
      <c r="P71" s="12">
        <v>5675.6144203465992</v>
      </c>
      <c r="Q71" s="13"/>
      <c r="R71" s="12">
        <f>T71-P71</f>
        <v>-2795.6144203465992</v>
      </c>
      <c r="S71" s="64"/>
      <c r="T71" s="12">
        <f>$H71*V71/1000</f>
        <v>2880</v>
      </c>
      <c r="U71" s="64"/>
      <c r="V71" s="76">
        <v>3000</v>
      </c>
      <c r="W71" s="64"/>
      <c r="X71" s="14">
        <f>IFERROR(T71/P71,"-")</f>
        <v>0.50743404796411873</v>
      </c>
      <c r="Y71" s="15"/>
      <c r="Z71" s="12"/>
    </row>
    <row r="72" spans="2:26" x14ac:dyDescent="0.3">
      <c r="B72" s="58">
        <f>MAX(B$18:B71)+1</f>
        <v>31</v>
      </c>
      <c r="C72" s="60"/>
      <c r="D72" s="10" t="s">
        <v>54</v>
      </c>
      <c r="E72" s="58"/>
      <c r="F72" s="11" t="s">
        <v>36</v>
      </c>
      <c r="G72" s="58"/>
      <c r="H72" s="12">
        <v>3996534.1677636807</v>
      </c>
      <c r="I72" s="63"/>
      <c r="J72" s="12"/>
      <c r="K72" s="15"/>
      <c r="L72" s="12"/>
      <c r="M72" s="15"/>
      <c r="N72" s="12"/>
      <c r="O72" s="13"/>
      <c r="P72" s="12">
        <v>0</v>
      </c>
      <c r="Q72" s="13"/>
      <c r="R72" s="12">
        <f t="shared" ref="R72:R77" si="15">T72-P72</f>
        <v>0</v>
      </c>
      <c r="S72" s="64"/>
      <c r="T72" s="12">
        <f t="shared" ref="T72" si="16">$H72*V72/1000</f>
        <v>0</v>
      </c>
      <c r="U72" s="64"/>
      <c r="V72" s="25">
        <v>0</v>
      </c>
      <c r="W72" s="64"/>
      <c r="X72" s="12">
        <v>0</v>
      </c>
      <c r="Y72" s="15"/>
      <c r="Z72" s="12"/>
    </row>
    <row r="73" spans="2:26" x14ac:dyDescent="0.3">
      <c r="B73" s="58">
        <f>MAX(B$18:B72)+1</f>
        <v>32</v>
      </c>
      <c r="C73" s="60"/>
      <c r="D73" s="10" t="s">
        <v>55</v>
      </c>
      <c r="E73" s="58"/>
      <c r="F73" s="11"/>
      <c r="G73" s="58"/>
      <c r="H73" s="12"/>
      <c r="I73" s="63"/>
      <c r="J73" s="12"/>
      <c r="K73" s="15"/>
      <c r="L73" s="12"/>
      <c r="M73" s="15"/>
      <c r="N73" s="12"/>
      <c r="O73" s="13"/>
      <c r="P73" s="12">
        <v>4278.7864192759826</v>
      </c>
      <c r="Q73" s="13"/>
      <c r="R73" s="12">
        <f t="shared" si="15"/>
        <v>14.020907534457365</v>
      </c>
      <c r="S73" s="64"/>
      <c r="T73" s="12">
        <v>4292.8073268104399</v>
      </c>
      <c r="U73" s="64"/>
      <c r="V73" s="78">
        <v>7.5071571841946695E-3</v>
      </c>
      <c r="W73" s="64"/>
      <c r="X73" s="14"/>
      <c r="Y73" s="31"/>
      <c r="Z73" s="12"/>
    </row>
    <row r="74" spans="2:26" x14ac:dyDescent="0.3">
      <c r="B74" s="58"/>
      <c r="C74" s="60"/>
      <c r="D74" s="10" t="s">
        <v>56</v>
      </c>
      <c r="E74" s="58"/>
      <c r="F74" s="11"/>
      <c r="G74" s="58"/>
      <c r="H74" s="12"/>
      <c r="I74" s="63"/>
      <c r="J74" s="12"/>
      <c r="K74" s="15"/>
      <c r="L74" s="12"/>
      <c r="M74" s="15"/>
      <c r="N74" s="12"/>
      <c r="O74" s="13"/>
      <c r="P74" s="12"/>
      <c r="Q74" s="13"/>
      <c r="R74" s="12"/>
      <c r="S74" s="64"/>
      <c r="T74" s="12"/>
      <c r="U74" s="64"/>
      <c r="V74" s="25"/>
      <c r="W74" s="64"/>
      <c r="X74" s="14"/>
      <c r="Y74" s="15"/>
      <c r="Z74" s="12"/>
    </row>
    <row r="75" spans="2:26" ht="14.15" x14ac:dyDescent="0.3">
      <c r="B75" s="58">
        <f>MAX(B$18:B74)+1</f>
        <v>33</v>
      </c>
      <c r="C75" s="60"/>
      <c r="D75" s="21" t="s">
        <v>57</v>
      </c>
      <c r="E75" s="58"/>
      <c r="F75" s="11" t="s">
        <v>38</v>
      </c>
      <c r="G75" s="58"/>
      <c r="H75" s="12">
        <v>26927.364000000001</v>
      </c>
      <c r="I75" s="63"/>
      <c r="J75" s="12"/>
      <c r="K75" s="15"/>
      <c r="L75" s="12"/>
      <c r="M75" s="15"/>
      <c r="N75" s="12"/>
      <c r="O75" s="13"/>
      <c r="P75" s="12">
        <v>14638.051688618312</v>
      </c>
      <c r="Q75" s="13"/>
      <c r="R75" s="12">
        <f t="shared" si="15"/>
        <v>-361.56232687537704</v>
      </c>
      <c r="S75" s="64"/>
      <c r="T75" s="12">
        <f>$H75*V75/100</f>
        <v>14276.489361742935</v>
      </c>
      <c r="U75" s="64"/>
      <c r="V75" s="25">
        <v>53.018518120611191</v>
      </c>
      <c r="W75" s="64"/>
      <c r="X75" s="14"/>
      <c r="Y75" s="15"/>
      <c r="Z75" s="12"/>
    </row>
    <row r="76" spans="2:26" ht="14.15" x14ac:dyDescent="0.3">
      <c r="B76" s="58">
        <f>MAX(B$18:B75)+1</f>
        <v>34</v>
      </c>
      <c r="C76" s="60"/>
      <c r="D76" s="21" t="s">
        <v>58</v>
      </c>
      <c r="E76" s="58"/>
      <c r="F76" s="11" t="s">
        <v>38</v>
      </c>
      <c r="G76" s="58"/>
      <c r="H76" s="12">
        <v>50942.423999999999</v>
      </c>
      <c r="I76" s="63"/>
      <c r="J76" s="12"/>
      <c r="K76" s="15"/>
      <c r="L76" s="12"/>
      <c r="M76" s="15"/>
      <c r="N76" s="12"/>
      <c r="O76" s="13"/>
      <c r="P76" s="12">
        <v>18934.791221427273</v>
      </c>
      <c r="Q76" s="13"/>
      <c r="R76" s="12">
        <f t="shared" si="15"/>
        <v>-523.84672495856285</v>
      </c>
      <c r="S76" s="64"/>
      <c r="T76" s="12">
        <f t="shared" ref="T76:T77" si="17">$H76*V76/100</f>
        <v>18410.94449646871</v>
      </c>
      <c r="U76" s="64"/>
      <c r="V76" s="25">
        <v>36.140691884761331</v>
      </c>
      <c r="W76" s="64"/>
      <c r="X76" s="14"/>
      <c r="Y76" s="15"/>
      <c r="Z76" s="12"/>
    </row>
    <row r="77" spans="2:26" ht="14.15" x14ac:dyDescent="0.3">
      <c r="B77" s="58">
        <f>MAX(B$18:B76)+1</f>
        <v>35</v>
      </c>
      <c r="C77" s="60"/>
      <c r="D77" s="21" t="s">
        <v>59</v>
      </c>
      <c r="E77" s="58"/>
      <c r="F77" s="11" t="s">
        <v>38</v>
      </c>
      <c r="G77" s="58"/>
      <c r="H77" s="12">
        <v>136172.00399999999</v>
      </c>
      <c r="I77" s="63"/>
      <c r="J77" s="12"/>
      <c r="K77" s="15"/>
      <c r="L77" s="12"/>
      <c r="M77" s="15"/>
      <c r="N77" s="12"/>
      <c r="O77" s="13"/>
      <c r="P77" s="12">
        <v>42545.050782976337</v>
      </c>
      <c r="Q77" s="13"/>
      <c r="R77" s="12">
        <f t="shared" si="15"/>
        <v>-1252.7071673187238</v>
      </c>
      <c r="S77" s="64"/>
      <c r="T77" s="12">
        <f t="shared" si="17"/>
        <v>41292.343615657614</v>
      </c>
      <c r="U77" s="64"/>
      <c r="V77" s="25">
        <v>30.323665953875231</v>
      </c>
      <c r="W77" s="64"/>
      <c r="X77" s="14"/>
      <c r="Y77" s="15"/>
      <c r="Z77" s="12"/>
    </row>
    <row r="78" spans="2:26" x14ac:dyDescent="0.3">
      <c r="B78" s="58">
        <f>MAX(B$18:B77)+1</f>
        <v>36</v>
      </c>
      <c r="C78" s="60"/>
      <c r="D78" s="10" t="s">
        <v>56</v>
      </c>
      <c r="E78" s="58"/>
      <c r="F78" s="11"/>
      <c r="G78" s="58"/>
      <c r="H78" s="67">
        <f>SUM(H75:H77)</f>
        <v>214041.79199999999</v>
      </c>
      <c r="I78" s="63"/>
      <c r="J78" s="15"/>
      <c r="K78" s="15"/>
      <c r="L78" s="15"/>
      <c r="M78" s="15"/>
      <c r="N78" s="15"/>
      <c r="O78" s="13"/>
      <c r="P78" s="67">
        <f>SUM(P75:P77)</f>
        <v>76117.893693021921</v>
      </c>
      <c r="Q78" s="13"/>
      <c r="R78" s="67">
        <f>SUM(R75:R77)</f>
        <v>-2138.1162191526637</v>
      </c>
      <c r="S78" s="64"/>
      <c r="T78" s="67">
        <f>SUM(T75:T77)</f>
        <v>73979.777473869268</v>
      </c>
      <c r="U78" s="64"/>
      <c r="V78" s="19">
        <f>IFERROR(T78/$H78*100,"-")</f>
        <v>34.563239628394285</v>
      </c>
      <c r="W78" s="64"/>
      <c r="X78" s="68">
        <f>IFERROR(T78/P78,"-")</f>
        <v>0.97191046526096048</v>
      </c>
      <c r="Y78" s="15"/>
      <c r="Z78" s="63"/>
    </row>
    <row r="79" spans="2:26" x14ac:dyDescent="0.3">
      <c r="B79" s="58"/>
      <c r="C79" s="60"/>
      <c r="D79" s="10"/>
      <c r="E79" s="58"/>
      <c r="F79" s="11"/>
      <c r="G79" s="58"/>
      <c r="H79" s="12"/>
      <c r="I79" s="63"/>
      <c r="J79" s="15"/>
      <c r="K79" s="15"/>
      <c r="L79" s="15"/>
      <c r="M79" s="15"/>
      <c r="N79" s="15"/>
      <c r="O79" s="13"/>
      <c r="P79" s="12"/>
      <c r="Q79" s="13"/>
      <c r="R79" s="12"/>
      <c r="S79" s="64"/>
      <c r="T79" s="12"/>
      <c r="U79" s="64"/>
      <c r="V79" s="25"/>
      <c r="W79" s="64"/>
      <c r="X79" s="14"/>
      <c r="Y79" s="15"/>
      <c r="Z79" s="63"/>
    </row>
    <row r="80" spans="2:26" x14ac:dyDescent="0.3">
      <c r="B80" s="58">
        <f>MAX(B$18:B79)+1</f>
        <v>37</v>
      </c>
      <c r="C80" s="60"/>
      <c r="D80" s="10" t="s">
        <v>60</v>
      </c>
      <c r="E80" s="58"/>
      <c r="F80" s="11" t="s">
        <v>38</v>
      </c>
      <c r="G80" s="58"/>
      <c r="H80" s="12">
        <v>34996.836000000003</v>
      </c>
      <c r="I80" s="63"/>
      <c r="J80" s="12"/>
      <c r="K80" s="15"/>
      <c r="L80" s="12"/>
      <c r="M80" s="15"/>
      <c r="N80" s="12"/>
      <c r="O80" s="13"/>
      <c r="P80" s="12">
        <v>447.61242357344986</v>
      </c>
      <c r="Q80" s="13"/>
      <c r="R80" s="12">
        <f>T80-P80</f>
        <v>0</v>
      </c>
      <c r="S80" s="64"/>
      <c r="T80" s="12">
        <f>$H80*V80/100</f>
        <v>447.61242357344992</v>
      </c>
      <c r="U80" s="64"/>
      <c r="V80" s="25">
        <v>1.2790082611280913</v>
      </c>
      <c r="W80" s="64"/>
      <c r="X80" s="14">
        <f>IFERROR(T80/P80,"-")</f>
        <v>1.0000000000000002</v>
      </c>
      <c r="Y80" s="15"/>
      <c r="Z80" s="63"/>
    </row>
    <row r="81" spans="2:26" x14ac:dyDescent="0.3">
      <c r="B81" s="58">
        <f>MAX(B$18:B80)+1</f>
        <v>38</v>
      </c>
      <c r="C81" s="60"/>
      <c r="D81" s="10" t="s">
        <v>61</v>
      </c>
      <c r="E81" s="58"/>
      <c r="F81" s="66" t="s">
        <v>36</v>
      </c>
      <c r="G81" s="58"/>
      <c r="H81" s="12">
        <v>13096.011469999999</v>
      </c>
      <c r="I81" s="63"/>
      <c r="J81" s="12"/>
      <c r="K81" s="15"/>
      <c r="L81" s="12"/>
      <c r="M81" s="15"/>
      <c r="N81" s="12"/>
      <c r="O81" s="13"/>
      <c r="P81" s="12">
        <v>0</v>
      </c>
      <c r="Q81" s="13"/>
      <c r="R81" s="12">
        <f>T81-P81</f>
        <v>5.5068186930273662</v>
      </c>
      <c r="S81" s="64"/>
      <c r="T81" s="12">
        <f>$H81*V81/100</f>
        <v>5.5068186930273662</v>
      </c>
      <c r="U81" s="64"/>
      <c r="V81" s="25">
        <v>4.2049586667224921E-2</v>
      </c>
      <c r="W81" s="64"/>
      <c r="X81" s="14"/>
      <c r="Y81" s="15"/>
      <c r="Z81" s="63"/>
    </row>
    <row r="82" spans="2:26" x14ac:dyDescent="0.3">
      <c r="B82" s="58">
        <f>MAX(B$18:B81)+1</f>
        <v>39</v>
      </c>
      <c r="C82" s="60"/>
      <c r="D82" s="10" t="s">
        <v>62</v>
      </c>
      <c r="E82" s="58"/>
      <c r="F82" s="66" t="s">
        <v>36</v>
      </c>
      <c r="G82" s="58"/>
      <c r="H82" s="12">
        <v>0</v>
      </c>
      <c r="I82" s="63"/>
      <c r="J82" s="12"/>
      <c r="K82" s="15"/>
      <c r="L82" s="12"/>
      <c r="M82" s="15"/>
      <c r="N82" s="12"/>
      <c r="O82" s="13"/>
      <c r="P82" s="12"/>
      <c r="Q82" s="13"/>
      <c r="R82" s="12"/>
      <c r="S82" s="64"/>
      <c r="T82" s="12"/>
      <c r="U82" s="64"/>
      <c r="V82" s="25">
        <v>0</v>
      </c>
      <c r="W82" s="64"/>
      <c r="X82" s="14"/>
      <c r="Y82" s="15"/>
      <c r="Z82" s="63"/>
    </row>
    <row r="83" spans="2:26" x14ac:dyDescent="0.3">
      <c r="B83" s="58"/>
      <c r="C83" s="60"/>
      <c r="D83" s="10"/>
      <c r="E83" s="58"/>
      <c r="F83" s="11"/>
      <c r="G83" s="58"/>
      <c r="H83" s="12"/>
      <c r="I83" s="63"/>
      <c r="J83" s="15"/>
      <c r="K83" s="15"/>
      <c r="L83" s="15"/>
      <c r="M83" s="15"/>
      <c r="N83" s="15"/>
      <c r="O83" s="13"/>
      <c r="P83" s="12"/>
      <c r="Q83" s="13"/>
      <c r="R83" s="12"/>
      <c r="S83" s="64"/>
      <c r="T83" s="12"/>
      <c r="U83" s="64"/>
      <c r="V83" s="25"/>
      <c r="W83" s="64"/>
      <c r="X83" s="14"/>
      <c r="Y83" s="15"/>
      <c r="Z83" s="63"/>
    </row>
    <row r="84" spans="2:26" x14ac:dyDescent="0.3">
      <c r="B84" s="58">
        <f>MAX(B$18:B83)+1</f>
        <v>40</v>
      </c>
      <c r="C84" s="60"/>
      <c r="D84" s="10" t="s">
        <v>63</v>
      </c>
      <c r="E84" s="58"/>
      <c r="F84" s="11"/>
      <c r="G84" s="58"/>
      <c r="H84" s="67">
        <f>H72+H81</f>
        <v>4009630.1792336805</v>
      </c>
      <c r="I84" s="63"/>
      <c r="J84" s="15"/>
      <c r="K84" s="15"/>
      <c r="L84" s="15"/>
      <c r="M84" s="15"/>
      <c r="N84" s="15"/>
      <c r="O84" s="13"/>
      <c r="P84" s="67">
        <f>SUM(P71,P72:P73,P78,P80,P81)</f>
        <v>86519.90695621795</v>
      </c>
      <c r="Q84" s="13"/>
      <c r="R84" s="67">
        <f>SUM(R71,R72:R73,R78,R80,R81)</f>
        <v>-4914.202913271778</v>
      </c>
      <c r="S84" s="64"/>
      <c r="T84" s="67">
        <f>SUM(T71,T72:T73,T78,T80,T81)</f>
        <v>81605.704042946178</v>
      </c>
      <c r="U84" s="64"/>
      <c r="V84" s="19">
        <f>IFERROR(T84/$H84*100,"-")</f>
        <v>2.0352426631660738</v>
      </c>
      <c r="W84" s="64"/>
      <c r="X84" s="68">
        <f>IFERROR(T84/P84,"-")</f>
        <v>0.94320147713798941</v>
      </c>
      <c r="Y84" s="15"/>
      <c r="Z84" s="63"/>
    </row>
    <row r="85" spans="2:26" x14ac:dyDescent="0.3">
      <c r="E85" s="58"/>
      <c r="F85" s="11"/>
      <c r="G85" s="58"/>
      <c r="H85" s="12"/>
      <c r="I85" s="63"/>
      <c r="J85" s="15"/>
      <c r="K85" s="15"/>
      <c r="L85" s="15"/>
      <c r="M85" s="15"/>
      <c r="N85" s="15"/>
      <c r="O85" s="13"/>
      <c r="P85" s="12"/>
      <c r="Q85" s="13"/>
      <c r="R85" s="12"/>
      <c r="S85" s="64"/>
      <c r="T85" s="12"/>
      <c r="U85" s="64"/>
      <c r="V85" s="25"/>
      <c r="W85" s="64"/>
      <c r="X85" s="14"/>
      <c r="Y85" s="15"/>
      <c r="Z85" s="63"/>
    </row>
    <row r="86" spans="2:26" x14ac:dyDescent="0.3">
      <c r="B86" s="58"/>
      <c r="C86" s="60"/>
      <c r="D86" s="30" t="s">
        <v>64</v>
      </c>
      <c r="E86" s="58"/>
      <c r="F86" s="66"/>
      <c r="G86" s="58"/>
      <c r="H86" s="12"/>
      <c r="I86" s="63"/>
      <c r="J86" s="15"/>
      <c r="K86" s="15"/>
      <c r="L86" s="15"/>
      <c r="M86" s="15"/>
      <c r="N86" s="15"/>
      <c r="O86" s="13"/>
      <c r="P86" s="12"/>
      <c r="Q86" s="13"/>
      <c r="R86" s="12"/>
      <c r="S86" s="64"/>
      <c r="T86" s="12"/>
      <c r="U86" s="64"/>
      <c r="V86" s="20"/>
      <c r="W86" s="64"/>
      <c r="X86" s="14"/>
      <c r="Y86" s="15"/>
      <c r="Z86" s="63"/>
    </row>
    <row r="87" spans="2:26" x14ac:dyDescent="0.3">
      <c r="B87" s="58">
        <f>MAX(B$18:B86)+1</f>
        <v>41</v>
      </c>
      <c r="C87" s="60"/>
      <c r="D87" s="21" t="s">
        <v>65</v>
      </c>
      <c r="E87" s="58"/>
      <c r="F87" s="66" t="s">
        <v>172</v>
      </c>
      <c r="G87" s="58"/>
      <c r="H87" s="12">
        <v>102195366</v>
      </c>
      <c r="I87" s="63"/>
      <c r="J87" s="12"/>
      <c r="K87" s="15"/>
      <c r="L87" s="12"/>
      <c r="M87" s="15"/>
      <c r="N87" s="12"/>
      <c r="O87" s="13"/>
      <c r="P87" s="12">
        <v>1526.2590479119281</v>
      </c>
      <c r="Q87" s="13"/>
      <c r="R87" s="12">
        <f>T87-P87</f>
        <v>1.4294605296061036</v>
      </c>
      <c r="S87" s="64"/>
      <c r="T87" s="12">
        <f>$H87*V87/1000</f>
        <v>1527.6885084415342</v>
      </c>
      <c r="U87" s="64"/>
      <c r="V87" s="77">
        <v>1.4948706269534122E-2</v>
      </c>
      <c r="W87" s="64"/>
      <c r="X87" s="14">
        <f>IFERROR(T87/P87,"-")</f>
        <v>1.0009365779233621</v>
      </c>
      <c r="Y87" s="15"/>
      <c r="Z87" s="12"/>
    </row>
    <row r="88" spans="2:26" x14ac:dyDescent="0.3">
      <c r="B88" s="58"/>
      <c r="C88" s="60"/>
      <c r="D88" s="21" t="s">
        <v>66</v>
      </c>
      <c r="E88" s="58"/>
      <c r="F88" s="66"/>
      <c r="G88" s="58"/>
      <c r="H88" s="12"/>
      <c r="I88" s="63"/>
      <c r="J88" s="15"/>
      <c r="K88" s="15"/>
      <c r="L88" s="15"/>
      <c r="M88" s="15"/>
      <c r="N88" s="15"/>
      <c r="O88" s="13"/>
      <c r="P88" s="12"/>
      <c r="Q88" s="13"/>
      <c r="R88" s="12">
        <f t="shared" ref="R88:R93" si="18">T88-P88</f>
        <v>0</v>
      </c>
      <c r="S88" s="64"/>
      <c r="T88" s="12">
        <f t="shared" ref="T88:T92" si="19">$H88*V88/1000</f>
        <v>0</v>
      </c>
      <c r="U88" s="64"/>
      <c r="V88" s="20"/>
      <c r="W88" s="64"/>
      <c r="X88" s="14"/>
      <c r="Y88" s="15"/>
      <c r="Z88" s="15"/>
    </row>
    <row r="89" spans="2:26" x14ac:dyDescent="0.3">
      <c r="B89" s="58">
        <f>MAX(B$18:B88)+1</f>
        <v>42</v>
      </c>
      <c r="C89" s="60"/>
      <c r="D89" s="32" t="s">
        <v>67</v>
      </c>
      <c r="E89" s="58"/>
      <c r="F89" s="66" t="s">
        <v>172</v>
      </c>
      <c r="G89" s="58"/>
      <c r="H89" s="12">
        <v>2690346</v>
      </c>
      <c r="I89" s="63"/>
      <c r="J89" s="12"/>
      <c r="K89" s="15"/>
      <c r="L89" s="12"/>
      <c r="M89" s="15"/>
      <c r="N89" s="12"/>
      <c r="O89" s="13"/>
      <c r="P89" s="12">
        <v>4556.6500013295999</v>
      </c>
      <c r="Q89" s="13"/>
      <c r="R89" s="12">
        <f t="shared" si="18"/>
        <v>2366.3768431851977</v>
      </c>
      <c r="S89" s="64"/>
      <c r="T89" s="12">
        <f t="shared" si="19"/>
        <v>6923.0268445147976</v>
      </c>
      <c r="U89" s="64"/>
      <c r="V89" s="77">
        <v>2.5732849397493101</v>
      </c>
      <c r="W89" s="64"/>
      <c r="X89" s="14">
        <f t="shared" ref="X89:X91" si="20">IFERROR(T89/P89,"-")</f>
        <v>1.5193238108028277</v>
      </c>
      <c r="Y89" s="15"/>
      <c r="Z89" s="12"/>
    </row>
    <row r="90" spans="2:26" x14ac:dyDescent="0.3">
      <c r="B90" s="58">
        <f>MAX(B$18:B89)+1</f>
        <v>43</v>
      </c>
      <c r="C90" s="60"/>
      <c r="D90" s="32" t="s">
        <v>68</v>
      </c>
      <c r="E90" s="58"/>
      <c r="F90" s="66" t="s">
        <v>172</v>
      </c>
      <c r="G90" s="58"/>
      <c r="H90" s="12">
        <v>910476</v>
      </c>
      <c r="I90" s="63"/>
      <c r="J90" s="12"/>
      <c r="K90" s="15"/>
      <c r="L90" s="12"/>
      <c r="M90" s="15"/>
      <c r="N90" s="12"/>
      <c r="O90" s="13"/>
      <c r="P90" s="12">
        <v>1542.0769174710495</v>
      </c>
      <c r="Q90" s="13"/>
      <c r="R90" s="12">
        <f t="shared" si="18"/>
        <v>638.51190201747067</v>
      </c>
      <c r="S90" s="64"/>
      <c r="T90" s="12">
        <f t="shared" si="19"/>
        <v>2180.5888194885201</v>
      </c>
      <c r="U90" s="64"/>
      <c r="V90" s="77">
        <v>2.3949986814463209</v>
      </c>
      <c r="W90" s="64"/>
      <c r="X90" s="14">
        <f t="shared" si="20"/>
        <v>1.4140596975309163</v>
      </c>
      <c r="Y90" s="15"/>
      <c r="Z90" s="12"/>
    </row>
    <row r="91" spans="2:26" x14ac:dyDescent="0.3">
      <c r="B91" s="58">
        <f>MAX(B$18:B90)+1</f>
        <v>44</v>
      </c>
      <c r="C91" s="60"/>
      <c r="D91" s="32" t="s">
        <v>69</v>
      </c>
      <c r="E91" s="58"/>
      <c r="F91" s="66" t="s">
        <v>172</v>
      </c>
      <c r="G91" s="58"/>
      <c r="H91" s="12">
        <v>12000</v>
      </c>
      <c r="I91" s="63"/>
      <c r="J91" s="12"/>
      <c r="K91" s="15"/>
      <c r="L91" s="12"/>
      <c r="M91" s="15"/>
      <c r="N91" s="12"/>
      <c r="O91" s="13"/>
      <c r="P91" s="12">
        <v>20.324448980151697</v>
      </c>
      <c r="Q91" s="13"/>
      <c r="R91" s="12">
        <f t="shared" si="18"/>
        <v>8.4155351972041537</v>
      </c>
      <c r="S91" s="64"/>
      <c r="T91" s="12">
        <f t="shared" si="19"/>
        <v>28.739984177355851</v>
      </c>
      <c r="U91" s="64"/>
      <c r="V91" s="77">
        <v>2.3949986814463209</v>
      </c>
      <c r="W91" s="64"/>
      <c r="X91" s="14">
        <f t="shared" si="20"/>
        <v>1.4140596975309163</v>
      </c>
      <c r="Y91" s="15"/>
      <c r="Z91" s="12"/>
    </row>
    <row r="92" spans="2:26" x14ac:dyDescent="0.3">
      <c r="B92" s="58">
        <f>MAX(B$18:B91)+1</f>
        <v>45</v>
      </c>
      <c r="D92" s="21" t="s">
        <v>70</v>
      </c>
      <c r="F92" s="1" t="s">
        <v>71</v>
      </c>
      <c r="H92" s="12">
        <v>22553384.649308</v>
      </c>
      <c r="I92" s="63"/>
      <c r="J92" s="12"/>
      <c r="K92" s="15"/>
      <c r="L92" s="12"/>
      <c r="M92" s="15"/>
      <c r="N92" s="12"/>
      <c r="O92" s="13"/>
      <c r="P92" s="12">
        <v>0</v>
      </c>
      <c r="Q92" s="13"/>
      <c r="R92" s="12">
        <f t="shared" si="18"/>
        <v>0</v>
      </c>
      <c r="S92" s="64"/>
      <c r="T92" s="12">
        <f t="shared" si="19"/>
        <v>0</v>
      </c>
      <c r="U92" s="64"/>
      <c r="V92" s="77">
        <v>0</v>
      </c>
      <c r="W92" s="64"/>
      <c r="X92" s="12">
        <v>0</v>
      </c>
      <c r="Y92" s="15"/>
      <c r="Z92" s="12"/>
    </row>
    <row r="93" spans="2:26" x14ac:dyDescent="0.3">
      <c r="B93" s="58">
        <f>MAX(B$18:B92)+1</f>
        <v>46</v>
      </c>
      <c r="C93" s="60"/>
      <c r="D93" s="21" t="s">
        <v>72</v>
      </c>
      <c r="E93" s="58"/>
      <c r="F93" s="11"/>
      <c r="G93" s="58"/>
      <c r="H93" s="12"/>
      <c r="I93" s="63"/>
      <c r="J93" s="12"/>
      <c r="K93" s="15"/>
      <c r="L93" s="12"/>
      <c r="M93" s="15"/>
      <c r="N93" s="12"/>
      <c r="O93" s="13"/>
      <c r="P93" s="12">
        <v>657.97517548256747</v>
      </c>
      <c r="Q93" s="13"/>
      <c r="R93" s="12">
        <f t="shared" si="18"/>
        <v>-0.30113257676555349</v>
      </c>
      <c r="S93" s="64"/>
      <c r="T93" s="12">
        <v>657.67404290580191</v>
      </c>
      <c r="U93" s="64"/>
      <c r="V93" s="78">
        <v>7.9936318892803778E-3</v>
      </c>
      <c r="W93" s="64"/>
      <c r="X93" s="12"/>
      <c r="Y93" s="15"/>
      <c r="Z93" s="12"/>
    </row>
    <row r="94" spans="2:26" x14ac:dyDescent="0.3">
      <c r="B94" s="58"/>
      <c r="C94" s="60"/>
      <c r="D94" s="10"/>
      <c r="E94" s="58"/>
      <c r="F94" s="11"/>
      <c r="G94" s="58"/>
      <c r="H94" s="12"/>
      <c r="I94" s="63"/>
      <c r="J94" s="15"/>
      <c r="K94" s="15"/>
      <c r="L94" s="15"/>
      <c r="M94" s="15"/>
      <c r="N94" s="15"/>
      <c r="O94" s="13"/>
      <c r="P94" s="12"/>
      <c r="Q94" s="13"/>
      <c r="R94" s="12"/>
      <c r="S94" s="64"/>
      <c r="T94" s="12"/>
      <c r="U94" s="64"/>
      <c r="V94" s="25"/>
      <c r="W94" s="64"/>
      <c r="X94" s="14"/>
      <c r="Y94" s="15"/>
      <c r="Z94" s="63"/>
    </row>
    <row r="95" spans="2:26" x14ac:dyDescent="0.3">
      <c r="B95" s="58">
        <f>MAX(B$18:B94)+1</f>
        <v>47</v>
      </c>
      <c r="C95" s="60"/>
      <c r="D95" s="10" t="s">
        <v>73</v>
      </c>
      <c r="E95" s="58"/>
      <c r="F95" s="11"/>
      <c r="G95" s="58"/>
      <c r="H95" s="67">
        <f>H84</f>
        <v>4009630.1792336805</v>
      </c>
      <c r="I95" s="63"/>
      <c r="J95" s="12"/>
      <c r="K95" s="15"/>
      <c r="L95" s="12"/>
      <c r="M95" s="15"/>
      <c r="N95" s="12"/>
      <c r="O95" s="13"/>
      <c r="P95" s="67">
        <f>SUM(P87:P93)</f>
        <v>8303.2855911752958</v>
      </c>
      <c r="Q95" s="13"/>
      <c r="R95" s="67">
        <f>SUM(R87:R93)</f>
        <v>3014.432608352713</v>
      </c>
      <c r="S95" s="64"/>
      <c r="T95" s="67">
        <f>SUM(T87:T93)</f>
        <v>11317.718199528012</v>
      </c>
      <c r="U95" s="64"/>
      <c r="V95" s="19">
        <f>IFERROR(T95/$H95*100,"-")</f>
        <v>0.28226339322124344</v>
      </c>
      <c r="W95" s="64"/>
      <c r="X95" s="68">
        <f>IFERROR(T95/P95,"-")</f>
        <v>1.3630409402702521</v>
      </c>
      <c r="Y95" s="15"/>
      <c r="Z95" s="63"/>
    </row>
    <row r="96" spans="2:26" x14ac:dyDescent="0.3">
      <c r="E96" s="58"/>
      <c r="F96" s="11"/>
      <c r="G96" s="58"/>
      <c r="H96" s="12"/>
      <c r="I96" s="63"/>
      <c r="J96" s="12"/>
      <c r="K96" s="64"/>
      <c r="L96" s="25"/>
      <c r="M96" s="64"/>
      <c r="N96" s="12"/>
      <c r="O96" s="13"/>
      <c r="P96" s="12"/>
      <c r="Q96" s="13"/>
      <c r="R96" s="12"/>
      <c r="S96" s="64"/>
      <c r="T96" s="12"/>
      <c r="U96" s="64"/>
      <c r="V96" s="25"/>
      <c r="W96" s="64"/>
      <c r="X96" s="14"/>
      <c r="Y96" s="15"/>
      <c r="Z96" s="16"/>
    </row>
    <row r="97" spans="2:26" ht="12.9" thickBot="1" x14ac:dyDescent="0.35">
      <c r="B97" s="58">
        <f>MAX(B$18:B96)+1</f>
        <v>48</v>
      </c>
      <c r="C97" s="60"/>
      <c r="D97" s="23" t="s">
        <v>74</v>
      </c>
      <c r="E97" s="58"/>
      <c r="F97" s="11"/>
      <c r="G97" s="58"/>
      <c r="H97" s="69">
        <f>H84</f>
        <v>4009630.1792336805</v>
      </c>
      <c r="I97" s="63"/>
      <c r="J97" s="69">
        <v>70374.889700499247</v>
      </c>
      <c r="K97" s="64"/>
      <c r="L97" s="24">
        <f>IFERROR(J97/$H97*100,"-")</f>
        <v>1.7551466483113232</v>
      </c>
      <c r="M97" s="64"/>
      <c r="N97" s="69">
        <f>J97-P97</f>
        <v>-24448.302846894003</v>
      </c>
      <c r="O97" s="13"/>
      <c r="P97" s="69">
        <f>P84+P95</f>
        <v>94823.19254739325</v>
      </c>
      <c r="Q97" s="13"/>
      <c r="R97" s="69">
        <f>R84+R95</f>
        <v>-1899.770304919065</v>
      </c>
      <c r="S97" s="64"/>
      <c r="T97" s="69">
        <f>T84+T95</f>
        <v>92923.422242474189</v>
      </c>
      <c r="U97" s="64"/>
      <c r="V97" s="24">
        <f>IFERROR(T97/$H97*100,"-")</f>
        <v>2.3175060563873173</v>
      </c>
      <c r="W97" s="64"/>
      <c r="X97" s="70">
        <f>IFERROR(T97/P97,"-")</f>
        <v>0.97996513032431865</v>
      </c>
      <c r="Y97" s="15"/>
      <c r="Z97" s="28">
        <f>IFERROR(V97/L97-1,"-")</f>
        <v>0.32040593794088723</v>
      </c>
    </row>
    <row r="98" spans="2:26" ht="12.9" thickTop="1" x14ac:dyDescent="0.3">
      <c r="B98" s="58"/>
    </row>
    <row r="99" spans="2:26" x14ac:dyDescent="0.3">
      <c r="B99" s="58"/>
    </row>
    <row r="100" spans="2:26" ht="11.4" customHeight="1" x14ac:dyDescent="0.3">
      <c r="B100" s="58"/>
      <c r="C100" s="23"/>
      <c r="D100" s="7" t="s">
        <v>75</v>
      </c>
      <c r="E100" s="23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ht="11.4" customHeight="1" x14ac:dyDescent="0.3">
      <c r="B101" s="58">
        <f>MAX(B$18:B100)+1</f>
        <v>49</v>
      </c>
      <c r="C101" s="23"/>
      <c r="D101" s="10" t="s">
        <v>33</v>
      </c>
      <c r="F101" s="44" t="s">
        <v>34</v>
      </c>
      <c r="G101" s="23"/>
      <c r="H101" s="12">
        <v>0</v>
      </c>
      <c r="I101" s="15"/>
      <c r="J101" s="12"/>
      <c r="K101" s="15"/>
      <c r="L101" s="12"/>
      <c r="M101" s="15"/>
      <c r="N101" s="12"/>
      <c r="O101" s="15"/>
      <c r="P101" s="12">
        <v>0</v>
      </c>
      <c r="Q101" s="15"/>
      <c r="R101" s="12">
        <f>T101-P101</f>
        <v>0</v>
      </c>
      <c r="S101" s="64"/>
      <c r="T101" s="12">
        <f>$H101*V101/1000</f>
        <v>0</v>
      </c>
      <c r="U101" s="15"/>
      <c r="V101" s="25">
        <v>0</v>
      </c>
      <c r="W101" s="15"/>
      <c r="X101" s="14"/>
      <c r="Y101" s="15"/>
      <c r="Z101" s="12"/>
    </row>
    <row r="102" spans="2:26" ht="11.4" customHeight="1" x14ac:dyDescent="0.3">
      <c r="B102" s="58"/>
      <c r="C102" s="23"/>
      <c r="D102" s="10"/>
      <c r="F102" s="44"/>
      <c r="H102" s="12"/>
      <c r="I102" s="15"/>
      <c r="J102" s="12"/>
      <c r="K102" s="15"/>
      <c r="L102" s="12"/>
      <c r="M102" s="15"/>
      <c r="N102" s="12"/>
      <c r="O102" s="15"/>
      <c r="P102" s="12"/>
      <c r="Q102" s="15"/>
      <c r="R102" s="12"/>
      <c r="S102" s="64"/>
      <c r="T102" s="12"/>
      <c r="U102" s="15"/>
      <c r="V102" s="76"/>
      <c r="W102" s="15"/>
      <c r="X102" s="14"/>
      <c r="Y102" s="15"/>
      <c r="Z102" s="12"/>
    </row>
    <row r="103" spans="2:26" x14ac:dyDescent="0.3">
      <c r="B103" s="58">
        <f>MAX(B$18:B102)+1</f>
        <v>50</v>
      </c>
      <c r="D103" s="10" t="s">
        <v>54</v>
      </c>
      <c r="F103" s="44" t="s">
        <v>36</v>
      </c>
      <c r="H103" s="12">
        <v>0</v>
      </c>
      <c r="I103" s="15"/>
      <c r="J103" s="12"/>
      <c r="K103" s="15"/>
      <c r="L103" s="12"/>
      <c r="M103" s="15"/>
      <c r="N103" s="12"/>
      <c r="O103" s="15"/>
      <c r="P103" s="12">
        <v>0</v>
      </c>
      <c r="Q103" s="15"/>
      <c r="R103" s="12">
        <f t="shared" ref="R103" si="21">T103-P103</f>
        <v>0</v>
      </c>
      <c r="S103" s="64"/>
      <c r="T103" s="12">
        <f>$H103*V103/100</f>
        <v>0</v>
      </c>
      <c r="U103" s="15"/>
      <c r="V103" s="25">
        <v>0</v>
      </c>
      <c r="W103" s="15"/>
      <c r="X103" s="14"/>
      <c r="Y103" s="15"/>
      <c r="Z103" s="12"/>
    </row>
    <row r="104" spans="2:26" x14ac:dyDescent="0.3">
      <c r="B104" s="58"/>
      <c r="D104" s="10"/>
      <c r="F104" s="44"/>
      <c r="H104" s="12"/>
      <c r="I104" s="15"/>
      <c r="J104" s="12"/>
      <c r="K104" s="15"/>
      <c r="L104" s="12"/>
      <c r="M104" s="15"/>
      <c r="N104" s="12"/>
      <c r="O104" s="15"/>
      <c r="P104" s="12"/>
      <c r="Q104" s="15"/>
      <c r="R104" s="12"/>
      <c r="S104" s="64"/>
      <c r="T104" s="12"/>
      <c r="U104" s="15"/>
      <c r="V104" s="78"/>
      <c r="W104" s="15"/>
      <c r="X104" s="14"/>
      <c r="Y104" s="15"/>
      <c r="Z104" s="12"/>
    </row>
    <row r="105" spans="2:26" x14ac:dyDescent="0.3">
      <c r="B105" s="58"/>
      <c r="D105" s="10" t="s">
        <v>56</v>
      </c>
      <c r="F105" s="44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33"/>
      <c r="W105" s="15"/>
      <c r="X105" s="15"/>
      <c r="Y105" s="15"/>
      <c r="Z105" s="15"/>
    </row>
    <row r="106" spans="2:26" ht="14.15" x14ac:dyDescent="0.3">
      <c r="B106" s="58">
        <f>MAX(B$18:B105)+1</f>
        <v>51</v>
      </c>
      <c r="D106" s="21" t="s">
        <v>57</v>
      </c>
      <c r="F106" s="44" t="s">
        <v>38</v>
      </c>
      <c r="H106" s="12">
        <v>0</v>
      </c>
      <c r="I106" s="15"/>
      <c r="J106" s="12"/>
      <c r="K106" s="15"/>
      <c r="L106" s="12"/>
      <c r="M106" s="15"/>
      <c r="N106" s="12"/>
      <c r="O106" s="15"/>
      <c r="P106" s="12">
        <v>0</v>
      </c>
      <c r="Q106" s="15"/>
      <c r="R106" s="12">
        <f>T106-P106</f>
        <v>0</v>
      </c>
      <c r="S106" s="64"/>
      <c r="T106" s="12">
        <f>$H106*V106/100</f>
        <v>0</v>
      </c>
      <c r="U106" s="15"/>
      <c r="V106" s="25">
        <v>0</v>
      </c>
      <c r="W106" s="15"/>
      <c r="X106" s="12"/>
      <c r="Y106" s="15"/>
      <c r="Z106" s="12"/>
    </row>
    <row r="107" spans="2:26" ht="14.15" x14ac:dyDescent="0.3">
      <c r="B107" s="58">
        <f>MAX(B$18:B106)+1</f>
        <v>52</v>
      </c>
      <c r="D107" s="21" t="s">
        <v>76</v>
      </c>
      <c r="F107" s="44" t="s">
        <v>38</v>
      </c>
      <c r="H107" s="12">
        <v>0</v>
      </c>
      <c r="I107" s="15"/>
      <c r="J107" s="12"/>
      <c r="K107" s="15"/>
      <c r="L107" s="12"/>
      <c r="M107" s="15"/>
      <c r="N107" s="12"/>
      <c r="O107" s="15"/>
      <c r="P107" s="12">
        <v>0</v>
      </c>
      <c r="Q107" s="15"/>
      <c r="R107" s="12">
        <f>T107-P107</f>
        <v>0</v>
      </c>
      <c r="S107" s="64"/>
      <c r="T107" s="12">
        <f>$H107*V107/100</f>
        <v>0</v>
      </c>
      <c r="U107" s="15"/>
      <c r="V107" s="25">
        <v>0</v>
      </c>
      <c r="W107" s="15"/>
      <c r="X107" s="12"/>
      <c r="Y107" s="15"/>
      <c r="Z107" s="12"/>
    </row>
    <row r="108" spans="2:26" x14ac:dyDescent="0.3">
      <c r="B108" s="58">
        <f>MAX(B$18:B107)+1</f>
        <v>53</v>
      </c>
      <c r="D108" s="10" t="s">
        <v>56</v>
      </c>
      <c r="H108" s="67">
        <f>SUM(H106:H107)</f>
        <v>0</v>
      </c>
      <c r="I108" s="63"/>
      <c r="J108" s="15"/>
      <c r="K108" s="15"/>
      <c r="L108" s="15"/>
      <c r="M108" s="15"/>
      <c r="N108" s="15"/>
      <c r="O108" s="13"/>
      <c r="P108" s="67">
        <f>SUM(P106:P107)</f>
        <v>0</v>
      </c>
      <c r="Q108" s="13"/>
      <c r="R108" s="67">
        <f>SUM(R106:R107)</f>
        <v>0</v>
      </c>
      <c r="S108" s="64"/>
      <c r="T108" s="67">
        <f>SUM(T106:T107)</f>
        <v>0</v>
      </c>
      <c r="U108" s="64"/>
      <c r="V108" s="67" t="str">
        <f>IFERROR(T108/$H108*100,"-")</f>
        <v>-</v>
      </c>
      <c r="W108" s="64"/>
      <c r="X108" s="68" t="str">
        <f>IFERROR(T108/P108,"-")</f>
        <v>-</v>
      </c>
      <c r="Y108" s="15"/>
      <c r="Z108" s="15"/>
    </row>
    <row r="109" spans="2:26" x14ac:dyDescent="0.3">
      <c r="B109" s="58"/>
      <c r="D109" s="10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3">
      <c r="B110" s="58">
        <f>MAX(B$18:B109)+1</f>
        <v>54</v>
      </c>
      <c r="D110" s="10" t="s">
        <v>60</v>
      </c>
      <c r="F110" s="44" t="s">
        <v>38</v>
      </c>
      <c r="H110" s="12">
        <v>0</v>
      </c>
      <c r="I110" s="15"/>
      <c r="J110" s="12"/>
      <c r="K110" s="15"/>
      <c r="L110" s="12"/>
      <c r="M110" s="15"/>
      <c r="N110" s="12"/>
      <c r="O110" s="15"/>
      <c r="P110" s="12">
        <v>0</v>
      </c>
      <c r="Q110" s="15"/>
      <c r="R110" s="12">
        <f>T110-P110</f>
        <v>0</v>
      </c>
      <c r="S110" s="64"/>
      <c r="T110" s="12">
        <f>$H110*V110/100</f>
        <v>0</v>
      </c>
      <c r="U110" s="15"/>
      <c r="V110" s="25">
        <v>0</v>
      </c>
      <c r="W110" s="15"/>
      <c r="X110" s="14"/>
      <c r="Y110" s="15"/>
      <c r="Z110" s="12"/>
    </row>
    <row r="111" spans="2:26" x14ac:dyDescent="0.3">
      <c r="B111" s="58">
        <f>MAX(B$18:B110)+1</f>
        <v>55</v>
      </c>
      <c r="D111" s="10" t="s">
        <v>61</v>
      </c>
      <c r="F111" s="44" t="s">
        <v>36</v>
      </c>
      <c r="H111" s="12">
        <v>0</v>
      </c>
      <c r="I111" s="15"/>
      <c r="J111" s="12"/>
      <c r="K111" s="15"/>
      <c r="L111" s="12"/>
      <c r="M111" s="15"/>
      <c r="N111" s="12"/>
      <c r="O111" s="15"/>
      <c r="P111" s="12">
        <v>0</v>
      </c>
      <c r="Q111" s="15"/>
      <c r="R111" s="12">
        <v>0</v>
      </c>
      <c r="S111" s="15"/>
      <c r="T111" s="12">
        <f t="shared" ref="T111" si="22">$H111*V111/100</f>
        <v>0</v>
      </c>
      <c r="U111" s="15"/>
      <c r="V111" s="25">
        <v>0</v>
      </c>
      <c r="W111" s="15"/>
      <c r="X111" s="12"/>
      <c r="Y111" s="15"/>
      <c r="Z111" s="12"/>
    </row>
    <row r="112" spans="2:26" x14ac:dyDescent="0.3">
      <c r="B112" s="58"/>
      <c r="D112" s="10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ht="12.9" thickBot="1" x14ac:dyDescent="0.35">
      <c r="B113" s="58">
        <f>MAX(B$18:B112)+1</f>
        <v>56</v>
      </c>
      <c r="D113" s="23" t="s">
        <v>77</v>
      </c>
      <c r="H113" s="69">
        <f>H103</f>
        <v>0</v>
      </c>
      <c r="I113" s="63"/>
      <c r="J113" s="69">
        <v>0</v>
      </c>
      <c r="K113" s="64"/>
      <c r="L113" s="24" t="str">
        <f>IFERROR(J113/$H113*100,"-")</f>
        <v>-</v>
      </c>
      <c r="M113" s="64"/>
      <c r="N113" s="69">
        <f>J113-P113</f>
        <v>0</v>
      </c>
      <c r="O113" s="13"/>
      <c r="P113" s="69">
        <f>SUM(P101:P103,P108,P110:P111)</f>
        <v>0</v>
      </c>
      <c r="Q113" s="64"/>
      <c r="R113" s="69">
        <f>SUM(R101:R103,R108,R110:R111)</f>
        <v>0</v>
      </c>
      <c r="S113" s="64"/>
      <c r="T113" s="69">
        <f>SUM(T101:T103,T108,T110:T111)</f>
        <v>0</v>
      </c>
      <c r="U113" s="64"/>
      <c r="V113" s="24" t="str">
        <f>IFERROR(T113/$H113*100,"-")</f>
        <v>-</v>
      </c>
      <c r="W113" s="64"/>
      <c r="X113" s="70" t="str">
        <f>IFERROR(T113/P113,"-")</f>
        <v>-</v>
      </c>
      <c r="Y113" s="15"/>
      <c r="Z113" s="71" t="str">
        <f>IFERROR(V113/L113-1,"-")</f>
        <v>-</v>
      </c>
    </row>
    <row r="114" spans="2:26" ht="12.9" thickTop="1" x14ac:dyDescent="0.3">
      <c r="B114" s="58"/>
      <c r="D114" s="10"/>
    </row>
    <row r="115" spans="2:26" x14ac:dyDescent="0.3">
      <c r="B115" s="58"/>
      <c r="D115" s="10"/>
      <c r="V115" s="34"/>
    </row>
    <row r="116" spans="2:26" x14ac:dyDescent="0.3">
      <c r="B116" s="58"/>
      <c r="D116" s="35" t="s">
        <v>78</v>
      </c>
      <c r="Y116" s="15"/>
      <c r="Z116" s="15"/>
    </row>
    <row r="117" spans="2:26" x14ac:dyDescent="0.3">
      <c r="B117" s="58">
        <f>MAX(B$18:B116)+1</f>
        <v>57</v>
      </c>
      <c r="D117" s="10" t="s">
        <v>33</v>
      </c>
      <c r="F117" s="44" t="s">
        <v>34</v>
      </c>
      <c r="H117" s="12">
        <v>132</v>
      </c>
      <c r="I117" s="15"/>
      <c r="J117" s="12"/>
      <c r="K117" s="15"/>
      <c r="L117" s="12"/>
      <c r="M117" s="15"/>
      <c r="N117" s="12"/>
      <c r="O117" s="15"/>
      <c r="P117" s="12">
        <v>1194.3039788007432</v>
      </c>
      <c r="Q117" s="15"/>
      <c r="R117" s="12">
        <f t="shared" ref="R117" si="23">T117-P117</f>
        <v>751.97038858549126</v>
      </c>
      <c r="S117" s="64"/>
      <c r="T117" s="12">
        <f>$H117*V117/1000</f>
        <v>1946.2743673862344</v>
      </c>
      <c r="U117" s="15"/>
      <c r="V117" s="76">
        <v>14744.502783229049</v>
      </c>
      <c r="W117" s="15"/>
      <c r="X117" s="14">
        <f t="shared" ref="X117" si="24">T117/P117</f>
        <v>1.6296306484221714</v>
      </c>
      <c r="Y117" s="15"/>
      <c r="Z117" s="12"/>
    </row>
    <row r="118" spans="2:26" x14ac:dyDescent="0.3">
      <c r="B118" s="58"/>
      <c r="D118" s="32"/>
      <c r="F118" s="44"/>
      <c r="H118" s="12"/>
      <c r="I118" s="15"/>
      <c r="J118" s="12"/>
      <c r="K118" s="15"/>
      <c r="L118" s="12"/>
      <c r="M118" s="15"/>
      <c r="N118" s="12"/>
      <c r="O118" s="15"/>
      <c r="P118" s="12"/>
      <c r="Q118" s="15"/>
      <c r="R118" s="12"/>
      <c r="S118" s="64"/>
      <c r="T118" s="12"/>
      <c r="U118" s="15"/>
      <c r="V118" s="76"/>
      <c r="W118" s="15"/>
      <c r="X118" s="14"/>
      <c r="Y118" s="15"/>
      <c r="Z118" s="12"/>
    </row>
    <row r="119" spans="2:26" x14ac:dyDescent="0.3">
      <c r="B119" s="58">
        <f>MAX(B$18:B118)+1</f>
        <v>58</v>
      </c>
      <c r="D119" s="10" t="s">
        <v>54</v>
      </c>
      <c r="F119" s="44" t="s">
        <v>36</v>
      </c>
      <c r="H119" s="12">
        <v>2252273.3511090004</v>
      </c>
      <c r="I119" s="15"/>
      <c r="J119" s="12"/>
      <c r="K119" s="15"/>
      <c r="L119" s="12"/>
      <c r="M119" s="15"/>
      <c r="N119" s="12"/>
      <c r="O119" s="15"/>
      <c r="P119" s="12">
        <v>109.73322162522163</v>
      </c>
      <c r="Q119" s="15"/>
      <c r="R119" s="12">
        <f>T119-P119</f>
        <v>0</v>
      </c>
      <c r="S119" s="64"/>
      <c r="T119" s="12">
        <f>$H119*V119/100</f>
        <v>109.73322162522165</v>
      </c>
      <c r="U119" s="15"/>
      <c r="V119" s="25">
        <v>4.8721093987632511E-3</v>
      </c>
      <c r="W119" s="15"/>
      <c r="X119" s="14">
        <f>T119/P119</f>
        <v>1.0000000000000002</v>
      </c>
      <c r="Y119" s="15"/>
      <c r="Z119" s="12"/>
    </row>
    <row r="120" spans="2:26" x14ac:dyDescent="0.3">
      <c r="B120" s="58"/>
      <c r="D120" s="32"/>
      <c r="F120" s="44"/>
      <c r="H120" s="12"/>
      <c r="I120" s="15"/>
      <c r="J120" s="12"/>
      <c r="K120" s="15"/>
      <c r="L120" s="12"/>
      <c r="M120" s="15"/>
      <c r="N120" s="12"/>
      <c r="O120" s="15"/>
      <c r="P120" s="12"/>
      <c r="Q120" s="15"/>
      <c r="R120" s="12"/>
      <c r="S120" s="64"/>
      <c r="T120" s="12"/>
      <c r="U120" s="15"/>
      <c r="V120" s="25"/>
      <c r="W120" s="15"/>
      <c r="X120" s="14"/>
      <c r="Y120" s="15"/>
      <c r="Z120" s="12"/>
    </row>
    <row r="121" spans="2:26" x14ac:dyDescent="0.3">
      <c r="B121" s="58">
        <f>MAX(B$18:B120)+1</f>
        <v>59</v>
      </c>
      <c r="D121" s="10" t="s">
        <v>55</v>
      </c>
      <c r="F121" s="44"/>
      <c r="H121" s="12"/>
      <c r="I121" s="15"/>
      <c r="J121" s="15"/>
      <c r="K121" s="15"/>
      <c r="L121" s="15"/>
      <c r="M121" s="15"/>
      <c r="N121" s="15"/>
      <c r="O121" s="15"/>
      <c r="P121" s="12">
        <v>1055.100657982553</v>
      </c>
      <c r="Q121" s="15"/>
      <c r="R121" s="12">
        <f t="shared" ref="R121" si="25">T121-P121</f>
        <v>0</v>
      </c>
      <c r="S121" s="15"/>
      <c r="T121" s="12">
        <v>1055.100657982553</v>
      </c>
      <c r="U121" s="15"/>
      <c r="V121" s="78">
        <v>4.2462810021565781E-3</v>
      </c>
      <c r="W121" s="64"/>
      <c r="X121" s="14"/>
      <c r="Y121" s="15"/>
      <c r="Z121" s="15"/>
    </row>
    <row r="122" spans="2:26" x14ac:dyDescent="0.3">
      <c r="B122" s="58"/>
      <c r="D122" s="10"/>
      <c r="F122" s="44"/>
      <c r="H122" s="12"/>
      <c r="I122" s="15"/>
      <c r="J122" s="15"/>
      <c r="K122" s="15"/>
      <c r="L122" s="15"/>
      <c r="M122" s="15"/>
      <c r="N122" s="15"/>
      <c r="O122" s="15"/>
      <c r="P122" s="12"/>
      <c r="Q122" s="15"/>
      <c r="R122" s="12"/>
      <c r="S122" s="15"/>
      <c r="T122" s="12"/>
      <c r="U122" s="15"/>
      <c r="V122" s="78"/>
      <c r="W122" s="64"/>
      <c r="X122" s="14"/>
      <c r="Y122" s="15"/>
      <c r="Z122" s="15"/>
    </row>
    <row r="123" spans="2:26" x14ac:dyDescent="0.3">
      <c r="B123" s="58">
        <f>MAX(B$18:B122)+1</f>
        <v>60</v>
      </c>
      <c r="D123" s="10" t="s">
        <v>79</v>
      </c>
      <c r="F123" s="44" t="s">
        <v>38</v>
      </c>
      <c r="H123" s="12">
        <v>232335.764</v>
      </c>
      <c r="I123" s="15"/>
      <c r="J123" s="12"/>
      <c r="K123" s="15"/>
      <c r="L123" s="12"/>
      <c r="M123" s="15"/>
      <c r="N123" s="12"/>
      <c r="O123" s="15"/>
      <c r="P123" s="12">
        <v>26034.783651394246</v>
      </c>
      <c r="Q123" s="15"/>
      <c r="R123" s="12">
        <f>T123-P123</f>
        <v>-1988.735087060988</v>
      </c>
      <c r="S123" s="64"/>
      <c r="T123" s="12">
        <f>$H123*V123/100</f>
        <v>24046.048564333258</v>
      </c>
      <c r="U123" s="15"/>
      <c r="V123" s="25">
        <v>10.349697416508489</v>
      </c>
      <c r="W123" s="15"/>
      <c r="X123" s="14">
        <f>T123/P123</f>
        <v>0.92361238281484681</v>
      </c>
      <c r="Y123" s="15"/>
      <c r="Z123" s="12"/>
    </row>
    <row r="124" spans="2:26" x14ac:dyDescent="0.3">
      <c r="B124" s="58"/>
      <c r="D124" s="10"/>
      <c r="F124" s="44"/>
      <c r="H124" s="12"/>
      <c r="I124" s="15"/>
      <c r="J124" s="12"/>
      <c r="K124" s="15"/>
      <c r="L124" s="12"/>
      <c r="M124" s="15"/>
      <c r="N124" s="12"/>
      <c r="O124" s="15"/>
      <c r="P124" s="12"/>
      <c r="Q124" s="15"/>
      <c r="R124" s="12"/>
      <c r="S124" s="64"/>
      <c r="T124" s="12"/>
      <c r="U124" s="15"/>
      <c r="V124" s="25"/>
      <c r="W124" s="15"/>
      <c r="X124" s="14"/>
      <c r="Y124" s="15"/>
      <c r="Z124" s="12"/>
    </row>
    <row r="125" spans="2:26" x14ac:dyDescent="0.3">
      <c r="B125" s="58">
        <f>MAX(B$18:B124)+1</f>
        <v>61</v>
      </c>
      <c r="D125" s="10" t="s">
        <v>80</v>
      </c>
      <c r="F125" s="44" t="s">
        <v>38</v>
      </c>
      <c r="H125" s="12">
        <v>21953.835999999999</v>
      </c>
      <c r="I125" s="15"/>
      <c r="J125" s="12"/>
      <c r="K125" s="15"/>
      <c r="L125" s="12"/>
      <c r="M125" s="15"/>
      <c r="N125" s="12"/>
      <c r="O125" s="15"/>
      <c r="P125" s="12">
        <v>168.86798886713839</v>
      </c>
      <c r="Q125" s="15"/>
      <c r="R125" s="12">
        <f>T125-P125</f>
        <v>0</v>
      </c>
      <c r="S125" s="64"/>
      <c r="T125" s="12">
        <f>$H125*V125/100</f>
        <v>168.86798886713842</v>
      </c>
      <c r="U125" s="15"/>
      <c r="V125" s="25">
        <v>0.76919582011607635</v>
      </c>
      <c r="W125" s="15"/>
      <c r="X125" s="14">
        <f>T125/P125</f>
        <v>1.0000000000000002</v>
      </c>
      <c r="Y125" s="15"/>
      <c r="Z125" s="12"/>
    </row>
    <row r="126" spans="2:26" x14ac:dyDescent="0.3">
      <c r="B126" s="58"/>
      <c r="D126" s="32"/>
      <c r="F126" s="44"/>
      <c r="H126" s="12"/>
      <c r="I126" s="15"/>
      <c r="J126" s="12"/>
      <c r="K126" s="15"/>
      <c r="L126" s="12"/>
      <c r="M126" s="15"/>
      <c r="N126" s="12"/>
      <c r="O126" s="15"/>
      <c r="P126" s="12"/>
      <c r="Q126" s="15"/>
      <c r="R126" s="12"/>
      <c r="S126" s="64"/>
      <c r="T126" s="12"/>
      <c r="U126" s="15"/>
      <c r="V126" s="25"/>
      <c r="W126" s="15"/>
      <c r="X126" s="14"/>
      <c r="Y126" s="15"/>
      <c r="Z126" s="12"/>
    </row>
    <row r="127" spans="2:26" x14ac:dyDescent="0.3">
      <c r="B127" s="58">
        <f>MAX(B$18:B126)+1</f>
        <v>62</v>
      </c>
      <c r="D127" s="10" t="s">
        <v>61</v>
      </c>
      <c r="F127" s="44" t="s">
        <v>36</v>
      </c>
      <c r="H127" s="12">
        <v>0</v>
      </c>
      <c r="I127" s="15"/>
      <c r="J127" s="12"/>
      <c r="K127" s="15"/>
      <c r="L127" s="12"/>
      <c r="M127" s="15"/>
      <c r="N127" s="12"/>
      <c r="O127" s="15"/>
      <c r="P127" s="12">
        <v>0</v>
      </c>
      <c r="Q127" s="15"/>
      <c r="R127" s="12">
        <f>T127-P127</f>
        <v>0</v>
      </c>
      <c r="S127" s="15"/>
      <c r="T127" s="12">
        <f>$H127*V127/100</f>
        <v>0</v>
      </c>
      <c r="U127" s="15"/>
      <c r="V127" s="25">
        <v>3.0160739101209599E-2</v>
      </c>
      <c r="W127" s="15"/>
      <c r="X127" s="14"/>
      <c r="Y127" s="15"/>
      <c r="Z127" s="12"/>
    </row>
    <row r="128" spans="2:26" x14ac:dyDescent="0.3">
      <c r="B128" s="58"/>
      <c r="D128" s="10"/>
      <c r="F128" s="44"/>
      <c r="H128" s="12"/>
      <c r="I128" s="15"/>
      <c r="J128" s="12"/>
      <c r="K128" s="15"/>
      <c r="L128" s="12"/>
      <c r="M128" s="15"/>
      <c r="N128" s="12"/>
      <c r="O128" s="15"/>
      <c r="P128" s="12"/>
      <c r="Q128" s="15"/>
      <c r="R128" s="12"/>
      <c r="S128" s="15"/>
      <c r="T128" s="12"/>
      <c r="U128" s="15"/>
      <c r="V128" s="25"/>
      <c r="W128" s="15"/>
      <c r="X128" s="14"/>
      <c r="Y128" s="15"/>
      <c r="Z128" s="12"/>
    </row>
    <row r="129" spans="2:26" x14ac:dyDescent="0.3">
      <c r="B129" s="58">
        <f>MAX(B$18:B127)+1</f>
        <v>63</v>
      </c>
      <c r="D129" s="10" t="s">
        <v>81</v>
      </c>
      <c r="F129" s="44" t="s">
        <v>38</v>
      </c>
      <c r="H129" s="12">
        <v>121211.48000000001</v>
      </c>
      <c r="I129" s="15"/>
      <c r="J129" s="12"/>
      <c r="K129" s="15"/>
      <c r="L129" s="12"/>
      <c r="M129" s="15"/>
      <c r="N129" s="12"/>
      <c r="O129" s="15"/>
      <c r="P129" s="12">
        <v>23626.865704730742</v>
      </c>
      <c r="Q129" s="15"/>
      <c r="R129" s="12">
        <f>T129-P129</f>
        <v>0</v>
      </c>
      <c r="S129" s="64"/>
      <c r="T129" s="12">
        <f>$H129*V129/100</f>
        <v>23626.865704730746</v>
      </c>
      <c r="U129" s="15"/>
      <c r="V129" s="25">
        <v>19.492267320496989</v>
      </c>
      <c r="W129" s="15"/>
      <c r="X129" s="14">
        <f>IFERROR(T129/P129,"-")</f>
        <v>1.0000000000000002</v>
      </c>
      <c r="Y129" s="15"/>
      <c r="Z129" s="12"/>
    </row>
    <row r="130" spans="2:26" x14ac:dyDescent="0.3">
      <c r="B130" s="58">
        <f>MAX(B$18:B129)+1</f>
        <v>64</v>
      </c>
      <c r="D130" s="10" t="s">
        <v>82</v>
      </c>
      <c r="H130" s="12">
        <v>1427302.6369889998</v>
      </c>
      <c r="I130" s="15"/>
      <c r="J130" s="12"/>
      <c r="K130" s="15"/>
      <c r="L130" s="12"/>
      <c r="M130" s="15"/>
      <c r="N130" s="12"/>
      <c r="O130" s="15"/>
      <c r="P130" s="12">
        <v>568.8763456286141</v>
      </c>
      <c r="Q130" s="15"/>
      <c r="R130" s="12">
        <f>T130-P130</f>
        <v>0</v>
      </c>
      <c r="S130" s="64"/>
      <c r="T130" s="12">
        <v>568.8763456286141</v>
      </c>
      <c r="U130" s="15"/>
      <c r="V130" s="78">
        <v>2.7947324549442549E-3</v>
      </c>
      <c r="W130" s="15"/>
      <c r="X130" s="14">
        <f>IFERROR(T130/P130,"-")</f>
        <v>1</v>
      </c>
      <c r="Y130" s="15"/>
      <c r="Z130" s="12"/>
    </row>
    <row r="131" spans="2:26" x14ac:dyDescent="0.3">
      <c r="B131" s="58"/>
      <c r="D131" s="10"/>
      <c r="F131" s="44"/>
      <c r="H131" s="12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2:26" ht="12.9" thickBot="1" x14ac:dyDescent="0.35">
      <c r="B132" s="58">
        <f>MAX(B$18:B131)+1</f>
        <v>65</v>
      </c>
      <c r="D132" s="23" t="s">
        <v>83</v>
      </c>
      <c r="H132" s="69">
        <f>SUM(H119:H119)</f>
        <v>2252273.3511090004</v>
      </c>
      <c r="I132" s="63"/>
      <c r="J132" s="69">
        <v>39505.02412660863</v>
      </c>
      <c r="K132" s="64"/>
      <c r="L132" s="24">
        <f>J132/$H132*100</f>
        <v>1.7540066398759588</v>
      </c>
      <c r="M132" s="64"/>
      <c r="N132" s="69">
        <f>J132-P132</f>
        <v>-13253.507422420626</v>
      </c>
      <c r="O132" s="13"/>
      <c r="P132" s="69">
        <f>SUM(P117:P130)</f>
        <v>52758.531549029256</v>
      </c>
      <c r="Q132" s="13"/>
      <c r="R132" s="69">
        <f>SUM(R117:R130)</f>
        <v>-1236.7646984754967</v>
      </c>
      <c r="S132" s="64"/>
      <c r="T132" s="69">
        <f>SUM(T117:T130)</f>
        <v>51521.766850553759</v>
      </c>
      <c r="U132" s="64"/>
      <c r="V132" s="24">
        <f>T132/$H132*100</f>
        <v>2.2875450186890007</v>
      </c>
      <c r="W132" s="64"/>
      <c r="X132" s="70">
        <f t="shared" ref="X132" si="26">T132/P132</f>
        <v>0.97655801512735141</v>
      </c>
      <c r="Y132" s="15"/>
      <c r="Z132" s="71">
        <f>V132/L132-1</f>
        <v>0.30418264485633473</v>
      </c>
    </row>
    <row r="133" spans="2:26" ht="12.9" thickTop="1" x14ac:dyDescent="0.3">
      <c r="B133" s="58"/>
      <c r="D133" s="10"/>
    </row>
    <row r="134" spans="2:26" x14ac:dyDescent="0.3">
      <c r="B134" s="58"/>
      <c r="D134" s="10"/>
    </row>
    <row r="135" spans="2:26" x14ac:dyDescent="0.3">
      <c r="B135" s="58"/>
      <c r="D135" s="35" t="s">
        <v>84</v>
      </c>
    </row>
    <row r="136" spans="2:26" x14ac:dyDescent="0.3">
      <c r="B136" s="58">
        <f>MAX(B$18:B135)+1</f>
        <v>66</v>
      </c>
      <c r="D136" s="10" t="s">
        <v>33</v>
      </c>
      <c r="F136" s="44" t="s">
        <v>34</v>
      </c>
      <c r="H136" s="12">
        <v>576</v>
      </c>
      <c r="I136" s="15"/>
      <c r="J136" s="12"/>
      <c r="K136" s="15"/>
      <c r="L136" s="12"/>
      <c r="M136" s="15"/>
      <c r="N136" s="12"/>
      <c r="O136" s="15"/>
      <c r="P136" s="12">
        <v>1775.3511339341435</v>
      </c>
      <c r="Q136" s="15"/>
      <c r="R136" s="12">
        <f>T136-P136</f>
        <v>-1487.3511339341435</v>
      </c>
      <c r="S136" s="15"/>
      <c r="T136" s="12">
        <f>$H136*V136/1000</f>
        <v>288</v>
      </c>
      <c r="U136" s="15"/>
      <c r="V136" s="76">
        <v>500</v>
      </c>
      <c r="W136" s="15"/>
      <c r="X136" s="14">
        <f>IFERROR(T136/P136,"-")</f>
        <v>0.16222143016958995</v>
      </c>
      <c r="Y136" s="15"/>
      <c r="Z136" s="12"/>
    </row>
    <row r="137" spans="2:26" x14ac:dyDescent="0.3">
      <c r="B137" s="58">
        <f>MAX(B$18:B136)+1</f>
        <v>67</v>
      </c>
      <c r="D137" s="10" t="s">
        <v>85</v>
      </c>
      <c r="F137" s="44" t="s">
        <v>36</v>
      </c>
      <c r="H137" s="12">
        <v>430430.13289000001</v>
      </c>
      <c r="I137" s="15"/>
      <c r="J137" s="12"/>
      <c r="K137" s="15"/>
      <c r="L137" s="12"/>
      <c r="M137" s="15"/>
      <c r="N137" s="12"/>
      <c r="O137" s="15"/>
      <c r="P137" s="12">
        <v>735.01456801046299</v>
      </c>
      <c r="Q137" s="15"/>
      <c r="R137" s="12">
        <f>T137-P137</f>
        <v>0</v>
      </c>
      <c r="S137" s="15"/>
      <c r="T137" s="12">
        <f>$H137*V137/100</f>
        <v>735.01456801046299</v>
      </c>
      <c r="U137" s="15"/>
      <c r="V137" s="25">
        <v>0.17076280488901135</v>
      </c>
      <c r="W137" s="15"/>
      <c r="X137" s="14">
        <f>T137/P137</f>
        <v>1</v>
      </c>
      <c r="Y137" s="15"/>
      <c r="Z137" s="12"/>
    </row>
    <row r="138" spans="2:26" x14ac:dyDescent="0.3">
      <c r="B138" s="58">
        <f>MAX(B$18:B137)+1</f>
        <v>68</v>
      </c>
      <c r="D138" s="10" t="s">
        <v>107</v>
      </c>
      <c r="F138" s="44" t="s">
        <v>38</v>
      </c>
      <c r="H138" s="12">
        <v>52360.224000000002</v>
      </c>
      <c r="I138" s="15"/>
      <c r="J138" s="12"/>
      <c r="K138" s="15"/>
      <c r="L138" s="12"/>
      <c r="M138" s="15"/>
      <c r="N138" s="12"/>
      <c r="O138" s="15"/>
      <c r="P138" s="12">
        <v>2048.0423913358445</v>
      </c>
      <c r="Q138" s="15"/>
      <c r="R138" s="12">
        <f>T138-P138</f>
        <v>2326.7135963494948</v>
      </c>
      <c r="S138" s="15"/>
      <c r="T138" s="12">
        <f>$H138*V138/100</f>
        <v>4374.7559876853393</v>
      </c>
      <c r="U138" s="15"/>
      <c r="V138" s="25">
        <v>8.355113201359373</v>
      </c>
      <c r="W138" s="15"/>
      <c r="X138" s="14">
        <f>T138/P138</f>
        <v>2.1360671078843665</v>
      </c>
      <c r="Y138" s="15"/>
      <c r="Z138" s="12"/>
    </row>
    <row r="139" spans="2:26" x14ac:dyDescent="0.3">
      <c r="B139" s="58">
        <f>MAX(B$18:B138)+1</f>
        <v>69</v>
      </c>
      <c r="D139" s="10" t="s">
        <v>87</v>
      </c>
      <c r="F139" s="44" t="s">
        <v>38</v>
      </c>
      <c r="H139" s="12">
        <v>16.8</v>
      </c>
      <c r="I139" s="15"/>
      <c r="J139" s="12"/>
      <c r="K139" s="15"/>
      <c r="L139" s="12"/>
      <c r="M139" s="15"/>
      <c r="N139" s="12"/>
      <c r="O139" s="15"/>
      <c r="P139" s="12">
        <v>66.596561269724276</v>
      </c>
      <c r="Q139" s="15"/>
      <c r="R139" s="12">
        <f>T139-P139</f>
        <v>-56.471351001776981</v>
      </c>
      <c r="S139" s="15"/>
      <c r="T139" s="12">
        <f>$H139*V139/100</f>
        <v>10.125210267947297</v>
      </c>
      <c r="U139" s="15"/>
      <c r="V139" s="25">
        <v>60.269108737781522</v>
      </c>
      <c r="W139" s="15"/>
      <c r="X139" s="14">
        <f>IFERROR(T139/P139,"-")</f>
        <v>0.15203803432040505</v>
      </c>
      <c r="Y139" s="15"/>
      <c r="Z139" s="12"/>
    </row>
    <row r="140" spans="2:26" x14ac:dyDescent="0.3">
      <c r="B140" s="58">
        <f>MAX(B$18:B139)+1</f>
        <v>70</v>
      </c>
      <c r="C140" s="60"/>
      <c r="D140" s="10" t="s">
        <v>39</v>
      </c>
      <c r="E140" s="58"/>
      <c r="F140" s="11"/>
      <c r="G140" s="58"/>
      <c r="H140" s="67">
        <f>SUM(H137:H137)</f>
        <v>430430.13289000001</v>
      </c>
      <c r="I140" s="63"/>
      <c r="J140" s="12"/>
      <c r="K140" s="63"/>
      <c r="L140" s="12"/>
      <c r="M140" s="64"/>
      <c r="N140" s="12"/>
      <c r="O140" s="13"/>
      <c r="P140" s="67">
        <f>SUM(P136:P139)</f>
        <v>4625.0046545501755</v>
      </c>
      <c r="Q140" s="13"/>
      <c r="R140" s="67">
        <f>SUM(R136:R139)</f>
        <v>782.89111141357432</v>
      </c>
      <c r="S140" s="64"/>
      <c r="T140" s="67">
        <f>SUM(T136:T139)</f>
        <v>5407.8957659637499</v>
      </c>
      <c r="U140" s="64"/>
      <c r="V140" s="19">
        <f>T140/$H140*100</f>
        <v>1.2563933964506575</v>
      </c>
      <c r="W140" s="64"/>
      <c r="X140" s="68">
        <f t="shared" ref="X140" si="27">T140/P140</f>
        <v>1.1692735834640404</v>
      </c>
      <c r="Y140" s="15"/>
      <c r="Z140" s="12"/>
    </row>
    <row r="141" spans="2:26" x14ac:dyDescent="0.3">
      <c r="B141" s="58"/>
      <c r="C141" s="60"/>
      <c r="D141" s="10"/>
      <c r="E141" s="58"/>
      <c r="F141" s="11"/>
      <c r="G141" s="58"/>
      <c r="H141" s="64"/>
      <c r="I141" s="63"/>
      <c r="J141" s="12"/>
      <c r="K141" s="63"/>
      <c r="L141" s="12"/>
      <c r="M141" s="64"/>
      <c r="N141" s="12"/>
      <c r="O141" s="13"/>
      <c r="P141" s="64"/>
      <c r="Q141" s="13"/>
      <c r="R141" s="64"/>
      <c r="S141" s="64"/>
      <c r="T141" s="64"/>
      <c r="U141" s="64"/>
      <c r="V141" s="25"/>
      <c r="W141" s="64"/>
      <c r="X141" s="72"/>
      <c r="Y141" s="15"/>
      <c r="Z141" s="12"/>
    </row>
    <row r="142" spans="2:26" x14ac:dyDescent="0.3">
      <c r="B142" s="58">
        <f>MAX(B$18:B141)+1</f>
        <v>71</v>
      </c>
      <c r="C142" s="60"/>
      <c r="D142" s="10" t="s">
        <v>61</v>
      </c>
      <c r="E142" s="58"/>
      <c r="F142" s="11"/>
      <c r="G142" s="58"/>
      <c r="H142" s="64"/>
      <c r="I142" s="63"/>
      <c r="J142" s="12"/>
      <c r="K142" s="63"/>
      <c r="L142" s="12"/>
      <c r="M142" s="64"/>
      <c r="N142" s="12"/>
      <c r="O142" s="13"/>
      <c r="P142" s="64"/>
      <c r="Q142" s="13"/>
      <c r="R142" s="64"/>
      <c r="S142" s="64"/>
      <c r="T142" s="64"/>
      <c r="U142" s="64"/>
      <c r="V142" s="25">
        <v>2.1193352425853584</v>
      </c>
      <c r="W142" s="64"/>
      <c r="X142" s="72"/>
      <c r="Y142" s="15"/>
      <c r="Z142" s="12"/>
    </row>
    <row r="143" spans="2:26" x14ac:dyDescent="0.3">
      <c r="B143" s="58"/>
      <c r="C143" s="60"/>
      <c r="D143" s="10"/>
      <c r="E143" s="58"/>
      <c r="F143" s="11"/>
      <c r="G143" s="58"/>
      <c r="H143" s="64"/>
      <c r="I143" s="63"/>
      <c r="J143" s="12"/>
      <c r="K143" s="63"/>
      <c r="L143" s="12"/>
      <c r="M143" s="64"/>
      <c r="N143" s="12"/>
      <c r="O143" s="13"/>
      <c r="P143" s="64"/>
      <c r="Q143" s="13"/>
      <c r="R143" s="64"/>
      <c r="S143" s="64"/>
      <c r="T143" s="64"/>
      <c r="U143" s="64"/>
      <c r="V143" s="25"/>
      <c r="W143" s="64"/>
      <c r="X143" s="72"/>
      <c r="Y143" s="15"/>
      <c r="Z143" s="12"/>
    </row>
    <row r="144" spans="2:26" x14ac:dyDescent="0.3">
      <c r="B144" s="58"/>
      <c r="C144" s="60"/>
      <c r="D144" s="10" t="s">
        <v>40</v>
      </c>
      <c r="E144" s="58"/>
      <c r="Y144" s="15"/>
      <c r="Z144" s="18"/>
    </row>
    <row r="145" spans="2:26" x14ac:dyDescent="0.3">
      <c r="B145" s="58">
        <f>MAX(B$18:B144)+1</f>
        <v>72</v>
      </c>
      <c r="D145" s="21" t="s">
        <v>41</v>
      </c>
      <c r="E145" s="58"/>
      <c r="F145" s="66" t="s">
        <v>36</v>
      </c>
      <c r="H145" s="12">
        <v>430430.13289000001</v>
      </c>
      <c r="I145" s="15"/>
      <c r="J145" s="12"/>
      <c r="K145" s="15"/>
      <c r="L145" s="12"/>
      <c r="M145" s="15"/>
      <c r="N145" s="12"/>
      <c r="O145" s="15"/>
      <c r="P145" s="12">
        <v>721.64402368215985</v>
      </c>
      <c r="Q145" s="15"/>
      <c r="R145" s="12">
        <f>T145-P145</f>
        <v>0</v>
      </c>
      <c r="S145" s="15"/>
      <c r="T145" s="12">
        <f>$H145*V145/100</f>
        <v>721.64402368215985</v>
      </c>
      <c r="U145" s="15"/>
      <c r="V145" s="25">
        <v>0.16765648325708229</v>
      </c>
      <c r="W145" s="15"/>
      <c r="X145" s="14">
        <f>T145/P145</f>
        <v>1</v>
      </c>
      <c r="Y145" s="15"/>
      <c r="Z145" s="12"/>
    </row>
    <row r="146" spans="2:26" x14ac:dyDescent="0.3">
      <c r="B146" s="58">
        <f>MAX(B$18:B145)+1</f>
        <v>73</v>
      </c>
      <c r="D146" s="21" t="s">
        <v>42</v>
      </c>
      <c r="E146" s="58"/>
      <c r="F146" s="66" t="s">
        <v>36</v>
      </c>
      <c r="H146" s="12">
        <v>0</v>
      </c>
      <c r="I146" s="15"/>
      <c r="J146" s="12"/>
      <c r="K146" s="15"/>
      <c r="L146" s="12"/>
      <c r="M146" s="15"/>
      <c r="N146" s="12"/>
      <c r="O146" s="15"/>
      <c r="P146" s="12">
        <v>0</v>
      </c>
      <c r="Q146" s="15"/>
      <c r="R146" s="12">
        <f>T146-P146</f>
        <v>0</v>
      </c>
      <c r="S146" s="15"/>
      <c r="T146" s="12">
        <f>$H146*V146/100</f>
        <v>0</v>
      </c>
      <c r="U146" s="15"/>
      <c r="V146" s="25">
        <v>2.7595619762628818</v>
      </c>
      <c r="W146" s="15"/>
      <c r="X146" s="12" t="str">
        <f>IFERROR(T146/P146,"-")</f>
        <v>-</v>
      </c>
      <c r="Y146" s="15"/>
      <c r="Z146" s="12"/>
    </row>
    <row r="147" spans="2:26" x14ac:dyDescent="0.3">
      <c r="B147" s="58">
        <f>MAX(B$18:B146)+1</f>
        <v>74</v>
      </c>
      <c r="C147" s="60"/>
      <c r="D147" s="10" t="s">
        <v>40</v>
      </c>
      <c r="E147" s="58"/>
      <c r="F147" s="11"/>
      <c r="G147" s="58"/>
      <c r="H147" s="67">
        <f>SUM(H145:H145)</f>
        <v>430430.13289000001</v>
      </c>
      <c r="I147" s="63"/>
      <c r="J147" s="12"/>
      <c r="K147" s="63"/>
      <c r="L147" s="12"/>
      <c r="M147" s="64"/>
      <c r="N147" s="12"/>
      <c r="O147" s="13"/>
      <c r="P147" s="67">
        <f>SUM(P145:P146)</f>
        <v>721.64402368215985</v>
      </c>
      <c r="Q147" s="13"/>
      <c r="R147" s="67">
        <f>SUM(R145:R146)</f>
        <v>0</v>
      </c>
      <c r="S147" s="64"/>
      <c r="T147" s="67">
        <f>SUM(T145:T146)</f>
        <v>721.64402368215985</v>
      </c>
      <c r="U147" s="64"/>
      <c r="V147" s="19">
        <f>T147/$H147*100</f>
        <v>0.16765648325708227</v>
      </c>
      <c r="W147" s="64"/>
      <c r="X147" s="68">
        <f t="shared" ref="X147" si="28">T147/P147</f>
        <v>1</v>
      </c>
      <c r="Y147" s="15"/>
      <c r="Z147" s="12"/>
    </row>
    <row r="148" spans="2:26" x14ac:dyDescent="0.3">
      <c r="B148" s="58"/>
      <c r="D148" s="36"/>
      <c r="F148" s="44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33"/>
      <c r="W148" s="15"/>
      <c r="X148" s="15"/>
      <c r="Y148" s="15"/>
      <c r="Z148" s="15"/>
    </row>
    <row r="149" spans="2:26" x14ac:dyDescent="0.3">
      <c r="B149" s="58">
        <f>MAX(B$18:B148)+1</f>
        <v>75</v>
      </c>
      <c r="D149" s="10" t="s">
        <v>44</v>
      </c>
      <c r="F149" s="44" t="s">
        <v>36</v>
      </c>
      <c r="H149" s="12">
        <v>7794.0499</v>
      </c>
      <c r="I149" s="15"/>
      <c r="J149" s="12"/>
      <c r="K149" s="15"/>
      <c r="L149" s="12"/>
      <c r="M149" s="15"/>
      <c r="N149" s="12"/>
      <c r="O149" s="15"/>
      <c r="P149" s="12">
        <v>1176.6309069726553</v>
      </c>
      <c r="Q149" s="15"/>
      <c r="R149" s="12">
        <f>ROUND(T149,0)-ROUND(P149,0)</f>
        <v>-1</v>
      </c>
      <c r="S149" s="15"/>
      <c r="T149" s="12">
        <f>$H149*V149/100</f>
        <v>1176.4107322046264</v>
      </c>
      <c r="U149" s="15"/>
      <c r="V149" s="25">
        <v>15.093702854078806</v>
      </c>
      <c r="W149" s="15"/>
      <c r="X149" s="14">
        <f t="shared" ref="X149" si="29">T149/P149</f>
        <v>0.99981287694660725</v>
      </c>
      <c r="Y149" s="15"/>
      <c r="Z149" s="12"/>
    </row>
    <row r="150" spans="2:26" x14ac:dyDescent="0.3">
      <c r="B150" s="58"/>
      <c r="D150" s="36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ht="12.9" thickBot="1" x14ac:dyDescent="0.35">
      <c r="B151" s="58">
        <f>MAX(B$18:B150)+1</f>
        <v>76</v>
      </c>
      <c r="D151" s="23" t="s">
        <v>88</v>
      </c>
      <c r="H151" s="69">
        <f>H140</f>
        <v>430430.13289000001</v>
      </c>
      <c r="I151" s="63"/>
      <c r="J151" s="69">
        <v>7261.8361590942532</v>
      </c>
      <c r="K151" s="64"/>
      <c r="L151" s="24">
        <f>J151/$H151*100</f>
        <v>1.6871114738962931</v>
      </c>
      <c r="M151" s="64"/>
      <c r="N151" s="69">
        <f>J151-P151</f>
        <v>738.55657388926193</v>
      </c>
      <c r="O151" s="13"/>
      <c r="P151" s="69">
        <f>SUM(P140,P147,P149:P149)</f>
        <v>6523.2795852049912</v>
      </c>
      <c r="Q151" s="13"/>
      <c r="R151" s="69">
        <f>R140</f>
        <v>782.89111141357432</v>
      </c>
      <c r="S151" s="64"/>
      <c r="T151" s="69">
        <f>SUM(T140,T147,T149:T149)</f>
        <v>7305.9505218505365</v>
      </c>
      <c r="U151" s="64"/>
      <c r="V151" s="24">
        <f>T151/$H151*100</f>
        <v>1.6973603759562144</v>
      </c>
      <c r="W151" s="64"/>
      <c r="X151" s="70">
        <f t="shared" ref="X151" si="30">T151/P151</f>
        <v>1.1199812036909575</v>
      </c>
      <c r="Y151" s="15"/>
      <c r="Z151" s="28">
        <f>V151/L151-1</f>
        <v>6.0748220959294663E-3</v>
      </c>
    </row>
    <row r="152" spans="2:26" ht="12.9" thickTop="1" x14ac:dyDescent="0.3">
      <c r="B152" s="58"/>
    </row>
    <row r="153" spans="2:26" x14ac:dyDescent="0.3">
      <c r="B153" s="58"/>
      <c r="D153" s="60"/>
    </row>
    <row r="154" spans="2:26" x14ac:dyDescent="0.3">
      <c r="B154" s="58"/>
      <c r="D154" s="35" t="s">
        <v>89</v>
      </c>
      <c r="Y154" s="15"/>
      <c r="Z154" s="15"/>
    </row>
    <row r="155" spans="2:26" x14ac:dyDescent="0.3">
      <c r="B155" s="58">
        <f>MAX(B$18:B154)+1</f>
        <v>77</v>
      </c>
      <c r="D155" s="10" t="s">
        <v>33</v>
      </c>
      <c r="F155" s="44" t="s">
        <v>34</v>
      </c>
      <c r="H155" s="12">
        <v>396</v>
      </c>
      <c r="I155" s="15"/>
      <c r="J155" s="12"/>
      <c r="K155" s="15"/>
      <c r="L155" s="12"/>
      <c r="M155" s="15"/>
      <c r="N155" s="12"/>
      <c r="O155" s="15"/>
      <c r="P155" s="12">
        <v>1081.0956059686762</v>
      </c>
      <c r="Q155" s="15"/>
      <c r="R155" s="12">
        <f>T155-P155</f>
        <v>-883.09560596867618</v>
      </c>
      <c r="S155" s="15"/>
      <c r="T155" s="12">
        <f>$H155*V155/1000</f>
        <v>198</v>
      </c>
      <c r="U155" s="15"/>
      <c r="V155" s="76">
        <v>500</v>
      </c>
      <c r="W155" s="15"/>
      <c r="X155" s="14">
        <f>IFERROR(T155/P155,"-")</f>
        <v>0.18314753931738473</v>
      </c>
      <c r="Y155" s="15"/>
      <c r="Z155" s="12"/>
    </row>
    <row r="156" spans="2:26" x14ac:dyDescent="0.3">
      <c r="B156" s="58">
        <f>MAX(B$18:B155)+1</f>
        <v>78</v>
      </c>
      <c r="D156" s="10" t="s">
        <v>85</v>
      </c>
      <c r="F156" s="44" t="s">
        <v>36</v>
      </c>
      <c r="H156" s="12">
        <v>46358.848420000002</v>
      </c>
      <c r="I156" s="15"/>
      <c r="J156" s="12"/>
      <c r="K156" s="15"/>
      <c r="L156" s="12"/>
      <c r="M156" s="15"/>
      <c r="N156" s="12"/>
      <c r="O156" s="15"/>
      <c r="P156" s="12">
        <v>79.130737423646735</v>
      </c>
      <c r="Q156" s="15"/>
      <c r="R156" s="12">
        <f>T156-P156</f>
        <v>0</v>
      </c>
      <c r="S156" s="15"/>
      <c r="T156" s="12">
        <f>$H156*V156/100</f>
        <v>79.130737423646735</v>
      </c>
      <c r="U156" s="15"/>
      <c r="V156" s="25">
        <v>0.17069176677285275</v>
      </c>
      <c r="W156" s="15"/>
      <c r="X156" s="14">
        <f>IFERROR(T156/P156,"-")</f>
        <v>1</v>
      </c>
      <c r="Y156" s="15"/>
      <c r="Z156" s="12"/>
    </row>
    <row r="157" spans="2:26" x14ac:dyDescent="0.3">
      <c r="B157" s="58">
        <f>MAX(B$18:B156)+1</f>
        <v>79</v>
      </c>
      <c r="D157" s="10" t="s">
        <v>90</v>
      </c>
      <c r="F157" s="44" t="s">
        <v>38</v>
      </c>
      <c r="H157" s="12">
        <v>10405.922799999998</v>
      </c>
      <c r="I157" s="15"/>
      <c r="J157" s="12"/>
      <c r="K157" s="15"/>
      <c r="L157" s="12"/>
      <c r="M157" s="15"/>
      <c r="N157" s="12"/>
      <c r="O157" s="15"/>
      <c r="P157" s="12">
        <v>1140.7559938640406</v>
      </c>
      <c r="Q157" s="15"/>
      <c r="R157" s="12">
        <f>T157-P157</f>
        <v>93.095605968676182</v>
      </c>
      <c r="S157" s="15"/>
      <c r="T157" s="12">
        <f>$H157*V157/100</f>
        <v>1233.8515998327168</v>
      </c>
      <c r="U157" s="15"/>
      <c r="V157" s="25">
        <v>11.857205012444615</v>
      </c>
      <c r="W157" s="15"/>
      <c r="X157" s="14">
        <f>IFERROR(T157/P157,"-")</f>
        <v>1.0816086932432736</v>
      </c>
      <c r="Y157" s="15"/>
      <c r="Z157" s="12"/>
    </row>
    <row r="158" spans="2:26" x14ac:dyDescent="0.3">
      <c r="B158" s="58">
        <f>MAX(B$18:B157)+1</f>
        <v>80</v>
      </c>
      <c r="C158" s="60"/>
      <c r="D158" s="10" t="s">
        <v>39</v>
      </c>
      <c r="E158" s="58"/>
      <c r="F158" s="11"/>
      <c r="G158" s="58"/>
      <c r="H158" s="67">
        <f>SUM(H156:H156)</f>
        <v>46358.848420000002</v>
      </c>
      <c r="I158" s="63"/>
      <c r="J158" s="12"/>
      <c r="K158" s="63"/>
      <c r="L158" s="12"/>
      <c r="M158" s="64"/>
      <c r="N158" s="12"/>
      <c r="O158" s="13"/>
      <c r="P158" s="67">
        <f>SUM(P155:P157)</f>
        <v>2300.9823372563633</v>
      </c>
      <c r="Q158" s="13"/>
      <c r="R158" s="67">
        <f>SUM(R155:R157)</f>
        <v>-790</v>
      </c>
      <c r="S158" s="64"/>
      <c r="T158" s="67">
        <f>SUM(T155:T157)</f>
        <v>1510.9823372563635</v>
      </c>
      <c r="U158" s="64"/>
      <c r="V158" s="19">
        <f>T158/$H158*100</f>
        <v>3.259318099464481</v>
      </c>
      <c r="W158" s="64"/>
      <c r="X158" s="68">
        <f t="shared" ref="X158" si="31">T158/P158</f>
        <v>0.65666837714974513</v>
      </c>
      <c r="Y158" s="15"/>
      <c r="Z158" s="12"/>
    </row>
    <row r="159" spans="2:26" x14ac:dyDescent="0.3">
      <c r="B159" s="58"/>
      <c r="C159" s="60"/>
      <c r="D159" s="10"/>
      <c r="E159" s="58"/>
      <c r="F159" s="11"/>
      <c r="G159" s="58"/>
      <c r="H159" s="64"/>
      <c r="I159" s="63"/>
      <c r="J159" s="12"/>
      <c r="K159" s="63"/>
      <c r="L159" s="12"/>
      <c r="M159" s="64"/>
      <c r="N159" s="12"/>
      <c r="O159" s="13"/>
      <c r="P159" s="64"/>
      <c r="Q159" s="13"/>
      <c r="R159" s="64"/>
      <c r="S159" s="64"/>
      <c r="T159" s="64"/>
      <c r="U159" s="64"/>
      <c r="V159" s="25"/>
      <c r="W159" s="64"/>
      <c r="X159" s="72"/>
      <c r="Y159" s="15"/>
      <c r="Z159" s="12"/>
    </row>
    <row r="160" spans="2:26" x14ac:dyDescent="0.3">
      <c r="B160" s="58"/>
      <c r="C160" s="60"/>
      <c r="D160" s="10" t="s">
        <v>40</v>
      </c>
      <c r="E160" s="58"/>
      <c r="F160" s="66"/>
      <c r="G160" s="58"/>
      <c r="H160" s="12"/>
      <c r="I160" s="63"/>
      <c r="J160" s="17"/>
      <c r="K160" s="63"/>
      <c r="L160" s="63"/>
      <c r="M160" s="64"/>
      <c r="N160" s="18"/>
      <c r="O160" s="13"/>
      <c r="P160" s="12"/>
      <c r="Q160" s="13"/>
      <c r="R160" s="12"/>
      <c r="S160" s="64"/>
      <c r="T160" s="12"/>
      <c r="U160" s="64"/>
      <c r="V160" s="20"/>
      <c r="W160" s="64"/>
      <c r="X160" s="14"/>
      <c r="Y160" s="15"/>
      <c r="Z160" s="18"/>
    </row>
    <row r="161" spans="2:26" x14ac:dyDescent="0.3">
      <c r="B161" s="58">
        <f>MAX(B$18:B160)+1</f>
        <v>81</v>
      </c>
      <c r="D161" s="21" t="s">
        <v>41</v>
      </c>
      <c r="E161" s="58"/>
      <c r="F161" s="66" t="s">
        <v>36</v>
      </c>
      <c r="H161" s="12">
        <v>46358.848420000002</v>
      </c>
      <c r="I161" s="15"/>
      <c r="J161" s="12"/>
      <c r="K161" s="15"/>
      <c r="L161" s="12"/>
      <c r="M161" s="15"/>
      <c r="N161" s="12"/>
      <c r="O161" s="15"/>
      <c r="P161" s="12">
        <v>77.701719233890245</v>
      </c>
      <c r="Q161" s="15"/>
      <c r="R161" s="12">
        <f>T161-P161</f>
        <v>0</v>
      </c>
      <c r="S161" s="15"/>
      <c r="T161" s="12">
        <f>$H161*V161/100</f>
        <v>77.701719233890245</v>
      </c>
      <c r="U161" s="15"/>
      <c r="V161" s="25">
        <v>0.167609252347969</v>
      </c>
      <c r="W161" s="15"/>
      <c r="X161" s="14">
        <f>IFERROR(T161/P161,"-")</f>
        <v>1</v>
      </c>
      <c r="Y161" s="15"/>
      <c r="Z161" s="12"/>
    </row>
    <row r="162" spans="2:26" x14ac:dyDescent="0.3">
      <c r="B162" s="58">
        <f>MAX(B$18:B161)+1</f>
        <v>82</v>
      </c>
      <c r="D162" s="21" t="s">
        <v>42</v>
      </c>
      <c r="E162" s="58"/>
      <c r="F162" s="66" t="s">
        <v>36</v>
      </c>
      <c r="H162" s="12">
        <v>0</v>
      </c>
      <c r="I162" s="15"/>
      <c r="J162" s="12"/>
      <c r="K162" s="15"/>
      <c r="L162" s="12"/>
      <c r="M162" s="15"/>
      <c r="N162" s="12"/>
      <c r="O162" s="15"/>
      <c r="P162" s="12">
        <v>0</v>
      </c>
      <c r="Q162" s="15"/>
      <c r="R162" s="12">
        <f>T162-P162</f>
        <v>0</v>
      </c>
      <c r="S162" s="15"/>
      <c r="T162" s="12">
        <f>$H162*V162/100</f>
        <v>0</v>
      </c>
      <c r="U162" s="15"/>
      <c r="V162" s="25">
        <v>2.7595147453537683</v>
      </c>
      <c r="W162" s="15"/>
      <c r="X162" s="12" t="str">
        <f>IFERROR(T162/P162,"-")</f>
        <v>-</v>
      </c>
      <c r="Y162" s="15"/>
      <c r="Z162" s="12"/>
    </row>
    <row r="163" spans="2:26" x14ac:dyDescent="0.3">
      <c r="B163" s="58">
        <f>MAX(B$18:B162)+1</f>
        <v>83</v>
      </c>
      <c r="C163" s="60"/>
      <c r="D163" s="10" t="s">
        <v>40</v>
      </c>
      <c r="E163" s="58"/>
      <c r="F163" s="11"/>
      <c r="G163" s="58"/>
      <c r="H163" s="67">
        <f>SUM(H161:H162)</f>
        <v>46358.848420000002</v>
      </c>
      <c r="I163" s="63"/>
      <c r="J163" s="12"/>
      <c r="K163" s="63"/>
      <c r="L163" s="12"/>
      <c r="M163" s="64"/>
      <c r="N163" s="12"/>
      <c r="O163" s="13"/>
      <c r="P163" s="67">
        <f>SUM(P161:P162)</f>
        <v>77.701719233890245</v>
      </c>
      <c r="Q163" s="13"/>
      <c r="R163" s="67">
        <f>SUM(R161:R162)</f>
        <v>0</v>
      </c>
      <c r="S163" s="64"/>
      <c r="T163" s="67">
        <f>SUM(T161:T162)</f>
        <v>77.701719233890245</v>
      </c>
      <c r="U163" s="64"/>
      <c r="V163" s="19">
        <f>T163/$H163*100</f>
        <v>0.167609252347969</v>
      </c>
      <c r="W163" s="64"/>
      <c r="X163" s="68">
        <f t="shared" ref="X163" si="32">T163/P163</f>
        <v>1</v>
      </c>
      <c r="Y163" s="15"/>
      <c r="Z163" s="12"/>
    </row>
    <row r="164" spans="2:26" x14ac:dyDescent="0.3">
      <c r="B164" s="58"/>
      <c r="D164" s="36"/>
      <c r="F164" s="44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33"/>
      <c r="W164" s="15"/>
      <c r="X164" s="15"/>
      <c r="Y164" s="15"/>
      <c r="Z164" s="15"/>
    </row>
    <row r="165" spans="2:26" x14ac:dyDescent="0.3">
      <c r="B165" s="58">
        <f>MAX(B$18:B164)+1</f>
        <v>84</v>
      </c>
      <c r="D165" s="10" t="s">
        <v>44</v>
      </c>
      <c r="F165" s="66" t="s">
        <v>36</v>
      </c>
      <c r="H165" s="12">
        <v>6076.2181399999999</v>
      </c>
      <c r="I165" s="15"/>
      <c r="J165" s="12"/>
      <c r="K165" s="15"/>
      <c r="L165" s="12"/>
      <c r="M165" s="15"/>
      <c r="N165" s="12"/>
      <c r="O165" s="15"/>
      <c r="P165" s="12">
        <v>917.29795841208318</v>
      </c>
      <c r="Q165" s="15"/>
      <c r="R165" s="12">
        <f>ROUND(T165-P165,0)</f>
        <v>0</v>
      </c>
      <c r="S165" s="15"/>
      <c r="T165" s="12">
        <f>$H165*V165/100</f>
        <v>917.12631081723418</v>
      </c>
      <c r="U165" s="15"/>
      <c r="V165" s="25">
        <v>15.093702854078806</v>
      </c>
      <c r="W165" s="15"/>
      <c r="X165" s="14">
        <f>IFERROR(T165/P165,"-")</f>
        <v>0.99981287694660725</v>
      </c>
      <c r="Y165" s="15"/>
      <c r="Z165" s="12"/>
    </row>
    <row r="166" spans="2:26" x14ac:dyDescent="0.3">
      <c r="B166" s="58"/>
      <c r="D166" s="10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ht="12.9" thickBot="1" x14ac:dyDescent="0.35">
      <c r="B167" s="58">
        <f>MAX(B$18:B166)+1</f>
        <v>85</v>
      </c>
      <c r="D167" s="23" t="s">
        <v>91</v>
      </c>
      <c r="H167" s="69">
        <f>H158</f>
        <v>46358.848420000002</v>
      </c>
      <c r="I167" s="63"/>
      <c r="J167" s="69">
        <v>2678.6039748988383</v>
      </c>
      <c r="K167" s="64"/>
      <c r="L167" s="24">
        <f>J167/$H167*100</f>
        <v>5.7779778104739172</v>
      </c>
      <c r="M167" s="64"/>
      <c r="N167" s="69">
        <f>J167-P167</f>
        <v>-617.37804000349843</v>
      </c>
      <c r="O167" s="13"/>
      <c r="P167" s="69">
        <f>SUM(P158,P163,P165:P165)</f>
        <v>3295.9820149023367</v>
      </c>
      <c r="Q167" s="13"/>
      <c r="R167" s="69">
        <f>SUM(R158,R163,R165:R165)</f>
        <v>-790</v>
      </c>
      <c r="S167" s="64"/>
      <c r="T167" s="69">
        <f>SUM(T158,T163,T165:T165)</f>
        <v>2505.8103673074879</v>
      </c>
      <c r="U167" s="64"/>
      <c r="V167" s="24">
        <f>T167/$H167*100</f>
        <v>5.4052472240152509</v>
      </c>
      <c r="W167" s="64"/>
      <c r="X167" s="70">
        <f t="shared" ref="X167" si="33">T167/P167</f>
        <v>0.7602621482695614</v>
      </c>
      <c r="Y167" s="15"/>
      <c r="Z167" s="71">
        <f>V167/L167-1</f>
        <v>-6.4508829677920598E-2</v>
      </c>
    </row>
    <row r="168" spans="2:26" ht="12.9" thickTop="1" x14ac:dyDescent="0.3">
      <c r="B168" s="58"/>
      <c r="D168" s="10"/>
      <c r="H168" s="64"/>
      <c r="I168" s="63"/>
      <c r="J168" s="64"/>
      <c r="K168" s="64"/>
      <c r="L168" s="25"/>
      <c r="M168" s="64"/>
      <c r="N168" s="64"/>
      <c r="O168" s="13"/>
      <c r="P168" s="64"/>
      <c r="Q168" s="13"/>
      <c r="R168" s="64"/>
      <c r="S168" s="64"/>
      <c r="T168" s="64"/>
      <c r="U168" s="64"/>
      <c r="V168" s="25"/>
      <c r="W168" s="64"/>
      <c r="X168" s="72"/>
      <c r="Y168" s="15"/>
      <c r="Z168" s="37"/>
    </row>
    <row r="169" spans="2:26" x14ac:dyDescent="0.3">
      <c r="B169" s="58"/>
      <c r="D169" s="32"/>
    </row>
    <row r="170" spans="2:26" x14ac:dyDescent="0.3">
      <c r="B170" s="58"/>
      <c r="D170" s="35" t="s">
        <v>92</v>
      </c>
      <c r="V170" s="59" t="s">
        <v>93</v>
      </c>
    </row>
    <row r="171" spans="2:26" x14ac:dyDescent="0.3">
      <c r="B171" s="58"/>
      <c r="C171" s="60"/>
      <c r="D171" s="30" t="s">
        <v>64</v>
      </c>
      <c r="E171" s="58"/>
      <c r="Y171" s="15"/>
      <c r="Z171" s="63"/>
    </row>
    <row r="172" spans="2:26" x14ac:dyDescent="0.3">
      <c r="B172" s="58">
        <f>MAX(B$18:B171)+1</f>
        <v>86</v>
      </c>
      <c r="D172" s="21" t="s">
        <v>65</v>
      </c>
      <c r="F172" s="44" t="s">
        <v>172</v>
      </c>
      <c r="H172" s="12">
        <v>29220408</v>
      </c>
      <c r="I172" s="15"/>
      <c r="J172" s="12"/>
      <c r="K172" s="15"/>
      <c r="L172" s="12"/>
      <c r="M172" s="15"/>
      <c r="O172" s="15"/>
      <c r="P172" s="12">
        <v>445.57359588378392</v>
      </c>
      <c r="Q172" s="15"/>
      <c r="R172" s="12">
        <f>T172-P172</f>
        <v>-8.7662996158388751</v>
      </c>
      <c r="S172" s="15"/>
      <c r="T172" s="12">
        <f>$H172*V172/1000</f>
        <v>436.80729626794505</v>
      </c>
      <c r="U172" s="15"/>
      <c r="V172" s="77">
        <v>1.4948706269534122E-2</v>
      </c>
      <c r="W172" s="15"/>
      <c r="X172" s="14">
        <f>T172/P172</f>
        <v>0.98032580992944351</v>
      </c>
      <c r="Y172" s="15"/>
      <c r="Z172" s="12"/>
    </row>
    <row r="173" spans="2:26" x14ac:dyDescent="0.3">
      <c r="B173" s="58"/>
      <c r="D173" s="21" t="s">
        <v>66</v>
      </c>
      <c r="Y173" s="15"/>
      <c r="Z173" s="15"/>
    </row>
    <row r="174" spans="2:26" x14ac:dyDescent="0.3">
      <c r="B174" s="58">
        <f>MAX(B$18:B173)+1</f>
        <v>87</v>
      </c>
      <c r="D174" s="32" t="s">
        <v>67</v>
      </c>
      <c r="F174" s="44" t="s">
        <v>172</v>
      </c>
      <c r="H174" s="12">
        <v>381888</v>
      </c>
      <c r="I174" s="15"/>
      <c r="J174" s="12"/>
      <c r="K174" s="15"/>
      <c r="L174" s="12"/>
      <c r="M174" s="15"/>
      <c r="N174" s="12"/>
      <c r="O174" s="15"/>
      <c r="P174" s="12">
        <v>914.62125646017307</v>
      </c>
      <c r="Q174" s="15"/>
      <c r="R174" s="12">
        <f>T174-P174</f>
        <v>68.085382610811507</v>
      </c>
      <c r="S174" s="15"/>
      <c r="T174" s="12">
        <f>$H174*V174/1000</f>
        <v>982.70663907098458</v>
      </c>
      <c r="U174" s="15"/>
      <c r="V174" s="77">
        <v>2.5732849397493101</v>
      </c>
      <c r="W174" s="15"/>
      <c r="X174" s="14">
        <f t="shared" ref="X174" si="34">T174/P174</f>
        <v>1.074441067414418</v>
      </c>
      <c r="Y174" s="15"/>
      <c r="Z174" s="12"/>
    </row>
    <row r="175" spans="2:26" x14ac:dyDescent="0.3">
      <c r="B175" s="58">
        <f>MAX(B$18:B174)+1</f>
        <v>88</v>
      </c>
      <c r="D175" s="21" t="s">
        <v>68</v>
      </c>
      <c r="F175" s="44" t="s">
        <v>172</v>
      </c>
      <c r="H175" s="12">
        <v>0</v>
      </c>
      <c r="I175" s="15"/>
      <c r="J175" s="12"/>
      <c r="K175" s="15"/>
      <c r="L175" s="12"/>
      <c r="M175" s="15"/>
      <c r="N175" s="12"/>
      <c r="O175" s="15"/>
      <c r="P175" s="12">
        <v>0</v>
      </c>
      <c r="Q175" s="15"/>
      <c r="R175" s="12">
        <f t="shared" ref="R175:R177" si="35">T175-P175</f>
        <v>0</v>
      </c>
      <c r="S175" s="15"/>
      <c r="T175" s="12">
        <f t="shared" ref="T175:T177" si="36">$H175*V175/1000</f>
        <v>0</v>
      </c>
      <c r="U175" s="15"/>
      <c r="V175" s="77">
        <v>2.3949986814463209</v>
      </c>
      <c r="W175" s="15"/>
      <c r="X175" s="14" t="str">
        <f>IFERROR(T175/P175,"-")</f>
        <v>-</v>
      </c>
      <c r="Y175" s="15"/>
      <c r="Z175" s="12"/>
    </row>
    <row r="176" spans="2:26" x14ac:dyDescent="0.3">
      <c r="B176" s="58">
        <f>MAX(B$18:B175)+1</f>
        <v>89</v>
      </c>
      <c r="D176" s="21" t="s">
        <v>69</v>
      </c>
      <c r="F176" s="44" t="s">
        <v>172</v>
      </c>
      <c r="H176" s="12">
        <v>0</v>
      </c>
      <c r="I176" s="15"/>
      <c r="J176" s="12"/>
      <c r="K176" s="15"/>
      <c r="L176" s="12"/>
      <c r="M176" s="15"/>
      <c r="N176" s="12"/>
      <c r="O176" s="15"/>
      <c r="P176" s="12">
        <v>0</v>
      </c>
      <c r="Q176" s="15"/>
      <c r="R176" s="12">
        <f t="shared" si="35"/>
        <v>0</v>
      </c>
      <c r="S176" s="15"/>
      <c r="T176" s="12">
        <f t="shared" si="36"/>
        <v>0</v>
      </c>
      <c r="U176" s="15"/>
      <c r="V176" s="77">
        <v>2.3949986814463209</v>
      </c>
      <c r="W176" s="15"/>
      <c r="X176" s="14" t="str">
        <f t="shared" ref="X176:X177" si="37">IFERROR(T176/P176,"-")</f>
        <v>-</v>
      </c>
      <c r="Y176" s="15"/>
      <c r="Z176" s="12"/>
    </row>
    <row r="177" spans="2:26" x14ac:dyDescent="0.3">
      <c r="B177" s="58">
        <f>MAX(B$18:B176)+1</f>
        <v>90</v>
      </c>
      <c r="D177" s="21" t="s">
        <v>70</v>
      </c>
      <c r="F177" s="44" t="s">
        <v>71</v>
      </c>
      <c r="H177" s="12">
        <v>11634642.3192</v>
      </c>
      <c r="I177" s="15"/>
      <c r="J177" s="12"/>
      <c r="K177" s="15"/>
      <c r="L177" s="12"/>
      <c r="M177" s="15"/>
      <c r="N177" s="12"/>
      <c r="O177" s="15"/>
      <c r="P177" s="12">
        <v>0</v>
      </c>
      <c r="Q177" s="15"/>
      <c r="R177" s="12">
        <f t="shared" si="35"/>
        <v>0</v>
      </c>
      <c r="S177" s="15"/>
      <c r="T177" s="12">
        <f t="shared" si="36"/>
        <v>0</v>
      </c>
      <c r="U177" s="15"/>
      <c r="V177" s="77">
        <v>0</v>
      </c>
      <c r="W177" s="15"/>
      <c r="X177" s="14" t="str">
        <f t="shared" si="37"/>
        <v>-</v>
      </c>
      <c r="Y177" s="15"/>
      <c r="Z177" s="12"/>
    </row>
    <row r="178" spans="2:26" x14ac:dyDescent="0.3">
      <c r="B178" s="58"/>
      <c r="D178" s="21"/>
      <c r="F178" s="44"/>
      <c r="H178" s="12"/>
      <c r="I178" s="15"/>
      <c r="J178" s="12"/>
      <c r="K178" s="15"/>
      <c r="L178" s="12"/>
      <c r="M178" s="15"/>
      <c r="N178" s="12"/>
      <c r="O178" s="15"/>
      <c r="P178" s="12"/>
      <c r="Q178" s="15"/>
      <c r="R178" s="12"/>
      <c r="S178" s="15"/>
      <c r="T178" s="12"/>
      <c r="U178" s="15"/>
      <c r="V178" s="77"/>
      <c r="W178" s="15"/>
      <c r="X178" s="14"/>
      <c r="Y178" s="15"/>
      <c r="Z178" s="12"/>
    </row>
    <row r="179" spans="2:26" x14ac:dyDescent="0.3">
      <c r="B179" s="58">
        <f>MAX(B$18:B178)+1</f>
        <v>91</v>
      </c>
      <c r="D179" s="21" t="s">
        <v>72</v>
      </c>
      <c r="H179" s="15"/>
      <c r="I179" s="15"/>
      <c r="J179" s="15"/>
      <c r="K179" s="15"/>
      <c r="L179" s="12"/>
      <c r="M179" s="15"/>
      <c r="N179" s="12"/>
      <c r="O179" s="15"/>
      <c r="P179" s="12">
        <v>339.43046423798779</v>
      </c>
      <c r="Q179" s="15"/>
      <c r="R179" s="12">
        <f>ROUND(T179-P179,0)</f>
        <v>0</v>
      </c>
      <c r="S179" s="15"/>
      <c r="T179" s="12">
        <v>339.27511860469139</v>
      </c>
      <c r="U179" s="15"/>
      <c r="V179" s="79">
        <v>7.9936318892803778E-3</v>
      </c>
      <c r="W179" s="64"/>
      <c r="X179" s="14">
        <f>T179/P179</f>
        <v>0.9995423344405896</v>
      </c>
      <c r="Y179" s="15"/>
      <c r="Z179" s="12"/>
    </row>
    <row r="180" spans="2:26" x14ac:dyDescent="0.3">
      <c r="B180" s="58"/>
      <c r="D180" s="21"/>
      <c r="H180" s="15"/>
      <c r="I180" s="15"/>
      <c r="J180" s="15"/>
      <c r="K180" s="15"/>
      <c r="L180" s="12"/>
      <c r="M180" s="15"/>
      <c r="N180" s="12"/>
      <c r="O180" s="15"/>
      <c r="P180" s="12"/>
      <c r="Q180" s="15"/>
      <c r="R180" s="12"/>
      <c r="S180" s="15"/>
      <c r="T180" s="12"/>
      <c r="U180" s="15"/>
      <c r="V180" s="77"/>
      <c r="W180" s="15"/>
      <c r="X180" s="14"/>
      <c r="Y180" s="15"/>
      <c r="Z180" s="12"/>
    </row>
    <row r="181" spans="2:26" x14ac:dyDescent="0.3">
      <c r="B181" s="58">
        <f>MAX(B$18:B180)+1</f>
        <v>92</v>
      </c>
      <c r="D181" s="21" t="s">
        <v>94</v>
      </c>
      <c r="F181" s="44" t="s">
        <v>71</v>
      </c>
      <c r="H181" s="12">
        <v>0</v>
      </c>
      <c r="I181" s="15"/>
      <c r="J181" s="12"/>
      <c r="K181" s="15"/>
      <c r="L181" s="12"/>
      <c r="M181" s="15"/>
      <c r="N181" s="12"/>
      <c r="O181" s="15"/>
      <c r="P181" s="12">
        <v>0</v>
      </c>
      <c r="Q181" s="15"/>
      <c r="R181" s="12">
        <f>T181-P181</f>
        <v>0</v>
      </c>
      <c r="S181" s="15"/>
      <c r="T181" s="12">
        <f>$H181*V181/1000</f>
        <v>0</v>
      </c>
      <c r="U181" s="15"/>
      <c r="V181" s="77">
        <v>15.379059516240932</v>
      </c>
      <c r="W181" s="15"/>
      <c r="X181" s="14" t="str">
        <f>IFERROR(T181/P181,"-")</f>
        <v>-</v>
      </c>
      <c r="Y181" s="15"/>
      <c r="Z181" s="12"/>
    </row>
    <row r="182" spans="2:26" x14ac:dyDescent="0.3">
      <c r="B182" s="58">
        <f>MAX(B$18:B181)+1</f>
        <v>93</v>
      </c>
      <c r="D182" s="21" t="s">
        <v>54</v>
      </c>
      <c r="F182" s="44" t="s">
        <v>71</v>
      </c>
      <c r="H182" s="12">
        <v>0</v>
      </c>
      <c r="I182" s="15"/>
      <c r="J182" s="12"/>
      <c r="K182" s="15"/>
      <c r="L182" s="12"/>
      <c r="M182" s="15"/>
      <c r="N182" s="12"/>
      <c r="O182" s="15"/>
      <c r="P182" s="12">
        <v>0.23512170974873656</v>
      </c>
      <c r="Q182" s="15"/>
      <c r="R182" s="12">
        <f>T182-P182</f>
        <v>-0.23512170974873656</v>
      </c>
      <c r="S182" s="15"/>
      <c r="T182" s="12">
        <f>$H182*V182/1000</f>
        <v>0</v>
      </c>
      <c r="U182" s="15"/>
      <c r="V182" s="77">
        <v>4.5102454185140306E-2</v>
      </c>
      <c r="W182" s="15"/>
      <c r="X182" s="14">
        <f t="shared" ref="X182" si="38">T182/P182</f>
        <v>0</v>
      </c>
      <c r="Y182" s="15"/>
      <c r="Z182" s="12"/>
    </row>
    <row r="183" spans="2:26" x14ac:dyDescent="0.3">
      <c r="B183" s="58"/>
      <c r="D183" s="10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ht="12.9" thickBot="1" x14ac:dyDescent="0.35">
      <c r="B184" s="58">
        <f>MAX(B$18:B183)+1</f>
        <v>94</v>
      </c>
      <c r="D184" s="23" t="s">
        <v>95</v>
      </c>
      <c r="H184" s="69">
        <v>0</v>
      </c>
      <c r="I184" s="63"/>
      <c r="J184" s="69">
        <v>1660.6533767253904</v>
      </c>
      <c r="K184" s="64"/>
      <c r="L184" s="70" t="str">
        <f>IFERROR(J184/$H184*1000,"-")</f>
        <v>-</v>
      </c>
      <c r="M184" s="64"/>
      <c r="N184" s="69">
        <f>J184-P184</f>
        <v>-39.207061566302855</v>
      </c>
      <c r="O184" s="13"/>
      <c r="P184" s="69">
        <f>SUM(P172:P182)</f>
        <v>1699.8604382916933</v>
      </c>
      <c r="Q184" s="13"/>
      <c r="R184" s="69">
        <f>SUM(R172:R182)</f>
        <v>59.083961285223893</v>
      </c>
      <c r="S184" s="64"/>
      <c r="T184" s="69">
        <f>SUM(T172:T182)</f>
        <v>1758.789053943621</v>
      </c>
      <c r="U184" s="64"/>
      <c r="V184" s="69" t="str">
        <f>IFERROR(T184/$H184*1000,"-")</f>
        <v>-</v>
      </c>
      <c r="W184" s="64"/>
      <c r="X184" s="70">
        <f>T184/P184</f>
        <v>1.0346667375300227</v>
      </c>
      <c r="Y184" s="15"/>
      <c r="Z184" s="28" t="str">
        <f>IFERROR(V184/L184-1,"-")</f>
        <v>-</v>
      </c>
    </row>
    <row r="185" spans="2:26" ht="12.9" thickTop="1" x14ac:dyDescent="0.3">
      <c r="B185" s="58"/>
      <c r="D185" s="80"/>
      <c r="H185" s="15"/>
    </row>
    <row r="186" spans="2:26" x14ac:dyDescent="0.3">
      <c r="B186" s="58"/>
      <c r="D186" s="7"/>
    </row>
    <row r="187" spans="2:26" x14ac:dyDescent="0.3">
      <c r="B187" s="58"/>
      <c r="D187" s="35" t="s">
        <v>96</v>
      </c>
      <c r="F187" s="51"/>
      <c r="H187" s="12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3">
      <c r="B188" s="58">
        <f>MAX(B$18:B187)+1</f>
        <v>95</v>
      </c>
      <c r="D188" s="10" t="s">
        <v>33</v>
      </c>
      <c r="F188" s="44" t="s">
        <v>34</v>
      </c>
      <c r="H188" s="12">
        <v>48</v>
      </c>
      <c r="I188" s="15"/>
      <c r="J188" s="12"/>
      <c r="K188" s="15"/>
      <c r="L188" s="12"/>
      <c r="M188" s="15"/>
      <c r="N188" s="12"/>
      <c r="O188" s="15"/>
      <c r="P188" s="12">
        <v>169.04437349517715</v>
      </c>
      <c r="Q188" s="15"/>
      <c r="R188" s="12">
        <f>T188-P188</f>
        <v>-145.04437349517715</v>
      </c>
      <c r="S188" s="15"/>
      <c r="T188" s="12">
        <f>$H188*V188/1000</f>
        <v>24</v>
      </c>
      <c r="U188" s="15"/>
      <c r="V188" s="76">
        <v>500</v>
      </c>
      <c r="W188" s="15"/>
      <c r="X188" s="14">
        <f>IFERROR(T188/P188,"-")</f>
        <v>0.14197455676148085</v>
      </c>
      <c r="Y188" s="15"/>
      <c r="Z188" s="12"/>
    </row>
    <row r="189" spans="2:26" x14ac:dyDescent="0.3">
      <c r="B189" s="58">
        <f>MAX(B$18:B188)+1</f>
        <v>96</v>
      </c>
      <c r="D189" s="10" t="s">
        <v>85</v>
      </c>
      <c r="F189" s="44" t="s">
        <v>36</v>
      </c>
      <c r="H189" s="12">
        <v>90073.425800000012</v>
      </c>
      <c r="I189" s="15"/>
      <c r="J189" s="12"/>
      <c r="K189" s="15"/>
      <c r="L189" s="12"/>
      <c r="M189" s="15"/>
      <c r="N189" s="12"/>
      <c r="O189" s="15"/>
      <c r="P189" s="12">
        <v>230.575553437791</v>
      </c>
      <c r="Q189" s="15"/>
      <c r="R189" s="12">
        <f>T189-P189</f>
        <v>0</v>
      </c>
      <c r="S189" s="15"/>
      <c r="T189" s="12">
        <f>$H189*V189/100</f>
        <v>230.57555343779097</v>
      </c>
      <c r="U189" s="15"/>
      <c r="V189" s="25">
        <v>0.25598621501280899</v>
      </c>
      <c r="W189" s="15"/>
      <c r="X189" s="14">
        <f>IFERROR(T189/P189,"-")</f>
        <v>0.99999999999999989</v>
      </c>
      <c r="Y189" s="15"/>
      <c r="Z189" s="12"/>
    </row>
    <row r="190" spans="2:26" x14ac:dyDescent="0.3">
      <c r="B190" s="58">
        <f>MAX(B$18:B189)+1</f>
        <v>97</v>
      </c>
      <c r="D190" s="10" t="s">
        <v>90</v>
      </c>
      <c r="F190" s="44" t="s">
        <v>38</v>
      </c>
      <c r="H190" s="12">
        <v>6040.4639999999999</v>
      </c>
      <c r="I190" s="15"/>
      <c r="J190" s="12"/>
      <c r="K190" s="15"/>
      <c r="L190" s="12"/>
      <c r="M190" s="15"/>
      <c r="N190" s="12"/>
      <c r="O190" s="15"/>
      <c r="P190" s="12">
        <v>2624.2579114729147</v>
      </c>
      <c r="Q190" s="15"/>
      <c r="R190" s="12">
        <f>T190-P190</f>
        <v>-21.928174042522642</v>
      </c>
      <c r="S190" s="15"/>
      <c r="T190" s="12">
        <f>$H190*V190/100</f>
        <v>2602.329737430392</v>
      </c>
      <c r="U190" s="15"/>
      <c r="V190" s="25">
        <v>43.081619846263337</v>
      </c>
      <c r="W190" s="15"/>
      <c r="X190" s="14">
        <f>IFERROR(T190/P190,"-")</f>
        <v>0.9916440476575662</v>
      </c>
      <c r="Y190" s="15"/>
      <c r="Z190" s="12"/>
    </row>
    <row r="191" spans="2:26" x14ac:dyDescent="0.3">
      <c r="B191" s="58">
        <f>MAX(B$18:B190)+1</f>
        <v>98</v>
      </c>
      <c r="C191" s="60"/>
      <c r="D191" s="10" t="s">
        <v>39</v>
      </c>
      <c r="E191" s="58"/>
      <c r="F191" s="11"/>
      <c r="G191" s="58"/>
      <c r="H191" s="67">
        <f>SUM(H189:H189)</f>
        <v>90073.425800000012</v>
      </c>
      <c r="I191" s="63"/>
      <c r="J191" s="12"/>
      <c r="K191" s="63"/>
      <c r="L191" s="12"/>
      <c r="M191" s="64"/>
      <c r="N191" s="12"/>
      <c r="O191" s="13"/>
      <c r="P191" s="67">
        <f>SUM(P188:P190)</f>
        <v>3023.8778384058828</v>
      </c>
      <c r="Q191" s="13"/>
      <c r="R191" s="67">
        <f>SUM(R188:R190)</f>
        <v>-166.9725475376998</v>
      </c>
      <c r="S191" s="64"/>
      <c r="T191" s="67">
        <f>SUM(T188:T190)</f>
        <v>2856.9052908681829</v>
      </c>
      <c r="U191" s="64"/>
      <c r="V191" s="19">
        <f>T191/$H191*100</f>
        <v>3.1717515632320747</v>
      </c>
      <c r="W191" s="64"/>
      <c r="X191" s="68">
        <f t="shared" ref="X191" si="39">T191/P191</f>
        <v>0.94478197980850842</v>
      </c>
      <c r="Y191" s="15"/>
      <c r="Z191" s="12"/>
    </row>
    <row r="192" spans="2:26" x14ac:dyDescent="0.3">
      <c r="B192" s="58"/>
      <c r="D192" s="10"/>
      <c r="F192" s="44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33"/>
      <c r="W192" s="15"/>
      <c r="X192" s="15"/>
      <c r="Y192" s="15"/>
      <c r="Z192" s="15"/>
    </row>
    <row r="193" spans="2:26" x14ac:dyDescent="0.3">
      <c r="B193" s="58"/>
      <c r="C193" s="60"/>
      <c r="D193" s="10" t="s">
        <v>40</v>
      </c>
      <c r="E193" s="58"/>
      <c r="Y193" s="15"/>
      <c r="Z193" s="18"/>
    </row>
    <row r="194" spans="2:26" x14ac:dyDescent="0.3">
      <c r="B194" s="58">
        <f>MAX(B$18:B193)+1</f>
        <v>99</v>
      </c>
      <c r="D194" s="21" t="s">
        <v>41</v>
      </c>
      <c r="E194" s="58"/>
      <c r="F194" s="66" t="s">
        <v>36</v>
      </c>
      <c r="H194" s="12">
        <v>90073.425800000012</v>
      </c>
      <c r="I194" s="15"/>
      <c r="J194" s="12"/>
      <c r="K194" s="15"/>
      <c r="L194" s="12"/>
      <c r="M194" s="15"/>
      <c r="N194" s="12"/>
      <c r="O194" s="15"/>
      <c r="P194" s="12">
        <v>187.07755126833604</v>
      </c>
      <c r="Q194" s="15"/>
      <c r="R194" s="12">
        <f>T194-P194</f>
        <v>0</v>
      </c>
      <c r="S194" s="15"/>
      <c r="T194" s="12">
        <f>$H194*V194/100</f>
        <v>187.07755126833598</v>
      </c>
      <c r="U194" s="15"/>
      <c r="V194" s="25">
        <v>0.20769449991135563</v>
      </c>
      <c r="W194" s="15"/>
      <c r="X194" s="14">
        <f>IFERROR(T194/P194,"-")</f>
        <v>0.99999999999999967</v>
      </c>
      <c r="Y194" s="15"/>
      <c r="Z194" s="12"/>
    </row>
    <row r="195" spans="2:26" x14ac:dyDescent="0.3">
      <c r="B195" s="58">
        <f>MAX(B$18:B194)+1</f>
        <v>100</v>
      </c>
      <c r="D195" s="21" t="s">
        <v>42</v>
      </c>
      <c r="E195" s="58"/>
      <c r="F195" s="66" t="s">
        <v>36</v>
      </c>
      <c r="H195" s="12">
        <v>0</v>
      </c>
      <c r="I195" s="15"/>
      <c r="J195" s="12"/>
      <c r="K195" s="15"/>
      <c r="L195" s="12"/>
      <c r="M195" s="15"/>
      <c r="N195" s="12"/>
      <c r="O195" s="15"/>
      <c r="P195" s="12">
        <v>0</v>
      </c>
      <c r="Q195" s="15"/>
      <c r="R195" s="12">
        <f>T195-P195</f>
        <v>0</v>
      </c>
      <c r="S195" s="15"/>
      <c r="T195" s="12">
        <f>$H195*V195/100</f>
        <v>0</v>
      </c>
      <c r="U195" s="15"/>
      <c r="V195" s="25">
        <v>2.7995999929171553</v>
      </c>
      <c r="W195" s="15"/>
      <c r="X195" s="14" t="str">
        <f>IFERROR(T195/P195,"-")</f>
        <v>-</v>
      </c>
      <c r="Y195" s="15"/>
      <c r="Z195" s="12"/>
    </row>
    <row r="196" spans="2:26" x14ac:dyDescent="0.3">
      <c r="B196" s="58">
        <f>MAX(B$18:B195)+1</f>
        <v>101</v>
      </c>
      <c r="C196" s="60"/>
      <c r="D196" s="10" t="s">
        <v>40</v>
      </c>
      <c r="E196" s="58"/>
      <c r="F196" s="11"/>
      <c r="G196" s="58"/>
      <c r="H196" s="67">
        <f>SUM(H194:H195)</f>
        <v>90073.425800000012</v>
      </c>
      <c r="I196" s="63"/>
      <c r="J196" s="12"/>
      <c r="K196" s="63"/>
      <c r="L196" s="12"/>
      <c r="M196" s="64"/>
      <c r="N196" s="12"/>
      <c r="O196" s="13"/>
      <c r="P196" s="67">
        <f>SUM(P194:P195)</f>
        <v>187.07755126833604</v>
      </c>
      <c r="Q196" s="13"/>
      <c r="R196" s="67">
        <f>SUM(R194:R195)</f>
        <v>0</v>
      </c>
      <c r="S196" s="64"/>
      <c r="T196" s="67">
        <f>SUM(T194:T195)</f>
        <v>187.07755126833598</v>
      </c>
      <c r="U196" s="64"/>
      <c r="V196" s="19">
        <f>T196/$H196*100</f>
        <v>0.20769449991135561</v>
      </c>
      <c r="W196" s="64"/>
      <c r="X196" s="68">
        <f t="shared" ref="X196" si="40">T196/P196</f>
        <v>0.99999999999999967</v>
      </c>
      <c r="Y196" s="15"/>
      <c r="Z196" s="12"/>
    </row>
    <row r="197" spans="2:26" x14ac:dyDescent="0.3">
      <c r="B197" s="58"/>
      <c r="D197" s="10"/>
      <c r="F197" s="44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33"/>
      <c r="W197" s="15"/>
      <c r="X197" s="15"/>
      <c r="Y197" s="15"/>
      <c r="Z197" s="15"/>
    </row>
    <row r="198" spans="2:26" x14ac:dyDescent="0.3">
      <c r="B198" s="58">
        <f>MAX(B$18:B197)+1</f>
        <v>102</v>
      </c>
      <c r="D198" s="10" t="s">
        <v>44</v>
      </c>
      <c r="F198" s="44" t="s">
        <v>36</v>
      </c>
      <c r="H198" s="12">
        <v>15795.3217</v>
      </c>
      <c r="I198" s="15"/>
      <c r="J198" s="12"/>
      <c r="K198" s="15"/>
      <c r="L198" s="12"/>
      <c r="M198" s="15"/>
      <c r="N198" s="12"/>
      <c r="O198" s="15"/>
      <c r="P198" s="12">
        <v>2384.5451256086858</v>
      </c>
      <c r="Q198" s="15"/>
      <c r="R198" s="12">
        <f>T198-P198</f>
        <v>-0.44620336485695589</v>
      </c>
      <c r="S198" s="15"/>
      <c r="T198" s="12">
        <f>$H198*V198/100</f>
        <v>2384.0989222438288</v>
      </c>
      <c r="U198" s="15"/>
      <c r="V198" s="25">
        <v>15.093702854078806</v>
      </c>
      <c r="W198" s="15"/>
      <c r="X198" s="14">
        <f>IFERROR(T198/P198,"-")</f>
        <v>0.99981287694660714</v>
      </c>
      <c r="Y198" s="15"/>
      <c r="Z198" s="12"/>
    </row>
    <row r="199" spans="2:26" x14ac:dyDescent="0.3">
      <c r="B199" s="58"/>
      <c r="D199" s="10"/>
      <c r="F199" s="44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33"/>
      <c r="W199" s="15"/>
      <c r="X199" s="15"/>
      <c r="Y199" s="15"/>
      <c r="Z199" s="15"/>
    </row>
    <row r="200" spans="2:26" ht="12.9" thickBot="1" x14ac:dyDescent="0.35">
      <c r="B200" s="58">
        <f>MAX(B$18:B199)+1</f>
        <v>103</v>
      </c>
      <c r="D200" s="23" t="s">
        <v>97</v>
      </c>
      <c r="F200" s="44"/>
      <c r="H200" s="69">
        <f>H191</f>
        <v>90073.425800000012</v>
      </c>
      <c r="I200" s="63"/>
      <c r="J200" s="69">
        <v>4500.3048958949512</v>
      </c>
      <c r="K200" s="64"/>
      <c r="L200" s="24">
        <f>J200/$H200*100</f>
        <v>4.9962626112250641</v>
      </c>
      <c r="M200" s="64"/>
      <c r="N200" s="69">
        <f>J200-P200</f>
        <v>-1095.1956193879541</v>
      </c>
      <c r="O200" s="13"/>
      <c r="P200" s="69">
        <f>SUM(P191,P196,P198:P198)</f>
        <v>5595.5005152829053</v>
      </c>
      <c r="Q200" s="13"/>
      <c r="R200" s="69">
        <f>R191+R198</f>
        <v>-167.41875090255675</v>
      </c>
      <c r="S200" s="64"/>
      <c r="T200" s="69">
        <f>SUM(T191,T196,T198:T198)</f>
        <v>5428.0817643803475</v>
      </c>
      <c r="U200" s="64"/>
      <c r="V200" s="24">
        <f>T200/$H200*100</f>
        <v>6.0262854622992998</v>
      </c>
      <c r="W200" s="64"/>
      <c r="X200" s="70">
        <f t="shared" ref="X200" si="41">T200/P200</f>
        <v>0.97007975418011494</v>
      </c>
      <c r="Y200" s="15"/>
      <c r="Z200" s="28">
        <f>V200/L200-1</f>
        <v>0.20615866923409731</v>
      </c>
    </row>
    <row r="201" spans="2:26" ht="12.9" thickTop="1" x14ac:dyDescent="0.3">
      <c r="B201" s="58"/>
      <c r="D201" s="10"/>
      <c r="F201" s="44"/>
      <c r="H201" s="64"/>
      <c r="I201" s="63"/>
      <c r="J201" s="64"/>
      <c r="K201" s="64"/>
      <c r="L201" s="25"/>
      <c r="M201" s="64"/>
      <c r="N201" s="64"/>
      <c r="O201" s="13"/>
      <c r="P201" s="64"/>
      <c r="Q201" s="13"/>
      <c r="R201" s="64"/>
      <c r="S201" s="64"/>
      <c r="T201" s="64"/>
      <c r="U201" s="64"/>
      <c r="V201" s="25"/>
      <c r="W201" s="64"/>
      <c r="X201" s="72"/>
      <c r="Y201" s="15"/>
      <c r="Z201" s="37"/>
    </row>
    <row r="202" spans="2:26" x14ac:dyDescent="0.3">
      <c r="B202" s="58"/>
      <c r="D202" s="80"/>
      <c r="F202" s="44"/>
      <c r="V202" s="38"/>
    </row>
    <row r="203" spans="2:26" x14ac:dyDescent="0.3">
      <c r="B203" s="58"/>
      <c r="D203" s="35" t="s">
        <v>98</v>
      </c>
      <c r="F203" s="5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3">
      <c r="B204" s="58"/>
      <c r="D204" s="30" t="s">
        <v>41</v>
      </c>
      <c r="F204" s="44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2:26" x14ac:dyDescent="0.3">
      <c r="B205" s="58">
        <f>MAX(B$18:B204)+1</f>
        <v>104</v>
      </c>
      <c r="D205" s="10" t="s">
        <v>33</v>
      </c>
      <c r="F205" s="44" t="s">
        <v>34</v>
      </c>
      <c r="H205" s="12">
        <v>12</v>
      </c>
      <c r="I205" s="15"/>
      <c r="J205" s="12"/>
      <c r="K205" s="15"/>
      <c r="L205" s="12"/>
      <c r="M205" s="15"/>
      <c r="N205" s="12"/>
      <c r="O205" s="15"/>
      <c r="P205" s="12">
        <v>336.71171642396143</v>
      </c>
      <c r="Q205" s="15"/>
      <c r="R205" s="12">
        <f t="shared" ref="R205:R208" si="42">T205-P205</f>
        <v>0</v>
      </c>
      <c r="S205" s="15"/>
      <c r="T205" s="12">
        <f>$H205*V205/1000</f>
        <v>336.71171642396143</v>
      </c>
      <c r="U205" s="15"/>
      <c r="V205" s="76">
        <v>28059.309701996786</v>
      </c>
      <c r="W205" s="15"/>
      <c r="X205" s="14">
        <f>IFERROR(T205/P205,"-")</f>
        <v>1</v>
      </c>
      <c r="Y205" s="15"/>
      <c r="Z205" s="15"/>
    </row>
    <row r="206" spans="2:26" x14ac:dyDescent="0.3">
      <c r="B206" s="58">
        <f>MAX(B$18:B205)+1</f>
        <v>105</v>
      </c>
      <c r="D206" s="10" t="s">
        <v>54</v>
      </c>
      <c r="F206" s="44" t="s">
        <v>36</v>
      </c>
      <c r="H206" s="12">
        <v>249200.14546999999</v>
      </c>
      <c r="I206" s="15"/>
      <c r="J206" s="12"/>
      <c r="K206" s="15"/>
      <c r="L206" s="12"/>
      <c r="M206" s="15"/>
      <c r="N206" s="12"/>
      <c r="O206" s="15"/>
      <c r="P206" s="12">
        <v>0</v>
      </c>
      <c r="Q206" s="15"/>
      <c r="R206" s="12">
        <f t="shared" si="42"/>
        <v>0</v>
      </c>
      <c r="S206" s="15"/>
      <c r="T206" s="12">
        <f>$H206*V206/100</f>
        <v>0</v>
      </c>
      <c r="U206" s="15"/>
      <c r="V206" s="77">
        <v>0</v>
      </c>
      <c r="W206" s="15"/>
      <c r="X206" s="14" t="str">
        <f>IFERROR(T206/P206,"-")</f>
        <v>-</v>
      </c>
      <c r="Y206" s="15"/>
      <c r="Z206" s="15"/>
    </row>
    <row r="207" spans="2:26" x14ac:dyDescent="0.3">
      <c r="B207" s="58">
        <f>MAX(B$18:B206)+1</f>
        <v>106</v>
      </c>
      <c r="D207" s="10" t="s">
        <v>55</v>
      </c>
      <c r="F207" s="44"/>
      <c r="H207" s="15"/>
      <c r="I207" s="15"/>
      <c r="J207" s="15"/>
      <c r="K207" s="15"/>
      <c r="L207" s="15"/>
      <c r="M207" s="15"/>
      <c r="N207" s="15"/>
      <c r="O207" s="15"/>
      <c r="P207" s="12">
        <v>265.92831518589384</v>
      </c>
      <c r="Q207" s="15"/>
      <c r="R207" s="12">
        <f t="shared" si="42"/>
        <v>0</v>
      </c>
      <c r="S207" s="15"/>
      <c r="T207" s="12">
        <v>265.92831518589384</v>
      </c>
      <c r="U207" s="15"/>
      <c r="V207" s="79">
        <v>7.4826377613990795E-3</v>
      </c>
      <c r="W207" s="64"/>
      <c r="X207" s="14"/>
      <c r="Y207" s="15"/>
      <c r="Z207" s="15"/>
    </row>
    <row r="208" spans="2:26" x14ac:dyDescent="0.3">
      <c r="B208" s="58">
        <f>MAX(B$18:B207)+1</f>
        <v>107</v>
      </c>
      <c r="D208" s="10" t="s">
        <v>56</v>
      </c>
      <c r="F208" s="44" t="s">
        <v>38</v>
      </c>
      <c r="H208" s="12">
        <v>28200</v>
      </c>
      <c r="I208" s="15"/>
      <c r="J208" s="12"/>
      <c r="K208" s="15"/>
      <c r="L208" s="12"/>
      <c r="M208" s="15"/>
      <c r="N208" s="12"/>
      <c r="O208" s="15"/>
      <c r="P208" s="12">
        <v>12195.138028733532</v>
      </c>
      <c r="Q208" s="15"/>
      <c r="R208" s="12">
        <f t="shared" si="42"/>
        <v>-877.51292514591478</v>
      </c>
      <c r="S208" s="15"/>
      <c r="T208" s="12">
        <f>$H208*V208/100</f>
        <v>11317.625103587618</v>
      </c>
      <c r="U208" s="15"/>
      <c r="V208" s="77">
        <v>40.13342235314758</v>
      </c>
      <c r="W208" s="15"/>
      <c r="X208" s="14">
        <f>IFERROR(T208/P208,"-")</f>
        <v>0.92804403500162391</v>
      </c>
      <c r="Y208" s="15"/>
      <c r="Z208" s="15"/>
    </row>
    <row r="209" spans="2:26" x14ac:dyDescent="0.3">
      <c r="B209" s="58">
        <f>MAX(B$18:B208)+1</f>
        <v>108</v>
      </c>
      <c r="C209" s="60"/>
      <c r="D209" s="10" t="s">
        <v>63</v>
      </c>
      <c r="E209" s="58"/>
      <c r="F209" s="11"/>
      <c r="G209" s="58"/>
      <c r="H209" s="67">
        <f>H206</f>
        <v>249200.14546999999</v>
      </c>
      <c r="I209" s="63"/>
      <c r="J209" s="15"/>
      <c r="K209" s="15"/>
      <c r="L209" s="15"/>
      <c r="M209" s="15"/>
      <c r="N209" s="15"/>
      <c r="O209" s="13"/>
      <c r="P209" s="67">
        <f>SUM(P205:P208)</f>
        <v>12797.778060343388</v>
      </c>
      <c r="Q209" s="13"/>
      <c r="R209" s="67">
        <f>SUM(R205:R208)</f>
        <v>-877.51292514591478</v>
      </c>
      <c r="S209" s="64"/>
      <c r="T209" s="67">
        <f>SUM(T205:T208)</f>
        <v>11920.265135197473</v>
      </c>
      <c r="U209" s="64"/>
      <c r="V209" s="19">
        <f>IFERROR(T209/$H209*100,"-")</f>
        <v>4.7834101832948148</v>
      </c>
      <c r="W209" s="64"/>
      <c r="X209" s="68">
        <f>IFERROR(T209/P209,"-")</f>
        <v>0.93143240013943718</v>
      </c>
      <c r="Y209" s="15"/>
      <c r="Z209" s="63"/>
    </row>
    <row r="210" spans="2:26" x14ac:dyDescent="0.3">
      <c r="B210" s="58"/>
      <c r="D210" s="10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3">
      <c r="B211" s="58"/>
      <c r="D211" s="30" t="s">
        <v>64</v>
      </c>
      <c r="F211" s="44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3">
      <c r="B212" s="58">
        <f>MAX(B$18:B211)+1</f>
        <v>109</v>
      </c>
      <c r="D212" s="21" t="s">
        <v>65</v>
      </c>
      <c r="F212" s="44" t="s">
        <v>172</v>
      </c>
      <c r="H212" s="12">
        <v>38472252</v>
      </c>
      <c r="I212" s="15"/>
      <c r="J212" s="12"/>
      <c r="K212" s="15"/>
      <c r="L212" s="12"/>
      <c r="M212" s="15"/>
      <c r="N212" s="12"/>
      <c r="O212" s="15"/>
      <c r="P212" s="12">
        <v>577.77034128090179</v>
      </c>
      <c r="Q212" s="15"/>
      <c r="R212" s="12">
        <f>T212-P212</f>
        <v>-2.6599466054051391</v>
      </c>
      <c r="S212" s="15"/>
      <c r="T212" s="12">
        <f>$H212*V212/1000</f>
        <v>575.11039467549665</v>
      </c>
      <c r="U212" s="15"/>
      <c r="V212" s="77">
        <v>1.4948706269534122E-2</v>
      </c>
      <c r="W212" s="15"/>
      <c r="X212" s="14">
        <f>IFERROR(T212/P212,"-")</f>
        <v>0.99539618700484334</v>
      </c>
      <c r="Y212" s="15"/>
      <c r="Z212" s="15"/>
    </row>
    <row r="213" spans="2:26" x14ac:dyDescent="0.3">
      <c r="B213" s="58"/>
      <c r="D213" s="21" t="s">
        <v>66</v>
      </c>
      <c r="F213" s="44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77"/>
      <c r="W213" s="15"/>
      <c r="X213" s="14"/>
      <c r="Y213" s="15"/>
      <c r="Z213" s="15"/>
    </row>
    <row r="214" spans="2:26" x14ac:dyDescent="0.3">
      <c r="B214" s="58">
        <f>MAX(B$18:B213)+1</f>
        <v>110</v>
      </c>
      <c r="D214" s="32" t="s">
        <v>67</v>
      </c>
      <c r="F214" s="44" t="s">
        <v>172</v>
      </c>
      <c r="H214" s="12">
        <v>0</v>
      </c>
      <c r="I214" s="15"/>
      <c r="J214" s="12"/>
      <c r="K214" s="15"/>
      <c r="L214" s="12"/>
      <c r="M214" s="15"/>
      <c r="N214" s="12"/>
      <c r="O214" s="15"/>
      <c r="P214" s="12">
        <v>0</v>
      </c>
      <c r="Q214" s="15"/>
      <c r="R214" s="12">
        <f t="shared" ref="R214:R218" si="43">T214-P214</f>
        <v>0</v>
      </c>
      <c r="S214" s="15"/>
      <c r="T214" s="12">
        <f>$H214*V214/1000</f>
        <v>0</v>
      </c>
      <c r="U214" s="15"/>
      <c r="V214" s="77">
        <v>2.5732849397493101</v>
      </c>
      <c r="W214" s="15"/>
      <c r="X214" s="14" t="str">
        <f>IFERROR(T214/P214,"-")</f>
        <v>-</v>
      </c>
      <c r="Y214" s="15"/>
      <c r="Z214" s="15"/>
    </row>
    <row r="215" spans="2:26" x14ac:dyDescent="0.3">
      <c r="B215" s="58">
        <f>MAX(B$18:B214)+1</f>
        <v>111</v>
      </c>
      <c r="D215" s="32" t="s">
        <v>68</v>
      </c>
      <c r="F215" s="44" t="s">
        <v>172</v>
      </c>
      <c r="H215" s="12">
        <v>649668</v>
      </c>
      <c r="I215" s="15"/>
      <c r="J215" s="12"/>
      <c r="K215" s="15"/>
      <c r="L215" s="12"/>
      <c r="M215" s="15"/>
      <c r="N215" s="12"/>
      <c r="O215" s="15"/>
      <c r="P215" s="12">
        <v>1555.954003377869</v>
      </c>
      <c r="Q215" s="15"/>
      <c r="R215" s="12">
        <f t="shared" si="43"/>
        <v>0</v>
      </c>
      <c r="S215" s="15"/>
      <c r="T215" s="12">
        <f>$H215*V215/1000</f>
        <v>1555.9540033778683</v>
      </c>
      <c r="U215" s="15"/>
      <c r="V215" s="77">
        <v>2.3949986814463209</v>
      </c>
      <c r="W215" s="15"/>
      <c r="X215" s="14">
        <f>IFERROR(T215/P215,"-")</f>
        <v>0.99999999999999956</v>
      </c>
      <c r="Y215" s="15"/>
      <c r="Z215" s="15"/>
    </row>
    <row r="216" spans="2:26" x14ac:dyDescent="0.3">
      <c r="B216" s="58">
        <f>MAX(B$18:B215)+1</f>
        <v>112</v>
      </c>
      <c r="D216" s="32" t="s">
        <v>69</v>
      </c>
      <c r="F216" s="44" t="s">
        <v>172</v>
      </c>
      <c r="H216" s="12">
        <v>0</v>
      </c>
      <c r="I216" s="15"/>
      <c r="J216" s="12"/>
      <c r="K216" s="15"/>
      <c r="L216" s="12"/>
      <c r="M216" s="15"/>
      <c r="N216" s="12"/>
      <c r="O216" s="15"/>
      <c r="P216" s="12">
        <v>0</v>
      </c>
      <c r="Q216" s="15"/>
      <c r="R216" s="12">
        <f t="shared" si="43"/>
        <v>0</v>
      </c>
      <c r="S216" s="15"/>
      <c r="T216" s="12">
        <f>$H216*V216/1000</f>
        <v>0</v>
      </c>
      <c r="U216" s="15"/>
      <c r="V216" s="77">
        <v>2.3949986814463209</v>
      </c>
      <c r="W216" s="15"/>
      <c r="X216" s="14" t="str">
        <f>IFERROR(T216/P216,"-")</f>
        <v>-</v>
      </c>
      <c r="Y216" s="15"/>
      <c r="Z216" s="15"/>
    </row>
    <row r="217" spans="2:26" x14ac:dyDescent="0.3">
      <c r="B217" s="58">
        <f>MAX(B$18:B216)+1</f>
        <v>113</v>
      </c>
      <c r="D217" s="10" t="s">
        <v>70</v>
      </c>
      <c r="F217" s="44" t="s">
        <v>71</v>
      </c>
      <c r="H217" s="12">
        <v>6433273.9271999998</v>
      </c>
      <c r="I217" s="15"/>
      <c r="J217" s="12"/>
      <c r="K217" s="15"/>
      <c r="L217" s="12"/>
      <c r="M217" s="15"/>
      <c r="N217" s="12"/>
      <c r="O217" s="15"/>
      <c r="P217" s="12">
        <v>0</v>
      </c>
      <c r="Q217" s="15"/>
      <c r="R217" s="12">
        <f t="shared" si="43"/>
        <v>0</v>
      </c>
      <c r="S217" s="15"/>
      <c r="T217" s="12">
        <f>$H217*V217/1000</f>
        <v>0</v>
      </c>
      <c r="U217" s="15"/>
      <c r="V217" s="77">
        <v>0</v>
      </c>
      <c r="W217" s="15"/>
      <c r="X217" s="14"/>
      <c r="Y217" s="15"/>
      <c r="Z217" s="15"/>
    </row>
    <row r="218" spans="2:26" x14ac:dyDescent="0.3">
      <c r="B218" s="58">
        <f>MAX(B$18:B217)+1</f>
        <v>114</v>
      </c>
      <c r="D218" s="10" t="s">
        <v>72</v>
      </c>
      <c r="F218" s="44"/>
      <c r="H218" s="12"/>
      <c r="I218" s="15"/>
      <c r="J218" s="12"/>
      <c r="K218" s="15"/>
      <c r="L218" s="12"/>
      <c r="M218" s="15"/>
      <c r="N218" s="12"/>
      <c r="O218" s="15"/>
      <c r="P218" s="12">
        <v>187.68511276673155</v>
      </c>
      <c r="Q218" s="15"/>
      <c r="R218" s="12">
        <f t="shared" si="43"/>
        <v>-8.5897012127418293E-2</v>
      </c>
      <c r="S218" s="15"/>
      <c r="T218" s="12">
        <v>187.59921575460413</v>
      </c>
      <c r="U218" s="15"/>
      <c r="V218" s="79">
        <v>7.9936318892803778E-3</v>
      </c>
      <c r="W218" s="64"/>
      <c r="X218" s="14"/>
      <c r="Y218" s="15"/>
      <c r="Z218" s="15"/>
    </row>
    <row r="219" spans="2:26" x14ac:dyDescent="0.3">
      <c r="B219" s="58">
        <f>MAX(B$18:B218)+1</f>
        <v>115</v>
      </c>
      <c r="C219" s="60"/>
      <c r="D219" s="10" t="s">
        <v>73</v>
      </c>
      <c r="E219" s="58"/>
      <c r="F219" s="11"/>
      <c r="G219" s="58"/>
      <c r="H219" s="67">
        <f>H209</f>
        <v>249200.14546999999</v>
      </c>
      <c r="I219" s="63"/>
      <c r="J219" s="12"/>
      <c r="K219" s="15"/>
      <c r="L219" s="12"/>
      <c r="M219" s="15"/>
      <c r="N219" s="12"/>
      <c r="O219" s="13"/>
      <c r="P219" s="67">
        <f>SUM(P212:P218)</f>
        <v>2321.4094574255023</v>
      </c>
      <c r="Q219" s="13"/>
      <c r="R219" s="67">
        <f>SUM(R212:R218)</f>
        <v>-2.7458436175325573</v>
      </c>
      <c r="S219" s="64"/>
      <c r="T219" s="67">
        <f>SUM(T212:T218)</f>
        <v>2318.6636138079693</v>
      </c>
      <c r="U219" s="64"/>
      <c r="V219" s="19">
        <f>IFERROR(T219/$H219*100,"-")</f>
        <v>0.93044231953993872</v>
      </c>
      <c r="W219" s="64"/>
      <c r="X219" s="68">
        <f>IFERROR(T219/P219,"-")</f>
        <v>0.99881716531792797</v>
      </c>
      <c r="Y219" s="15"/>
      <c r="Z219" s="63"/>
    </row>
    <row r="220" spans="2:26" x14ac:dyDescent="0.3">
      <c r="B220" s="58"/>
      <c r="D220" s="10"/>
      <c r="F220" s="44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39"/>
      <c r="W220" s="15"/>
      <c r="X220" s="15"/>
      <c r="Y220" s="15"/>
      <c r="Z220" s="15"/>
    </row>
    <row r="221" spans="2:26" ht="12.9" thickBot="1" x14ac:dyDescent="0.35">
      <c r="B221" s="58">
        <f>MAX(B$18:B220)+1</f>
        <v>116</v>
      </c>
      <c r="D221" s="23" t="s">
        <v>99</v>
      </c>
      <c r="F221" s="44"/>
      <c r="H221" s="69">
        <f>H206</f>
        <v>249200.14546999999</v>
      </c>
      <c r="I221" s="63"/>
      <c r="J221" s="69">
        <v>8385.5420590421272</v>
      </c>
      <c r="K221" s="64"/>
      <c r="L221" s="24">
        <f>IFERROR(J221/$H221*100,"-")</f>
        <v>3.3649828105945558</v>
      </c>
      <c r="M221" s="64"/>
      <c r="N221" s="69">
        <f>J221-P221</f>
        <v>-6733.6454587267617</v>
      </c>
      <c r="O221" s="13"/>
      <c r="P221" s="69">
        <f>P209+P219</f>
        <v>15119.187517768889</v>
      </c>
      <c r="Q221" s="13"/>
      <c r="R221" s="69">
        <f>R209+R219</f>
        <v>-880.25876876344728</v>
      </c>
      <c r="S221" s="64"/>
      <c r="T221" s="69">
        <f>T209+T219</f>
        <v>14238.928749005441</v>
      </c>
      <c r="U221" s="64"/>
      <c r="V221" s="24">
        <f>IFERROR(T221/$H221*100,"-")</f>
        <v>5.7138525028347535</v>
      </c>
      <c r="W221" s="64"/>
      <c r="X221" s="70">
        <f>IFERROR(T221/P221,"-")</f>
        <v>0.94177869890634536</v>
      </c>
      <c r="Y221" s="15"/>
      <c r="Z221" s="28">
        <f>IFERROR(V221/L221-1,"-")</f>
        <v>0.69803319198090574</v>
      </c>
    </row>
    <row r="222" spans="2:26" ht="12.9" thickTop="1" x14ac:dyDescent="0.3">
      <c r="B222" s="58"/>
      <c r="D222" s="80"/>
      <c r="F222" s="51"/>
    </row>
    <row r="223" spans="2:26" ht="12.9" thickBot="1" x14ac:dyDescent="0.35">
      <c r="B223" s="58">
        <f>MAX(B$18:B222)+1</f>
        <v>117</v>
      </c>
      <c r="D223" s="23" t="s">
        <v>100</v>
      </c>
      <c r="J223" s="69">
        <f>J221+J200+J184+J167+J151+J132+J113+J97+J66+J46+J30</f>
        <v>4067779.7625775826</v>
      </c>
      <c r="K223" s="64"/>
      <c r="L223" s="12"/>
      <c r="M223" s="64"/>
      <c r="N223" s="69">
        <f>N221+N200+N184+N167+N151+N132+N113+N97+N66+N46+N30</f>
        <v>64837.754080143801</v>
      </c>
      <c r="O223" s="13"/>
      <c r="P223" s="69">
        <f>P221+P200+P184+P167+P151+P132+P113+P97+P66+P46+P30</f>
        <v>4002942.0084974389</v>
      </c>
      <c r="Q223" s="13"/>
      <c r="R223" s="69">
        <f>R221+R200+R184+R167+R151+R132+R113+R97+R66+R46+R30</f>
        <v>-16601.794356446509</v>
      </c>
      <c r="S223" s="64"/>
      <c r="T223" s="69">
        <f>T221+T200+T184+T167+T151+T132+T113+T97+T66+T46+T30</f>
        <v>3986339.8368055671</v>
      </c>
    </row>
    <row r="224" spans="2:26" ht="12.9" thickTop="1" x14ac:dyDescent="0.3">
      <c r="D224" s="81"/>
      <c r="F224" s="44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64"/>
      <c r="V224" s="25"/>
      <c r="W224" s="64"/>
      <c r="X224" s="72"/>
      <c r="Y224" s="15"/>
      <c r="Z224" s="16"/>
    </row>
    <row r="225" spans="2:6" x14ac:dyDescent="0.3">
      <c r="F225" s="44"/>
    </row>
    <row r="226" spans="2:6" x14ac:dyDescent="0.3">
      <c r="B226" s="40" t="s">
        <v>101</v>
      </c>
      <c r="F226" s="44"/>
    </row>
    <row r="227" spans="2:6" x14ac:dyDescent="0.3">
      <c r="B227" s="82" t="s">
        <v>102</v>
      </c>
      <c r="C227" s="41"/>
      <c r="D227" s="41" t="s">
        <v>103</v>
      </c>
      <c r="F227" s="44"/>
    </row>
    <row r="228" spans="2:6" x14ac:dyDescent="0.3">
      <c r="B228" s="82" t="s">
        <v>104</v>
      </c>
      <c r="C228" s="41"/>
      <c r="D228" s="41" t="s">
        <v>105</v>
      </c>
      <c r="F228" s="44"/>
    </row>
    <row r="229" spans="2:6" x14ac:dyDescent="0.3">
      <c r="B229" s="82"/>
      <c r="D229" s="51"/>
      <c r="F229" s="51"/>
    </row>
    <row r="230" spans="2:6" x14ac:dyDescent="0.3">
      <c r="B230" s="82"/>
      <c r="F230" s="44"/>
    </row>
  </sheetData>
  <mergeCells count="2">
    <mergeCell ref="B8:Z8"/>
    <mergeCell ref="B9:Z9"/>
  </mergeCells>
  <pageMargins left="0.70866141732283505" right="0.70866141732283505" top="0.74803149606299202" bottom="0.74803149606299202" header="0.31496062992126" footer="0.31496062992126"/>
  <pageSetup scale="44" firstPageNumber="5" fitToWidth="0" fitToHeight="0" orientation="landscape" blackAndWhite="1" useFirstPageNumber="1" r:id="rId1"/>
  <headerFooter>
    <oddHeader xml:space="preserve">&amp;R&amp;"Arial,Regular"&amp;10Filed: 2025-02-28
 EB-2025-0064
 Phase 3 Exhibit 8
 Tab 2
 Schedule 13
 Attachment 2
 Page &amp;P of 10
</oddHeader>
  </headerFooter>
  <rowBreaks count="3" manualBreakCount="3">
    <brk id="67" max="26" man="1"/>
    <brk id="133" max="26" man="1"/>
    <brk id="185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60C8-2BDF-41D9-B198-84427096132C}">
  <sheetPr>
    <pageSetUpPr fitToPage="1"/>
  </sheetPr>
  <dimension ref="A1:AX250"/>
  <sheetViews>
    <sheetView tabSelected="1" view="pageLayout" topLeftCell="F1" zoomScaleNormal="85" zoomScaleSheetLayoutView="70" workbookViewId="0">
      <selection activeCell="F45" sqref="F45"/>
    </sheetView>
  </sheetViews>
  <sheetFormatPr defaultColWidth="0" defaultRowHeight="0" customHeight="1" zeroHeight="1" x14ac:dyDescent="0.3"/>
  <cols>
    <col min="1" max="1" width="1.53515625" style="51" customWidth="1"/>
    <col min="2" max="2" width="5.07421875" style="51" customWidth="1"/>
    <col min="3" max="3" width="1.53515625" style="51" customWidth="1"/>
    <col min="4" max="4" width="55.84375" style="51" customWidth="1"/>
    <col min="5" max="5" width="1.53515625" style="51" customWidth="1"/>
    <col min="6" max="6" width="14.4609375" style="51" customWidth="1"/>
    <col min="7" max="7" width="1.53515625" style="51" customWidth="1"/>
    <col min="8" max="8" width="14.4609375" style="51" customWidth="1"/>
    <col min="9" max="9" width="1.53515625" style="51" customWidth="1"/>
    <col min="10" max="10" width="14.4609375" style="51" customWidth="1"/>
    <col min="11" max="11" width="1.53515625" style="51" customWidth="1"/>
    <col min="12" max="12" width="14.4609375" style="51" customWidth="1"/>
    <col min="13" max="13" width="1.53515625" style="51" customWidth="1"/>
    <col min="14" max="14" width="14.4609375" style="51" customWidth="1"/>
    <col min="15" max="15" width="1.53515625" style="51" customWidth="1"/>
    <col min="16" max="16" width="14.4609375" style="51" customWidth="1"/>
    <col min="17" max="17" width="1.53515625" style="51" customWidth="1"/>
    <col min="18" max="18" width="14.4609375" style="51" customWidth="1"/>
    <col min="19" max="19" width="1.53515625" style="51" customWidth="1"/>
    <col min="20" max="20" width="14.4609375" style="51" customWidth="1"/>
    <col min="21" max="21" width="1.53515625" style="51" customWidth="1"/>
    <col min="22" max="22" width="14.4609375" style="51" customWidth="1"/>
    <col min="23" max="23" width="1.53515625" style="51" customWidth="1"/>
    <col min="24" max="24" width="14.4609375" style="51" customWidth="1"/>
    <col min="25" max="25" width="1.53515625" style="51" customWidth="1"/>
    <col min="26" max="26" width="14.4609375" style="51" customWidth="1"/>
    <col min="27" max="27" width="1.53515625" style="51" customWidth="1"/>
    <col min="28" max="28" width="9.07421875" style="51" customWidth="1"/>
    <col min="29" max="29" width="8.84375" style="51" customWidth="1"/>
    <col min="30" max="40" width="9.07421875" style="51" customWidth="1"/>
    <col min="41" max="50" width="0" style="51" hidden="1" customWidth="1"/>
    <col min="51" max="16384" width="9.07421875" style="51" hidden="1"/>
  </cols>
  <sheetData>
    <row r="1" spans="1:27" ht="12.45" x14ac:dyDescent="0.3">
      <c r="A1" s="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45" x14ac:dyDescent="0.3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45" x14ac:dyDescent="0.3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45" x14ac:dyDescent="0.3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45" x14ac:dyDescent="0.3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45" x14ac:dyDescent="0.3">
      <c r="A6" s="2"/>
      <c r="B6" s="93" t="s">
        <v>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42"/>
    </row>
    <row r="7" spans="1:27" ht="12.45" x14ac:dyDescent="0.3">
      <c r="A7" s="2"/>
      <c r="B7" s="93" t="s">
        <v>108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42"/>
    </row>
    <row r="8" spans="1:27" ht="12.45" x14ac:dyDescent="0.3">
      <c r="A8" s="2"/>
      <c r="B8" s="54"/>
      <c r="C8" s="54"/>
      <c r="D8" s="54"/>
      <c r="E8" s="54"/>
      <c r="F8" s="55"/>
      <c r="G8" s="54"/>
      <c r="H8" s="55"/>
      <c r="I8" s="54"/>
      <c r="J8" s="55"/>
      <c r="K8" s="55"/>
      <c r="L8" s="55"/>
      <c r="M8" s="55"/>
      <c r="N8" s="55"/>
      <c r="O8" s="54"/>
      <c r="P8" s="54"/>
      <c r="Q8" s="54"/>
      <c r="R8" s="54"/>
      <c r="S8" s="54"/>
      <c r="T8" s="54"/>
      <c r="U8" s="54"/>
      <c r="V8" s="54"/>
      <c r="W8" s="54"/>
      <c r="X8" s="3"/>
      <c r="Y8" s="2"/>
      <c r="Z8" s="3"/>
      <c r="AA8" s="2"/>
    </row>
    <row r="9" spans="1:27" ht="12.45" x14ac:dyDescent="0.3">
      <c r="A9" s="2"/>
      <c r="B9" s="55"/>
      <c r="C9" s="55"/>
      <c r="D9" s="55"/>
      <c r="E9" s="55"/>
      <c r="F9" s="54"/>
      <c r="G9" s="55"/>
      <c r="H9" s="54"/>
      <c r="I9" s="55"/>
      <c r="J9" s="56" t="s">
        <v>2</v>
      </c>
      <c r="K9" s="56"/>
      <c r="L9" s="56"/>
      <c r="M9" s="55"/>
      <c r="N9" s="55"/>
      <c r="O9" s="55"/>
      <c r="P9" s="56" t="s">
        <v>3</v>
      </c>
      <c r="Q9" s="56"/>
      <c r="R9" s="56"/>
      <c r="S9" s="56"/>
      <c r="T9" s="56"/>
      <c r="U9" s="56"/>
      <c r="V9" s="56"/>
      <c r="W9" s="56"/>
      <c r="X9" s="4"/>
      <c r="Y9" s="4"/>
      <c r="Z9" s="4"/>
      <c r="AA9" s="4"/>
    </row>
    <row r="10" spans="1:27" ht="12.45" x14ac:dyDescent="0.3">
      <c r="A10" s="2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3"/>
      <c r="Y10" s="2"/>
      <c r="Z10" s="3"/>
      <c r="AA10" s="2"/>
    </row>
    <row r="11" spans="1:27" ht="37.299999999999997" x14ac:dyDescent="0.3">
      <c r="A11" s="5"/>
      <c r="B11" s="57" t="s">
        <v>4</v>
      </c>
      <c r="C11" s="57"/>
      <c r="D11" s="57"/>
      <c r="E11" s="57"/>
      <c r="F11" s="58" t="s">
        <v>5</v>
      </c>
      <c r="G11" s="57"/>
      <c r="H11" s="5" t="s">
        <v>6</v>
      </c>
      <c r="I11" s="57"/>
      <c r="J11" s="5" t="s">
        <v>7</v>
      </c>
      <c r="K11" s="5"/>
      <c r="L11" s="5" t="s">
        <v>8</v>
      </c>
      <c r="M11" s="57"/>
      <c r="N11" s="5" t="s">
        <v>9</v>
      </c>
      <c r="O11" s="57"/>
      <c r="P11" s="57" t="s">
        <v>10</v>
      </c>
      <c r="Q11" s="57"/>
      <c r="R11" s="5" t="s">
        <v>11</v>
      </c>
      <c r="S11" s="57"/>
      <c r="T11" s="5" t="s">
        <v>7</v>
      </c>
      <c r="U11" s="57"/>
      <c r="V11" s="5" t="s">
        <v>8</v>
      </c>
      <c r="W11" s="57"/>
      <c r="X11" s="57" t="s">
        <v>12</v>
      </c>
      <c r="Y11" s="57"/>
      <c r="Z11" s="57" t="s">
        <v>13</v>
      </c>
      <c r="AA11" s="57"/>
    </row>
    <row r="12" spans="1:27" ht="12.45" x14ac:dyDescent="0.3">
      <c r="A12" s="2"/>
      <c r="B12" s="59" t="s">
        <v>14</v>
      </c>
      <c r="C12" s="60"/>
      <c r="D12" s="61" t="s">
        <v>15</v>
      </c>
      <c r="E12" s="58"/>
      <c r="F12" s="59" t="s">
        <v>16</v>
      </c>
      <c r="G12" s="58"/>
      <c r="H12" s="59" t="s">
        <v>17</v>
      </c>
      <c r="I12" s="58"/>
      <c r="J12" s="59" t="s">
        <v>18</v>
      </c>
      <c r="K12" s="2"/>
      <c r="L12" s="59" t="s">
        <v>93</v>
      </c>
      <c r="M12" s="58"/>
      <c r="N12" s="59" t="s">
        <v>18</v>
      </c>
      <c r="O12" s="58"/>
      <c r="P12" s="59" t="s">
        <v>18</v>
      </c>
      <c r="Q12" s="58"/>
      <c r="R12" s="59" t="s">
        <v>18</v>
      </c>
      <c r="S12" s="58"/>
      <c r="T12" s="59" t="s">
        <v>18</v>
      </c>
      <c r="U12" s="58"/>
      <c r="V12" s="59" t="s">
        <v>93</v>
      </c>
      <c r="W12" s="58"/>
      <c r="X12" s="59" t="s">
        <v>20</v>
      </c>
      <c r="Y12" s="58"/>
      <c r="Z12" s="59" t="s">
        <v>21</v>
      </c>
      <c r="AA12" s="58"/>
    </row>
    <row r="13" spans="1:27" ht="12.45" x14ac:dyDescent="0.3">
      <c r="A13" s="2"/>
      <c r="B13" s="58"/>
      <c r="C13" s="60"/>
      <c r="D13" s="43"/>
      <c r="E13" s="58"/>
      <c r="F13" s="58"/>
      <c r="G13" s="58"/>
      <c r="H13" s="58" t="s">
        <v>22</v>
      </c>
      <c r="I13" s="58"/>
      <c r="J13" s="58" t="s">
        <v>23</v>
      </c>
      <c r="K13" s="58"/>
      <c r="L13" s="58" t="s">
        <v>109</v>
      </c>
      <c r="M13" s="58"/>
      <c r="N13" s="58" t="s">
        <v>25</v>
      </c>
      <c r="O13" s="58"/>
      <c r="P13" s="58" t="s">
        <v>26</v>
      </c>
      <c r="Q13" s="58"/>
      <c r="R13" s="58" t="s">
        <v>110</v>
      </c>
      <c r="S13" s="58"/>
      <c r="T13" s="62" t="s">
        <v>28</v>
      </c>
      <c r="U13" s="58"/>
      <c r="V13" s="62" t="s">
        <v>29</v>
      </c>
      <c r="W13" s="58"/>
      <c r="X13" s="62" t="s">
        <v>111</v>
      </c>
      <c r="Y13" s="58"/>
      <c r="Z13" s="62" t="s">
        <v>31</v>
      </c>
      <c r="AA13" s="58"/>
    </row>
    <row r="14" spans="1:27" ht="12.45" x14ac:dyDescent="0.3">
      <c r="D14" s="83" t="s">
        <v>112</v>
      </c>
    </row>
    <row r="15" spans="1:27" ht="12.45" x14ac:dyDescent="0.3">
      <c r="B15" s="58">
        <v>1</v>
      </c>
      <c r="D15" s="36" t="s">
        <v>113</v>
      </c>
      <c r="F15" s="44" t="s">
        <v>34</v>
      </c>
      <c r="H15" s="12">
        <v>12</v>
      </c>
      <c r="I15" s="84"/>
      <c r="J15" s="64"/>
      <c r="K15" s="84"/>
      <c r="L15" s="76"/>
      <c r="M15" s="84"/>
      <c r="N15" s="64"/>
      <c r="O15" s="84"/>
      <c r="P15" s="12">
        <v>0</v>
      </c>
      <c r="Q15" s="84"/>
      <c r="R15" s="12">
        <f>T15-P15</f>
        <v>25.345637999999994</v>
      </c>
      <c r="S15" s="84"/>
      <c r="T15" s="64">
        <f>V15*H15/1000</f>
        <v>25.345637999999994</v>
      </c>
      <c r="U15" s="84"/>
      <c r="V15" s="76">
        <v>2112.1364999999996</v>
      </c>
      <c r="W15" s="84"/>
      <c r="X15" s="14" t="str">
        <f>IFERROR(T15/P15,"")</f>
        <v/>
      </c>
      <c r="Y15" s="84"/>
      <c r="Z15" s="84"/>
      <c r="AA15" s="84"/>
    </row>
    <row r="16" spans="1:27" ht="12.45" x14ac:dyDescent="0.3">
      <c r="B16" s="58"/>
      <c r="D16" s="36" t="s">
        <v>114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</row>
    <row r="17" spans="2:27" ht="12.45" x14ac:dyDescent="0.3">
      <c r="B17" s="58">
        <f>MAX(B$15:B16)+1</f>
        <v>2</v>
      </c>
      <c r="D17" s="85" t="s">
        <v>115</v>
      </c>
      <c r="F17" s="44" t="s">
        <v>172</v>
      </c>
      <c r="H17" s="12">
        <v>8863</v>
      </c>
      <c r="I17" s="84"/>
      <c r="J17" s="64"/>
      <c r="K17" s="84"/>
      <c r="L17" s="77"/>
      <c r="M17" s="84"/>
      <c r="N17" s="64"/>
      <c r="O17" s="84"/>
      <c r="P17" s="12">
        <v>313.89924291449967</v>
      </c>
      <c r="Q17" s="84"/>
      <c r="R17" s="12">
        <f>T17-P17</f>
        <v>0</v>
      </c>
      <c r="S17" s="84"/>
      <c r="T17" s="64">
        <f>$H$17*V17*12/1000</f>
        <v>313.89924291449961</v>
      </c>
      <c r="U17" s="84"/>
      <c r="V17" s="77">
        <v>2.9514013587808834</v>
      </c>
      <c r="W17" s="84"/>
      <c r="X17" s="14">
        <f>T17/P17</f>
        <v>0.99999999999999978</v>
      </c>
      <c r="Y17" s="84"/>
      <c r="Z17" s="84"/>
      <c r="AA17" s="84"/>
    </row>
    <row r="18" spans="2:27" ht="12.45" x14ac:dyDescent="0.3"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</row>
    <row r="19" spans="2:27" ht="12.9" thickBot="1" x14ac:dyDescent="0.35">
      <c r="B19" s="58">
        <f>MAX(B$15:B18)+1</f>
        <v>3</v>
      </c>
      <c r="D19" s="51" t="str">
        <f>"Total " &amp;D14</f>
        <v>Total Rate E60</v>
      </c>
      <c r="H19" s="69">
        <f>H17</f>
        <v>8863</v>
      </c>
      <c r="I19" s="63"/>
      <c r="J19" s="69">
        <v>543.41803200000004</v>
      </c>
      <c r="K19" s="64"/>
      <c r="L19" s="24">
        <f>J19/$H19*100</f>
        <v>6.1313103012523982</v>
      </c>
      <c r="M19" s="64"/>
      <c r="N19" s="69">
        <f>J19-P19</f>
        <v>229.51878908550037</v>
      </c>
      <c r="O19" s="13"/>
      <c r="P19" s="69">
        <f>SUM(P15:P17)</f>
        <v>313.89924291449967</v>
      </c>
      <c r="Q19" s="13"/>
      <c r="R19" s="69">
        <f>SUM(R15:R17)</f>
        <v>25.345637999999994</v>
      </c>
      <c r="S19" s="64"/>
      <c r="T19" s="69">
        <f>SUM(T15:T17)</f>
        <v>339.24488091449962</v>
      </c>
      <c r="U19" s="64"/>
      <c r="V19" s="24">
        <f>T19/$H19*100</f>
        <v>3.8276529495035496</v>
      </c>
      <c r="W19" s="64"/>
      <c r="X19" s="70">
        <f t="shared" ref="X19" si="0">T19/P19</f>
        <v>1.0807445018492881</v>
      </c>
      <c r="Y19" s="15"/>
      <c r="Z19" s="71">
        <f t="shared" ref="Z19" si="1">V19/L19-1</f>
        <v>-0.37572023573465152</v>
      </c>
      <c r="AA19" s="15"/>
    </row>
    <row r="20" spans="2:27" ht="12.9" thickTop="1" x14ac:dyDescent="0.3"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</row>
    <row r="21" spans="2:27" ht="12.45" x14ac:dyDescent="0.3">
      <c r="D21" s="83" t="s">
        <v>116</v>
      </c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</row>
    <row r="22" spans="2:27" ht="12.45" x14ac:dyDescent="0.3">
      <c r="B22" s="58"/>
      <c r="D22" s="36" t="s">
        <v>114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</row>
    <row r="23" spans="2:27" ht="12.45" x14ac:dyDescent="0.3">
      <c r="B23" s="58"/>
      <c r="D23" s="47" t="s">
        <v>117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</row>
    <row r="24" spans="2:27" ht="12.45" x14ac:dyDescent="0.3">
      <c r="B24" s="58">
        <f>MAX(B$15:B23)+1</f>
        <v>4</v>
      </c>
      <c r="D24" s="45" t="s">
        <v>118</v>
      </c>
      <c r="F24" s="44" t="s">
        <v>172</v>
      </c>
      <c r="H24" s="12">
        <v>1867861</v>
      </c>
      <c r="I24" s="84"/>
      <c r="J24" s="64"/>
      <c r="K24" s="84"/>
      <c r="L24" s="77"/>
      <c r="M24" s="84"/>
      <c r="N24" s="64"/>
      <c r="O24" s="84"/>
      <c r="P24" s="12">
        <v>84664.457890397869</v>
      </c>
      <c r="Q24" s="84"/>
      <c r="R24" s="12">
        <f t="shared" ref="R24:R28" si="2">T24-P24</f>
        <v>-11426.609451454715</v>
      </c>
      <c r="S24" s="84"/>
      <c r="T24" s="64">
        <f>V24*(H24)*12/1000</f>
        <v>73237.848438943154</v>
      </c>
      <c r="U24" s="84"/>
      <c r="V24" s="77">
        <v>3.267456216805531</v>
      </c>
      <c r="W24" s="84"/>
      <c r="X24" s="14">
        <f t="shared" ref="X24:X28" si="3">IFERROR(T24/P24,"")</f>
        <v>0.86503652493414651</v>
      </c>
      <c r="Y24" s="84"/>
      <c r="Z24" s="84"/>
      <c r="AA24" s="84"/>
    </row>
    <row r="25" spans="2:27" ht="12.45" x14ac:dyDescent="0.3">
      <c r="B25" s="58">
        <f>MAX(B$15:B24)+1</f>
        <v>5</v>
      </c>
      <c r="D25" s="46" t="s">
        <v>119</v>
      </c>
      <c r="F25" s="44" t="s">
        <v>172</v>
      </c>
      <c r="H25" s="12">
        <v>451429</v>
      </c>
      <c r="I25" s="84"/>
      <c r="J25" s="64"/>
      <c r="K25" s="84"/>
      <c r="L25" s="77"/>
      <c r="M25" s="84"/>
      <c r="N25" s="64"/>
      <c r="O25" s="84"/>
      <c r="P25" s="12">
        <v>275.74339749549102</v>
      </c>
      <c r="Q25" s="84"/>
      <c r="R25" s="12">
        <f t="shared" si="2"/>
        <v>0</v>
      </c>
      <c r="S25" s="84"/>
      <c r="T25" s="64">
        <f>P25</f>
        <v>275.74339749549102</v>
      </c>
      <c r="U25" s="84"/>
      <c r="V25" s="77">
        <v>5.0999999999999997E-2</v>
      </c>
      <c r="W25" s="84"/>
      <c r="X25" s="14">
        <f t="shared" si="3"/>
        <v>1</v>
      </c>
      <c r="Y25" s="84"/>
      <c r="Z25" s="84"/>
      <c r="AA25" s="84"/>
    </row>
    <row r="26" spans="2:27" ht="12.45" x14ac:dyDescent="0.3">
      <c r="B26" s="58">
        <f>MAX(B$15:B25)+1</f>
        <v>6</v>
      </c>
      <c r="D26" s="45" t="s">
        <v>120</v>
      </c>
      <c r="F26" s="44" t="s">
        <v>172</v>
      </c>
      <c r="H26" s="12">
        <v>49500</v>
      </c>
      <c r="I26" s="84"/>
      <c r="J26" s="64"/>
      <c r="K26" s="84"/>
      <c r="L26" s="77"/>
      <c r="M26" s="84"/>
      <c r="N26" s="64"/>
      <c r="O26" s="84"/>
      <c r="P26" s="12">
        <v>1565.1397432370602</v>
      </c>
      <c r="Q26" s="84"/>
      <c r="R26" s="12">
        <f t="shared" si="2"/>
        <v>-212.99093951213604</v>
      </c>
      <c r="S26" s="84"/>
      <c r="T26" s="64">
        <f>V26*(H26)*12/1000</f>
        <v>1352.1488037249242</v>
      </c>
      <c r="U26" s="84"/>
      <c r="V26" s="77">
        <v>2.276344787415697</v>
      </c>
      <c r="W26" s="84"/>
      <c r="X26" s="14">
        <f t="shared" si="3"/>
        <v>0.86391570437562148</v>
      </c>
      <c r="Y26" s="84"/>
      <c r="Z26" s="84"/>
      <c r="AA26" s="84"/>
    </row>
    <row r="27" spans="2:27" ht="12.45" x14ac:dyDescent="0.3">
      <c r="B27" s="58">
        <f>MAX(B$15:B26)+1</f>
        <v>7</v>
      </c>
      <c r="D27" s="46" t="s">
        <v>119</v>
      </c>
      <c r="F27" s="44" t="s">
        <v>172</v>
      </c>
      <c r="H27" s="12">
        <v>49500</v>
      </c>
      <c r="I27" s="84"/>
      <c r="J27" s="64"/>
      <c r="K27" s="84"/>
      <c r="L27" s="77"/>
      <c r="M27" s="84"/>
      <c r="N27" s="64"/>
      <c r="O27" s="84"/>
      <c r="P27" s="12">
        <v>30.235758393959635</v>
      </c>
      <c r="Q27" s="84"/>
      <c r="R27" s="12">
        <f t="shared" si="2"/>
        <v>0</v>
      </c>
      <c r="S27" s="84"/>
      <c r="T27" s="64">
        <f>P27</f>
        <v>30.235758393959635</v>
      </c>
      <c r="U27" s="84"/>
      <c r="V27" s="77">
        <v>5.0999999999999997E-2</v>
      </c>
      <c r="W27" s="84"/>
      <c r="X27" s="14">
        <f t="shared" si="3"/>
        <v>1</v>
      </c>
      <c r="Y27" s="84"/>
      <c r="Z27" s="84"/>
      <c r="AA27" s="84"/>
    </row>
    <row r="28" spans="2:27" ht="12.45" x14ac:dyDescent="0.3">
      <c r="B28" s="58">
        <f>MAX(B$15:B27)+1</f>
        <v>8</v>
      </c>
      <c r="D28" s="45" t="s">
        <v>121</v>
      </c>
      <c r="F28" s="44" t="s">
        <v>172</v>
      </c>
      <c r="H28" s="12">
        <v>383738.83333333331</v>
      </c>
      <c r="I28" s="84"/>
      <c r="J28" s="64"/>
      <c r="K28" s="84"/>
      <c r="L28" s="77"/>
      <c r="M28" s="84"/>
      <c r="N28" s="64"/>
      <c r="O28" s="84"/>
      <c r="P28" s="12">
        <v>7025.6860181488182</v>
      </c>
      <c r="Q28" s="84"/>
      <c r="R28" s="12">
        <f t="shared" si="2"/>
        <v>-835.70366882387589</v>
      </c>
      <c r="S28" s="84"/>
      <c r="T28" s="64">
        <f>V28*H28*12/1000</f>
        <v>6189.9823493249423</v>
      </c>
      <c r="U28" s="84"/>
      <c r="V28" s="77">
        <v>1.3442263790792051</v>
      </c>
      <c r="W28" s="84"/>
      <c r="X28" s="14">
        <f t="shared" si="3"/>
        <v>0.88105023955453199</v>
      </c>
      <c r="Y28" s="84"/>
      <c r="Z28" s="84"/>
      <c r="AA28" s="84"/>
    </row>
    <row r="29" spans="2:27" ht="12.45" x14ac:dyDescent="0.3">
      <c r="B29" s="58">
        <f>MAX(B$15:B28)+1</f>
        <v>9</v>
      </c>
      <c r="D29" s="45" t="s">
        <v>122</v>
      </c>
      <c r="F29" s="44" t="s">
        <v>172</v>
      </c>
      <c r="H29" s="12">
        <v>8863</v>
      </c>
      <c r="I29" s="84"/>
      <c r="J29" s="64"/>
      <c r="K29" s="84"/>
      <c r="L29" s="77"/>
      <c r="M29" s="84"/>
      <c r="N29" s="64"/>
      <c r="O29" s="84"/>
      <c r="P29" s="12">
        <v>215.24235310633068</v>
      </c>
      <c r="Q29" s="84"/>
      <c r="R29" s="12">
        <f>T29-P29</f>
        <v>0</v>
      </c>
      <c r="S29" s="84"/>
      <c r="T29" s="64">
        <f>V29*H29*12/1000</f>
        <v>215.24235310633065</v>
      </c>
      <c r="U29" s="84"/>
      <c r="V29" s="77">
        <v>2.0237913526865494</v>
      </c>
      <c r="W29" s="84"/>
      <c r="X29" s="14">
        <f>IFERROR(T29/P29,"")</f>
        <v>0.99999999999999989</v>
      </c>
      <c r="Y29" s="84"/>
      <c r="Z29" s="84"/>
      <c r="AA29" s="84"/>
    </row>
    <row r="30" spans="2:27" ht="12.45" x14ac:dyDescent="0.3"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</row>
    <row r="31" spans="2:27" ht="12.45" x14ac:dyDescent="0.3">
      <c r="B31" s="58"/>
      <c r="D31" s="47" t="s">
        <v>123</v>
      </c>
      <c r="F31" s="44"/>
      <c r="H31" s="12"/>
      <c r="I31" s="84"/>
      <c r="J31" s="64"/>
      <c r="K31" s="84"/>
      <c r="L31" s="77"/>
      <c r="M31" s="84"/>
      <c r="N31" s="84"/>
      <c r="O31" s="84"/>
      <c r="P31" s="12"/>
      <c r="Q31" s="84"/>
      <c r="R31" s="84"/>
      <c r="S31" s="84"/>
      <c r="T31" s="64"/>
      <c r="U31" s="84"/>
      <c r="V31" s="77"/>
      <c r="W31" s="84"/>
      <c r="X31" s="84"/>
      <c r="Y31" s="84"/>
      <c r="Z31" s="84"/>
      <c r="AA31" s="84"/>
    </row>
    <row r="32" spans="2:27" ht="12.45" x14ac:dyDescent="0.3">
      <c r="B32" s="58">
        <f>MAX(B$15:B31)+1</f>
        <v>10</v>
      </c>
      <c r="D32" s="45" t="s">
        <v>124</v>
      </c>
      <c r="F32" s="44" t="s">
        <v>172</v>
      </c>
      <c r="H32" s="12">
        <v>1047191</v>
      </c>
      <c r="I32" s="84"/>
      <c r="J32" s="64"/>
      <c r="K32" s="84"/>
      <c r="L32" s="77"/>
      <c r="M32" s="84"/>
      <c r="N32" s="64"/>
      <c r="O32" s="84"/>
      <c r="P32" s="12">
        <v>0</v>
      </c>
      <c r="Q32" s="84"/>
      <c r="R32" s="12">
        <f>T32-P32</f>
        <v>11249.262717148933</v>
      </c>
      <c r="S32" s="84"/>
      <c r="T32" s="64">
        <f>V32*H32*12/1000</f>
        <v>11249.262717148933</v>
      </c>
      <c r="U32" s="84"/>
      <c r="V32" s="77">
        <v>0.89519348405630983</v>
      </c>
      <c r="W32" s="84"/>
      <c r="X32" s="14" t="str">
        <f>IFERROR(T32/P32,"")</f>
        <v/>
      </c>
      <c r="Y32" s="84"/>
      <c r="Z32" s="84"/>
      <c r="AA32" s="84"/>
    </row>
    <row r="33" spans="2:27" ht="12.45" x14ac:dyDescent="0.3">
      <c r="B33" s="58">
        <f>MAX(B$15:B32)+1</f>
        <v>11</v>
      </c>
      <c r="D33" s="45" t="s">
        <v>125</v>
      </c>
      <c r="F33" s="44" t="s">
        <v>172</v>
      </c>
      <c r="H33" s="12">
        <v>63329</v>
      </c>
      <c r="I33" s="84"/>
      <c r="J33" s="64"/>
      <c r="K33" s="84"/>
      <c r="L33" s="77"/>
      <c r="M33" s="84"/>
      <c r="N33" s="64"/>
      <c r="O33" s="84"/>
      <c r="P33" s="12">
        <v>0</v>
      </c>
      <c r="Q33" s="84"/>
      <c r="R33" s="12">
        <f>T33-P33</f>
        <v>973.92754953863505</v>
      </c>
      <c r="S33" s="84"/>
      <c r="T33" s="64">
        <f>V33*H33*12/1000</f>
        <v>973.92754953863505</v>
      </c>
      <c r="U33" s="84"/>
      <c r="V33" s="77">
        <v>1.2815713042716541</v>
      </c>
      <c r="W33" s="84"/>
      <c r="X33" s="14" t="str">
        <f>IFERROR(T33/P33,"")</f>
        <v/>
      </c>
      <c r="Y33" s="84"/>
      <c r="Z33" s="84"/>
      <c r="AA33" s="84"/>
    </row>
    <row r="34" spans="2:27" ht="12.45" x14ac:dyDescent="0.3"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</row>
    <row r="35" spans="2:27" ht="12.45" x14ac:dyDescent="0.3">
      <c r="B35" s="58">
        <f>MAX(B$15:B33)+1</f>
        <v>12</v>
      </c>
      <c r="D35" s="47" t="s">
        <v>126</v>
      </c>
      <c r="F35" s="44" t="s">
        <v>172</v>
      </c>
      <c r="H35" s="12">
        <v>54513</v>
      </c>
      <c r="I35" s="84"/>
      <c r="J35" s="64"/>
      <c r="K35" s="84"/>
      <c r="L35" s="77"/>
      <c r="M35" s="84"/>
      <c r="N35" s="64"/>
      <c r="O35" s="84"/>
      <c r="P35" s="12">
        <v>2470.9084846138221</v>
      </c>
      <c r="Q35" s="84"/>
      <c r="R35" s="12">
        <f>T35-P35</f>
        <v>252.11379310315624</v>
      </c>
      <c r="S35" s="84"/>
      <c r="T35" s="64">
        <f>V35*H35*12/1000</f>
        <v>2723.0222777169784</v>
      </c>
      <c r="U35" s="84"/>
      <c r="V35" s="77">
        <v>4.1626497008618406</v>
      </c>
      <c r="W35" s="84"/>
      <c r="X35" s="14">
        <f t="shared" ref="X35" si="4">IFERROR(T35/P35,"")</f>
        <v>1.1020328331352827</v>
      </c>
      <c r="Y35" s="84"/>
      <c r="Z35" s="84"/>
      <c r="AA35" s="84"/>
    </row>
    <row r="36" spans="2:27" ht="12.45" x14ac:dyDescent="0.3"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</row>
    <row r="37" spans="2:27" ht="12.45" x14ac:dyDescent="0.3">
      <c r="B37" s="58"/>
      <c r="D37" s="47" t="s">
        <v>127</v>
      </c>
      <c r="H37" s="12"/>
      <c r="I37" s="84"/>
      <c r="J37" s="64"/>
      <c r="K37" s="84"/>
      <c r="L37" s="77"/>
      <c r="M37" s="84"/>
      <c r="N37" s="84"/>
      <c r="O37" s="84"/>
      <c r="P37" s="12"/>
      <c r="Q37" s="84"/>
      <c r="R37" s="84"/>
      <c r="S37" s="84"/>
      <c r="T37" s="64"/>
      <c r="U37" s="84"/>
      <c r="V37" s="77"/>
      <c r="W37" s="84"/>
      <c r="X37" s="84"/>
      <c r="Y37" s="84"/>
      <c r="Z37" s="84"/>
      <c r="AA37" s="84"/>
    </row>
    <row r="38" spans="2:27" ht="12.45" x14ac:dyDescent="0.3">
      <c r="B38" s="58">
        <f>MAX(B$15:B37)+1</f>
        <v>13</v>
      </c>
      <c r="D38" s="45" t="s">
        <v>128</v>
      </c>
      <c r="F38" s="44" t="s">
        <v>172</v>
      </c>
      <c r="H38" s="12">
        <v>36927</v>
      </c>
      <c r="I38" s="84"/>
      <c r="J38" s="64"/>
      <c r="K38" s="84"/>
      <c r="L38" s="77"/>
      <c r="M38" s="84"/>
      <c r="N38" s="64"/>
      <c r="O38" s="84"/>
      <c r="P38" s="12">
        <v>0</v>
      </c>
      <c r="Q38" s="84"/>
      <c r="R38" s="12">
        <f t="shared" ref="R38:R45" si="5">T38-P38</f>
        <v>509.07614870037958</v>
      </c>
      <c r="S38" s="84"/>
      <c r="T38" s="64">
        <f>V38*H38*12/1000</f>
        <v>509.07614870037958</v>
      </c>
      <c r="U38" s="84"/>
      <c r="V38" s="77">
        <v>1.1488345219405394</v>
      </c>
      <c r="W38" s="84"/>
      <c r="X38" s="14" t="str">
        <f>IFERROR(T38/P38,"")</f>
        <v/>
      </c>
      <c r="Y38" s="84"/>
      <c r="Z38" s="84"/>
      <c r="AA38" s="84"/>
    </row>
    <row r="39" spans="2:27" ht="12.45" x14ac:dyDescent="0.3">
      <c r="B39" s="58">
        <f>MAX(B$15:B38)+1</f>
        <v>14</v>
      </c>
      <c r="D39" s="45" t="s">
        <v>129</v>
      </c>
      <c r="F39" s="44" t="s">
        <v>172</v>
      </c>
      <c r="H39" s="12">
        <v>0</v>
      </c>
      <c r="I39" s="84"/>
      <c r="J39" s="64"/>
      <c r="K39" s="84"/>
      <c r="L39" s="77"/>
      <c r="M39" s="84"/>
      <c r="N39" s="64"/>
      <c r="O39" s="84"/>
      <c r="P39" s="12">
        <v>0</v>
      </c>
      <c r="Q39" s="84"/>
      <c r="R39" s="12">
        <f t="shared" si="5"/>
        <v>0</v>
      </c>
      <c r="S39" s="84"/>
      <c r="T39" s="64">
        <f>V39*H39*12/1000</f>
        <v>0</v>
      </c>
      <c r="U39" s="84"/>
      <c r="V39" s="77">
        <v>4.193246005082969</v>
      </c>
      <c r="W39" s="84"/>
      <c r="X39" s="14" t="str">
        <f>IFERROR(T39/P39,"")</f>
        <v/>
      </c>
      <c r="Y39" s="84"/>
      <c r="Z39" s="84"/>
      <c r="AA39" s="84"/>
    </row>
    <row r="40" spans="2:27" ht="12.45" x14ac:dyDescent="0.3">
      <c r="B40" s="58">
        <f>MAX(B$15:B39)+1</f>
        <v>15</v>
      </c>
      <c r="D40" s="86" t="s">
        <v>130</v>
      </c>
      <c r="F40" s="44" t="s">
        <v>172</v>
      </c>
      <c r="H40" s="12">
        <v>1210000</v>
      </c>
      <c r="I40" s="84"/>
      <c r="J40" s="64"/>
      <c r="K40" s="84"/>
      <c r="L40" s="77"/>
      <c r="M40" s="84"/>
      <c r="N40" s="84"/>
      <c r="O40" s="84"/>
      <c r="P40" s="12">
        <v>18379.517237415243</v>
      </c>
      <c r="Q40" s="84"/>
      <c r="R40" s="12">
        <f t="shared" si="5"/>
        <v>0</v>
      </c>
      <c r="S40" s="84"/>
      <c r="T40" s="64">
        <f>V40*H40*12/1000</f>
        <v>18379.517237415243</v>
      </c>
      <c r="U40" s="84"/>
      <c r="V40" s="77">
        <v>1.265806972273777</v>
      </c>
      <c r="W40" s="84"/>
      <c r="X40" s="14">
        <f t="shared" ref="X40:X45" si="6">IFERROR(T40/P40,"")</f>
        <v>1</v>
      </c>
      <c r="Y40" s="84"/>
      <c r="Z40" s="84"/>
      <c r="AA40" s="84"/>
    </row>
    <row r="41" spans="2:27" ht="12.45" x14ac:dyDescent="0.3">
      <c r="B41" s="58">
        <f>MAX(B$15:B40)+1</f>
        <v>16</v>
      </c>
      <c r="D41" s="45" t="s">
        <v>131</v>
      </c>
      <c r="F41" s="44" t="s">
        <v>172</v>
      </c>
      <c r="H41" s="12">
        <v>203626</v>
      </c>
      <c r="I41" s="84"/>
      <c r="J41" s="64"/>
      <c r="K41" s="84"/>
      <c r="L41" s="77"/>
      <c r="M41" s="84"/>
      <c r="N41" s="64"/>
      <c r="O41" s="84"/>
      <c r="P41" s="12">
        <v>0</v>
      </c>
      <c r="Q41" s="84"/>
      <c r="R41" s="12">
        <f t="shared" si="5"/>
        <v>34.003754328717498</v>
      </c>
      <c r="S41" s="84"/>
      <c r="T41" s="64">
        <f>V41*H41*12/1000</f>
        <v>34.003754328717498</v>
      </c>
      <c r="U41" s="84"/>
      <c r="V41" s="77">
        <v>1.3915935067524735E-2</v>
      </c>
      <c r="W41" s="84"/>
      <c r="X41" s="14" t="str">
        <f>IFERROR(T41/P41,"")</f>
        <v/>
      </c>
      <c r="Y41" s="84"/>
      <c r="Z41" s="84"/>
      <c r="AA41" s="84"/>
    </row>
    <row r="42" spans="2:27" ht="12.45" x14ac:dyDescent="0.3">
      <c r="B42" s="58">
        <f>MAX(B$15:B41)+1</f>
        <v>17</v>
      </c>
      <c r="D42" s="46" t="s">
        <v>119</v>
      </c>
      <c r="F42" s="44" t="s">
        <v>172</v>
      </c>
      <c r="H42" s="12">
        <v>110781</v>
      </c>
      <c r="I42" s="84"/>
      <c r="J42" s="64"/>
      <c r="K42" s="84"/>
      <c r="L42" s="77"/>
      <c r="M42" s="84"/>
      <c r="N42" s="64"/>
      <c r="O42" s="84"/>
      <c r="P42" s="12">
        <v>67.667627285681675</v>
      </c>
      <c r="Q42" s="84"/>
      <c r="R42" s="12">
        <f t="shared" si="5"/>
        <v>0</v>
      </c>
      <c r="S42" s="84"/>
      <c r="T42" s="64">
        <f>P42</f>
        <v>67.667627285681675</v>
      </c>
      <c r="U42" s="84"/>
      <c r="V42" s="77">
        <v>5.0999999999999997E-2</v>
      </c>
      <c r="W42" s="84"/>
      <c r="X42" s="14">
        <f t="shared" si="6"/>
        <v>1</v>
      </c>
      <c r="Y42" s="84"/>
      <c r="Z42" s="84"/>
      <c r="AA42" s="84"/>
    </row>
    <row r="43" spans="2:27" ht="12.45" x14ac:dyDescent="0.3">
      <c r="B43" s="58">
        <f>MAX(B$15:B42)+1</f>
        <v>18</v>
      </c>
      <c r="D43" s="45" t="s">
        <v>132</v>
      </c>
      <c r="F43" s="44" t="s">
        <v>172</v>
      </c>
      <c r="H43" s="12">
        <v>500000</v>
      </c>
      <c r="I43" s="84"/>
      <c r="J43" s="64"/>
      <c r="K43" s="84"/>
      <c r="L43" s="77"/>
      <c r="M43" s="84"/>
      <c r="N43" s="64"/>
      <c r="O43" s="84"/>
      <c r="P43" s="12">
        <v>0</v>
      </c>
      <c r="Q43" s="84"/>
      <c r="R43" s="12">
        <v>141.15476268023593</v>
      </c>
      <c r="S43" s="84"/>
      <c r="T43" s="64">
        <v>141.15476268023593</v>
      </c>
      <c r="U43" s="84"/>
      <c r="V43" s="77">
        <v>2.0873902601287103E-2</v>
      </c>
      <c r="W43" s="84"/>
      <c r="X43" s="14" t="str">
        <f>IFERROR(T43/P43,"")</f>
        <v/>
      </c>
      <c r="Y43" s="84"/>
      <c r="Z43" s="84"/>
      <c r="AA43" s="84"/>
    </row>
    <row r="44" spans="2:27" ht="12.45" x14ac:dyDescent="0.3">
      <c r="B44" s="58">
        <f>MAX(B$15:B43)+1</f>
        <v>19</v>
      </c>
      <c r="D44" s="45" t="s">
        <v>133</v>
      </c>
      <c r="F44" s="44" t="s">
        <v>71</v>
      </c>
      <c r="H44" s="12">
        <v>45665000</v>
      </c>
      <c r="I44" s="84"/>
      <c r="J44" s="12"/>
      <c r="K44" s="84"/>
      <c r="L44" s="77"/>
      <c r="M44" s="84"/>
      <c r="N44" s="64"/>
      <c r="O44" s="84"/>
      <c r="P44" s="12">
        <v>16.867807185072675</v>
      </c>
      <c r="Q44" s="84"/>
      <c r="R44" s="12">
        <f t="shared" si="5"/>
        <v>12796.834495314806</v>
      </c>
      <c r="S44" s="84"/>
      <c r="T44" s="12">
        <v>12813.702302499878</v>
      </c>
      <c r="U44" s="84"/>
      <c r="V44" s="77">
        <v>0</v>
      </c>
      <c r="W44" s="84"/>
      <c r="X44" s="14">
        <f t="shared" si="6"/>
        <v>759.65430253669751</v>
      </c>
      <c r="Y44" s="84"/>
      <c r="Z44" s="84"/>
      <c r="AA44" s="84"/>
    </row>
    <row r="45" spans="2:27" ht="12.45" x14ac:dyDescent="0.3">
      <c r="B45" s="58">
        <f>MAX(B$15:B44)+1</f>
        <v>20</v>
      </c>
      <c r="D45" s="86" t="s">
        <v>134</v>
      </c>
      <c r="F45" s="44" t="s">
        <v>172</v>
      </c>
      <c r="H45" s="12">
        <v>91095.48</v>
      </c>
      <c r="I45" s="84"/>
      <c r="J45" s="64"/>
      <c r="K45" s="84"/>
      <c r="L45" s="77"/>
      <c r="M45" s="84"/>
      <c r="N45" s="64"/>
      <c r="O45" s="84"/>
      <c r="P45" s="12">
        <v>0</v>
      </c>
      <c r="Q45" s="84"/>
      <c r="R45" s="12">
        <f t="shared" si="5"/>
        <v>179.27590463999999</v>
      </c>
      <c r="S45" s="84"/>
      <c r="T45" s="64">
        <v>179.27590463999999</v>
      </c>
      <c r="U45" s="84"/>
      <c r="V45" s="77">
        <v>0.16400000000000001</v>
      </c>
      <c r="W45" s="84"/>
      <c r="X45" s="14" t="str">
        <f t="shared" si="6"/>
        <v/>
      </c>
      <c r="Y45" s="84"/>
      <c r="Z45" s="84"/>
      <c r="AA45" s="84"/>
    </row>
    <row r="46" spans="2:27" ht="12.45" x14ac:dyDescent="0.3"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</row>
    <row r="47" spans="2:27" ht="12.9" thickBot="1" x14ac:dyDescent="0.35">
      <c r="B47" s="58">
        <f>MAX(B$15:B46)+1</f>
        <v>21</v>
      </c>
      <c r="D47" s="51" t="str">
        <f>"Total " &amp;LEFT(D22,6)</f>
        <v>Total Demand</v>
      </c>
      <c r="H47" s="67">
        <f>SUM(H24:H45)</f>
        <v>51793354.313333333</v>
      </c>
      <c r="I47" s="63"/>
      <c r="J47" s="67">
        <v>142270.45494913991</v>
      </c>
      <c r="K47" s="64"/>
      <c r="L47" s="19">
        <f>J47/$H47*100</f>
        <v>0.27468862914042769</v>
      </c>
      <c r="M47" s="64"/>
      <c r="N47" s="67">
        <f>J47-P47</f>
        <v>27558.988631860557</v>
      </c>
      <c r="O47" s="13"/>
      <c r="P47" s="67">
        <f>SUM(P24:P45)</f>
        <v>114711.46631727935</v>
      </c>
      <c r="Q47" s="13"/>
      <c r="R47" s="67">
        <f>SUM(R24:R45)</f>
        <v>13660.345065664136</v>
      </c>
      <c r="S47" s="64"/>
      <c r="T47" s="67">
        <f>SUM(T24:T45)</f>
        <v>128371.81138294349</v>
      </c>
      <c r="U47" s="64"/>
      <c r="V47" s="19">
        <f>T47/$H47*100</f>
        <v>0.24785382813079615</v>
      </c>
      <c r="W47" s="64"/>
      <c r="X47" s="68">
        <f t="shared" ref="X47" si="7">T47/P47</f>
        <v>1.1190843906386927</v>
      </c>
      <c r="Y47" s="15"/>
      <c r="Z47" s="71">
        <f t="shared" ref="Z47" si="8">V47/L47-1</f>
        <v>-9.769170676487271E-2</v>
      </c>
      <c r="AA47" s="15"/>
    </row>
    <row r="48" spans="2:27" ht="12.9" thickTop="1" x14ac:dyDescent="0.3"/>
    <row r="49" spans="2:27" ht="12.45" x14ac:dyDescent="0.3">
      <c r="B49" s="58"/>
      <c r="D49" s="51" t="s">
        <v>135</v>
      </c>
      <c r="H49" s="11"/>
    </row>
    <row r="50" spans="2:27" ht="12.45" x14ac:dyDescent="0.3">
      <c r="B50" s="58">
        <f>MAX(B$15:B49)+1</f>
        <v>22</v>
      </c>
      <c r="D50" s="36" t="s">
        <v>136</v>
      </c>
      <c r="F50" s="44" t="s">
        <v>71</v>
      </c>
      <c r="H50" s="12">
        <v>402163120.17195404</v>
      </c>
      <c r="I50" s="84"/>
      <c r="J50" s="12"/>
      <c r="K50" s="84"/>
      <c r="L50" s="77"/>
      <c r="M50" s="84"/>
      <c r="N50" s="64"/>
      <c r="O50" s="84"/>
      <c r="P50" s="12">
        <v>14280.266419524896</v>
      </c>
      <c r="Q50" s="84"/>
      <c r="R50" s="12">
        <f>T50-P50</f>
        <v>-9.2635454893752467E-3</v>
      </c>
      <c r="S50" s="84"/>
      <c r="T50" s="12">
        <v>14280.257155979407</v>
      </c>
      <c r="U50" s="84"/>
      <c r="V50" s="77">
        <v>0</v>
      </c>
      <c r="W50" s="84"/>
      <c r="X50" s="14">
        <f>IFERROR(T50/P50,"")</f>
        <v>0.99999935130443529</v>
      </c>
      <c r="Y50" s="84"/>
      <c r="Z50" s="84"/>
      <c r="AA50" s="84"/>
    </row>
    <row r="51" spans="2:27" ht="12.45" x14ac:dyDescent="0.3">
      <c r="B51" s="58">
        <f>MAX(B$15:B50)+1</f>
        <v>23</v>
      </c>
      <c r="D51" s="36" t="s">
        <v>137</v>
      </c>
      <c r="F51" s="44" t="s">
        <v>71</v>
      </c>
      <c r="H51" s="12">
        <v>222367415.58668202</v>
      </c>
      <c r="I51" s="84"/>
      <c r="J51" s="12"/>
      <c r="K51" s="84"/>
      <c r="L51" s="77"/>
      <c r="M51" s="84"/>
      <c r="N51" s="64"/>
      <c r="O51" s="84"/>
      <c r="P51" s="12">
        <v>3993.2055152894104</v>
      </c>
      <c r="Q51" s="84"/>
      <c r="R51" s="12">
        <f>T51-P51</f>
        <v>-1.6181858412892325E-2</v>
      </c>
      <c r="S51" s="84"/>
      <c r="T51" s="12">
        <v>3993.1893334309975</v>
      </c>
      <c r="U51" s="84"/>
      <c r="V51" s="77">
        <v>0</v>
      </c>
      <c r="W51" s="84"/>
      <c r="X51" s="14">
        <f>IFERROR(T51/P51,"")</f>
        <v>0.99999594765199262</v>
      </c>
      <c r="Y51" s="84"/>
      <c r="Z51" s="84"/>
      <c r="AA51" s="84"/>
    </row>
    <row r="52" spans="2:27" ht="12.45" x14ac:dyDescent="0.3"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</row>
    <row r="53" spans="2:27" ht="12.45" x14ac:dyDescent="0.3">
      <c r="B53" s="58">
        <f>MAX(B$15:B52)+1</f>
        <v>24</v>
      </c>
      <c r="D53" s="36" t="s">
        <v>138</v>
      </c>
      <c r="F53" s="44" t="s">
        <v>71</v>
      </c>
      <c r="H53" s="12"/>
      <c r="I53" s="84"/>
      <c r="J53" s="12"/>
      <c r="K53" s="84"/>
      <c r="L53" s="77"/>
      <c r="M53" s="84"/>
      <c r="N53" s="64"/>
      <c r="O53" s="84"/>
      <c r="P53" s="12">
        <v>2015.5593671640891</v>
      </c>
      <c r="Q53" s="84"/>
      <c r="R53" s="12">
        <f>T53-P53</f>
        <v>-2.9789099737627112E-3</v>
      </c>
      <c r="S53" s="84"/>
      <c r="T53" s="12">
        <v>2015.5563882541153</v>
      </c>
      <c r="U53" s="84"/>
      <c r="V53" s="77">
        <v>0</v>
      </c>
      <c r="W53" s="84"/>
      <c r="X53" s="14">
        <f>IFERROR(T53/P53,"")</f>
        <v>0.99999852204305051</v>
      </c>
      <c r="Y53" s="84"/>
      <c r="Z53" s="84"/>
      <c r="AA53" s="84"/>
    </row>
    <row r="54" spans="2:27" ht="12.45" x14ac:dyDescent="0.3">
      <c r="B54" s="58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</row>
    <row r="55" spans="2:27" ht="12.45" x14ac:dyDescent="0.3">
      <c r="B55" s="58">
        <f>MAX(B$15:B54)+1</f>
        <v>25</v>
      </c>
      <c r="D55" s="51" t="str">
        <f>"Total " &amp;D49</f>
        <v>Total Commodity</v>
      </c>
      <c r="H55" s="67">
        <f>SUM(H50:H53)</f>
        <v>624530535.758636</v>
      </c>
      <c r="I55" s="63"/>
      <c r="J55" s="67">
        <v>16203.307197464526</v>
      </c>
      <c r="K55" s="64"/>
      <c r="L55" s="19">
        <f>J55/$H55*100</f>
        <v>2.5944779750091615E-3</v>
      </c>
      <c r="M55" s="64"/>
      <c r="N55" s="67">
        <f>J55-P55</f>
        <v>-4085.7241045138708</v>
      </c>
      <c r="O55" s="13"/>
      <c r="P55" s="67">
        <f>SUM(P50:P53)</f>
        <v>20289.031301978397</v>
      </c>
      <c r="Q55" s="13"/>
      <c r="R55" s="67">
        <f>SUM(R50:R53)</f>
        <v>-2.8424313876030283E-2</v>
      </c>
      <c r="S55" s="64"/>
      <c r="T55" s="67">
        <f>SUM(T50:T53)</f>
        <v>20289.002877664519</v>
      </c>
      <c r="U55" s="64"/>
      <c r="V55" s="19">
        <f>T55/$H55*100</f>
        <v>3.2486806834863338E-3</v>
      </c>
      <c r="W55" s="64"/>
      <c r="X55" s="68">
        <f t="shared" ref="X55" si="9">T55/P55</f>
        <v>0.99999859903050792</v>
      </c>
      <c r="Y55" s="15"/>
      <c r="Z55" s="48">
        <f t="shared" ref="Z55" si="10">V55/L55-1</f>
        <v>0.25215196073301116</v>
      </c>
      <c r="AA55" s="15"/>
    </row>
    <row r="56" spans="2:27" ht="12.45" x14ac:dyDescent="0.3"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</row>
    <row r="57" spans="2:27" ht="12.9" thickBot="1" x14ac:dyDescent="0.35">
      <c r="B57" s="58">
        <f>MAX(B$15:B56)+1</f>
        <v>26</v>
      </c>
      <c r="D57" s="51" t="str">
        <f>"Total " &amp;D21</f>
        <v>Total Rate E70</v>
      </c>
      <c r="H57" s="69">
        <f>H47+H55</f>
        <v>676323890.07196927</v>
      </c>
      <c r="I57" s="63"/>
      <c r="J57" s="69">
        <f>J47+J55</f>
        <v>158473.76214660442</v>
      </c>
      <c r="K57" s="64"/>
      <c r="L57" s="24">
        <f>J57/$H57*100</f>
        <v>2.343163748507255E-2</v>
      </c>
      <c r="M57" s="64"/>
      <c r="N57" s="69">
        <f>J57-P57</f>
        <v>23473.264527346677</v>
      </c>
      <c r="O57" s="13"/>
      <c r="P57" s="69">
        <f>P47+P55</f>
        <v>135000.49761925775</v>
      </c>
      <c r="Q57" s="13"/>
      <c r="R57" s="69">
        <f>R47+R55</f>
        <v>13660.31664135026</v>
      </c>
      <c r="S57" s="64"/>
      <c r="T57" s="69">
        <f>T47+T55</f>
        <v>148660.81426060799</v>
      </c>
      <c r="U57" s="64"/>
      <c r="V57" s="24">
        <f>T57/$H57*100</f>
        <v>2.1980713152804442E-2</v>
      </c>
      <c r="W57" s="64"/>
      <c r="X57" s="70">
        <f t="shared" ref="X57" si="11">T57/P57</f>
        <v>1.1011871576938663</v>
      </c>
      <c r="Y57" s="15"/>
      <c r="Z57" s="71">
        <f t="shared" ref="Z57" si="12">V57/L57-1</f>
        <v>-6.1921593537474284E-2</v>
      </c>
      <c r="AA57" s="15"/>
    </row>
    <row r="58" spans="2:27" ht="12.9" thickTop="1" x14ac:dyDescent="0.3"/>
    <row r="59" spans="2:27" ht="12.45" x14ac:dyDescent="0.3"/>
    <row r="60" spans="2:27" ht="12.45" x14ac:dyDescent="0.3"/>
    <row r="61" spans="2:27" ht="12.45" x14ac:dyDescent="0.3"/>
    <row r="62" spans="2:27" ht="12.45" x14ac:dyDescent="0.3"/>
    <row r="63" spans="2:27" ht="12.45" x14ac:dyDescent="0.3"/>
    <row r="64" spans="2:27" ht="12.45" x14ac:dyDescent="0.3">
      <c r="B64" s="93" t="str">
        <f>+B6</f>
        <v>Derivation of Proposed Rates and Revenue by Rate Class - Two Rate Zones</v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42"/>
    </row>
    <row r="65" spans="2:27" ht="12.45" x14ac:dyDescent="0.3">
      <c r="B65" s="93" t="s">
        <v>108</v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42"/>
    </row>
    <row r="66" spans="2:27" ht="12.45" x14ac:dyDescent="0.3">
      <c r="B66" s="54"/>
      <c r="C66" s="54"/>
      <c r="D66" s="54"/>
      <c r="E66" s="54"/>
      <c r="F66" s="55"/>
      <c r="G66" s="54"/>
      <c r="H66" s="55"/>
      <c r="I66" s="54"/>
      <c r="J66" s="55"/>
      <c r="K66" s="55"/>
      <c r="L66" s="55"/>
      <c r="M66" s="55"/>
      <c r="N66" s="55"/>
      <c r="O66" s="54"/>
      <c r="P66" s="54"/>
      <c r="Q66" s="54"/>
      <c r="R66" s="54"/>
      <c r="S66" s="54"/>
      <c r="T66" s="54"/>
      <c r="U66" s="54"/>
      <c r="V66" s="54"/>
      <c r="W66" s="54"/>
      <c r="X66" s="3"/>
      <c r="Y66" s="2"/>
      <c r="Z66" s="3"/>
      <c r="AA66" s="2"/>
    </row>
    <row r="67" spans="2:27" ht="12.45" x14ac:dyDescent="0.3">
      <c r="B67" s="55"/>
      <c r="C67" s="55"/>
      <c r="D67" s="55"/>
      <c r="E67" s="55"/>
      <c r="F67" s="54"/>
      <c r="G67" s="55"/>
      <c r="H67" s="54"/>
      <c r="I67" s="55"/>
      <c r="J67" s="56" t="s">
        <v>2</v>
      </c>
      <c r="K67" s="56"/>
      <c r="L67" s="56"/>
      <c r="M67" s="55"/>
      <c r="N67" s="55"/>
      <c r="O67" s="55"/>
      <c r="P67" s="56" t="s">
        <v>139</v>
      </c>
      <c r="Q67" s="56"/>
      <c r="R67" s="56"/>
      <c r="S67" s="56"/>
      <c r="T67" s="56"/>
      <c r="U67" s="56"/>
      <c r="V67" s="56"/>
      <c r="W67" s="56"/>
      <c r="X67" s="4"/>
      <c r="Y67" s="4"/>
      <c r="Z67" s="4"/>
      <c r="AA67" s="4"/>
    </row>
    <row r="68" spans="2:27" ht="12.45" x14ac:dyDescent="0.3"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3"/>
      <c r="Y68" s="2"/>
      <c r="Z68" s="3"/>
      <c r="AA68" s="2"/>
    </row>
    <row r="69" spans="2:27" ht="37.299999999999997" x14ac:dyDescent="0.3">
      <c r="B69" s="57" t="s">
        <v>4</v>
      </c>
      <c r="C69" s="57"/>
      <c r="D69" s="57"/>
      <c r="E69" s="57"/>
      <c r="F69" s="58" t="s">
        <v>5</v>
      </c>
      <c r="G69" s="57"/>
      <c r="H69" s="5" t="s">
        <v>140</v>
      </c>
      <c r="I69" s="57"/>
      <c r="J69" s="5" t="s">
        <v>7</v>
      </c>
      <c r="K69" s="5"/>
      <c r="L69" s="5" t="s">
        <v>8</v>
      </c>
      <c r="M69" s="57"/>
      <c r="N69" s="5" t="s">
        <v>9</v>
      </c>
      <c r="O69" s="57"/>
      <c r="P69" s="57" t="s">
        <v>10</v>
      </c>
      <c r="Q69" s="57"/>
      <c r="R69" s="5" t="s">
        <v>9</v>
      </c>
      <c r="S69" s="57"/>
      <c r="T69" s="5" t="s">
        <v>7</v>
      </c>
      <c r="U69" s="57"/>
      <c r="V69" s="5" t="s">
        <v>8</v>
      </c>
      <c r="W69" s="57"/>
      <c r="X69" s="57" t="s">
        <v>12</v>
      </c>
      <c r="Y69" s="57"/>
      <c r="Z69" s="57" t="s">
        <v>13</v>
      </c>
      <c r="AA69" s="57"/>
    </row>
    <row r="70" spans="2:27" ht="12.45" x14ac:dyDescent="0.3">
      <c r="B70" s="59" t="s">
        <v>14</v>
      </c>
      <c r="C70" s="60"/>
      <c r="D70" s="61" t="s">
        <v>15</v>
      </c>
      <c r="E70" s="58"/>
      <c r="F70" s="59" t="s">
        <v>16</v>
      </c>
      <c r="G70" s="58"/>
      <c r="H70" s="59" t="s">
        <v>141</v>
      </c>
      <c r="I70" s="58"/>
      <c r="J70" s="59" t="s">
        <v>18</v>
      </c>
      <c r="K70" s="2"/>
      <c r="L70" s="59" t="s">
        <v>93</v>
      </c>
      <c r="M70" s="58"/>
      <c r="N70" s="59" t="s">
        <v>18</v>
      </c>
      <c r="O70" s="58"/>
      <c r="P70" s="59" t="s">
        <v>18</v>
      </c>
      <c r="Q70" s="58"/>
      <c r="R70" s="59" t="s">
        <v>18</v>
      </c>
      <c r="S70" s="58"/>
      <c r="T70" s="59" t="s">
        <v>18</v>
      </c>
      <c r="U70" s="58"/>
      <c r="V70" s="59" t="s">
        <v>93</v>
      </c>
      <c r="W70" s="58"/>
      <c r="X70" s="59" t="s">
        <v>20</v>
      </c>
      <c r="Y70" s="58"/>
      <c r="Z70" s="59" t="s">
        <v>21</v>
      </c>
      <c r="AA70" s="58"/>
    </row>
    <row r="71" spans="2:27" ht="12.45" x14ac:dyDescent="0.3">
      <c r="B71" s="58"/>
      <c r="C71" s="60"/>
      <c r="D71" s="60"/>
      <c r="E71" s="58"/>
      <c r="F71" s="58"/>
      <c r="G71" s="58"/>
      <c r="H71" s="58" t="s">
        <v>22</v>
      </c>
      <c r="I71" s="58"/>
      <c r="J71" s="58" t="s">
        <v>23</v>
      </c>
      <c r="K71" s="58"/>
      <c r="L71" s="58" t="s">
        <v>24</v>
      </c>
      <c r="M71" s="58"/>
      <c r="N71" s="58" t="s">
        <v>25</v>
      </c>
      <c r="O71" s="58"/>
      <c r="P71" s="58" t="s">
        <v>26</v>
      </c>
      <c r="Q71" s="58"/>
      <c r="R71" s="58" t="s">
        <v>110</v>
      </c>
      <c r="S71" s="58"/>
      <c r="T71" s="62" t="s">
        <v>28</v>
      </c>
      <c r="U71" s="58"/>
      <c r="V71" s="62" t="s">
        <v>29</v>
      </c>
      <c r="W71" s="58"/>
      <c r="X71" s="62" t="s">
        <v>111</v>
      </c>
      <c r="Y71" s="58"/>
      <c r="Z71" s="62" t="s">
        <v>31</v>
      </c>
      <c r="AA71" s="58"/>
    </row>
    <row r="72" spans="2:27" ht="12.45" x14ac:dyDescent="0.3"/>
    <row r="73" spans="2:27" ht="12.45" x14ac:dyDescent="0.3">
      <c r="D73" s="87" t="s">
        <v>142</v>
      </c>
      <c r="F73" s="44"/>
    </row>
    <row r="74" spans="2:27" ht="12.45" x14ac:dyDescent="0.3">
      <c r="B74" s="58">
        <f>MAX(B$15:B73)+1</f>
        <v>27</v>
      </c>
      <c r="D74" s="36" t="s">
        <v>113</v>
      </c>
      <c r="F74" s="44" t="s">
        <v>34</v>
      </c>
      <c r="H74" s="12">
        <v>24</v>
      </c>
      <c r="I74" s="84"/>
      <c r="J74" s="64"/>
      <c r="K74" s="84"/>
      <c r="L74" s="76"/>
      <c r="M74" s="84"/>
      <c r="N74" s="64"/>
      <c r="O74" s="84"/>
      <c r="P74" s="12">
        <v>0</v>
      </c>
      <c r="Q74" s="84"/>
      <c r="R74" s="12">
        <f>T74-P74</f>
        <v>40.065047932398556</v>
      </c>
      <c r="S74" s="84"/>
      <c r="T74" s="64">
        <f>V74*H74/1000</f>
        <v>40.065047932398556</v>
      </c>
      <c r="U74" s="84"/>
      <c r="V74" s="76">
        <v>1669.3769971832733</v>
      </c>
      <c r="W74" s="84"/>
      <c r="X74" s="14" t="str">
        <f>IFERROR(T74/P74,"")</f>
        <v/>
      </c>
      <c r="Y74" s="84"/>
      <c r="Z74" s="84"/>
      <c r="AA74" s="84"/>
    </row>
    <row r="75" spans="2:27" ht="12.45" x14ac:dyDescent="0.3">
      <c r="B75" s="58">
        <f>MAX(B$15:B74)+1</f>
        <v>28</v>
      </c>
      <c r="D75" s="36" t="s">
        <v>143</v>
      </c>
      <c r="F75" s="44" t="s">
        <v>71</v>
      </c>
      <c r="H75" s="12">
        <v>5198226.8965517245</v>
      </c>
      <c r="I75" s="84"/>
      <c r="J75" s="64"/>
      <c r="K75" s="84"/>
      <c r="L75" s="77"/>
      <c r="M75" s="84"/>
      <c r="N75" s="64"/>
      <c r="O75" s="84"/>
      <c r="P75" s="12">
        <v>0</v>
      </c>
      <c r="Q75" s="84"/>
      <c r="R75" s="12">
        <f>T75-P75</f>
        <v>214.62667683696006</v>
      </c>
      <c r="S75" s="84"/>
      <c r="T75" s="64">
        <f>V75*H75/1000</f>
        <v>214.62667683696006</v>
      </c>
      <c r="U75" s="84"/>
      <c r="V75" s="77">
        <v>4.1288439521432581E-2</v>
      </c>
      <c r="W75" s="84"/>
      <c r="X75" s="14" t="str">
        <f>IFERROR(T75/P75,"")</f>
        <v/>
      </c>
      <c r="Y75" s="84"/>
      <c r="Z75" s="84"/>
      <c r="AA75" s="84"/>
    </row>
    <row r="76" spans="2:27" ht="12.45" x14ac:dyDescent="0.3">
      <c r="B76" s="58">
        <f>MAX(B$15:B75)+1</f>
        <v>29</v>
      </c>
      <c r="D76" s="36" t="s">
        <v>144</v>
      </c>
      <c r="F76" s="44"/>
      <c r="H76" s="12"/>
      <c r="I76" s="84"/>
      <c r="J76" s="64"/>
      <c r="K76" s="84"/>
      <c r="L76" s="77"/>
      <c r="M76" s="84"/>
      <c r="N76" s="84"/>
      <c r="O76" s="84"/>
      <c r="P76" s="12"/>
      <c r="Q76" s="84"/>
      <c r="R76" s="84"/>
      <c r="S76" s="84"/>
      <c r="T76" s="64"/>
      <c r="U76" s="84"/>
      <c r="V76" s="77"/>
      <c r="W76" s="84"/>
      <c r="X76" s="84"/>
      <c r="Y76" s="84"/>
      <c r="Z76" s="84"/>
      <c r="AA76" s="84"/>
    </row>
    <row r="77" spans="2:27" ht="12.45" x14ac:dyDescent="0.3">
      <c r="B77" s="58">
        <f>MAX(B$15:B76)+1</f>
        <v>30</v>
      </c>
      <c r="D77" s="36" t="s">
        <v>145</v>
      </c>
      <c r="F77" s="44" t="s">
        <v>146</v>
      </c>
      <c r="H77" s="12">
        <v>7333.333333333333</v>
      </c>
      <c r="I77" s="84"/>
      <c r="J77" s="64"/>
      <c r="K77" s="84"/>
      <c r="L77" s="77"/>
      <c r="M77" s="84"/>
      <c r="N77" s="64"/>
      <c r="O77" s="84"/>
      <c r="P77" s="12">
        <v>4.0222614449731964</v>
      </c>
      <c r="Q77" s="84"/>
      <c r="R77" s="12">
        <f t="shared" ref="R77:R85" si="13">T77-P77</f>
        <v>97.075176485794273</v>
      </c>
      <c r="S77" s="84"/>
      <c r="T77" s="64">
        <f>V77*H77*12/1000</f>
        <v>101.09743793076747</v>
      </c>
      <c r="U77" s="84"/>
      <c r="V77" s="77">
        <v>1.1488345219405394</v>
      </c>
      <c r="W77" s="84"/>
      <c r="X77" s="14">
        <f>IFERROR(T77/P77,"")</f>
        <v>25.134477038312255</v>
      </c>
      <c r="Y77" s="84"/>
      <c r="Z77" s="84"/>
      <c r="AA77" s="84"/>
    </row>
    <row r="78" spans="2:27" ht="12.45" x14ac:dyDescent="0.3">
      <c r="B78" s="58">
        <f>MAX(B$15:B77)+1</f>
        <v>31</v>
      </c>
      <c r="D78" s="36" t="s">
        <v>147</v>
      </c>
      <c r="F78" s="44" t="s">
        <v>71</v>
      </c>
      <c r="H78" s="12">
        <v>655235.89655172406</v>
      </c>
      <c r="I78" s="84"/>
      <c r="J78" s="64"/>
      <c r="K78" s="84"/>
      <c r="L78" s="77"/>
      <c r="M78" s="84"/>
      <c r="N78" s="64"/>
      <c r="O78" s="84"/>
      <c r="P78" s="12">
        <v>10.448574332140192</v>
      </c>
      <c r="Q78" s="84"/>
      <c r="R78" s="12">
        <f t="shared" si="13"/>
        <v>-4.3685872697096784E-9</v>
      </c>
      <c r="S78" s="84"/>
      <c r="T78" s="64">
        <f>V78*H78/1000</f>
        <v>10.448574327771604</v>
      </c>
      <c r="U78" s="84"/>
      <c r="V78" s="77">
        <v>1.59462788634731E-2</v>
      </c>
      <c r="W78" s="84"/>
      <c r="X78" s="14">
        <f t="shared" ref="X78:X88" si="14">IFERROR(T78/P78,"")</f>
        <v>0.99999999958189634</v>
      </c>
      <c r="Y78" s="84"/>
      <c r="Z78" s="84"/>
      <c r="AA78" s="84"/>
    </row>
    <row r="79" spans="2:27" ht="12.45" x14ac:dyDescent="0.3">
      <c r="B79" s="58">
        <f>MAX(B$15:B78)+1</f>
        <v>32</v>
      </c>
      <c r="D79" s="36" t="s">
        <v>148</v>
      </c>
      <c r="F79" s="44" t="s">
        <v>71</v>
      </c>
      <c r="H79" s="12">
        <v>642043</v>
      </c>
      <c r="I79" s="84"/>
      <c r="J79" s="64"/>
      <c r="K79" s="84"/>
      <c r="L79" s="77"/>
      <c r="M79" s="84"/>
      <c r="N79" s="64"/>
      <c r="O79" s="84"/>
      <c r="P79" s="12">
        <v>23.443650525938015</v>
      </c>
      <c r="Q79" s="84"/>
      <c r="R79" s="12">
        <f t="shared" si="13"/>
        <v>-9.8018766436780425E-9</v>
      </c>
      <c r="S79" s="84"/>
      <c r="T79" s="64">
        <f>V79*H79/1000</f>
        <v>23.443650516136138</v>
      </c>
      <c r="U79" s="84"/>
      <c r="V79" s="77">
        <v>3.6514143937611869E-2</v>
      </c>
      <c r="W79" s="84"/>
      <c r="X79" s="14">
        <f t="shared" si="14"/>
        <v>0.99999999958189634</v>
      </c>
      <c r="Y79" s="84"/>
      <c r="Z79" s="84"/>
      <c r="AA79" s="84"/>
    </row>
    <row r="80" spans="2:27" ht="12.45" x14ac:dyDescent="0.3">
      <c r="B80" s="58">
        <f>MAX(B$15:B79)+1</f>
        <v>33</v>
      </c>
      <c r="D80" s="36" t="s">
        <v>149</v>
      </c>
      <c r="F80" s="44" t="s">
        <v>71</v>
      </c>
      <c r="H80" s="12">
        <v>4542991</v>
      </c>
      <c r="I80" s="84"/>
      <c r="J80" s="64"/>
      <c r="K80" s="84"/>
      <c r="L80" s="77"/>
      <c r="M80" s="84"/>
      <c r="N80" s="64"/>
      <c r="O80" s="84"/>
      <c r="P80" s="12">
        <v>72.443801390537558</v>
      </c>
      <c r="Q80" s="84"/>
      <c r="R80" s="12">
        <f t="shared" si="13"/>
        <v>-3.0289044161690981E-8</v>
      </c>
      <c r="S80" s="84"/>
      <c r="T80" s="64">
        <f t="shared" ref="T80:T81" si="15">V80*H80/1000</f>
        <v>72.443801360248514</v>
      </c>
      <c r="U80" s="84"/>
      <c r="V80" s="77">
        <v>1.59462788634731E-2</v>
      </c>
      <c r="W80" s="84"/>
      <c r="X80" s="14">
        <f t="shared" si="14"/>
        <v>0.999999999581896</v>
      </c>
      <c r="Y80" s="84"/>
      <c r="Z80" s="84"/>
      <c r="AA80" s="84"/>
    </row>
    <row r="81" spans="2:27" ht="12.45" x14ac:dyDescent="0.3">
      <c r="B81" s="58">
        <f>MAX(B$15:B80)+1</f>
        <v>34</v>
      </c>
      <c r="D81" s="36" t="s">
        <v>150</v>
      </c>
      <c r="F81" s="44" t="s">
        <v>71</v>
      </c>
      <c r="H81" s="12">
        <v>5048908.75</v>
      </c>
      <c r="I81" s="84"/>
      <c r="J81" s="64"/>
      <c r="K81" s="84"/>
      <c r="L81" s="77"/>
      <c r="M81" s="84"/>
      <c r="N81" s="64"/>
      <c r="O81" s="84"/>
      <c r="P81" s="12">
        <v>184.35658090244817</v>
      </c>
      <c r="Q81" s="84"/>
      <c r="R81" s="12">
        <f t="shared" si="13"/>
        <v>-7.7080130722606555E-8</v>
      </c>
      <c r="S81" s="84"/>
      <c r="T81" s="64">
        <f t="shared" si="15"/>
        <v>184.35658082536804</v>
      </c>
      <c r="U81" s="84"/>
      <c r="V81" s="77">
        <v>3.6514143937611869E-2</v>
      </c>
      <c r="W81" s="84"/>
      <c r="X81" s="14">
        <f t="shared" si="14"/>
        <v>0.99999999958189656</v>
      </c>
      <c r="Y81" s="84"/>
      <c r="Z81" s="84"/>
      <c r="AA81" s="84"/>
    </row>
    <row r="82" spans="2:27" ht="12.45" x14ac:dyDescent="0.3">
      <c r="B82" s="58">
        <f>MAX(B$15:B81)+1</f>
        <v>35</v>
      </c>
      <c r="D82" s="36" t="s">
        <v>151</v>
      </c>
      <c r="F82" s="44"/>
      <c r="H82" s="12"/>
      <c r="I82" s="84"/>
      <c r="J82" s="64"/>
      <c r="K82" s="84"/>
      <c r="L82" s="77"/>
      <c r="M82" s="84"/>
      <c r="N82" s="64"/>
      <c r="O82" s="84"/>
      <c r="P82" s="12"/>
      <c r="Q82" s="84"/>
      <c r="R82" s="12">
        <f t="shared" si="13"/>
        <v>0</v>
      </c>
      <c r="S82" s="84"/>
      <c r="T82" s="64"/>
      <c r="U82" s="84"/>
      <c r="V82" s="77"/>
      <c r="W82" s="84"/>
      <c r="X82" s="84"/>
      <c r="Y82" s="84"/>
      <c r="Z82" s="84"/>
      <c r="AA82" s="84"/>
    </row>
    <row r="83" spans="2:27" ht="12.45" x14ac:dyDescent="0.3">
      <c r="B83" s="58">
        <f>MAX(B$15:B82)+1</f>
        <v>36</v>
      </c>
      <c r="D83" s="36" t="s">
        <v>145</v>
      </c>
      <c r="F83" s="44" t="s">
        <v>146</v>
      </c>
      <c r="H83" s="12">
        <v>0</v>
      </c>
      <c r="I83" s="84"/>
      <c r="J83" s="64"/>
      <c r="K83" s="84"/>
      <c r="L83" s="77"/>
      <c r="M83" s="84"/>
      <c r="N83" s="64"/>
      <c r="O83" s="84"/>
      <c r="P83" s="12">
        <v>0</v>
      </c>
      <c r="Q83" s="84"/>
      <c r="R83" s="12">
        <f t="shared" si="13"/>
        <v>0</v>
      </c>
      <c r="S83" s="84"/>
      <c r="T83" s="64">
        <v>0</v>
      </c>
      <c r="U83" s="84"/>
      <c r="V83" s="77">
        <v>1.0162639647361191</v>
      </c>
      <c r="W83" s="84"/>
      <c r="X83" s="14" t="str">
        <f t="shared" si="14"/>
        <v/>
      </c>
      <c r="Y83" s="84"/>
      <c r="Z83" s="84"/>
      <c r="AA83" s="84"/>
    </row>
    <row r="84" spans="2:27" ht="12.45" x14ac:dyDescent="0.3">
      <c r="B84" s="58">
        <f>MAX(B$15:B83)+1</f>
        <v>37</v>
      </c>
      <c r="D84" s="36" t="s">
        <v>152</v>
      </c>
      <c r="F84" s="44" t="s">
        <v>71</v>
      </c>
      <c r="H84" s="12">
        <v>0</v>
      </c>
      <c r="I84" s="84"/>
      <c r="J84" s="64"/>
      <c r="K84" s="84"/>
      <c r="L84" s="77"/>
      <c r="M84" s="84"/>
      <c r="N84" s="64"/>
      <c r="O84" s="84"/>
      <c r="P84" s="12">
        <v>0</v>
      </c>
      <c r="Q84" s="84"/>
      <c r="R84" s="12">
        <f t="shared" si="13"/>
        <v>0</v>
      </c>
      <c r="S84" s="84"/>
      <c r="T84" s="64">
        <v>0</v>
      </c>
      <c r="U84" s="84"/>
      <c r="V84" s="77">
        <v>1.59462788634731E-2</v>
      </c>
      <c r="W84" s="84"/>
      <c r="X84" s="14" t="str">
        <f t="shared" si="14"/>
        <v/>
      </c>
      <c r="Y84" s="84"/>
      <c r="Z84" s="84"/>
      <c r="AA84" s="84"/>
    </row>
    <row r="85" spans="2:27" ht="12.45" x14ac:dyDescent="0.3">
      <c r="B85" s="58">
        <f>MAX(B$15:B84)+1</f>
        <v>38</v>
      </c>
      <c r="D85" s="36" t="s">
        <v>153</v>
      </c>
      <c r="F85" s="44" t="s">
        <v>71</v>
      </c>
      <c r="H85" s="12">
        <v>0</v>
      </c>
      <c r="I85" s="84"/>
      <c r="J85" s="64"/>
      <c r="K85" s="84"/>
      <c r="L85" s="77"/>
      <c r="M85" s="84"/>
      <c r="N85" s="64"/>
      <c r="O85" s="84"/>
      <c r="P85" s="12">
        <v>0</v>
      </c>
      <c r="Q85" s="84"/>
      <c r="R85" s="12">
        <f t="shared" si="13"/>
        <v>0</v>
      </c>
      <c r="S85" s="84"/>
      <c r="T85" s="64">
        <v>0</v>
      </c>
      <c r="U85" s="84"/>
      <c r="V85" s="77">
        <v>1.59462788634731E-2</v>
      </c>
      <c r="W85" s="84"/>
      <c r="X85" s="14" t="str">
        <f t="shared" si="14"/>
        <v/>
      </c>
      <c r="Y85" s="84"/>
      <c r="Z85" s="84"/>
      <c r="AA85" s="84"/>
    </row>
    <row r="86" spans="2:27" ht="12.45" x14ac:dyDescent="0.3">
      <c r="D86" s="36"/>
      <c r="F86" s="44"/>
      <c r="H86" s="12"/>
      <c r="I86" s="84"/>
      <c r="J86" s="64"/>
      <c r="K86" s="84"/>
      <c r="L86" s="77"/>
      <c r="M86" s="84"/>
      <c r="N86" s="64"/>
      <c r="O86" s="84"/>
      <c r="P86" s="12"/>
      <c r="Q86" s="84"/>
      <c r="R86" s="84"/>
      <c r="S86" s="84"/>
      <c r="T86" s="64"/>
      <c r="U86" s="84"/>
      <c r="V86" s="77"/>
      <c r="W86" s="84"/>
      <c r="X86" s="84"/>
      <c r="Y86" s="84"/>
      <c r="Z86" s="84"/>
      <c r="AA86" s="84"/>
    </row>
    <row r="87" spans="2:27" ht="12.45" x14ac:dyDescent="0.3">
      <c r="B87" s="58">
        <f>MAX(B$15:B86)+1</f>
        <v>39</v>
      </c>
      <c r="D87" s="36" t="s">
        <v>154</v>
      </c>
      <c r="F87" s="44" t="s">
        <v>71</v>
      </c>
      <c r="H87" s="12">
        <v>0</v>
      </c>
      <c r="I87" s="84"/>
      <c r="J87" s="64"/>
      <c r="K87" s="84"/>
      <c r="L87" s="77"/>
      <c r="M87" s="84"/>
      <c r="N87" s="64"/>
      <c r="O87" s="84"/>
      <c r="P87" s="12">
        <v>0</v>
      </c>
      <c r="Q87" s="84"/>
      <c r="R87" s="12">
        <f>T87-P87</f>
        <v>0</v>
      </c>
      <c r="S87" s="84"/>
      <c r="T87" s="64"/>
      <c r="U87" s="84"/>
      <c r="V87" s="77">
        <v>0</v>
      </c>
      <c r="W87" s="84"/>
      <c r="X87" s="14" t="str">
        <f t="shared" si="14"/>
        <v/>
      </c>
      <c r="Y87" s="84"/>
      <c r="Z87" s="84"/>
      <c r="AA87" s="84"/>
    </row>
    <row r="88" spans="2:27" ht="12.45" x14ac:dyDescent="0.3">
      <c r="B88" s="58">
        <f>MAX(B$15:B87)+1</f>
        <v>40</v>
      </c>
      <c r="D88" s="36" t="s">
        <v>155</v>
      </c>
      <c r="F88" s="44" t="s">
        <v>71</v>
      </c>
      <c r="H88" s="12">
        <v>0</v>
      </c>
      <c r="I88" s="84"/>
      <c r="J88" s="64"/>
      <c r="K88" s="84"/>
      <c r="L88" s="77"/>
      <c r="M88" s="84"/>
      <c r="N88" s="64"/>
      <c r="O88" s="84"/>
      <c r="P88" s="12">
        <v>0</v>
      </c>
      <c r="Q88" s="84"/>
      <c r="R88" s="12">
        <f>T88-P88</f>
        <v>0</v>
      </c>
      <c r="S88" s="84"/>
      <c r="T88" s="64"/>
      <c r="U88" s="84"/>
      <c r="V88" s="77">
        <v>0</v>
      </c>
      <c r="W88" s="84"/>
      <c r="X88" s="14" t="str">
        <f t="shared" si="14"/>
        <v/>
      </c>
      <c r="Y88" s="84"/>
      <c r="Z88" s="84"/>
      <c r="AA88" s="84"/>
    </row>
    <row r="89" spans="2:27" ht="12.45" x14ac:dyDescent="0.3">
      <c r="D89" s="36"/>
      <c r="F89" s="44"/>
      <c r="H89" s="84"/>
      <c r="I89" s="84"/>
      <c r="J89" s="84"/>
      <c r="K89" s="84"/>
      <c r="L89" s="77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</row>
    <row r="90" spans="2:27" ht="12.9" thickBot="1" x14ac:dyDescent="0.35">
      <c r="B90" s="58">
        <f>MAX(B$15:B89)+1</f>
        <v>41</v>
      </c>
      <c r="D90" s="51" t="str">
        <f>"Total " &amp;D73</f>
        <v>Total Rate E72</v>
      </c>
      <c r="H90" s="69">
        <f>SUM(H78:H81)</f>
        <v>10889178.646551725</v>
      </c>
      <c r="I90" s="63"/>
      <c r="J90" s="69">
        <v>603.30261955727349</v>
      </c>
      <c r="K90" s="64"/>
      <c r="L90" s="24">
        <f>J90/$H90*100</f>
        <v>5.5403868293438397E-3</v>
      </c>
      <c r="M90" s="64"/>
      <c r="N90" s="69">
        <f t="shared" ref="N90" si="16">J90-P90</f>
        <v>308.58775096123634</v>
      </c>
      <c r="O90" s="13"/>
      <c r="P90" s="69">
        <f>SUM(P74:P88)</f>
        <v>294.71486859603715</v>
      </c>
      <c r="Q90" s="13"/>
      <c r="R90" s="69">
        <f>SUM(R74:R88)</f>
        <v>351.76690113361326</v>
      </c>
      <c r="S90" s="64"/>
      <c r="T90" s="69">
        <f>SUM(T74:T88)</f>
        <v>646.48176972965041</v>
      </c>
      <c r="U90" s="64"/>
      <c r="V90" s="24">
        <f>T90/$H90*100</f>
        <v>5.9369194933207546E-3</v>
      </c>
      <c r="W90" s="64"/>
      <c r="X90" s="70">
        <f t="shared" ref="X90" si="17">T90/P90</f>
        <v>2.1935838283604783</v>
      </c>
      <c r="Y90" s="15"/>
      <c r="Z90" s="28">
        <f t="shared" ref="Z90" si="18">V90/L90-1</f>
        <v>7.1571295685842307E-2</v>
      </c>
      <c r="AA90" s="15"/>
    </row>
    <row r="91" spans="2:27" ht="12.9" thickTop="1" x14ac:dyDescent="0.3"/>
    <row r="92" spans="2:27" ht="12.45" x14ac:dyDescent="0.3"/>
    <row r="93" spans="2:27" ht="12.45" x14ac:dyDescent="0.3">
      <c r="D93" s="87" t="s">
        <v>156</v>
      </c>
    </row>
    <row r="94" spans="2:27" ht="12.45" x14ac:dyDescent="0.3">
      <c r="B94" s="58">
        <f>MAX(B$15:B93)+1</f>
        <v>42</v>
      </c>
      <c r="D94" s="36" t="s">
        <v>157</v>
      </c>
      <c r="F94" s="44" t="s">
        <v>34</v>
      </c>
      <c r="H94" s="12">
        <v>792</v>
      </c>
      <c r="I94" s="84"/>
      <c r="J94" s="12"/>
      <c r="K94" s="84"/>
      <c r="L94" s="76"/>
      <c r="M94" s="84"/>
      <c r="N94" s="64"/>
      <c r="O94" s="84"/>
      <c r="P94" s="12">
        <v>1.5625871560085447</v>
      </c>
      <c r="Q94" s="84"/>
      <c r="R94" s="12">
        <f t="shared" ref="R94:R99" si="19">T94-P94</f>
        <v>308.01082801371666</v>
      </c>
      <c r="S94" s="84"/>
      <c r="T94" s="64">
        <f t="shared" ref="T94:T99" si="20">V94*H94/1000</f>
        <v>309.57341516972519</v>
      </c>
      <c r="U94" s="84"/>
      <c r="V94" s="76">
        <v>390.87552420419848</v>
      </c>
      <c r="W94" s="84"/>
      <c r="X94" s="14">
        <f>IFERROR(T94/P94,"")</f>
        <v>198.11593483239432</v>
      </c>
      <c r="Y94" s="84"/>
      <c r="Z94" s="84"/>
      <c r="AA94" s="84"/>
    </row>
    <row r="95" spans="2:27" ht="12.45" x14ac:dyDescent="0.3">
      <c r="B95" s="58">
        <f>MAX(B$15:B94)+1</f>
        <v>43</v>
      </c>
      <c r="D95" s="36" t="s">
        <v>158</v>
      </c>
      <c r="F95" s="44" t="s">
        <v>34</v>
      </c>
      <c r="H95" s="12">
        <v>105</v>
      </c>
      <c r="I95" s="84"/>
      <c r="J95" s="64"/>
      <c r="K95" s="84"/>
      <c r="L95" s="76"/>
      <c r="M95" s="84"/>
      <c r="N95" s="64"/>
      <c r="O95" s="84"/>
      <c r="P95" s="12">
        <v>0.20716117598598136</v>
      </c>
      <c r="Q95" s="84"/>
      <c r="R95" s="12">
        <f t="shared" si="19"/>
        <v>100.83143868660221</v>
      </c>
      <c r="S95" s="84"/>
      <c r="T95" s="64">
        <f t="shared" si="20"/>
        <v>101.0385998625882</v>
      </c>
      <c r="U95" s="84"/>
      <c r="V95" s="76">
        <v>962.27237964369715</v>
      </c>
      <c r="W95" s="84"/>
      <c r="X95" s="14">
        <f>IFERROR(T95/P95,"")</f>
        <v>487.72941832221255</v>
      </c>
      <c r="Y95" s="84"/>
      <c r="Z95" s="84"/>
      <c r="AA95" s="84"/>
    </row>
    <row r="96" spans="2:27" ht="12.45" x14ac:dyDescent="0.3">
      <c r="B96" s="58">
        <f>MAX(B$15:B95)+1</f>
        <v>44</v>
      </c>
      <c r="D96" s="36" t="s">
        <v>159</v>
      </c>
      <c r="F96" s="44" t="s">
        <v>160</v>
      </c>
      <c r="H96" s="12">
        <v>7.75</v>
      </c>
      <c r="I96" s="84"/>
      <c r="J96" s="64"/>
      <c r="K96" s="84"/>
      <c r="L96" s="64"/>
      <c r="M96" s="84"/>
      <c r="N96" s="64"/>
      <c r="O96" s="84"/>
      <c r="P96" s="12">
        <v>0</v>
      </c>
      <c r="Q96" s="84"/>
      <c r="R96" s="12">
        <f t="shared" si="19"/>
        <v>99.974999999999994</v>
      </c>
      <c r="S96" s="84"/>
      <c r="T96" s="64">
        <f t="shared" si="20"/>
        <v>99.974999999999994</v>
      </c>
      <c r="U96" s="84"/>
      <c r="V96" s="76">
        <v>12900</v>
      </c>
      <c r="W96" s="84"/>
      <c r="X96" s="14" t="str">
        <f t="shared" ref="X96:X99" si="21">IFERROR(T96/P96,"")</f>
        <v/>
      </c>
      <c r="Y96" s="84"/>
      <c r="Z96" s="84"/>
      <c r="AA96" s="84"/>
    </row>
    <row r="97" spans="2:32" ht="12.45" x14ac:dyDescent="0.3">
      <c r="B97" s="58">
        <f>MAX(B$15:B96)+1</f>
        <v>45</v>
      </c>
      <c r="D97" s="36" t="s">
        <v>143</v>
      </c>
      <c r="F97" s="44" t="s">
        <v>71</v>
      </c>
      <c r="H97" s="12">
        <v>4791112.166666666</v>
      </c>
      <c r="I97" s="84"/>
      <c r="J97" s="64"/>
      <c r="K97" s="84"/>
      <c r="L97" s="77"/>
      <c r="M97" s="84"/>
      <c r="N97" s="64"/>
      <c r="O97" s="84"/>
      <c r="P97" s="12">
        <v>0</v>
      </c>
      <c r="Q97" s="84"/>
      <c r="R97" s="12">
        <f t="shared" si="19"/>
        <v>197.81754493381644</v>
      </c>
      <c r="S97" s="84"/>
      <c r="T97" s="64">
        <f t="shared" si="20"/>
        <v>197.81754493381644</v>
      </c>
      <c r="U97" s="84"/>
      <c r="V97" s="77">
        <v>4.1288439521432581E-2</v>
      </c>
      <c r="W97" s="84"/>
      <c r="X97" s="14" t="str">
        <f t="shared" si="21"/>
        <v/>
      </c>
      <c r="Y97" s="84"/>
      <c r="Z97" s="84"/>
      <c r="AA97" s="84"/>
    </row>
    <row r="98" spans="2:32" ht="12.45" x14ac:dyDescent="0.3">
      <c r="B98" s="58">
        <f>MAX(B$15:B97)+1</f>
        <v>46</v>
      </c>
      <c r="D98" s="36" t="s">
        <v>161</v>
      </c>
      <c r="F98" s="44" t="s">
        <v>71</v>
      </c>
      <c r="H98" s="12">
        <v>0</v>
      </c>
      <c r="I98" s="84"/>
      <c r="J98" s="64"/>
      <c r="K98" s="84"/>
      <c r="L98" s="77"/>
      <c r="M98" s="84"/>
      <c r="N98" s="84"/>
      <c r="O98" s="84"/>
      <c r="P98" s="12">
        <v>0</v>
      </c>
      <c r="Q98" s="84"/>
      <c r="R98" s="12">
        <f t="shared" si="19"/>
        <v>0</v>
      </c>
      <c r="S98" s="84"/>
      <c r="T98" s="64">
        <f t="shared" si="20"/>
        <v>0</v>
      </c>
      <c r="U98" s="84"/>
      <c r="V98" s="77">
        <v>0</v>
      </c>
      <c r="W98" s="84"/>
      <c r="X98" s="14" t="str">
        <f t="shared" si="21"/>
        <v/>
      </c>
      <c r="Y98" s="84"/>
      <c r="Z98" s="84"/>
      <c r="AA98" s="84"/>
    </row>
    <row r="99" spans="2:32" ht="12.45" x14ac:dyDescent="0.3">
      <c r="B99" s="58">
        <f>MAX(B$15:B98)+1</f>
        <v>47</v>
      </c>
      <c r="D99" s="36" t="s">
        <v>162</v>
      </c>
      <c r="F99" s="44" t="s">
        <v>71</v>
      </c>
      <c r="H99" s="12">
        <v>4791112.166666666</v>
      </c>
      <c r="I99" s="84"/>
      <c r="J99" s="64"/>
      <c r="K99" s="84"/>
      <c r="L99" s="77"/>
      <c r="M99" s="84"/>
      <c r="N99" s="64"/>
      <c r="O99" s="84"/>
      <c r="P99" s="12">
        <v>76.400638686818198</v>
      </c>
      <c r="Q99" s="84"/>
      <c r="R99" s="12">
        <f t="shared" si="19"/>
        <v>-2.2801097273372761E-4</v>
      </c>
      <c r="S99" s="84"/>
      <c r="T99" s="64">
        <f t="shared" si="20"/>
        <v>76.400410675845464</v>
      </c>
      <c r="U99" s="84"/>
      <c r="V99" s="77">
        <v>1.59462788634731E-2</v>
      </c>
      <c r="W99" s="84"/>
      <c r="X99" s="14">
        <f t="shared" si="21"/>
        <v>0.99999701558813314</v>
      </c>
      <c r="Y99" s="84"/>
      <c r="Z99" s="84"/>
      <c r="AA99" s="84"/>
    </row>
    <row r="100" spans="2:32" ht="12.45" x14ac:dyDescent="0.3">
      <c r="D100" s="36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64"/>
      <c r="U100" s="84"/>
      <c r="V100" s="84"/>
      <c r="W100" s="84"/>
      <c r="X100" s="84"/>
      <c r="Y100" s="84"/>
      <c r="Z100" s="84"/>
      <c r="AA100" s="84"/>
    </row>
    <row r="101" spans="2:32" ht="12.9" thickBot="1" x14ac:dyDescent="0.35">
      <c r="B101" s="58">
        <f>MAX(B$15:B100)+1</f>
        <v>48</v>
      </c>
      <c r="D101" s="51" t="str">
        <f>"Total " &amp;D93</f>
        <v>Total Rate E80</v>
      </c>
      <c r="H101" s="69">
        <f>SUM(H97:H99)</f>
        <v>9582224.3333333321</v>
      </c>
      <c r="I101" s="63"/>
      <c r="J101" s="69">
        <v>424.03364183333326</v>
      </c>
      <c r="K101" s="64"/>
      <c r="L101" s="24">
        <f>J101/$H101*100</f>
        <v>4.4252109644131689E-3</v>
      </c>
      <c r="M101" s="64"/>
      <c r="N101" s="69">
        <f t="shared" ref="N101" si="22">J101-P101</f>
        <v>345.86325481452053</v>
      </c>
      <c r="O101" s="13"/>
      <c r="P101" s="69">
        <f>SUM(P94:P99)</f>
        <v>78.170387018812718</v>
      </c>
      <c r="Q101" s="13"/>
      <c r="R101" s="69">
        <f>SUM(R94:R99)</f>
        <v>706.6345836231626</v>
      </c>
      <c r="S101" s="64"/>
      <c r="T101" s="69">
        <f>SUM(T94:T99)</f>
        <v>784.80497064197527</v>
      </c>
      <c r="U101" s="64"/>
      <c r="V101" s="24">
        <f>T101/$H101*100</f>
        <v>8.1902170450330932E-3</v>
      </c>
      <c r="W101" s="64"/>
      <c r="X101" s="70">
        <f t="shared" ref="X101" si="23">T101/P101</f>
        <v>10.039671038766915</v>
      </c>
      <c r="Y101" s="15"/>
      <c r="Z101" s="28">
        <f t="shared" ref="Z101" si="24">V101/L101-1</f>
        <v>0.85080826900626771</v>
      </c>
      <c r="AA101" s="15"/>
      <c r="AB101" s="88"/>
      <c r="AC101" s="88"/>
      <c r="AD101" s="88"/>
      <c r="AE101" s="88"/>
      <c r="AF101" s="88"/>
    </row>
    <row r="102" spans="2:32" ht="12.9" thickTop="1" x14ac:dyDescent="0.3"/>
    <row r="103" spans="2:32" ht="12.45" x14ac:dyDescent="0.3">
      <c r="D103" s="87" t="s">
        <v>163</v>
      </c>
      <c r="X103" s="49" t="str">
        <f>IFERROR(T104/P104,"")</f>
        <v/>
      </c>
    </row>
    <row r="104" spans="2:32" ht="12.45" x14ac:dyDescent="0.3">
      <c r="B104" s="58">
        <f>MAX(B$15:B103)+1</f>
        <v>49</v>
      </c>
      <c r="D104" s="36" t="s">
        <v>164</v>
      </c>
      <c r="H104" s="12">
        <v>0</v>
      </c>
      <c r="I104" s="84"/>
      <c r="J104" s="12"/>
      <c r="K104" s="84"/>
      <c r="L104" s="84"/>
      <c r="M104" s="84"/>
      <c r="N104" s="12"/>
      <c r="O104" s="84"/>
      <c r="P104" s="84"/>
      <c r="Q104" s="84"/>
      <c r="R104" s="12">
        <v>3560.977942268019</v>
      </c>
      <c r="S104" s="84"/>
      <c r="T104" s="12">
        <v>3560.977942268019</v>
      </c>
      <c r="U104" s="84"/>
      <c r="V104" s="84"/>
      <c r="W104" s="84"/>
      <c r="X104" s="14" t="str">
        <f>IFERROR(T108/P108,"")</f>
        <v/>
      </c>
      <c r="Y104" s="84"/>
      <c r="Z104" s="84"/>
      <c r="AA104" s="84"/>
    </row>
    <row r="105" spans="2:32" ht="12.45" x14ac:dyDescent="0.3"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</row>
    <row r="106" spans="2:32" ht="12.9" thickBot="1" x14ac:dyDescent="0.35">
      <c r="B106" s="58">
        <f>MAX(B$15:B105)+1</f>
        <v>50</v>
      </c>
      <c r="D106" s="51" t="str">
        <f>"Total " &amp;D103</f>
        <v>Total Rate E82</v>
      </c>
      <c r="H106" s="69">
        <f>SUM(H104)</f>
        <v>0</v>
      </c>
      <c r="I106" s="63"/>
      <c r="J106" s="69">
        <v>3560.977942268019</v>
      </c>
      <c r="K106" s="64"/>
      <c r="L106" s="24" t="str">
        <f>IFERROR(J106/$H106*100,"-")</f>
        <v>-</v>
      </c>
      <c r="M106" s="64"/>
      <c r="N106" s="69">
        <f t="shared" ref="N106" si="25">J106-P106</f>
        <v>3560.977942268019</v>
      </c>
      <c r="O106" s="13"/>
      <c r="P106" s="69">
        <f>SUM(P104)</f>
        <v>0</v>
      </c>
      <c r="Q106" s="13"/>
      <c r="R106" s="69">
        <f>SUM(R104)</f>
        <v>3560.977942268019</v>
      </c>
      <c r="S106" s="64"/>
      <c r="T106" s="69">
        <f>SUM(T104)</f>
        <v>3560.977942268019</v>
      </c>
      <c r="U106" s="64"/>
      <c r="V106" s="24" t="str">
        <f>IFERROR(T106/$H106*100,"-")</f>
        <v>-</v>
      </c>
      <c r="W106" s="64"/>
      <c r="X106" s="70" t="str">
        <f>IFERROR(T106/P106,"-")</f>
        <v>-</v>
      </c>
      <c r="Y106" s="15"/>
      <c r="Z106" s="50" t="str">
        <f>IFERROR(V106/L106-1,"-")</f>
        <v>-</v>
      </c>
      <c r="AA106" s="15"/>
    </row>
    <row r="107" spans="2:32" ht="12.9" thickTop="1" x14ac:dyDescent="0.3"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</row>
    <row r="108" spans="2:32" ht="12.45" x14ac:dyDescent="0.3">
      <c r="B108" s="58">
        <f>MAX(B$15:B107)+1</f>
        <v>51</v>
      </c>
      <c r="D108" s="51" t="s">
        <v>165</v>
      </c>
      <c r="H108" s="12">
        <v>0</v>
      </c>
      <c r="I108" s="84"/>
      <c r="J108" s="12">
        <v>1208.6017580038929</v>
      </c>
      <c r="K108" s="84"/>
      <c r="L108" s="84"/>
      <c r="M108" s="84"/>
      <c r="N108" s="12">
        <v>1208.6017580038929</v>
      </c>
      <c r="O108" s="84"/>
      <c r="P108" s="84"/>
      <c r="Q108" s="84"/>
      <c r="R108" s="12">
        <v>896.33470389241074</v>
      </c>
      <c r="S108" s="84"/>
      <c r="T108" s="12">
        <v>896.47350061126372</v>
      </c>
      <c r="U108" s="84"/>
      <c r="V108" s="84"/>
      <c r="W108" s="84"/>
      <c r="X108" s="84"/>
      <c r="Y108" s="84"/>
      <c r="Z108" s="84"/>
      <c r="AA108" s="84"/>
    </row>
    <row r="109" spans="2:32" ht="12.45" x14ac:dyDescent="0.3"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</row>
    <row r="110" spans="2:32" ht="12.9" thickBot="1" x14ac:dyDescent="0.35">
      <c r="B110" s="58">
        <f>MAX(B$15:B109)+1</f>
        <v>52</v>
      </c>
      <c r="D110" s="52" t="s">
        <v>166</v>
      </c>
      <c r="H110" s="89"/>
      <c r="J110" s="69">
        <f>J108+J106+J101+J90+J57+J19</f>
        <v>164814.09614026692</v>
      </c>
      <c r="K110" s="64"/>
      <c r="L110" s="24"/>
      <c r="M110" s="64"/>
      <c r="N110" s="69">
        <f>N108+N106+N101+N90+N57+N19</f>
        <v>29126.814022479848</v>
      </c>
      <c r="O110" s="13"/>
      <c r="P110" s="69">
        <f>P108+P106+P101+P90+P57+P19</f>
        <v>135687.28211778708</v>
      </c>
      <c r="Q110" s="13"/>
      <c r="R110" s="69">
        <f>R108+R106+R101+R90+R57+R19</f>
        <v>19201.376410267465</v>
      </c>
      <c r="S110" s="64"/>
      <c r="T110" s="69">
        <f>T108+T106+T101+T90+T57+T19</f>
        <v>154888.79732477342</v>
      </c>
    </row>
    <row r="111" spans="2:32" ht="12.9" thickTop="1" x14ac:dyDescent="0.3"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AB111" s="90"/>
      <c r="AC111" s="90"/>
      <c r="AD111" s="90"/>
      <c r="AE111" s="90"/>
      <c r="AF111" s="90"/>
    </row>
    <row r="112" spans="2:32" ht="12.9" thickBot="1" x14ac:dyDescent="0.35">
      <c r="B112" s="58">
        <f>MAX(B$15:B111)+1</f>
        <v>53</v>
      </c>
      <c r="D112" s="52" t="s">
        <v>167</v>
      </c>
      <c r="E112" s="2"/>
      <c r="J112" s="69">
        <v>5261860.1804221245</v>
      </c>
      <c r="K112" s="64"/>
      <c r="L112" s="24">
        <v>0</v>
      </c>
      <c r="M112" s="64"/>
      <c r="N112" s="69">
        <v>17603.204394701686</v>
      </c>
      <c r="O112" s="13"/>
      <c r="P112" s="69">
        <v>5244256.9760274226</v>
      </c>
      <c r="Q112" s="13"/>
      <c r="R112" s="69">
        <v>0</v>
      </c>
      <c r="S112" s="64"/>
      <c r="T112" s="69">
        <v>5244256.6341303401</v>
      </c>
      <c r="AB112" s="91"/>
      <c r="AC112" s="91"/>
      <c r="AD112" s="91"/>
      <c r="AE112" s="91"/>
      <c r="AF112" s="91"/>
    </row>
    <row r="113" spans="2:21" ht="12.9" thickTop="1" x14ac:dyDescent="0.3"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</row>
    <row r="114" spans="2:21" ht="12.45" x14ac:dyDescent="0.3"/>
    <row r="115" spans="2:21" ht="12.45" x14ac:dyDescent="0.3">
      <c r="B115" s="7" t="s">
        <v>101</v>
      </c>
    </row>
    <row r="116" spans="2:21" ht="12.45" x14ac:dyDescent="0.3">
      <c r="B116" s="92" t="s">
        <v>168</v>
      </c>
      <c r="D116" s="41" t="s">
        <v>171</v>
      </c>
    </row>
    <row r="117" spans="2:21" ht="12.45" x14ac:dyDescent="0.3">
      <c r="B117" s="92" t="s">
        <v>169</v>
      </c>
      <c r="D117" s="53" t="s">
        <v>170</v>
      </c>
    </row>
    <row r="118" spans="2:21" ht="12.45" x14ac:dyDescent="0.3">
      <c r="B118" s="92"/>
      <c r="U118" s="66"/>
    </row>
    <row r="119" spans="2:21" ht="12.45" x14ac:dyDescent="0.3">
      <c r="B119" s="92"/>
      <c r="D119" s="2"/>
    </row>
    <row r="120" spans="2:21" ht="12.45" x14ac:dyDescent="0.3">
      <c r="B120" s="92"/>
    </row>
    <row r="121" spans="2:21" ht="12.45" x14ac:dyDescent="0.3">
      <c r="B121" s="92"/>
    </row>
    <row r="122" spans="2:21" ht="12.45" x14ac:dyDescent="0.3"/>
    <row r="123" spans="2:21" ht="12.45" x14ac:dyDescent="0.3"/>
    <row r="124" spans="2:21" ht="12.45" x14ac:dyDescent="0.3"/>
    <row r="125" spans="2:21" ht="12.45" x14ac:dyDescent="0.3"/>
    <row r="126" spans="2:21" ht="12.45" x14ac:dyDescent="0.3"/>
    <row r="127" spans="2:21" ht="12.45" x14ac:dyDescent="0.3"/>
    <row r="128" spans="2:21" ht="12.45" x14ac:dyDescent="0.3"/>
    <row r="129" ht="12.45" x14ac:dyDescent="0.3"/>
    <row r="130" ht="12.45" x14ac:dyDescent="0.3"/>
    <row r="131" ht="12.45" x14ac:dyDescent="0.3"/>
    <row r="132" ht="12.45" x14ac:dyDescent="0.3"/>
    <row r="133" ht="12.45" x14ac:dyDescent="0.3"/>
    <row r="134" ht="12.45" x14ac:dyDescent="0.3"/>
    <row r="135" ht="12.45" x14ac:dyDescent="0.3"/>
    <row r="136" ht="12.45" x14ac:dyDescent="0.3"/>
    <row r="137" ht="12.45" x14ac:dyDescent="0.3"/>
    <row r="138" ht="12.45" x14ac:dyDescent="0.3"/>
    <row r="139" ht="12.45" x14ac:dyDescent="0.3"/>
    <row r="140" ht="12.45" x14ac:dyDescent="0.3"/>
    <row r="141" ht="12.45" x14ac:dyDescent="0.3"/>
    <row r="142" ht="12.45" x14ac:dyDescent="0.3"/>
    <row r="143" ht="12.45" x14ac:dyDescent="0.3"/>
    <row r="144" ht="12.45" x14ac:dyDescent="0.3"/>
    <row r="145" ht="12.45" x14ac:dyDescent="0.3"/>
    <row r="146" ht="12.45" x14ac:dyDescent="0.3"/>
    <row r="147" ht="12.45" x14ac:dyDescent="0.3"/>
    <row r="148" ht="12.45" x14ac:dyDescent="0.3"/>
    <row r="149" ht="12.45" x14ac:dyDescent="0.3"/>
    <row r="150" ht="12.45" x14ac:dyDescent="0.3"/>
    <row r="151" ht="12.45" x14ac:dyDescent="0.3"/>
    <row r="152" ht="12.45" x14ac:dyDescent="0.3"/>
    <row r="153" ht="12.45" x14ac:dyDescent="0.3"/>
    <row r="154" ht="12.45" x14ac:dyDescent="0.3"/>
    <row r="155" ht="12.45" x14ac:dyDescent="0.3"/>
    <row r="156" ht="12.45" x14ac:dyDescent="0.3"/>
    <row r="157" ht="12.45" x14ac:dyDescent="0.3"/>
    <row r="158" ht="12.45" x14ac:dyDescent="0.3"/>
    <row r="159" ht="12.45" x14ac:dyDescent="0.3"/>
    <row r="160" ht="12.45" x14ac:dyDescent="0.3"/>
    <row r="161" ht="12.45" x14ac:dyDescent="0.3"/>
    <row r="162" ht="12.45" x14ac:dyDescent="0.3"/>
    <row r="163" ht="12.45" x14ac:dyDescent="0.3"/>
    <row r="164" ht="12.45" x14ac:dyDescent="0.3"/>
    <row r="165" ht="12.45" x14ac:dyDescent="0.3"/>
    <row r="166" ht="12.45" x14ac:dyDescent="0.3"/>
    <row r="167" ht="12.45" x14ac:dyDescent="0.3"/>
    <row r="168" ht="12.45" x14ac:dyDescent="0.3"/>
    <row r="169" ht="12.45" x14ac:dyDescent="0.3"/>
    <row r="170" ht="12.45" x14ac:dyDescent="0.3"/>
    <row r="171" ht="12.45" x14ac:dyDescent="0.3"/>
    <row r="172" ht="12.45" x14ac:dyDescent="0.3"/>
    <row r="173" ht="12.45" x14ac:dyDescent="0.3"/>
    <row r="174" ht="12.45" x14ac:dyDescent="0.3"/>
    <row r="175" ht="12.45" x14ac:dyDescent="0.3"/>
    <row r="176" ht="12.45" x14ac:dyDescent="0.3"/>
    <row r="177" ht="12.45" x14ac:dyDescent="0.3"/>
    <row r="178" ht="12.45" x14ac:dyDescent="0.3"/>
    <row r="179" ht="12.45" x14ac:dyDescent="0.3"/>
    <row r="180" ht="12.45" x14ac:dyDescent="0.3"/>
    <row r="181" ht="12.45" x14ac:dyDescent="0.3"/>
    <row r="182" ht="12.45" x14ac:dyDescent="0.3"/>
    <row r="183" ht="12.45" x14ac:dyDescent="0.3"/>
    <row r="184" ht="12.45" x14ac:dyDescent="0.3"/>
    <row r="185" ht="12.45" x14ac:dyDescent="0.3"/>
    <row r="186" ht="12.45" x14ac:dyDescent="0.3"/>
    <row r="187" ht="12.45" x14ac:dyDescent="0.3"/>
    <row r="188" ht="12.45" x14ac:dyDescent="0.3"/>
    <row r="189" ht="12.45" x14ac:dyDescent="0.3"/>
    <row r="190" ht="12.45" x14ac:dyDescent="0.3"/>
    <row r="191" ht="12.45" x14ac:dyDescent="0.3"/>
    <row r="192" ht="12.45" x14ac:dyDescent="0.3"/>
    <row r="193" ht="12.45" x14ac:dyDescent="0.3"/>
    <row r="194" ht="12.45" x14ac:dyDescent="0.3"/>
    <row r="195" ht="12.45" x14ac:dyDescent="0.3"/>
    <row r="196" ht="12.45" x14ac:dyDescent="0.3"/>
    <row r="197" ht="12.45" x14ac:dyDescent="0.3"/>
    <row r="198" ht="12.45" x14ac:dyDescent="0.3"/>
    <row r="199" ht="12.45" x14ac:dyDescent="0.3"/>
    <row r="200" ht="12.45" x14ac:dyDescent="0.3"/>
    <row r="201" ht="12.45" x14ac:dyDescent="0.3"/>
    <row r="202" ht="12.45" x14ac:dyDescent="0.3"/>
    <row r="203" ht="12.45" x14ac:dyDescent="0.3"/>
    <row r="204" ht="12.45" x14ac:dyDescent="0.3"/>
    <row r="205" ht="12.45" x14ac:dyDescent="0.3"/>
    <row r="206" ht="12.45" x14ac:dyDescent="0.3"/>
    <row r="207" ht="12.45" x14ac:dyDescent="0.3"/>
    <row r="208" ht="12.45" x14ac:dyDescent="0.3"/>
    <row r="209" ht="12.45" x14ac:dyDescent="0.3"/>
    <row r="210" ht="12.45" x14ac:dyDescent="0.3"/>
    <row r="211" ht="12.45" x14ac:dyDescent="0.3"/>
    <row r="212" ht="12.45" x14ac:dyDescent="0.3"/>
    <row r="213" ht="12.45" x14ac:dyDescent="0.3"/>
    <row r="214" ht="12.45" x14ac:dyDescent="0.3"/>
    <row r="215" ht="12.45" x14ac:dyDescent="0.3"/>
    <row r="216" ht="12.45" x14ac:dyDescent="0.3"/>
    <row r="217" ht="12.45" x14ac:dyDescent="0.3"/>
    <row r="218" ht="12.45" x14ac:dyDescent="0.3"/>
    <row r="219" ht="12.45" x14ac:dyDescent="0.3"/>
    <row r="220" ht="12.45" x14ac:dyDescent="0.3"/>
    <row r="221" ht="12.45" x14ac:dyDescent="0.3"/>
    <row r="222" ht="12.45" x14ac:dyDescent="0.3"/>
    <row r="223" ht="12.45" x14ac:dyDescent="0.3"/>
    <row r="224" ht="12.45" x14ac:dyDescent="0.3"/>
    <row r="225" ht="12.45" x14ac:dyDescent="0.3"/>
    <row r="226" ht="12.45" x14ac:dyDescent="0.3"/>
    <row r="227" ht="12.45" x14ac:dyDescent="0.3"/>
    <row r="228" ht="12.45" x14ac:dyDescent="0.3"/>
    <row r="229" ht="12.45" x14ac:dyDescent="0.3"/>
    <row r="230" ht="12.45" x14ac:dyDescent="0.3"/>
    <row r="231" ht="12.45" x14ac:dyDescent="0.3"/>
    <row r="232" ht="12.45" x14ac:dyDescent="0.3"/>
    <row r="233" ht="12.45" x14ac:dyDescent="0.3"/>
    <row r="234" ht="12.45" x14ac:dyDescent="0.3"/>
    <row r="235" ht="12.45" x14ac:dyDescent="0.3"/>
    <row r="236" ht="12.45" x14ac:dyDescent="0.3"/>
    <row r="237" ht="12.45" x14ac:dyDescent="0.3"/>
    <row r="238" ht="12.45" x14ac:dyDescent="0.3"/>
    <row r="239" ht="12.45" x14ac:dyDescent="0.3"/>
    <row r="240" ht="12.45" x14ac:dyDescent="0.3"/>
    <row r="241" ht="12.45" x14ac:dyDescent="0.3"/>
    <row r="242" ht="12.45" x14ac:dyDescent="0.3"/>
    <row r="243" ht="12.45" x14ac:dyDescent="0.3"/>
    <row r="244" ht="12.45" x14ac:dyDescent="0.3"/>
    <row r="245" ht="12.45" x14ac:dyDescent="0.3"/>
    <row r="246" ht="12.45" x14ac:dyDescent="0.3"/>
    <row r="247" ht="12.45" x14ac:dyDescent="0.3"/>
    <row r="248" ht="12.45" x14ac:dyDescent="0.3"/>
    <row r="249" ht="12.45" x14ac:dyDescent="0.3"/>
    <row r="250" ht="12.45" x14ac:dyDescent="0.3"/>
  </sheetData>
  <mergeCells count="4">
    <mergeCell ref="B6:Z6"/>
    <mergeCell ref="B7:Z7"/>
    <mergeCell ref="B64:Z64"/>
    <mergeCell ref="B65:Z65"/>
  </mergeCells>
  <pageMargins left="0.7" right="0.7" top="0.75" bottom="0.75" header="0.3" footer="0.3"/>
  <pageSetup scale="50" firstPageNumber="9" fitToHeight="0" orientation="landscape" useFirstPageNumber="1" horizontalDpi="1200" verticalDpi="1200" r:id="rId1"/>
  <headerFooter>
    <oddHeader>&amp;R&amp;"Arial,Regular"&amp;10Filed: 2025-02-28
EB-2025-0064
Phase 3 Exhibit 8
Tab 2
Schedule 13
Attachment 2
Page &amp;P of 10</oddHeader>
  </headerFooter>
  <rowBreaks count="1" manualBreakCount="1">
    <brk id="58" max="26" man="1"/>
  </rowBreaks>
  <colBreaks count="1" manualBreakCount="1">
    <brk id="25" max="11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80A9288D-C3CA-47B6-BD16-410B0F1B415C}"/>
</file>

<file path=customXml/itemProps2.xml><?xml version="1.0" encoding="utf-8"?>
<ds:datastoreItem xmlns:ds="http://schemas.openxmlformats.org/officeDocument/2006/customXml" ds:itemID="{483258D6-FBD9-49F0-A80F-DA6678AB7920}"/>
</file>

<file path=customXml/itemProps3.xml><?xml version="1.0" encoding="utf-8"?>
<ds:datastoreItem xmlns:ds="http://schemas.openxmlformats.org/officeDocument/2006/customXml" ds:itemID="{A4014E5B-60D2-4086-9097-AF1BE484CE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8.2.13.2 p.1-4</vt:lpstr>
      <vt:lpstr>8.2.13.2 p.5-8</vt:lpstr>
      <vt:lpstr>8.2.13.2 p.9-10</vt:lpstr>
      <vt:lpstr>'8.2.13.2 p.1-4'!Print_Area</vt:lpstr>
      <vt:lpstr>'8.2.13.2 p.5-8'!Print_Area</vt:lpstr>
      <vt:lpstr>'8.2.13.2 p.9-10'!Print_Area</vt:lpstr>
      <vt:lpstr>'8.2.13.2 p.1-4'!Print_Titles</vt:lpstr>
      <vt:lpstr>'8.2.13.2 p.5-8'!Print_Titles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2025-02-28T15:58:05Z</dcterms:created>
  <dcterms:modified xsi:type="dcterms:W3CDTF">2025-02-28T15:58:11Z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2025-02-28T15:58:10Z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9e7d8ebb-d74c-484d-937c-d7b7ed00749f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