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10" documentId="13_ncr:1_{F1057B03-F634-4A5C-B036-4C612F439464}" xr6:coauthVersionLast="47" xr6:coauthVersionMax="47" xr10:uidLastSave="{11A6999B-208C-4131-B637-CEB295FCADF4}"/>
  <bookViews>
    <workbookView xWindow="28680" yWindow="-120" windowWidth="29040" windowHeight="15720" xr2:uid="{E78A9FCA-F034-4138-93C1-74F172F9D141}"/>
  </bookViews>
  <sheets>
    <sheet name="8.2.14.1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'8.2.14.1'!$A$1:$Y$281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8" i="1" l="1"/>
  <c r="L268" i="1"/>
  <c r="F268" i="1"/>
  <c r="X267" i="1"/>
  <c r="N267" i="1"/>
  <c r="H267" i="1" s="1"/>
  <c r="X266" i="1"/>
  <c r="N266" i="1"/>
  <c r="H266" i="1" s="1"/>
  <c r="X265" i="1"/>
  <c r="N265" i="1"/>
  <c r="N264" i="1"/>
  <c r="V264" i="1" s="1"/>
  <c r="N263" i="1"/>
  <c r="P263" i="1" s="1"/>
  <c r="J268" i="1"/>
  <c r="P258" i="1"/>
  <c r="L258" i="1"/>
  <c r="N257" i="1"/>
  <c r="T257" i="1" s="1"/>
  <c r="N256" i="1"/>
  <c r="T256" i="1" s="1"/>
  <c r="N255" i="1"/>
  <c r="T255" i="1" s="1"/>
  <c r="N254" i="1"/>
  <c r="T254" i="1" s="1"/>
  <c r="F258" i="1"/>
  <c r="N253" i="1"/>
  <c r="T253" i="1" s="1"/>
  <c r="R258" i="1"/>
  <c r="N252" i="1"/>
  <c r="T252" i="1" s="1"/>
  <c r="H252" i="1"/>
  <c r="N251" i="1"/>
  <c r="N250" i="1"/>
  <c r="T250" i="1" s="1"/>
  <c r="N249" i="1"/>
  <c r="N248" i="1"/>
  <c r="N247" i="1"/>
  <c r="P244" i="1"/>
  <c r="L244" i="1"/>
  <c r="N243" i="1"/>
  <c r="T243" i="1" s="1"/>
  <c r="V243" i="1" s="1"/>
  <c r="N242" i="1"/>
  <c r="T242" i="1" s="1"/>
  <c r="X242" i="1" s="1"/>
  <c r="N241" i="1"/>
  <c r="T241" i="1" s="1"/>
  <c r="N240" i="1"/>
  <c r="T240" i="1" s="1"/>
  <c r="X240" i="1" s="1"/>
  <c r="N239" i="1"/>
  <c r="R244" i="1"/>
  <c r="N238" i="1"/>
  <c r="T238" i="1" s="1"/>
  <c r="N237" i="1"/>
  <c r="T237" i="1" s="1"/>
  <c r="N236" i="1"/>
  <c r="X235" i="1"/>
  <c r="N235" i="1"/>
  <c r="T235" i="1" s="1"/>
  <c r="V235" i="1" s="1"/>
  <c r="N234" i="1"/>
  <c r="T234" i="1" s="1"/>
  <c r="X234" i="1" s="1"/>
  <c r="N233" i="1"/>
  <c r="T233" i="1" s="1"/>
  <c r="P230" i="1"/>
  <c r="L230" i="1"/>
  <c r="N229" i="1"/>
  <c r="T229" i="1" s="1"/>
  <c r="N228" i="1"/>
  <c r="T228" i="1" s="1"/>
  <c r="N227" i="1"/>
  <c r="T227" i="1" s="1"/>
  <c r="N226" i="1"/>
  <c r="T226" i="1" s="1"/>
  <c r="N225" i="1"/>
  <c r="T225" i="1" s="1"/>
  <c r="V225" i="1" s="1"/>
  <c r="R230" i="1"/>
  <c r="N224" i="1"/>
  <c r="T224" i="1" s="1"/>
  <c r="V224" i="1" s="1"/>
  <c r="N223" i="1"/>
  <c r="T223" i="1" s="1"/>
  <c r="N222" i="1"/>
  <c r="T222" i="1" s="1"/>
  <c r="N221" i="1"/>
  <c r="T221" i="1" s="1"/>
  <c r="N220" i="1"/>
  <c r="T220" i="1" s="1"/>
  <c r="F230" i="1"/>
  <c r="N219" i="1"/>
  <c r="H219" i="1" s="1"/>
  <c r="J230" i="1"/>
  <c r="P216" i="1"/>
  <c r="L216" i="1"/>
  <c r="N215" i="1"/>
  <c r="T215" i="1" s="1"/>
  <c r="N214" i="1"/>
  <c r="T214" i="1" s="1"/>
  <c r="N213" i="1"/>
  <c r="T213" i="1" s="1"/>
  <c r="N212" i="1"/>
  <c r="T212" i="1" s="1"/>
  <c r="N211" i="1"/>
  <c r="T211" i="1" s="1"/>
  <c r="R216" i="1"/>
  <c r="N210" i="1"/>
  <c r="H210" i="1" s="1"/>
  <c r="N209" i="1"/>
  <c r="H209" i="1" s="1"/>
  <c r="N208" i="1"/>
  <c r="N207" i="1"/>
  <c r="T207" i="1" s="1"/>
  <c r="N206" i="1"/>
  <c r="T206" i="1" s="1"/>
  <c r="B206" i="1"/>
  <c r="F216" i="1"/>
  <c r="B194" i="1"/>
  <c r="X176" i="1"/>
  <c r="H176" i="1"/>
  <c r="R174" i="1"/>
  <c r="L174" i="1"/>
  <c r="F174" i="1"/>
  <c r="X173" i="1"/>
  <c r="N173" i="1"/>
  <c r="H173" i="1"/>
  <c r="X172" i="1"/>
  <c r="N172" i="1"/>
  <c r="X171" i="1"/>
  <c r="N170" i="1"/>
  <c r="H170" i="1" s="1"/>
  <c r="X169" i="1"/>
  <c r="N169" i="1"/>
  <c r="P169" i="1" s="1"/>
  <c r="S166" i="1"/>
  <c r="Q166" i="1"/>
  <c r="O166" i="1"/>
  <c r="M166" i="1"/>
  <c r="K166" i="1"/>
  <c r="I166" i="1"/>
  <c r="G166" i="1"/>
  <c r="R164" i="1"/>
  <c r="N163" i="1"/>
  <c r="N162" i="1"/>
  <c r="T162" i="1" s="1"/>
  <c r="N161" i="1"/>
  <c r="H161" i="1" s="1"/>
  <c r="N160" i="1"/>
  <c r="T160" i="1" s="1"/>
  <c r="P64" i="1"/>
  <c r="N159" i="1"/>
  <c r="N158" i="1"/>
  <c r="T158" i="1" s="1"/>
  <c r="N157" i="1"/>
  <c r="N156" i="1"/>
  <c r="N154" i="1"/>
  <c r="L164" i="1"/>
  <c r="F164" i="1"/>
  <c r="J150" i="1"/>
  <c r="N149" i="1"/>
  <c r="T149" i="1" s="1"/>
  <c r="N148" i="1"/>
  <c r="T148" i="1" s="1"/>
  <c r="N147" i="1"/>
  <c r="N146" i="1"/>
  <c r="T146" i="1" s="1"/>
  <c r="X146" i="1" s="1"/>
  <c r="N145" i="1"/>
  <c r="N144" i="1"/>
  <c r="T144" i="1" s="1"/>
  <c r="H144" i="1"/>
  <c r="N143" i="1"/>
  <c r="T143" i="1" s="1"/>
  <c r="H143" i="1"/>
  <c r="L150" i="1"/>
  <c r="N141" i="1"/>
  <c r="T141" i="1" s="1"/>
  <c r="N140" i="1"/>
  <c r="P150" i="1"/>
  <c r="N139" i="1"/>
  <c r="F150" i="1"/>
  <c r="N135" i="1"/>
  <c r="N134" i="1"/>
  <c r="T134" i="1" s="1"/>
  <c r="N133" i="1"/>
  <c r="T133" i="1" s="1"/>
  <c r="N132" i="1"/>
  <c r="T132" i="1" s="1"/>
  <c r="N131" i="1"/>
  <c r="T131" i="1" s="1"/>
  <c r="X131" i="1" s="1"/>
  <c r="N130" i="1"/>
  <c r="T130" i="1" s="1"/>
  <c r="X130" i="1" s="1"/>
  <c r="N129" i="1"/>
  <c r="N128" i="1"/>
  <c r="T128" i="1" s="1"/>
  <c r="N127" i="1"/>
  <c r="N126" i="1"/>
  <c r="T126" i="1" s="1"/>
  <c r="F122" i="1"/>
  <c r="N121" i="1"/>
  <c r="T121" i="1" s="1"/>
  <c r="N120" i="1"/>
  <c r="T120" i="1" s="1"/>
  <c r="N119" i="1"/>
  <c r="T119" i="1" s="1"/>
  <c r="N117" i="1"/>
  <c r="N116" i="1"/>
  <c r="T116" i="1" s="1"/>
  <c r="X116" i="1" s="1"/>
  <c r="H116" i="1"/>
  <c r="N114" i="1"/>
  <c r="H114" i="1" s="1"/>
  <c r="N112" i="1"/>
  <c r="T112" i="1" s="1"/>
  <c r="B112" i="1"/>
  <c r="N111" i="1"/>
  <c r="B100" i="1"/>
  <c r="X81" i="1"/>
  <c r="N81" i="1"/>
  <c r="H81" i="1" s="1"/>
  <c r="R79" i="1"/>
  <c r="L79" i="1"/>
  <c r="X78" i="1"/>
  <c r="N78" i="1"/>
  <c r="P78" i="1" s="1"/>
  <c r="N77" i="1"/>
  <c r="X76" i="1"/>
  <c r="N76" i="1"/>
  <c r="H76" i="1" s="1"/>
  <c r="N75" i="1"/>
  <c r="N74" i="1"/>
  <c r="H74" i="1" s="1"/>
  <c r="J79" i="1"/>
  <c r="F79" i="1"/>
  <c r="S71" i="1"/>
  <c r="Q71" i="1"/>
  <c r="O71" i="1"/>
  <c r="M71" i="1"/>
  <c r="K71" i="1"/>
  <c r="I71" i="1"/>
  <c r="G71" i="1"/>
  <c r="R68" i="1"/>
  <c r="P68" i="1"/>
  <c r="L68" i="1"/>
  <c r="R67" i="1"/>
  <c r="P67" i="1"/>
  <c r="L67" i="1"/>
  <c r="N67" i="1" s="1"/>
  <c r="H67" i="1" s="1"/>
  <c r="R66" i="1"/>
  <c r="P66" i="1"/>
  <c r="L66" i="1"/>
  <c r="R65" i="1"/>
  <c r="P65" i="1"/>
  <c r="L65" i="1"/>
  <c r="N65" i="1" s="1"/>
  <c r="R64" i="1"/>
  <c r="L64" i="1"/>
  <c r="R63" i="1"/>
  <c r="P63" i="1"/>
  <c r="L63" i="1"/>
  <c r="N63" i="1" s="1"/>
  <c r="R62" i="1"/>
  <c r="P62" i="1"/>
  <c r="L62" i="1"/>
  <c r="R61" i="1"/>
  <c r="P61" i="1"/>
  <c r="L61" i="1"/>
  <c r="N61" i="1" s="1"/>
  <c r="H61" i="1" s="1"/>
  <c r="R60" i="1"/>
  <c r="P60" i="1"/>
  <c r="L60" i="1"/>
  <c r="R59" i="1"/>
  <c r="P59" i="1"/>
  <c r="L59" i="1"/>
  <c r="N59" i="1" s="1"/>
  <c r="R58" i="1"/>
  <c r="P58" i="1"/>
  <c r="L58" i="1"/>
  <c r="J69" i="1"/>
  <c r="R54" i="1"/>
  <c r="P54" i="1"/>
  <c r="L54" i="1"/>
  <c r="R53" i="1"/>
  <c r="P53" i="1"/>
  <c r="L53" i="1"/>
  <c r="N53" i="1" s="1"/>
  <c r="R52" i="1"/>
  <c r="P52" i="1"/>
  <c r="L52" i="1"/>
  <c r="R51" i="1"/>
  <c r="P51" i="1"/>
  <c r="L51" i="1"/>
  <c r="N51" i="1" s="1"/>
  <c r="R50" i="1"/>
  <c r="P50" i="1"/>
  <c r="L50" i="1"/>
  <c r="R49" i="1"/>
  <c r="P49" i="1"/>
  <c r="L49" i="1"/>
  <c r="N49" i="1" s="1"/>
  <c r="R48" i="1"/>
  <c r="P48" i="1"/>
  <c r="L48" i="1"/>
  <c r="N48" i="1" s="1"/>
  <c r="R47" i="1"/>
  <c r="P47" i="1"/>
  <c r="L47" i="1"/>
  <c r="N47" i="1" s="1"/>
  <c r="R46" i="1"/>
  <c r="P46" i="1"/>
  <c r="L46" i="1"/>
  <c r="R45" i="1"/>
  <c r="P45" i="1"/>
  <c r="L45" i="1"/>
  <c r="R44" i="1"/>
  <c r="P44" i="1"/>
  <c r="L44" i="1"/>
  <c r="R40" i="1"/>
  <c r="P40" i="1"/>
  <c r="L40" i="1"/>
  <c r="N40" i="1" s="1"/>
  <c r="T40" i="1" s="1"/>
  <c r="R39" i="1"/>
  <c r="P39" i="1"/>
  <c r="L39" i="1"/>
  <c r="R38" i="1"/>
  <c r="P38" i="1"/>
  <c r="L38" i="1"/>
  <c r="N38" i="1"/>
  <c r="R37" i="1"/>
  <c r="P37" i="1"/>
  <c r="L37" i="1"/>
  <c r="N37" i="1" s="1"/>
  <c r="R36" i="1"/>
  <c r="P36" i="1"/>
  <c r="L36" i="1"/>
  <c r="N36" i="1" s="1"/>
  <c r="R35" i="1"/>
  <c r="P35" i="1"/>
  <c r="L35" i="1"/>
  <c r="N35" i="1" s="1"/>
  <c r="R34" i="1"/>
  <c r="P34" i="1"/>
  <c r="L34" i="1"/>
  <c r="N34" i="1" s="1"/>
  <c r="H34" i="1" s="1"/>
  <c r="R33" i="1"/>
  <c r="P33" i="1"/>
  <c r="L33" i="1"/>
  <c r="R32" i="1"/>
  <c r="P32" i="1"/>
  <c r="L32" i="1"/>
  <c r="N32" i="1" s="1"/>
  <c r="R31" i="1"/>
  <c r="P31" i="1"/>
  <c r="L31" i="1"/>
  <c r="R30" i="1"/>
  <c r="P30" i="1"/>
  <c r="L30" i="1"/>
  <c r="N30" i="1" s="1"/>
  <c r="J41" i="1"/>
  <c r="R26" i="1"/>
  <c r="P26" i="1"/>
  <c r="L26" i="1"/>
  <c r="R25" i="1"/>
  <c r="P25" i="1"/>
  <c r="L25" i="1"/>
  <c r="R24" i="1"/>
  <c r="P24" i="1"/>
  <c r="L24" i="1"/>
  <c r="R23" i="1"/>
  <c r="P23" i="1"/>
  <c r="L23" i="1"/>
  <c r="R22" i="1"/>
  <c r="P22" i="1"/>
  <c r="L22" i="1"/>
  <c r="R21" i="1"/>
  <c r="P21" i="1"/>
  <c r="L21" i="1"/>
  <c r="J27" i="1"/>
  <c r="R20" i="1"/>
  <c r="P20" i="1"/>
  <c r="L20" i="1"/>
  <c r="R19" i="1"/>
  <c r="P19" i="1"/>
  <c r="L19" i="1"/>
  <c r="R18" i="1"/>
  <c r="P18" i="1"/>
  <c r="L18" i="1"/>
  <c r="R17" i="1"/>
  <c r="P17" i="1"/>
  <c r="L17" i="1"/>
  <c r="B17" i="1"/>
  <c r="B18" i="1" s="1"/>
  <c r="R16" i="1"/>
  <c r="P16" i="1"/>
  <c r="L16" i="1"/>
  <c r="N16" i="1" s="1"/>
  <c r="H126" i="1" l="1"/>
  <c r="H255" i="1"/>
  <c r="T63" i="1"/>
  <c r="T210" i="1"/>
  <c r="H233" i="1"/>
  <c r="H257" i="1"/>
  <c r="T32" i="1"/>
  <c r="X32" i="1" s="1"/>
  <c r="H240" i="1"/>
  <c r="H128" i="1"/>
  <c r="T35" i="1"/>
  <c r="X35" i="1" s="1"/>
  <c r="H237" i="1"/>
  <c r="T47" i="1"/>
  <c r="X47" i="1" s="1"/>
  <c r="H78" i="1"/>
  <c r="H254" i="1"/>
  <c r="L41" i="1"/>
  <c r="H146" i="1"/>
  <c r="V169" i="1"/>
  <c r="H206" i="1"/>
  <c r="H226" i="1"/>
  <c r="H256" i="1"/>
  <c r="H158" i="1"/>
  <c r="H169" i="1"/>
  <c r="V146" i="1"/>
  <c r="T38" i="1"/>
  <c r="X38" i="1" s="1"/>
  <c r="H222" i="1"/>
  <c r="V234" i="1"/>
  <c r="P41" i="1"/>
  <c r="T51" i="1"/>
  <c r="V51" i="1" s="1"/>
  <c r="R260" i="1"/>
  <c r="R272" i="1" s="1"/>
  <c r="P260" i="1"/>
  <c r="V237" i="1"/>
  <c r="X237" i="1"/>
  <c r="T37" i="1"/>
  <c r="X37" i="1" s="1"/>
  <c r="T48" i="1"/>
  <c r="V48" i="1" s="1"/>
  <c r="V133" i="1"/>
  <c r="X133" i="1"/>
  <c r="T36" i="1"/>
  <c r="X36" i="1" s="1"/>
  <c r="V131" i="1"/>
  <c r="T59" i="1"/>
  <c r="V76" i="1"/>
  <c r="P76" i="1"/>
  <c r="R27" i="1"/>
  <c r="L55" i="1"/>
  <c r="T53" i="1"/>
  <c r="X53" i="1" s="1"/>
  <c r="T65" i="1"/>
  <c r="X65" i="1" s="1"/>
  <c r="H133" i="1"/>
  <c r="H172" i="1"/>
  <c r="H223" i="1"/>
  <c r="H227" i="1"/>
  <c r="H253" i="1"/>
  <c r="T161" i="1"/>
  <c r="V161" i="1" s="1"/>
  <c r="H241" i="1"/>
  <c r="V130" i="1"/>
  <c r="H220" i="1"/>
  <c r="H224" i="1"/>
  <c r="H228" i="1"/>
  <c r="H250" i="1"/>
  <c r="P55" i="1"/>
  <c r="H63" i="1"/>
  <c r="H77" i="1"/>
  <c r="H238" i="1"/>
  <c r="L27" i="1"/>
  <c r="R55" i="1"/>
  <c r="V78" i="1"/>
  <c r="L260" i="1"/>
  <c r="L272" i="1" s="1"/>
  <c r="H221" i="1"/>
  <c r="H229" i="1"/>
  <c r="H30" i="1"/>
  <c r="T30" i="1"/>
  <c r="R69" i="1"/>
  <c r="V32" i="1"/>
  <c r="V38" i="1"/>
  <c r="V59" i="1"/>
  <c r="N33" i="1"/>
  <c r="R41" i="1"/>
  <c r="N31" i="1"/>
  <c r="N52" i="1"/>
  <c r="T156" i="1"/>
  <c r="H156" i="1"/>
  <c r="X162" i="1"/>
  <c r="V162" i="1"/>
  <c r="T16" i="1"/>
  <c r="H16" i="1"/>
  <c r="N25" i="1"/>
  <c r="P27" i="1"/>
  <c r="N23" i="1"/>
  <c r="T49" i="1"/>
  <c r="T127" i="1"/>
  <c r="H127" i="1"/>
  <c r="N21" i="1"/>
  <c r="H40" i="1"/>
  <c r="H47" i="1"/>
  <c r="N17" i="1"/>
  <c r="N19" i="1"/>
  <c r="F41" i="1"/>
  <c r="H32" i="1"/>
  <c r="T34" i="1"/>
  <c r="X40" i="1"/>
  <c r="V40" i="1"/>
  <c r="N50" i="1"/>
  <c r="H50" i="1" s="1"/>
  <c r="N68" i="1"/>
  <c r="H68" i="1" s="1"/>
  <c r="N66" i="1"/>
  <c r="H66" i="1" s="1"/>
  <c r="H117" i="1"/>
  <c r="T117" i="1"/>
  <c r="X120" i="1"/>
  <c r="V120" i="1"/>
  <c r="H208" i="1"/>
  <c r="T208" i="1"/>
  <c r="X213" i="1"/>
  <c r="V213" i="1"/>
  <c r="V265" i="1"/>
  <c r="P265" i="1"/>
  <c r="H265" i="1"/>
  <c r="F136" i="1"/>
  <c r="F166" i="1" s="1"/>
  <c r="X148" i="1"/>
  <c r="V148" i="1"/>
  <c r="N155" i="1"/>
  <c r="X238" i="1"/>
  <c r="V238" i="1"/>
  <c r="H38" i="1"/>
  <c r="F55" i="1"/>
  <c r="H51" i="1"/>
  <c r="X63" i="1"/>
  <c r="V63" i="1"/>
  <c r="T111" i="1"/>
  <c r="L122" i="1"/>
  <c r="N115" i="1"/>
  <c r="T115" i="1" s="1"/>
  <c r="X214" i="1"/>
  <c r="V214" i="1"/>
  <c r="L69" i="1"/>
  <c r="N39" i="1"/>
  <c r="T39" i="1" s="1"/>
  <c r="X226" i="1"/>
  <c r="V226" i="1"/>
  <c r="X233" i="1"/>
  <c r="V233" i="1"/>
  <c r="T236" i="1"/>
  <c r="N244" i="1"/>
  <c r="N54" i="1"/>
  <c r="H54" i="1" s="1"/>
  <c r="P69" i="1"/>
  <c r="H49" i="1"/>
  <c r="H35" i="1"/>
  <c r="H37" i="1"/>
  <c r="N46" i="1"/>
  <c r="H46" i="1" s="1"/>
  <c r="N64" i="1"/>
  <c r="H64" i="1" s="1"/>
  <c r="J55" i="1"/>
  <c r="J71" i="1" s="1"/>
  <c r="H59" i="1"/>
  <c r="T61" i="1"/>
  <c r="H65" i="1"/>
  <c r="V75" i="1"/>
  <c r="H75" i="1"/>
  <c r="T140" i="1"/>
  <c r="T248" i="1"/>
  <c r="H248" i="1"/>
  <c r="N60" i="1"/>
  <c r="H60" i="1" s="1"/>
  <c r="H36" i="1"/>
  <c r="H48" i="1"/>
  <c r="H53" i="1"/>
  <c r="B19" i="1"/>
  <c r="N18" i="1"/>
  <c r="N20" i="1"/>
  <c r="H20" i="1" s="1"/>
  <c r="N22" i="1"/>
  <c r="H22" i="1" s="1"/>
  <c r="N24" i="1"/>
  <c r="N26" i="1"/>
  <c r="H26" i="1" s="1"/>
  <c r="F27" i="1"/>
  <c r="N45" i="1"/>
  <c r="T45" i="1" s="1"/>
  <c r="N62" i="1"/>
  <c r="H62" i="1" s="1"/>
  <c r="T67" i="1"/>
  <c r="X119" i="1"/>
  <c r="V119" i="1"/>
  <c r="X132" i="1"/>
  <c r="V132" i="1"/>
  <c r="N171" i="1"/>
  <c r="N174" i="1" s="1"/>
  <c r="X212" i="1"/>
  <c r="V212" i="1"/>
  <c r="X215" i="1"/>
  <c r="V215" i="1"/>
  <c r="X224" i="1"/>
  <c r="H111" i="1"/>
  <c r="H112" i="1"/>
  <c r="N113" i="1"/>
  <c r="J122" i="1"/>
  <c r="X134" i="1"/>
  <c r="V134" i="1"/>
  <c r="X143" i="1"/>
  <c r="V143" i="1"/>
  <c r="X144" i="1"/>
  <c r="V144" i="1"/>
  <c r="X158" i="1"/>
  <c r="V158" i="1"/>
  <c r="X210" i="1"/>
  <c r="V210" i="1"/>
  <c r="X241" i="1"/>
  <c r="V241" i="1"/>
  <c r="T251" i="1"/>
  <c r="H251" i="1"/>
  <c r="P75" i="1"/>
  <c r="H121" i="1"/>
  <c r="N125" i="1"/>
  <c r="H125" i="1" s="1"/>
  <c r="J136" i="1"/>
  <c r="X128" i="1"/>
  <c r="V128" i="1"/>
  <c r="T135" i="1"/>
  <c r="H135" i="1"/>
  <c r="N142" i="1"/>
  <c r="T142" i="1" s="1"/>
  <c r="X206" i="1"/>
  <c r="V206" i="1"/>
  <c r="T249" i="1"/>
  <c r="H249" i="1"/>
  <c r="F69" i="1"/>
  <c r="N79" i="1"/>
  <c r="P74" i="1"/>
  <c r="P122" i="1"/>
  <c r="X112" i="1"/>
  <c r="V112" i="1"/>
  <c r="H120" i="1"/>
  <c r="X121" i="1"/>
  <c r="V121" i="1"/>
  <c r="H154" i="1"/>
  <c r="T154" i="1"/>
  <c r="X160" i="1"/>
  <c r="V160" i="1"/>
  <c r="X211" i="1"/>
  <c r="V211" i="1"/>
  <c r="H239" i="1"/>
  <c r="T239" i="1"/>
  <c r="V239" i="1" s="1"/>
  <c r="V242" i="1"/>
  <c r="X252" i="1"/>
  <c r="V252" i="1"/>
  <c r="P264" i="1"/>
  <c r="N44" i="1"/>
  <c r="N58" i="1"/>
  <c r="V74" i="1"/>
  <c r="X75" i="1"/>
  <c r="X77" i="1"/>
  <c r="V77" i="1"/>
  <c r="P77" i="1"/>
  <c r="R122" i="1"/>
  <c r="T114" i="1"/>
  <c r="V116" i="1"/>
  <c r="H119" i="1"/>
  <c r="R136" i="1"/>
  <c r="T145" i="1"/>
  <c r="H145" i="1"/>
  <c r="H157" i="1"/>
  <c r="T157" i="1"/>
  <c r="N258" i="1"/>
  <c r="T247" i="1"/>
  <c r="H247" i="1"/>
  <c r="X74" i="1"/>
  <c r="T79" i="1"/>
  <c r="X126" i="1"/>
  <c r="V126" i="1"/>
  <c r="X141" i="1"/>
  <c r="V141" i="1"/>
  <c r="X149" i="1"/>
  <c r="V149" i="1"/>
  <c r="T159" i="1"/>
  <c r="T163" i="1"/>
  <c r="H163" i="1"/>
  <c r="X207" i="1"/>
  <c r="V207" i="1"/>
  <c r="X250" i="1"/>
  <c r="V250" i="1"/>
  <c r="N118" i="1"/>
  <c r="H129" i="1"/>
  <c r="T129" i="1"/>
  <c r="H140" i="1"/>
  <c r="H148" i="1"/>
  <c r="J216" i="1"/>
  <c r="V240" i="1"/>
  <c r="X243" i="1"/>
  <c r="X253" i="1"/>
  <c r="V253" i="1"/>
  <c r="H141" i="1"/>
  <c r="H149" i="1"/>
  <c r="P164" i="1"/>
  <c r="X221" i="1"/>
  <c r="V221" i="1"/>
  <c r="X229" i="1"/>
  <c r="V229" i="1"/>
  <c r="H236" i="1"/>
  <c r="N268" i="1"/>
  <c r="H263" i="1"/>
  <c r="L136" i="1"/>
  <c r="H132" i="1"/>
  <c r="H211" i="1"/>
  <c r="H213" i="1"/>
  <c r="H215" i="1"/>
  <c r="X223" i="1"/>
  <c r="V223" i="1"/>
  <c r="X254" i="1"/>
  <c r="V254" i="1"/>
  <c r="X256" i="1"/>
  <c r="V256" i="1"/>
  <c r="X263" i="1"/>
  <c r="V263" i="1"/>
  <c r="P136" i="1"/>
  <c r="H130" i="1"/>
  <c r="H131" i="1"/>
  <c r="H134" i="1"/>
  <c r="T209" i="1"/>
  <c r="X220" i="1"/>
  <c r="V220" i="1"/>
  <c r="H225" i="1"/>
  <c r="X228" i="1"/>
  <c r="V228" i="1"/>
  <c r="H235" i="1"/>
  <c r="H243" i="1"/>
  <c r="H264" i="1"/>
  <c r="H139" i="1"/>
  <c r="T139" i="1"/>
  <c r="H147" i="1"/>
  <c r="T147" i="1"/>
  <c r="X161" i="1"/>
  <c r="T268" i="1"/>
  <c r="H153" i="1"/>
  <c r="H160" i="1"/>
  <c r="J174" i="1"/>
  <c r="P170" i="1"/>
  <c r="V173" i="1"/>
  <c r="P173" i="1"/>
  <c r="T174" i="1"/>
  <c r="N205" i="1"/>
  <c r="H205" i="1" s="1"/>
  <c r="X222" i="1"/>
  <c r="V222" i="1"/>
  <c r="X255" i="1"/>
  <c r="V255" i="1"/>
  <c r="B113" i="1"/>
  <c r="R150" i="1"/>
  <c r="N153" i="1"/>
  <c r="J164" i="1"/>
  <c r="H159" i="1"/>
  <c r="H162" i="1"/>
  <c r="X170" i="1"/>
  <c r="V170" i="1"/>
  <c r="H207" i="1"/>
  <c r="H212" i="1"/>
  <c r="H214" i="1"/>
  <c r="N230" i="1"/>
  <c r="X227" i="1"/>
  <c r="V227" i="1"/>
  <c r="H234" i="1"/>
  <c r="H242" i="1"/>
  <c r="J258" i="1"/>
  <c r="X257" i="1"/>
  <c r="V257" i="1"/>
  <c r="V267" i="1"/>
  <c r="P172" i="1"/>
  <c r="B207" i="1"/>
  <c r="B208" i="1" s="1"/>
  <c r="B209" i="1" s="1"/>
  <c r="F244" i="1"/>
  <c r="F260" i="1" s="1"/>
  <c r="F272" i="1" s="1"/>
  <c r="P266" i="1"/>
  <c r="V172" i="1"/>
  <c r="T219" i="1"/>
  <c r="X264" i="1"/>
  <c r="P267" i="1"/>
  <c r="J244" i="1"/>
  <c r="V266" i="1"/>
  <c r="P71" i="1" l="1"/>
  <c r="V53" i="1"/>
  <c r="X51" i="1"/>
  <c r="V65" i="1"/>
  <c r="V36" i="1"/>
  <c r="V47" i="1"/>
  <c r="H244" i="1"/>
  <c r="H39" i="1"/>
  <c r="V35" i="1"/>
  <c r="V37" i="1"/>
  <c r="P268" i="1"/>
  <c r="P272" i="1" s="1"/>
  <c r="X59" i="1"/>
  <c r="H268" i="1"/>
  <c r="H79" i="1"/>
  <c r="R71" i="1"/>
  <c r="R83" i="1" s="1"/>
  <c r="J260" i="1"/>
  <c r="J272" i="1" s="1"/>
  <c r="H136" i="1"/>
  <c r="H230" i="1"/>
  <c r="L71" i="1"/>
  <c r="L83" i="1" s="1"/>
  <c r="P79" i="1"/>
  <c r="X48" i="1"/>
  <c r="H258" i="1"/>
  <c r="H18" i="1"/>
  <c r="J83" i="1"/>
  <c r="V127" i="1"/>
  <c r="X127" i="1"/>
  <c r="T23" i="1"/>
  <c r="H23" i="1"/>
  <c r="T52" i="1"/>
  <c r="B210" i="1"/>
  <c r="P166" i="1"/>
  <c r="H142" i="1"/>
  <c r="H150" i="1" s="1"/>
  <c r="X67" i="1"/>
  <c r="V67" i="1"/>
  <c r="T46" i="1"/>
  <c r="X236" i="1"/>
  <c r="V236" i="1"/>
  <c r="F178" i="1"/>
  <c r="X147" i="1"/>
  <c r="V147" i="1"/>
  <c r="T24" i="1"/>
  <c r="T68" i="1"/>
  <c r="H58" i="1"/>
  <c r="H69" i="1" s="1"/>
  <c r="T58" i="1"/>
  <c r="N69" i="1"/>
  <c r="X115" i="1"/>
  <c r="V115" i="1"/>
  <c r="T21" i="1"/>
  <c r="H21" i="1"/>
  <c r="P83" i="1"/>
  <c r="N27" i="1"/>
  <c r="T54" i="1"/>
  <c r="T31" i="1"/>
  <c r="N41" i="1"/>
  <c r="H31" i="1"/>
  <c r="X247" i="1"/>
  <c r="V247" i="1"/>
  <c r="T258" i="1"/>
  <c r="X248" i="1"/>
  <c r="V248" i="1"/>
  <c r="T155" i="1"/>
  <c r="H155" i="1"/>
  <c r="H164" i="1" s="1"/>
  <c r="X219" i="1"/>
  <c r="V219" i="1"/>
  <c r="T230" i="1"/>
  <c r="X114" i="1"/>
  <c r="V114" i="1"/>
  <c r="N55" i="1"/>
  <c r="T44" i="1"/>
  <c r="H44" i="1"/>
  <c r="V135" i="1"/>
  <c r="X135" i="1"/>
  <c r="T20" i="1"/>
  <c r="N150" i="1"/>
  <c r="X61" i="1"/>
  <c r="V61" i="1"/>
  <c r="T244" i="1"/>
  <c r="L166" i="1"/>
  <c r="L178" i="1" s="1"/>
  <c r="X117" i="1"/>
  <c r="V117" i="1"/>
  <c r="X34" i="1"/>
  <c r="V34" i="1"/>
  <c r="X49" i="1"/>
  <c r="V49" i="1"/>
  <c r="X142" i="1"/>
  <c r="V142" i="1"/>
  <c r="T22" i="1"/>
  <c r="N164" i="1"/>
  <c r="T153" i="1"/>
  <c r="T205" i="1"/>
  <c r="N216" i="1"/>
  <c r="N260" i="1" s="1"/>
  <c r="N272" i="1" s="1"/>
  <c r="X268" i="1"/>
  <c r="V268" i="1"/>
  <c r="X209" i="1"/>
  <c r="V209" i="1"/>
  <c r="X129" i="1"/>
  <c r="V129" i="1"/>
  <c r="X157" i="1"/>
  <c r="V157" i="1"/>
  <c r="R166" i="1"/>
  <c r="R178" i="1" s="1"/>
  <c r="J166" i="1"/>
  <c r="T62" i="1"/>
  <c r="F71" i="1"/>
  <c r="F83" i="1" s="1"/>
  <c r="X140" i="1"/>
  <c r="V140" i="1"/>
  <c r="T64" i="1"/>
  <c r="B20" i="1"/>
  <c r="B21" i="1" s="1"/>
  <c r="B22" i="1" s="1"/>
  <c r="X111" i="1"/>
  <c r="V111" i="1"/>
  <c r="T17" i="1"/>
  <c r="H17" i="1"/>
  <c r="T25" i="1"/>
  <c r="H25" i="1"/>
  <c r="X16" i="1"/>
  <c r="V16" i="1"/>
  <c r="X139" i="1"/>
  <c r="T150" i="1"/>
  <c r="V139" i="1"/>
  <c r="X154" i="1"/>
  <c r="V154" i="1"/>
  <c r="V163" i="1"/>
  <c r="X163" i="1"/>
  <c r="H115" i="1"/>
  <c r="X249" i="1"/>
  <c r="V249" i="1"/>
  <c r="T113" i="1"/>
  <c r="H113" i="1"/>
  <c r="V171" i="1"/>
  <c r="P171" i="1"/>
  <c r="P174" i="1" s="1"/>
  <c r="H171" i="1"/>
  <c r="H174" i="1" s="1"/>
  <c r="T26" i="1"/>
  <c r="T18" i="1"/>
  <c r="N122" i="1"/>
  <c r="T50" i="1"/>
  <c r="T33" i="1"/>
  <c r="H33" i="1"/>
  <c r="X30" i="1"/>
  <c r="V30" i="1"/>
  <c r="V145" i="1"/>
  <c r="X145" i="1"/>
  <c r="N136" i="1"/>
  <c r="T125" i="1"/>
  <c r="T19" i="1"/>
  <c r="H19" i="1"/>
  <c r="V174" i="1"/>
  <c r="X174" i="1"/>
  <c r="H216" i="1"/>
  <c r="B114" i="1"/>
  <c r="T118" i="1"/>
  <c r="H118" i="1"/>
  <c r="X159" i="1"/>
  <c r="V159" i="1"/>
  <c r="X79" i="1"/>
  <c r="V79" i="1"/>
  <c r="X251" i="1"/>
  <c r="V251" i="1"/>
  <c r="X45" i="1"/>
  <c r="V45" i="1"/>
  <c r="T60" i="1"/>
  <c r="X39" i="1"/>
  <c r="V39" i="1"/>
  <c r="H45" i="1"/>
  <c r="H24" i="1"/>
  <c r="X208" i="1"/>
  <c r="V208" i="1"/>
  <c r="T66" i="1"/>
  <c r="X156" i="1"/>
  <c r="V156" i="1"/>
  <c r="H52" i="1"/>
  <c r="H41" i="1" l="1"/>
  <c r="T27" i="1"/>
  <c r="H122" i="1"/>
  <c r="H166" i="1" s="1"/>
  <c r="H178" i="1" s="1"/>
  <c r="H260" i="1"/>
  <c r="H272" i="1" s="1"/>
  <c r="T41" i="1"/>
  <c r="X41" i="1" s="1"/>
  <c r="H27" i="1"/>
  <c r="B23" i="1"/>
  <c r="V21" i="1"/>
  <c r="X21" i="1"/>
  <c r="V24" i="1"/>
  <c r="X24" i="1"/>
  <c r="B115" i="1"/>
  <c r="T136" i="1"/>
  <c r="V125" i="1"/>
  <c r="X125" i="1"/>
  <c r="V26" i="1"/>
  <c r="X26" i="1"/>
  <c r="X113" i="1"/>
  <c r="V113" i="1"/>
  <c r="V25" i="1"/>
  <c r="X25" i="1"/>
  <c r="J178" i="1"/>
  <c r="X230" i="1"/>
  <c r="V230" i="1"/>
  <c r="X258" i="1"/>
  <c r="V258" i="1"/>
  <c r="X54" i="1"/>
  <c r="V54" i="1"/>
  <c r="P178" i="1"/>
  <c r="N166" i="1"/>
  <c r="N178" i="1" s="1"/>
  <c r="T69" i="1"/>
  <c r="V58" i="1"/>
  <c r="X58" i="1"/>
  <c r="X66" i="1"/>
  <c r="V66" i="1"/>
  <c r="V33" i="1"/>
  <c r="X33" i="1"/>
  <c r="V23" i="1"/>
  <c r="X23" i="1"/>
  <c r="X52" i="1"/>
  <c r="V52" i="1"/>
  <c r="V118" i="1"/>
  <c r="X118" i="1"/>
  <c r="T122" i="1"/>
  <c r="H55" i="1"/>
  <c r="X46" i="1"/>
  <c r="V46" i="1"/>
  <c r="B211" i="1"/>
  <c r="X150" i="1"/>
  <c r="V150" i="1"/>
  <c r="V27" i="1"/>
  <c r="X27" i="1"/>
  <c r="X62" i="1"/>
  <c r="V62" i="1"/>
  <c r="V20" i="1"/>
  <c r="X20" i="1"/>
  <c r="V31" i="1"/>
  <c r="X31" i="1"/>
  <c r="T216" i="1"/>
  <c r="X205" i="1"/>
  <c r="V205" i="1"/>
  <c r="V22" i="1"/>
  <c r="X22" i="1"/>
  <c r="T55" i="1"/>
  <c r="V44" i="1"/>
  <c r="X44" i="1"/>
  <c r="N71" i="1"/>
  <c r="N83" i="1" s="1"/>
  <c r="X68" i="1"/>
  <c r="V68" i="1"/>
  <c r="X60" i="1"/>
  <c r="V60" i="1"/>
  <c r="X18" i="1"/>
  <c r="V18" i="1"/>
  <c r="V19" i="1"/>
  <c r="X19" i="1"/>
  <c r="X50" i="1"/>
  <c r="V50" i="1"/>
  <c r="V17" i="1"/>
  <c r="X17" i="1"/>
  <c r="X64" i="1"/>
  <c r="V64" i="1"/>
  <c r="X153" i="1"/>
  <c r="V153" i="1"/>
  <c r="T164" i="1"/>
  <c r="X244" i="1"/>
  <c r="V244" i="1"/>
  <c r="V155" i="1"/>
  <c r="X155" i="1"/>
  <c r="V41" i="1" l="1"/>
  <c r="H71" i="1"/>
  <c r="H83" i="1" s="1"/>
  <c r="T71" i="1"/>
  <c r="X71" i="1" s="1"/>
  <c r="B24" i="1"/>
  <c r="X69" i="1"/>
  <c r="V69" i="1"/>
  <c r="X164" i="1"/>
  <c r="V164" i="1"/>
  <c r="X136" i="1"/>
  <c r="V136" i="1"/>
  <c r="B212" i="1"/>
  <c r="X122" i="1"/>
  <c r="T166" i="1"/>
  <c r="V122" i="1"/>
  <c r="B116" i="1"/>
  <c r="X55" i="1"/>
  <c r="V55" i="1"/>
  <c r="X216" i="1"/>
  <c r="V216" i="1"/>
  <c r="T260" i="1"/>
  <c r="V71" i="1" l="1"/>
  <c r="T83" i="1"/>
  <c r="T272" i="1"/>
  <c r="X260" i="1"/>
  <c r="V260" i="1"/>
  <c r="B117" i="1"/>
  <c r="B25" i="1"/>
  <c r="V83" i="1"/>
  <c r="X83" i="1"/>
  <c r="B213" i="1"/>
  <c r="X166" i="1"/>
  <c r="V166" i="1"/>
  <c r="T178" i="1"/>
  <c r="B214" i="1" l="1"/>
  <c r="B215" i="1" s="1"/>
  <c r="X178" i="1"/>
  <c r="V178" i="1"/>
  <c r="B26" i="1"/>
  <c r="B118" i="1"/>
  <c r="X272" i="1"/>
  <c r="V272" i="1"/>
  <c r="B27" i="1" l="1"/>
  <c r="B216" i="1"/>
  <c r="B119" i="1"/>
  <c r="B219" i="1" l="1"/>
  <c r="B120" i="1"/>
  <c r="B30" i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1" i="1" s="1"/>
  <c r="B74" i="1" s="1"/>
  <c r="B75" i="1" s="1"/>
  <c r="B76" i="1" s="1"/>
  <c r="B77" i="1" s="1"/>
  <c r="B78" i="1" s="1"/>
  <c r="B79" i="1" s="1"/>
  <c r="B81" i="1" s="1"/>
  <c r="B83" i="1" s="1"/>
  <c r="B220" i="1" l="1"/>
  <c r="B221" i="1" s="1"/>
  <c r="B222" i="1" s="1"/>
  <c r="B121" i="1"/>
  <c r="B122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6" i="1" s="1"/>
  <c r="B169" i="1" s="1"/>
  <c r="B170" i="1" s="1"/>
  <c r="B171" i="1" s="1"/>
  <c r="B172" i="1" s="1"/>
  <c r="B173" i="1" s="1"/>
  <c r="B174" i="1" s="1"/>
  <c r="B176" i="1" s="1"/>
  <c r="B178" i="1" s="1"/>
  <c r="B223" i="1" l="1"/>
  <c r="B224" i="1" s="1"/>
  <c r="B225" i="1" s="1"/>
  <c r="B226" i="1" s="1"/>
  <c r="B227" i="1" s="1"/>
  <c r="B228" i="1" s="1"/>
  <c r="B229" i="1" s="1"/>
  <c r="B230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60" i="1" s="1"/>
  <c r="B263" i="1" s="1"/>
  <c r="B264" i="1" s="1"/>
  <c r="B265" i="1" s="1"/>
  <c r="B266" i="1" s="1"/>
  <c r="B267" i="1" s="1"/>
  <c r="B268" i="1" s="1"/>
  <c r="B270" i="1" s="1"/>
  <c r="B272" i="1" s="1"/>
</calcChain>
</file>

<file path=xl/sharedStrings.xml><?xml version="1.0" encoding="utf-8"?>
<sst xmlns="http://schemas.openxmlformats.org/spreadsheetml/2006/main" count="334" uniqueCount="77">
  <si>
    <t>Summary of Proposed Revenue Change by Rate Class - Four Rate Zones - With One Rate Zone Distribution</t>
  </si>
  <si>
    <t>Total Revenue</t>
  </si>
  <si>
    <t>Revenue Before Recovery</t>
  </si>
  <si>
    <t>Proposed Revenue Requirement</t>
  </si>
  <si>
    <t>Revenue After Recovery</t>
  </si>
  <si>
    <t>Line</t>
  </si>
  <si>
    <t>Current Approved Revenue (1)</t>
  </si>
  <si>
    <t>Revenue (Deficiency) / Sufficiency</t>
  </si>
  <si>
    <t>Allocated 
Cost (2)</t>
  </si>
  <si>
    <t>Panhandle/
St. Clair Reallocation (3)</t>
  </si>
  <si>
    <t>S&amp;T 
Margin (4)</t>
  </si>
  <si>
    <t>Rate Design Adjustments</t>
  </si>
  <si>
    <t>Proposed Revenue (5)</t>
  </si>
  <si>
    <t>Revenue-
to-Cost</t>
  </si>
  <si>
    <t>Revenue Change</t>
  </si>
  <si>
    <t>No.</t>
  </si>
  <si>
    <t>Particulars</t>
  </si>
  <si>
    <t>($000s)</t>
  </si>
  <si>
    <t xml:space="preserve">($000s) </t>
  </si>
  <si>
    <t>Ratio</t>
  </si>
  <si>
    <t>(%)</t>
  </si>
  <si>
    <t>(a)</t>
  </si>
  <si>
    <t>(b) = (a - e)</t>
  </si>
  <si>
    <t>(c)</t>
  </si>
  <si>
    <t>(d)</t>
  </si>
  <si>
    <t>(e) = (c + d)</t>
  </si>
  <si>
    <t>(f)</t>
  </si>
  <si>
    <t>(g)</t>
  </si>
  <si>
    <t>(h) = (e + f + g)</t>
  </si>
  <si>
    <t>(i) = (h / e)</t>
  </si>
  <si>
    <t>(j) = (h - a) / (a)</t>
  </si>
  <si>
    <t>In-franchise</t>
  </si>
  <si>
    <t>North Service Area</t>
  </si>
  <si>
    <t xml:space="preserve">  Rate E01</t>
  </si>
  <si>
    <t xml:space="preserve">  Rate E02</t>
  </si>
  <si>
    <t xml:space="preserve">  Rate E10</t>
  </si>
  <si>
    <t xml:space="preserve">  Rate E20</t>
  </si>
  <si>
    <t xml:space="preserve">  Rate E22</t>
  </si>
  <si>
    <t xml:space="preserve">  Rate E24</t>
  </si>
  <si>
    <t xml:space="preserve">  Rate E30</t>
  </si>
  <si>
    <t xml:space="preserve">  Rate E34</t>
  </si>
  <si>
    <t xml:space="preserve">  Rate E38</t>
  </si>
  <si>
    <t xml:space="preserve">  Rate E62</t>
  </si>
  <si>
    <t xml:space="preserve">  Rate E64</t>
  </si>
  <si>
    <t>Total North Service Area</t>
  </si>
  <si>
    <t>East Service Area</t>
  </si>
  <si>
    <t>Total East Service Area</t>
  </si>
  <si>
    <t>Central Service Area</t>
  </si>
  <si>
    <t>Total Central Service Area</t>
  </si>
  <si>
    <t>South Service Area</t>
  </si>
  <si>
    <t>Total South Service Area</t>
  </si>
  <si>
    <t>Total In-franchise</t>
  </si>
  <si>
    <t>Ex-franchise</t>
  </si>
  <si>
    <t>Rate E60</t>
  </si>
  <si>
    <t xml:space="preserve">Rate E70 </t>
  </si>
  <si>
    <t>Rate E72</t>
  </si>
  <si>
    <t xml:space="preserve">Rate E80 </t>
  </si>
  <si>
    <t>Rate E82</t>
  </si>
  <si>
    <t>Total Ex-franchise</t>
  </si>
  <si>
    <t>Non-Utility Cross Charge</t>
  </si>
  <si>
    <t>Total Enbridge Gas</t>
  </si>
  <si>
    <t>Notes:</t>
  </si>
  <si>
    <t xml:space="preserve">(1) </t>
  </si>
  <si>
    <t>Current approved revenue at July 2024 QRAM rates applied to the 2024 Test Year billing unit forecast for each harmonized rate class.</t>
  </si>
  <si>
    <t xml:space="preserve">(2) </t>
  </si>
  <si>
    <t xml:space="preserve">(3) </t>
  </si>
  <si>
    <t>Phase 3 Exhibit 7, Tab 3, Schedule 6, Attachment 13, pp. 2, lines 78-87.</t>
  </si>
  <si>
    <t xml:space="preserve">(4) </t>
  </si>
  <si>
    <t>S&amp;T margin allocated to in-franchise rate classes in proportion to D-PTRANS allocation factor.</t>
  </si>
  <si>
    <t xml:space="preserve">(5) </t>
  </si>
  <si>
    <t>Attachment 2, column (g).</t>
  </si>
  <si>
    <t>Delivery Revenue</t>
  </si>
  <si>
    <t>Gas Supply Revenue</t>
  </si>
  <si>
    <t>Phase 3 Exhibit 7, Tab 3, Schedule 6, Attachment 13, pp.2, lines 78-87.</t>
  </si>
  <si>
    <t>Phase 3 Exhibit 7, Tab 3, Schedule 6, Attachment 8, pp. 1-4, line 35. Distribution costs allocated to rate zones on a common unit rate basis.</t>
  </si>
  <si>
    <t>Phase 3 Exhibit 7, Tab 3, Schedule 6, Attachment 9, pp. 1-4, line 35. Distribution costs allocated to rate zones on a common unit rate basis.</t>
  </si>
  <si>
    <t>Phase 3 Exhibit 7, Tab 3, Schedule 6, Attachment 10, pp.1-4, line 35. Distribution costs allocated to rate zones on a common unit rate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</si>
</sst>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_);\(#,##0\);\-"/>
    <numFmt numFmtId="165" formatCode="#,##0.000_);\(#,##0.000\)"/>
    <numFmt numFmtId="166" formatCode="###0%;\(###0%\)\ "/>
    <numFmt numFmtId="167" formatCode="0.000"/>
    <numFmt numFmtId="168" formatCode="#,##0.0000_);\(#,##0.0000\);\-"/>
    <numFmt numFmtId="169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Continuous"/>
    </xf>
    <xf numFmtId="0" fontId="3" fillId="0" borderId="1" xfId="3" applyFont="1" applyBorder="1" applyAlignment="1">
      <alignment horizontal="centerContinuous"/>
    </xf>
    <xf numFmtId="0" fontId="3" fillId="0" borderId="0" xfId="3" applyFont="1" applyAlignment="1">
      <alignment horizontal="center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 indent="1"/>
    </xf>
    <xf numFmtId="164" fontId="3" fillId="0" borderId="0" xfId="5" applyNumberFormat="1" applyFont="1" applyFill="1" applyBorder="1" applyAlignment="1">
      <alignment horizontal="right"/>
    </xf>
    <xf numFmtId="164" fontId="3" fillId="0" borderId="0" xfId="5" applyNumberFormat="1" applyFont="1" applyFill="1" applyBorder="1" applyAlignment="1"/>
    <xf numFmtId="0" fontId="3" fillId="0" borderId="0" xfId="3" applyFont="1" applyAlignment="1">
      <alignment horizontal="left"/>
    </xf>
    <xf numFmtId="0" fontId="4" fillId="0" borderId="0" xfId="6" applyFont="1"/>
    <xf numFmtId="164" fontId="3" fillId="0" borderId="0" xfId="3" applyNumberFormat="1" applyFont="1" applyAlignment="1">
      <alignment horizontal="center"/>
    </xf>
    <xf numFmtId="164" fontId="3" fillId="0" borderId="0" xfId="0" applyNumberFormat="1" applyFont="1"/>
    <xf numFmtId="164" fontId="3" fillId="0" borderId="2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164" fontId="3" fillId="0" borderId="3" xfId="5" applyNumberFormat="1" applyFont="1" applyFill="1" applyBorder="1" applyAlignment="1">
      <alignment horizontal="right"/>
    </xf>
    <xf numFmtId="164" fontId="3" fillId="0" borderId="0" xfId="5" applyNumberFormat="1" applyFont="1" applyFill="1" applyBorder="1" applyAlignment="1">
      <alignment horizontal="center"/>
    </xf>
    <xf numFmtId="0" fontId="3" fillId="0" borderId="0" xfId="4" applyAlignment="1">
      <alignment horizontal="centerContinuous"/>
    </xf>
    <xf numFmtId="0" fontId="3" fillId="0" borderId="0" xfId="4" applyAlignment="1">
      <alignment horizontal="left"/>
    </xf>
    <xf numFmtId="0" fontId="3" fillId="0" borderId="0" xfId="4"/>
    <xf numFmtId="0" fontId="3" fillId="0" borderId="1" xfId="4" applyBorder="1" applyAlignment="1">
      <alignment horizontal="centerContinuous"/>
    </xf>
    <xf numFmtId="0" fontId="3" fillId="0" borderId="0" xfId="4" applyAlignment="1">
      <alignment horizontal="center" wrapText="1"/>
    </xf>
    <xf numFmtId="0" fontId="3" fillId="0" borderId="1" xfId="4" applyBorder="1" applyAlignment="1">
      <alignment horizontal="center"/>
    </xf>
    <xf numFmtId="0" fontId="3" fillId="0" borderId="1" xfId="4" applyBorder="1"/>
    <xf numFmtId="0" fontId="3" fillId="0" borderId="0" xfId="4" applyAlignment="1">
      <alignment horizontal="center"/>
    </xf>
    <xf numFmtId="0" fontId="3" fillId="0" borderId="0" xfId="4" quotePrefix="1" applyAlignment="1">
      <alignment horizontal="center"/>
    </xf>
    <xf numFmtId="0" fontId="4" fillId="0" borderId="0" xfId="0" applyFont="1"/>
    <xf numFmtId="165" fontId="3" fillId="0" borderId="0" xfId="0" applyNumberFormat="1" applyFont="1"/>
    <xf numFmtId="166" fontId="3" fillId="0" borderId="0" xfId="2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2" xfId="0" applyNumberFormat="1" applyFont="1" applyBorder="1"/>
    <xf numFmtId="166" fontId="3" fillId="0" borderId="2" xfId="2" applyNumberFormat="1" applyFont="1" applyFill="1" applyBorder="1" applyAlignment="1">
      <alignment horizontal="right"/>
    </xf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8" fontId="3" fillId="0" borderId="0" xfId="0" applyNumberFormat="1" applyFont="1"/>
    <xf numFmtId="167" fontId="3" fillId="0" borderId="2" xfId="0" applyNumberFormat="1" applyFont="1" applyBorder="1"/>
    <xf numFmtId="0" fontId="3" fillId="0" borderId="0" xfId="0" applyFont="1" applyAlignment="1">
      <alignment horizontal="right"/>
    </xf>
    <xf numFmtId="169" fontId="3" fillId="0" borderId="0" xfId="1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9" fontId="3" fillId="0" borderId="2" xfId="0" applyNumberFormat="1" applyFont="1" applyBorder="1"/>
    <xf numFmtId="3" fontId="3" fillId="0" borderId="3" xfId="0" applyNumberFormat="1" applyFont="1" applyBorder="1"/>
    <xf numFmtId="164" fontId="3" fillId="0" borderId="3" xfId="0" applyNumberFormat="1" applyFont="1" applyBorder="1"/>
    <xf numFmtId="167" fontId="3" fillId="0" borderId="3" xfId="0" applyNumberFormat="1" applyFont="1" applyBorder="1"/>
    <xf numFmtId="166" fontId="3" fillId="0" borderId="3" xfId="2" applyNumberFormat="1" applyFont="1" applyFill="1" applyBorder="1" applyAlignment="1">
      <alignment horizontal="right"/>
    </xf>
    <xf numFmtId="0" fontId="3" fillId="0" borderId="0" xfId="6" quotePrefix="1" applyAlignment="1">
      <alignment horizontal="center" vertical="top"/>
    </xf>
    <xf numFmtId="0" fontId="3" fillId="0" borderId="0" xfId="0" applyFont="1" applyAlignment="1">
      <alignment horizontal="center"/>
    </xf>
    <xf numFmtId="37" fontId="3" fillId="0" borderId="3" xfId="0" applyNumberFormat="1" applyFont="1" applyBorder="1"/>
    <xf numFmtId="164" fontId="3" fillId="0" borderId="0" xfId="0" applyNumberFormat="1" applyFont="1" applyAlignment="1">
      <alignment horizontal="center"/>
    </xf>
    <xf numFmtId="0" fontId="4" fillId="0" borderId="0" xfId="3" applyFont="1" applyAlignment="1">
      <alignment horizontal="center"/>
    </xf>
  </cellXfs>
  <cellStyles count="7">
    <cellStyle name="Comma" xfId="1" builtinId="3"/>
    <cellStyle name="Comma 10" xfId="5" xr:uid="{1666D03B-A9F4-425C-9EEA-49CD616ED58C}"/>
    <cellStyle name="Normal" xfId="0" builtinId="0"/>
    <cellStyle name="Normal 10" xfId="6" xr:uid="{BEF43AD3-46C5-41B5-936D-AD282BBEE3CE}"/>
    <cellStyle name="Normal 4 3" xfId="3" xr:uid="{9CEC74C3-0168-4485-A028-C62A191C052C}"/>
    <cellStyle name="Normal 60" xfId="4" xr:uid="{650CB967-B39C-4181-A390-A085E57FF76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6E02-0063-486D-98E4-631044AF9551}">
  <dimension ref="A1:Y289"/>
  <sheetViews>
    <sheetView tabSelected="1" view="pageLayout" topLeftCell="A245" zoomScale="70" zoomScaleNormal="90" zoomScaleSheetLayoutView="90" zoomScalePageLayoutView="70" workbookViewId="0">
      <selection activeCell="F285" sqref="F285"/>
    </sheetView>
  </sheetViews>
  <sheetFormatPr defaultColWidth="9.07421875" defaultRowHeight="12.45" x14ac:dyDescent="0.3"/>
  <cols>
    <col min="1" max="1" width="1.53515625" style="15" customWidth="1"/>
    <col min="2" max="2" width="6.4609375" style="15" customWidth="1"/>
    <col min="3" max="3" width="1.53515625" style="15" customWidth="1"/>
    <col min="4" max="4" width="34.69140625" style="15" customWidth="1"/>
    <col min="5" max="5" width="1.53515625" style="15" customWidth="1"/>
    <col min="6" max="6" width="14.4609375" style="15" customWidth="1"/>
    <col min="7" max="7" width="1.53515625" style="15" customWidth="1"/>
    <col min="8" max="8" width="14.4609375" style="15" customWidth="1"/>
    <col min="9" max="9" width="1.53515625" style="15" customWidth="1"/>
    <col min="10" max="10" width="14.4609375" style="15" customWidth="1"/>
    <col min="11" max="11" width="1.53515625" style="15" customWidth="1"/>
    <col min="12" max="12" width="14.4609375" style="15" customWidth="1"/>
    <col min="13" max="13" width="1.53515625" style="15" customWidth="1"/>
    <col min="14" max="14" width="14.4609375" style="15" customWidth="1"/>
    <col min="15" max="15" width="1.53515625" style="15" customWidth="1"/>
    <col min="16" max="16" width="14.4609375" style="15" customWidth="1"/>
    <col min="17" max="17" width="1.53515625" style="15" customWidth="1"/>
    <col min="18" max="18" width="14.4609375" style="15" customWidth="1"/>
    <col min="19" max="19" width="1.53515625" style="15" customWidth="1"/>
    <col min="20" max="20" width="14.4609375" style="15" customWidth="1"/>
    <col min="21" max="21" width="1.53515625" style="15" customWidth="1"/>
    <col min="22" max="22" width="14.4609375" style="15" customWidth="1"/>
    <col min="23" max="23" width="1.53515625" style="15" customWidth="1"/>
    <col min="24" max="24" width="14.4609375" style="15" customWidth="1"/>
    <col min="25" max="25" width="1.53515625" style="15" customWidth="1"/>
    <col min="26" max="26" width="9.07421875" style="15"/>
    <col min="27" max="27" width="10.4609375" style="15" bestFit="1" customWidth="1"/>
    <col min="28" max="28" width="9.07421875" style="15"/>
    <col min="29" max="29" width="10.4609375" style="15" bestFit="1" customWidth="1"/>
    <col min="30" max="30" width="3.07421875" style="15" bestFit="1" customWidth="1"/>
    <col min="31" max="16384" width="9.07421875" style="15"/>
  </cols>
  <sheetData>
    <row r="1" spans="1:25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7.950000000000003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3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3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3">
      <c r="A5" s="1"/>
      <c r="B5" s="51" t="s">
        <v>0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3"/>
    </row>
    <row r="6" spans="1:25" x14ac:dyDescent="0.3">
      <c r="A6" s="1"/>
      <c r="B6" s="51" t="s">
        <v>1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3"/>
    </row>
    <row r="7" spans="1:25" x14ac:dyDescent="0.3">
      <c r="A7" s="1"/>
      <c r="B7" s="20"/>
      <c r="C7" s="20"/>
      <c r="D7" s="20"/>
      <c r="E7" s="2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3">
      <c r="A8" s="1"/>
      <c r="B8" s="21"/>
      <c r="C8" s="21"/>
      <c r="D8" s="21"/>
      <c r="E8" s="2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3">
      <c r="A9" s="1"/>
      <c r="B9" s="22"/>
      <c r="C9" s="22"/>
      <c r="D9" s="22"/>
      <c r="E9" s="22"/>
      <c r="F9" s="23" t="s">
        <v>2</v>
      </c>
      <c r="G9" s="23"/>
      <c r="H9" s="23"/>
      <c r="I9" s="21"/>
      <c r="J9" s="23" t="s">
        <v>3</v>
      </c>
      <c r="K9" s="23"/>
      <c r="L9" s="23"/>
      <c r="M9" s="23"/>
      <c r="N9" s="4"/>
      <c r="O9" s="21"/>
      <c r="P9" s="23" t="s">
        <v>4</v>
      </c>
      <c r="Q9" s="23"/>
      <c r="R9" s="23"/>
      <c r="S9" s="23"/>
      <c r="T9" s="4"/>
      <c r="U9" s="23"/>
      <c r="V9" s="23"/>
      <c r="W9" s="23"/>
      <c r="X9" s="4"/>
      <c r="Y9" s="22"/>
    </row>
    <row r="10" spans="1:25" ht="54" customHeight="1" x14ac:dyDescent="0.3">
      <c r="A10" s="5"/>
      <c r="B10" s="24" t="s">
        <v>5</v>
      </c>
      <c r="C10" s="24"/>
      <c r="D10" s="24"/>
      <c r="E10" s="24"/>
      <c r="F10" s="5" t="s">
        <v>6</v>
      </c>
      <c r="G10" s="5"/>
      <c r="H10" s="5" t="s">
        <v>7</v>
      </c>
      <c r="I10" s="24"/>
      <c r="J10" s="24" t="s">
        <v>8</v>
      </c>
      <c r="K10" s="24"/>
      <c r="L10" s="24" t="s">
        <v>9</v>
      </c>
      <c r="M10" s="24"/>
      <c r="N10" s="24" t="s">
        <v>3</v>
      </c>
      <c r="O10" s="24"/>
      <c r="P10" s="5" t="s">
        <v>10</v>
      </c>
      <c r="Q10" s="24"/>
      <c r="R10" s="5" t="s">
        <v>11</v>
      </c>
      <c r="S10" s="24"/>
      <c r="T10" s="5" t="s">
        <v>12</v>
      </c>
      <c r="U10" s="24"/>
      <c r="V10" s="24" t="s">
        <v>13</v>
      </c>
      <c r="W10" s="24"/>
      <c r="X10" s="24" t="s">
        <v>14</v>
      </c>
      <c r="Y10" s="5"/>
    </row>
    <row r="11" spans="1:25" x14ac:dyDescent="0.3">
      <c r="A11" s="1"/>
      <c r="B11" s="25" t="s">
        <v>15</v>
      </c>
      <c r="C11" s="22"/>
      <c r="D11" s="26" t="s">
        <v>16</v>
      </c>
      <c r="E11" s="27"/>
      <c r="F11" s="25" t="s">
        <v>17</v>
      </c>
      <c r="G11" s="1"/>
      <c r="H11" s="25" t="s">
        <v>17</v>
      </c>
      <c r="I11" s="27"/>
      <c r="J11" s="25" t="s">
        <v>17</v>
      </c>
      <c r="K11" s="27"/>
      <c r="L11" s="25" t="s">
        <v>17</v>
      </c>
      <c r="M11" s="27"/>
      <c r="N11" s="25" t="s">
        <v>17</v>
      </c>
      <c r="O11" s="27"/>
      <c r="P11" s="25" t="s">
        <v>17</v>
      </c>
      <c r="Q11" s="27"/>
      <c r="R11" s="25" t="s">
        <v>18</v>
      </c>
      <c r="S11" s="27"/>
      <c r="T11" s="25" t="s">
        <v>17</v>
      </c>
      <c r="U11" s="27"/>
      <c r="V11" s="25" t="s">
        <v>19</v>
      </c>
      <c r="W11" s="27"/>
      <c r="X11" s="25" t="s">
        <v>20</v>
      </c>
      <c r="Y11" s="1"/>
    </row>
    <row r="12" spans="1:25" x14ac:dyDescent="0.3">
      <c r="A12" s="1"/>
      <c r="B12" s="27"/>
      <c r="C12" s="22"/>
      <c r="D12" s="22"/>
      <c r="E12" s="27"/>
      <c r="F12" s="27" t="s">
        <v>21</v>
      </c>
      <c r="G12" s="27"/>
      <c r="H12" s="27" t="s">
        <v>22</v>
      </c>
      <c r="I12" s="27"/>
      <c r="J12" s="27" t="s">
        <v>23</v>
      </c>
      <c r="K12" s="27"/>
      <c r="L12" s="27" t="s">
        <v>24</v>
      </c>
      <c r="M12" s="27"/>
      <c r="N12" s="27" t="s">
        <v>25</v>
      </c>
      <c r="O12" s="27"/>
      <c r="P12" s="27" t="s">
        <v>26</v>
      </c>
      <c r="Q12" s="27"/>
      <c r="R12" s="27" t="s">
        <v>27</v>
      </c>
      <c r="S12" s="27"/>
      <c r="T12" s="27" t="s">
        <v>28</v>
      </c>
      <c r="U12" s="27"/>
      <c r="V12" s="28" t="s">
        <v>29</v>
      </c>
      <c r="W12" s="27"/>
      <c r="X12" s="28" t="s">
        <v>30</v>
      </c>
      <c r="Y12" s="1"/>
    </row>
    <row r="13" spans="1:25" x14ac:dyDescent="0.3">
      <c r="A13" s="1"/>
      <c r="B13" s="27"/>
      <c r="C13" s="22"/>
      <c r="D13" s="22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8"/>
      <c r="W13" s="27"/>
      <c r="X13" s="28"/>
      <c r="Y13" s="1"/>
    </row>
    <row r="14" spans="1:25" x14ac:dyDescent="0.3">
      <c r="D14" s="29" t="s">
        <v>31</v>
      </c>
    </row>
    <row r="15" spans="1:25" x14ac:dyDescent="0.3">
      <c r="D15" s="6" t="s">
        <v>32</v>
      </c>
      <c r="J15" s="8"/>
      <c r="P15" s="8"/>
      <c r="R15" s="8"/>
    </row>
    <row r="16" spans="1:25" x14ac:dyDescent="0.3">
      <c r="B16" s="27">
        <v>1</v>
      </c>
      <c r="D16" s="7" t="s">
        <v>33</v>
      </c>
      <c r="F16" s="8">
        <v>263114.2478628275</v>
      </c>
      <c r="G16" s="13"/>
      <c r="H16" s="13">
        <f>F16-N16</f>
        <v>31493.834308655903</v>
      </c>
      <c r="I16" s="13"/>
      <c r="J16" s="8">
        <v>231137.92511517415</v>
      </c>
      <c r="K16" s="13"/>
      <c r="L16" s="13">
        <f t="shared" ref="L16:L26" si="0">L111+L205</f>
        <v>482.48843899743855</v>
      </c>
      <c r="M16" s="13"/>
      <c r="N16" s="13">
        <f>J16+L16</f>
        <v>231620.4135541716</v>
      </c>
      <c r="O16" s="13"/>
      <c r="P16" s="8">
        <f t="shared" ref="P16:P26" si="1">P111+P205</f>
        <v>-546.09998392111947</v>
      </c>
      <c r="Q16" s="13"/>
      <c r="R16" s="9">
        <f t="shared" ref="R16:R26" si="2">R111+R205</f>
        <v>0</v>
      </c>
      <c r="S16" s="13"/>
      <c r="T16" s="13">
        <f t="shared" ref="T16:T26" si="3">N16+P16+R16</f>
        <v>231074.31357025047</v>
      </c>
      <c r="U16" s="13"/>
      <c r="V16" s="30">
        <f t="shared" ref="V16:V26" si="4">IFERROR(T16/N16,"-")</f>
        <v>0.99764226315141513</v>
      </c>
      <c r="W16" s="13"/>
      <c r="X16" s="31">
        <f t="shared" ref="X16:X26" si="5">IFERROR(T16/F16-1,"-")</f>
        <v>-0.1217719471781733</v>
      </c>
    </row>
    <row r="17" spans="2:24" x14ac:dyDescent="0.3">
      <c r="B17" s="27">
        <f>MAX(B$15:B16)+1</f>
        <v>2</v>
      </c>
      <c r="D17" s="7" t="s">
        <v>34</v>
      </c>
      <c r="F17" s="8">
        <v>70904.83858684919</v>
      </c>
      <c r="G17" s="13"/>
      <c r="H17" s="13">
        <f t="shared" ref="H17:H26" si="6">F17-N17</f>
        <v>4942.1462598147627</v>
      </c>
      <c r="I17" s="13"/>
      <c r="J17" s="8">
        <v>65801.022770679148</v>
      </c>
      <c r="K17" s="13"/>
      <c r="L17" s="13">
        <f t="shared" si="0"/>
        <v>161.66955635527793</v>
      </c>
      <c r="M17" s="13"/>
      <c r="N17" s="13">
        <f t="shared" ref="N17:N26" si="7">J17+L17</f>
        <v>65962.692327034427</v>
      </c>
      <c r="O17" s="13"/>
      <c r="P17" s="8">
        <f t="shared" si="1"/>
        <v>-284.55848194502909</v>
      </c>
      <c r="Q17" s="13"/>
      <c r="R17" s="9">
        <f t="shared" si="2"/>
        <v>0</v>
      </c>
      <c r="T17" s="13">
        <f t="shared" si="3"/>
        <v>65678.133845089396</v>
      </c>
      <c r="U17" s="13"/>
      <c r="V17" s="32">
        <f t="shared" si="4"/>
        <v>0.9956860693233347</v>
      </c>
      <c r="W17" s="13"/>
      <c r="X17" s="31">
        <f t="shared" si="5"/>
        <v>-7.3714359216229819E-2</v>
      </c>
    </row>
    <row r="18" spans="2:24" x14ac:dyDescent="0.3">
      <c r="B18" s="27">
        <f>MAX(B$15:B17)+1</f>
        <v>3</v>
      </c>
      <c r="D18" s="7" t="s">
        <v>35</v>
      </c>
      <c r="F18" s="8">
        <v>5598.5196354394011</v>
      </c>
      <c r="G18" s="13"/>
      <c r="H18" s="13">
        <f t="shared" si="6"/>
        <v>-526.03850885290194</v>
      </c>
      <c r="I18" s="13"/>
      <c r="J18" s="8">
        <v>6115.3334620579872</v>
      </c>
      <c r="K18" s="13"/>
      <c r="L18" s="13">
        <f t="shared" si="0"/>
        <v>9.2246822343156811</v>
      </c>
      <c r="M18" s="13"/>
      <c r="N18" s="13">
        <f t="shared" si="7"/>
        <v>6124.558144292303</v>
      </c>
      <c r="O18" s="13"/>
      <c r="P18" s="8">
        <f t="shared" si="1"/>
        <v>-32.57192115401687</v>
      </c>
      <c r="Q18" s="13"/>
      <c r="R18" s="9">
        <f t="shared" si="2"/>
        <v>0</v>
      </c>
      <c r="S18" s="13"/>
      <c r="T18" s="13">
        <f t="shared" si="3"/>
        <v>6091.9862231382858</v>
      </c>
      <c r="U18" s="13"/>
      <c r="V18" s="30">
        <f t="shared" si="4"/>
        <v>0.99468175166491446</v>
      </c>
      <c r="W18" s="13"/>
      <c r="X18" s="31">
        <f t="shared" si="5"/>
        <v>8.8142334015437473E-2</v>
      </c>
    </row>
    <row r="19" spans="2:24" x14ac:dyDescent="0.3">
      <c r="B19" s="27">
        <f>MAX(B$15:B18)+1</f>
        <v>4</v>
      </c>
      <c r="D19" s="7" t="s">
        <v>36</v>
      </c>
      <c r="F19" s="8">
        <v>0</v>
      </c>
      <c r="G19" s="13"/>
      <c r="H19" s="13">
        <f t="shared" si="6"/>
        <v>0</v>
      </c>
      <c r="I19" s="13"/>
      <c r="J19" s="8">
        <v>0</v>
      </c>
      <c r="K19" s="13"/>
      <c r="L19" s="13">
        <f t="shared" si="0"/>
        <v>0</v>
      </c>
      <c r="M19" s="13"/>
      <c r="N19" s="13">
        <f t="shared" si="7"/>
        <v>0</v>
      </c>
      <c r="O19" s="13"/>
      <c r="P19" s="8">
        <f t="shared" si="1"/>
        <v>0</v>
      </c>
      <c r="Q19" s="13"/>
      <c r="R19" s="9">
        <f t="shared" si="2"/>
        <v>0</v>
      </c>
      <c r="S19" s="13"/>
      <c r="T19" s="13">
        <f t="shared" si="3"/>
        <v>0</v>
      </c>
      <c r="U19" s="13"/>
      <c r="V19" s="32" t="str">
        <f t="shared" si="4"/>
        <v>-</v>
      </c>
      <c r="W19" s="13"/>
      <c r="X19" s="31" t="str">
        <f t="shared" si="5"/>
        <v>-</v>
      </c>
    </row>
    <row r="20" spans="2:24" x14ac:dyDescent="0.3">
      <c r="B20" s="27">
        <f>MAX(B$15:B19)+1</f>
        <v>5</v>
      </c>
      <c r="D20" s="7" t="s">
        <v>37</v>
      </c>
      <c r="F20" s="8">
        <v>16242.90396236271</v>
      </c>
      <c r="G20" s="13"/>
      <c r="H20" s="13">
        <f t="shared" si="6"/>
        <v>7778.7599400286854</v>
      </c>
      <c r="I20" s="13"/>
      <c r="J20" s="8">
        <v>8464.1440223340251</v>
      </c>
      <c r="K20" s="13"/>
      <c r="L20" s="13">
        <f t="shared" si="0"/>
        <v>0</v>
      </c>
      <c r="M20" s="13"/>
      <c r="N20" s="13">
        <f t="shared" si="7"/>
        <v>8464.1440223340251</v>
      </c>
      <c r="O20" s="13"/>
      <c r="P20" s="8">
        <f t="shared" si="1"/>
        <v>0</v>
      </c>
      <c r="Q20" s="13"/>
      <c r="R20" s="9">
        <f>R115+R209</f>
        <v>-28.037505286815303</v>
      </c>
      <c r="S20" s="13"/>
      <c r="T20" s="13">
        <f>N20+P20+R20</f>
        <v>8436.1065170472102</v>
      </c>
      <c r="U20" s="13"/>
      <c r="V20" s="32">
        <f t="shared" si="4"/>
        <v>0.99668749666678247</v>
      </c>
      <c r="W20" s="13"/>
      <c r="X20" s="31">
        <f t="shared" si="5"/>
        <v>-0.48062818467713919</v>
      </c>
    </row>
    <row r="21" spans="2:24" x14ac:dyDescent="0.3">
      <c r="B21" s="27">
        <f>MAX(B$15:B20)+1</f>
        <v>6</v>
      </c>
      <c r="D21" s="7" t="s">
        <v>38</v>
      </c>
      <c r="F21" s="8">
        <v>6322.6027855970324</v>
      </c>
      <c r="G21" s="13"/>
      <c r="H21" s="13">
        <f t="shared" si="6"/>
        <v>3611.3150964911033</v>
      </c>
      <c r="I21" s="13"/>
      <c r="J21" s="8">
        <v>2711.2876891059291</v>
      </c>
      <c r="K21" s="13"/>
      <c r="L21" s="13">
        <f t="shared" si="0"/>
        <v>0</v>
      </c>
      <c r="M21" s="13"/>
      <c r="N21" s="13">
        <f t="shared" si="7"/>
        <v>2711.2876891059291</v>
      </c>
      <c r="O21" s="13"/>
      <c r="P21" s="8">
        <f t="shared" si="1"/>
        <v>-21.498257188674728</v>
      </c>
      <c r="Q21" s="13"/>
      <c r="R21" s="9">
        <f t="shared" si="2"/>
        <v>-0.78069858162801686</v>
      </c>
      <c r="S21" s="13"/>
      <c r="T21" s="13">
        <f t="shared" si="3"/>
        <v>2689.0087333356264</v>
      </c>
      <c r="U21" s="13"/>
      <c r="V21" s="32">
        <f t="shared" si="4"/>
        <v>0.99178288757042621</v>
      </c>
      <c r="W21" s="13"/>
      <c r="X21" s="31">
        <f t="shared" si="5"/>
        <v>-0.57469908761922839</v>
      </c>
    </row>
    <row r="22" spans="2:24" x14ac:dyDescent="0.3">
      <c r="B22" s="27">
        <f>MAX(B$15:B21)+1</f>
        <v>7</v>
      </c>
      <c r="D22" s="7" t="s">
        <v>39</v>
      </c>
      <c r="F22" s="8">
        <v>818.32821437862526</v>
      </c>
      <c r="G22" s="13"/>
      <c r="H22" s="13">
        <f t="shared" si="6"/>
        <v>-70.725660331675385</v>
      </c>
      <c r="I22" s="13"/>
      <c r="J22" s="8">
        <v>884.46429282196118</v>
      </c>
      <c r="K22" s="13"/>
      <c r="L22" s="13">
        <f t="shared" si="0"/>
        <v>4.589581888339513</v>
      </c>
      <c r="M22" s="13"/>
      <c r="N22" s="13">
        <f t="shared" si="7"/>
        <v>889.05387471030065</v>
      </c>
      <c r="O22" s="13"/>
      <c r="P22" s="8">
        <f t="shared" si="1"/>
        <v>0</v>
      </c>
      <c r="Q22" s="13"/>
      <c r="R22" s="9">
        <f t="shared" si="2"/>
        <v>0</v>
      </c>
      <c r="S22" s="13"/>
      <c r="T22" s="13">
        <f t="shared" si="3"/>
        <v>889.05387471030065</v>
      </c>
      <c r="U22" s="13"/>
      <c r="V22" s="32">
        <f t="shared" si="4"/>
        <v>1</v>
      </c>
      <c r="W22" s="13"/>
      <c r="X22" s="31">
        <f t="shared" si="5"/>
        <v>8.6427009467562987E-2</v>
      </c>
    </row>
    <row r="23" spans="2:24" x14ac:dyDescent="0.3">
      <c r="B23" s="27">
        <f>MAX(B$15:B22)+1</f>
        <v>8</v>
      </c>
      <c r="D23" s="7" t="s">
        <v>40</v>
      </c>
      <c r="F23" s="8">
        <v>0</v>
      </c>
      <c r="G23" s="13"/>
      <c r="H23" s="13">
        <f t="shared" si="6"/>
        <v>0</v>
      </c>
      <c r="I23" s="13"/>
      <c r="J23" s="8">
        <v>0</v>
      </c>
      <c r="K23" s="13"/>
      <c r="L23" s="13">
        <f t="shared" si="0"/>
        <v>0</v>
      </c>
      <c r="M23" s="13"/>
      <c r="N23" s="13">
        <f t="shared" si="7"/>
        <v>0</v>
      </c>
      <c r="O23" s="13"/>
      <c r="P23" s="8">
        <f t="shared" si="1"/>
        <v>0</v>
      </c>
      <c r="Q23" s="13"/>
      <c r="R23" s="9">
        <f t="shared" si="2"/>
        <v>0</v>
      </c>
      <c r="S23" s="13"/>
      <c r="T23" s="13">
        <f t="shared" si="3"/>
        <v>0</v>
      </c>
      <c r="U23" s="13"/>
      <c r="V23" s="32" t="str">
        <f t="shared" si="4"/>
        <v>-</v>
      </c>
      <c r="W23" s="13"/>
      <c r="X23" s="31" t="str">
        <f t="shared" si="5"/>
        <v>-</v>
      </c>
    </row>
    <row r="24" spans="2:24" x14ac:dyDescent="0.3">
      <c r="B24" s="27">
        <f>MAX(B$15:B23)+1</f>
        <v>9</v>
      </c>
      <c r="D24" s="7" t="s">
        <v>41</v>
      </c>
      <c r="F24" s="8">
        <v>2692.0861500000001</v>
      </c>
      <c r="G24" s="13"/>
      <c r="H24" s="13">
        <f t="shared" si="6"/>
        <v>64.503413777601963</v>
      </c>
      <c r="I24" s="13"/>
      <c r="J24" s="8">
        <v>2627.5827362223981</v>
      </c>
      <c r="K24" s="13"/>
      <c r="L24" s="13">
        <f t="shared" si="0"/>
        <v>0</v>
      </c>
      <c r="M24" s="13"/>
      <c r="N24" s="13">
        <f t="shared" si="7"/>
        <v>2627.5827362223981</v>
      </c>
      <c r="O24" s="13"/>
      <c r="P24" s="8">
        <f t="shared" si="1"/>
        <v>-8.0667749790494305</v>
      </c>
      <c r="Q24" s="13"/>
      <c r="R24" s="9">
        <f t="shared" si="2"/>
        <v>135.36150669201737</v>
      </c>
      <c r="S24" s="13"/>
      <c r="T24" s="13">
        <f t="shared" si="3"/>
        <v>2754.877467935366</v>
      </c>
      <c r="U24" s="13"/>
      <c r="V24" s="32">
        <f t="shared" si="4"/>
        <v>1.0484455655603735</v>
      </c>
      <c r="W24" s="13"/>
      <c r="X24" s="31">
        <f t="shared" si="5"/>
        <v>2.3324408817810616E-2</v>
      </c>
    </row>
    <row r="25" spans="2:24" x14ac:dyDescent="0.3">
      <c r="B25" s="27">
        <f>MAX(B$15:B24)+1</f>
        <v>10</v>
      </c>
      <c r="D25" s="7" t="s">
        <v>42</v>
      </c>
      <c r="F25" s="8">
        <v>0</v>
      </c>
      <c r="G25" s="13"/>
      <c r="H25" s="13">
        <f t="shared" si="6"/>
        <v>0</v>
      </c>
      <c r="I25" s="13"/>
      <c r="J25" s="8">
        <v>0</v>
      </c>
      <c r="K25" s="13"/>
      <c r="L25" s="13">
        <f t="shared" si="0"/>
        <v>0</v>
      </c>
      <c r="M25" s="13"/>
      <c r="N25" s="13">
        <f t="shared" si="7"/>
        <v>0</v>
      </c>
      <c r="O25" s="13"/>
      <c r="P25" s="8">
        <f t="shared" si="1"/>
        <v>0</v>
      </c>
      <c r="Q25" s="13"/>
      <c r="R25" s="9">
        <f t="shared" si="2"/>
        <v>0</v>
      </c>
      <c r="S25" s="13"/>
      <c r="T25" s="13">
        <f t="shared" si="3"/>
        <v>0</v>
      </c>
      <c r="U25" s="13"/>
      <c r="V25" s="32" t="str">
        <f t="shared" si="4"/>
        <v>-</v>
      </c>
      <c r="W25" s="13"/>
      <c r="X25" s="31" t="str">
        <f t="shared" si="5"/>
        <v>-</v>
      </c>
    </row>
    <row r="26" spans="2:24" x14ac:dyDescent="0.3">
      <c r="B26" s="27">
        <f>MAX(B$15:B25)+1</f>
        <v>11</v>
      </c>
      <c r="D26" s="7" t="s">
        <v>43</v>
      </c>
      <c r="F26" s="8">
        <v>0</v>
      </c>
      <c r="G26" s="13"/>
      <c r="H26" s="13">
        <f t="shared" si="6"/>
        <v>0</v>
      </c>
      <c r="I26" s="13"/>
      <c r="J26" s="8">
        <v>0</v>
      </c>
      <c r="K26" s="13"/>
      <c r="L26" s="13">
        <f t="shared" si="0"/>
        <v>0</v>
      </c>
      <c r="M26" s="13"/>
      <c r="N26" s="13">
        <f t="shared" si="7"/>
        <v>0</v>
      </c>
      <c r="O26" s="13"/>
      <c r="P26" s="8">
        <f t="shared" si="1"/>
        <v>0</v>
      </c>
      <c r="Q26" s="13"/>
      <c r="R26" s="9">
        <f t="shared" si="2"/>
        <v>0</v>
      </c>
      <c r="S26" s="13"/>
      <c r="T26" s="13">
        <f t="shared" si="3"/>
        <v>0</v>
      </c>
      <c r="U26" s="13"/>
      <c r="V26" s="32" t="str">
        <f t="shared" si="4"/>
        <v>-</v>
      </c>
      <c r="W26" s="13"/>
      <c r="X26" s="31" t="str">
        <f t="shared" si="5"/>
        <v>-</v>
      </c>
    </row>
    <row r="27" spans="2:24" x14ac:dyDescent="0.3">
      <c r="B27" s="27">
        <f>MAX(B$15:B26)+1</f>
        <v>12</v>
      </c>
      <c r="D27" s="10" t="s">
        <v>44</v>
      </c>
      <c r="F27" s="14">
        <f>SUM(F16:F26)</f>
        <v>365693.52719745442</v>
      </c>
      <c r="G27" s="13"/>
      <c r="H27" s="14">
        <f>SUM(H16:H26)</f>
        <v>47293.794849583479</v>
      </c>
      <c r="I27" s="13"/>
      <c r="J27" s="14">
        <f>SUM(J16:J26)</f>
        <v>317741.76008839562</v>
      </c>
      <c r="K27" s="13"/>
      <c r="L27" s="14">
        <f>SUM(L16:L26)</f>
        <v>657.97225947537163</v>
      </c>
      <c r="M27" s="13"/>
      <c r="N27" s="14">
        <f>SUM(N16:N26)</f>
        <v>318399.732347871</v>
      </c>
      <c r="O27" s="13"/>
      <c r="P27" s="14">
        <f>SUM(P16:P26)</f>
        <v>-892.79541918788971</v>
      </c>
      <c r="Q27" s="13"/>
      <c r="R27" s="14">
        <f>SUM(R16:R26)</f>
        <v>106.54330282357405</v>
      </c>
      <c r="S27" s="13"/>
      <c r="T27" s="14">
        <f>SUM(T16:T26)</f>
        <v>317613.48023150669</v>
      </c>
      <c r="U27" s="13"/>
      <c r="V27" s="33">
        <f>T27/N27</f>
        <v>0.99753061313661762</v>
      </c>
      <c r="W27" s="13"/>
      <c r="X27" s="34">
        <f>T27/F27-1</f>
        <v>-0.13147634122598828</v>
      </c>
    </row>
    <row r="28" spans="2:24" x14ac:dyDescent="0.3">
      <c r="B28" s="27"/>
    </row>
    <row r="29" spans="2:24" x14ac:dyDescent="0.3">
      <c r="B29" s="27"/>
      <c r="D29" s="6" t="s">
        <v>45</v>
      </c>
    </row>
    <row r="30" spans="2:24" x14ac:dyDescent="0.3">
      <c r="B30" s="27">
        <f>MAX(B$15:B29)+1</f>
        <v>13</v>
      </c>
      <c r="D30" s="7" t="s">
        <v>33</v>
      </c>
      <c r="F30" s="8">
        <v>453096.75906359032</v>
      </c>
      <c r="H30" s="13">
        <f>F30-N30</f>
        <v>-27230.310651071428</v>
      </c>
      <c r="J30" s="8">
        <v>480242.05836899695</v>
      </c>
      <c r="L30" s="8">
        <f t="shared" ref="L30:L40" si="8">L125+L219</f>
        <v>85.011345664821221</v>
      </c>
      <c r="N30" s="13">
        <f>J30+L30</f>
        <v>480327.06971466175</v>
      </c>
      <c r="P30" s="8">
        <f t="shared" ref="P30:P40" si="9">P125+P219</f>
        <v>-885.89438568657431</v>
      </c>
      <c r="R30" s="8">
        <f t="shared" ref="R30:R40" si="10">R125+R219</f>
        <v>0</v>
      </c>
      <c r="T30" s="13">
        <f t="shared" ref="T30:T40" si="11">N30+P30+R30</f>
        <v>479441.17532897519</v>
      </c>
      <c r="V30" s="35">
        <f t="shared" ref="V30:V40" si="12">IFERROR(T30/N30,"-")</f>
        <v>0.99815564343227037</v>
      </c>
      <c r="X30" s="31">
        <f t="shared" ref="X30:X40" si="13">IFERROR(T30/F30-1,"-")</f>
        <v>5.8143025167142204E-2</v>
      </c>
    </row>
    <row r="31" spans="2:24" x14ac:dyDescent="0.3">
      <c r="B31" s="27">
        <f>MAX(B$15:B30)+1</f>
        <v>14</v>
      </c>
      <c r="D31" s="7" t="s">
        <v>34</v>
      </c>
      <c r="F31" s="8">
        <v>141780.7591607724</v>
      </c>
      <c r="H31" s="13">
        <f t="shared" ref="H31:H40" si="14">F31-N31</f>
        <v>-42694.757643521472</v>
      </c>
      <c r="J31" s="8">
        <v>184440.01369353555</v>
      </c>
      <c r="L31" s="8">
        <f t="shared" si="8"/>
        <v>35.503110758328432</v>
      </c>
      <c r="N31" s="13">
        <f t="shared" ref="N31:N40" si="15">J31+L31</f>
        <v>184475.51680429387</v>
      </c>
      <c r="P31" s="8">
        <f t="shared" si="9"/>
        <v>-624.4531183439293</v>
      </c>
      <c r="R31" s="8">
        <f t="shared" si="10"/>
        <v>0</v>
      </c>
      <c r="T31" s="13">
        <f t="shared" si="11"/>
        <v>183851.06368594995</v>
      </c>
      <c r="V31" s="35">
        <f t="shared" si="12"/>
        <v>0.99661498106002655</v>
      </c>
      <c r="X31" s="31">
        <f t="shared" si="13"/>
        <v>0.29672788306537345</v>
      </c>
    </row>
    <row r="32" spans="2:24" x14ac:dyDescent="0.3">
      <c r="B32" s="27">
        <f>MAX(B$15:B31)+1</f>
        <v>15</v>
      </c>
      <c r="D32" s="7" t="s">
        <v>35</v>
      </c>
      <c r="F32" s="8">
        <v>19372.921156067237</v>
      </c>
      <c r="H32" s="13">
        <f t="shared" si="14"/>
        <v>-10226.188313654569</v>
      </c>
      <c r="J32" s="8">
        <v>29595.346314713897</v>
      </c>
      <c r="L32" s="8">
        <f t="shared" si="8"/>
        <v>3.7631550079090186</v>
      </c>
      <c r="N32" s="13">
        <f t="shared" si="15"/>
        <v>29599.109469721807</v>
      </c>
      <c r="P32" s="8">
        <f t="shared" si="9"/>
        <v>-98.50131883403526</v>
      </c>
      <c r="R32" s="8">
        <f t="shared" si="10"/>
        <v>0</v>
      </c>
      <c r="T32" s="13">
        <f t="shared" si="11"/>
        <v>29500.608150887772</v>
      </c>
      <c r="V32" s="35">
        <f t="shared" si="12"/>
        <v>0.99667215262219977</v>
      </c>
      <c r="X32" s="31">
        <f t="shared" si="13"/>
        <v>0.52277542004287425</v>
      </c>
    </row>
    <row r="33" spans="2:24" x14ac:dyDescent="0.3">
      <c r="B33" s="27">
        <f>MAX(B$15:B32)+1</f>
        <v>16</v>
      </c>
      <c r="D33" s="7" t="s">
        <v>36</v>
      </c>
      <c r="F33" s="8">
        <v>0</v>
      </c>
      <c r="H33" s="13">
        <f t="shared" si="14"/>
        <v>0</v>
      </c>
      <c r="J33" s="8">
        <v>0</v>
      </c>
      <c r="L33" s="8">
        <f t="shared" si="8"/>
        <v>0</v>
      </c>
      <c r="N33" s="13">
        <f t="shared" si="15"/>
        <v>0</v>
      </c>
      <c r="P33" s="8">
        <f t="shared" si="9"/>
        <v>0</v>
      </c>
      <c r="R33" s="8">
        <f t="shared" si="10"/>
        <v>0</v>
      </c>
      <c r="T33" s="13">
        <f t="shared" si="11"/>
        <v>0</v>
      </c>
      <c r="V33" s="36" t="str">
        <f t="shared" si="12"/>
        <v>-</v>
      </c>
      <c r="X33" s="31" t="str">
        <f t="shared" si="13"/>
        <v>-</v>
      </c>
    </row>
    <row r="34" spans="2:24" x14ac:dyDescent="0.3">
      <c r="B34" s="27">
        <f>MAX(B$15:B33)+1</f>
        <v>17</v>
      </c>
      <c r="D34" s="7" t="s">
        <v>37</v>
      </c>
      <c r="F34" s="8">
        <v>6484.2592364123047</v>
      </c>
      <c r="H34" s="13">
        <f t="shared" si="14"/>
        <v>2704.0901713063108</v>
      </c>
      <c r="J34" s="8">
        <v>3780.1690651059939</v>
      </c>
      <c r="L34" s="8">
        <f t="shared" si="8"/>
        <v>0</v>
      </c>
      <c r="N34" s="13">
        <f t="shared" si="15"/>
        <v>3780.1690651059939</v>
      </c>
      <c r="P34" s="8">
        <f t="shared" si="9"/>
        <v>0</v>
      </c>
      <c r="R34" s="8">
        <f t="shared" si="10"/>
        <v>-111.18801750196531</v>
      </c>
      <c r="T34" s="13">
        <f t="shared" si="11"/>
        <v>3668.9810476040284</v>
      </c>
      <c r="V34" s="36">
        <f t="shared" si="12"/>
        <v>0.97058649610983794</v>
      </c>
      <c r="X34" s="31">
        <f t="shared" si="13"/>
        <v>-0.43417113446037203</v>
      </c>
    </row>
    <row r="35" spans="2:24" x14ac:dyDescent="0.3">
      <c r="B35" s="27">
        <f>MAX(B$15:B34)+1</f>
        <v>18</v>
      </c>
      <c r="D35" s="7" t="s">
        <v>38</v>
      </c>
      <c r="F35" s="8">
        <v>12534.212286914002</v>
      </c>
      <c r="H35" s="13">
        <f t="shared" si="14"/>
        <v>5775.7792773301562</v>
      </c>
      <c r="J35" s="8">
        <v>6758.4330095838459</v>
      </c>
      <c r="L35" s="8">
        <f t="shared" si="8"/>
        <v>0</v>
      </c>
      <c r="N35" s="13">
        <f t="shared" si="15"/>
        <v>6758.4330095838459</v>
      </c>
      <c r="P35" s="8">
        <f t="shared" si="9"/>
        <v>-58.505971349179084</v>
      </c>
      <c r="R35" s="8">
        <f t="shared" si="10"/>
        <v>-2.1246154257162457</v>
      </c>
      <c r="T35" s="37">
        <f t="shared" si="11"/>
        <v>6697.8024228089507</v>
      </c>
      <c r="V35" s="36">
        <f t="shared" si="12"/>
        <v>0.99102889875672107</v>
      </c>
      <c r="X35" s="31">
        <f t="shared" si="13"/>
        <v>-0.46563834491604983</v>
      </c>
    </row>
    <row r="36" spans="2:24" x14ac:dyDescent="0.3">
      <c r="B36" s="27">
        <f>MAX(B$15:B35)+1</f>
        <v>19</v>
      </c>
      <c r="D36" s="7" t="s">
        <v>39</v>
      </c>
      <c r="F36" s="8">
        <v>602.54667405626219</v>
      </c>
      <c r="H36" s="13">
        <f t="shared" si="14"/>
        <v>-1604.5105123975475</v>
      </c>
      <c r="J36" s="8">
        <v>2207.0393839299413</v>
      </c>
      <c r="L36" s="8">
        <f t="shared" si="8"/>
        <v>1.780252386844473E-2</v>
      </c>
      <c r="N36" s="13">
        <f t="shared" si="15"/>
        <v>2207.0571864538097</v>
      </c>
      <c r="P36" s="8">
        <f t="shared" si="9"/>
        <v>0</v>
      </c>
      <c r="R36" s="8">
        <f t="shared" si="10"/>
        <v>196</v>
      </c>
      <c r="T36" s="13">
        <f t="shared" si="11"/>
        <v>2403.0571864538097</v>
      </c>
      <c r="V36" s="36">
        <f t="shared" si="12"/>
        <v>1.0888060360207172</v>
      </c>
      <c r="X36" s="31">
        <f t="shared" si="13"/>
        <v>2.9881677053775033</v>
      </c>
    </row>
    <row r="37" spans="2:24" x14ac:dyDescent="0.3">
      <c r="B37" s="27">
        <f>MAX(B$15:B36)+1</f>
        <v>20</v>
      </c>
      <c r="D37" s="7" t="s">
        <v>40</v>
      </c>
      <c r="F37" s="8">
        <v>385.62900370775321</v>
      </c>
      <c r="H37" s="13">
        <f t="shared" si="14"/>
        <v>-495.36980020394719</v>
      </c>
      <c r="J37" s="8">
        <v>880.9581828349983</v>
      </c>
      <c r="L37" s="8">
        <f t="shared" si="8"/>
        <v>4.062107670206646E-2</v>
      </c>
      <c r="N37" s="13">
        <f t="shared" si="15"/>
        <v>880.99880391170041</v>
      </c>
      <c r="P37" s="8">
        <f t="shared" si="9"/>
        <v>-4.0380341573596802E-2</v>
      </c>
      <c r="R37" s="8">
        <f t="shared" si="10"/>
        <v>-196</v>
      </c>
      <c r="T37" s="13">
        <f t="shared" si="11"/>
        <v>684.9584235701268</v>
      </c>
      <c r="V37" s="36">
        <f t="shared" si="12"/>
        <v>0.77747940238835778</v>
      </c>
      <c r="X37" s="31">
        <f t="shared" si="13"/>
        <v>0.77621085806403367</v>
      </c>
    </row>
    <row r="38" spans="2:24" x14ac:dyDescent="0.3">
      <c r="B38" s="27">
        <f>MAX(B$15:B37)+1</f>
        <v>21</v>
      </c>
      <c r="D38" s="7" t="s">
        <v>41</v>
      </c>
      <c r="F38" s="8">
        <v>0</v>
      </c>
      <c r="H38" s="13">
        <f t="shared" si="14"/>
        <v>0</v>
      </c>
      <c r="J38" s="8">
        <v>0</v>
      </c>
      <c r="L38" s="8">
        <f t="shared" si="8"/>
        <v>0</v>
      </c>
      <c r="N38" s="13">
        <f t="shared" si="15"/>
        <v>0</v>
      </c>
      <c r="P38" s="8">
        <f t="shared" si="9"/>
        <v>0</v>
      </c>
      <c r="R38" s="8">
        <f t="shared" si="10"/>
        <v>0</v>
      </c>
      <c r="T38" s="13">
        <f t="shared" si="11"/>
        <v>0</v>
      </c>
      <c r="V38" s="36" t="str">
        <f t="shared" si="12"/>
        <v>-</v>
      </c>
      <c r="X38" s="31" t="str">
        <f t="shared" si="13"/>
        <v>-</v>
      </c>
    </row>
    <row r="39" spans="2:24" x14ac:dyDescent="0.3">
      <c r="B39" s="27">
        <f>MAX(B$15:B38)+1</f>
        <v>22</v>
      </c>
      <c r="D39" s="7" t="s">
        <v>42</v>
      </c>
      <c r="F39" s="8">
        <v>29315.707925300005</v>
      </c>
      <c r="H39" s="13">
        <f t="shared" si="14"/>
        <v>-3838.3808791585179</v>
      </c>
      <c r="J39" s="8">
        <v>33142.441004652719</v>
      </c>
      <c r="L39" s="8">
        <f t="shared" si="8"/>
        <v>11.647799805806374</v>
      </c>
      <c r="N39" s="13">
        <f t="shared" si="15"/>
        <v>33154.088804458523</v>
      </c>
      <c r="P39" s="8">
        <f t="shared" si="9"/>
        <v>-97.831666646795824</v>
      </c>
      <c r="R39" s="8">
        <f t="shared" si="10"/>
        <v>0</v>
      </c>
      <c r="T39" s="13">
        <f t="shared" si="11"/>
        <v>33056.257137811728</v>
      </c>
      <c r="V39" s="36">
        <f t="shared" si="12"/>
        <v>0.99704918246362306</v>
      </c>
      <c r="X39" s="31">
        <f t="shared" si="13"/>
        <v>0.12759539090930705</v>
      </c>
    </row>
    <row r="40" spans="2:24" x14ac:dyDescent="0.3">
      <c r="B40" s="27">
        <f>MAX(B$15:B39)+1</f>
        <v>23</v>
      </c>
      <c r="D40" s="7" t="s">
        <v>43</v>
      </c>
      <c r="F40" s="8">
        <v>0</v>
      </c>
      <c r="H40" s="13">
        <f t="shared" si="14"/>
        <v>0</v>
      </c>
      <c r="J40" s="8">
        <v>0</v>
      </c>
      <c r="L40" s="8">
        <f t="shared" si="8"/>
        <v>0</v>
      </c>
      <c r="N40" s="13">
        <f t="shared" si="15"/>
        <v>0</v>
      </c>
      <c r="P40" s="8">
        <f t="shared" si="9"/>
        <v>0</v>
      </c>
      <c r="R40" s="8">
        <f t="shared" si="10"/>
        <v>0</v>
      </c>
      <c r="T40" s="13">
        <f t="shared" si="11"/>
        <v>0</v>
      </c>
      <c r="V40" s="36" t="str">
        <f t="shared" si="12"/>
        <v>-</v>
      </c>
      <c r="X40" s="31" t="str">
        <f t="shared" si="13"/>
        <v>-</v>
      </c>
    </row>
    <row r="41" spans="2:24" x14ac:dyDescent="0.3">
      <c r="B41" s="27">
        <f>MAX(B$15:B40)+1</f>
        <v>24</v>
      </c>
      <c r="D41" s="10" t="s">
        <v>46</v>
      </c>
      <c r="F41" s="17">
        <f>SUM(F30:F40)</f>
        <v>663572.79450682038</v>
      </c>
      <c r="H41" s="14">
        <f>SUM(H30:H40)</f>
        <v>-77609.648351371012</v>
      </c>
      <c r="J41" s="14">
        <f>SUM(J30:J40)</f>
        <v>741046.45902335399</v>
      </c>
      <c r="L41" s="14">
        <f>SUM(L30:L40)</f>
        <v>135.98383483743555</v>
      </c>
      <c r="N41" s="14">
        <f>SUM(N30:N40)</f>
        <v>741182.44285819132</v>
      </c>
      <c r="P41" s="14">
        <f>SUM(P30:P40)</f>
        <v>-1765.2268412020874</v>
      </c>
      <c r="R41" s="14">
        <f>SUM(R30:R40)</f>
        <v>-113.31263292768155</v>
      </c>
      <c r="T41" s="14">
        <f>SUM(T30:T40)</f>
        <v>739303.90338406165</v>
      </c>
      <c r="V41" s="38">
        <f>T41/N41</f>
        <v>0.99746548303696247</v>
      </c>
      <c r="X41" s="34">
        <f>T41/F41-1</f>
        <v>0.11412630159668624</v>
      </c>
    </row>
    <row r="42" spans="2:24" x14ac:dyDescent="0.3">
      <c r="B42" s="27"/>
    </row>
    <row r="43" spans="2:24" x14ac:dyDescent="0.3">
      <c r="B43" s="27"/>
      <c r="D43" s="6" t="s">
        <v>47</v>
      </c>
    </row>
    <row r="44" spans="2:24" x14ac:dyDescent="0.3">
      <c r="B44" s="27">
        <f>MAX(B$15:B43)+1</f>
        <v>25</v>
      </c>
      <c r="D44" s="7" t="s">
        <v>33</v>
      </c>
      <c r="F44" s="8">
        <v>1790025.3500009971</v>
      </c>
      <c r="H44" s="13">
        <f>F44-N44</f>
        <v>79541.871026788605</v>
      </c>
      <c r="J44" s="8">
        <v>1710018.245651166</v>
      </c>
      <c r="L44" s="8">
        <f t="shared" ref="L44:L54" si="16">L139+L233</f>
        <v>465.23332304254444</v>
      </c>
      <c r="N44" s="13">
        <f>J44+L44</f>
        <v>1710483.4789742085</v>
      </c>
      <c r="P44" s="8">
        <f t="shared" ref="P44:P54" si="17">P139+P233</f>
        <v>-5900.965521142276</v>
      </c>
      <c r="R44" s="8">
        <f t="shared" ref="R44:R54" si="18">R139+R233</f>
        <v>0</v>
      </c>
      <c r="T44" s="13">
        <f t="shared" ref="T44:T54" si="19">N44+P44+R44</f>
        <v>1704582.5134530661</v>
      </c>
      <c r="V44" s="35">
        <f t="shared" ref="V44:V54" si="20">IFERROR(T44/N44,"-")</f>
        <v>0.99655011837665852</v>
      </c>
      <c r="X44" s="31">
        <f t="shared" ref="X44:X54" si="21">IFERROR(T44/F44-1,"-")</f>
        <v>-4.773275224727036E-2</v>
      </c>
    </row>
    <row r="45" spans="2:24" x14ac:dyDescent="0.3">
      <c r="B45" s="27">
        <f>MAX(B$15:B44)+1</f>
        <v>26</v>
      </c>
      <c r="D45" s="7" t="s">
        <v>34</v>
      </c>
      <c r="F45" s="8">
        <v>718173.82012605993</v>
      </c>
      <c r="H45" s="13">
        <f t="shared" ref="H45:H54" si="22">F45-N45</f>
        <v>18856.328265816788</v>
      </c>
      <c r="J45" s="8">
        <v>699062.22687376221</v>
      </c>
      <c r="L45" s="8">
        <f t="shared" si="16"/>
        <v>255.26498648089404</v>
      </c>
      <c r="N45" s="13">
        <f t="shared" ref="N45:N54" si="23">J45+L45</f>
        <v>699317.49186024314</v>
      </c>
      <c r="P45" s="8">
        <f t="shared" si="17"/>
        <v>-4660.2321475347208</v>
      </c>
      <c r="R45" s="8">
        <f t="shared" si="18"/>
        <v>0</v>
      </c>
      <c r="T45" s="13">
        <f t="shared" si="19"/>
        <v>694657.25971270842</v>
      </c>
      <c r="V45" s="35">
        <f t="shared" si="20"/>
        <v>0.99333602805338372</v>
      </c>
      <c r="X45" s="31">
        <f t="shared" si="21"/>
        <v>-3.2744942455885773E-2</v>
      </c>
    </row>
    <row r="46" spans="2:24" x14ac:dyDescent="0.3">
      <c r="B46" s="27">
        <f>MAX(B$15:B45)+1</f>
        <v>27</v>
      </c>
      <c r="D46" s="7" t="s">
        <v>35</v>
      </c>
      <c r="F46" s="8">
        <v>60790.925294396264</v>
      </c>
      <c r="H46" s="13">
        <f t="shared" si="22"/>
        <v>-4026.8652754502255</v>
      </c>
      <c r="J46" s="8">
        <v>64809.510492009125</v>
      </c>
      <c r="L46" s="8">
        <f t="shared" si="16"/>
        <v>8.280077837361647</v>
      </c>
      <c r="N46" s="13">
        <f t="shared" si="23"/>
        <v>64817.790569846489</v>
      </c>
      <c r="P46" s="8">
        <f t="shared" si="17"/>
        <v>-718.78043128316699</v>
      </c>
      <c r="R46" s="8">
        <f t="shared" si="18"/>
        <v>0</v>
      </c>
      <c r="T46" s="13">
        <f t="shared" si="19"/>
        <v>64099.010138563324</v>
      </c>
      <c r="V46" s="35">
        <f t="shared" si="20"/>
        <v>0.98891075390006355</v>
      </c>
      <c r="X46" s="31">
        <f t="shared" si="21"/>
        <v>5.441741227242014E-2</v>
      </c>
    </row>
    <row r="47" spans="2:24" x14ac:dyDescent="0.3">
      <c r="B47" s="27">
        <f>MAX(B$15:B46)+1</f>
        <v>28</v>
      </c>
      <c r="D47" s="7" t="s">
        <v>36</v>
      </c>
      <c r="F47" s="8">
        <v>0</v>
      </c>
      <c r="H47" s="13">
        <f t="shared" si="22"/>
        <v>0</v>
      </c>
      <c r="J47" s="8">
        <v>0</v>
      </c>
      <c r="L47" s="8">
        <f t="shared" si="16"/>
        <v>0</v>
      </c>
      <c r="N47" s="13">
        <f t="shared" si="23"/>
        <v>0</v>
      </c>
      <c r="P47" s="8">
        <f t="shared" si="17"/>
        <v>0</v>
      </c>
      <c r="R47" s="8">
        <f t="shared" si="18"/>
        <v>0</v>
      </c>
      <c r="T47" s="13">
        <f t="shared" si="19"/>
        <v>0</v>
      </c>
      <c r="V47" s="36" t="str">
        <f t="shared" si="20"/>
        <v>-</v>
      </c>
      <c r="W47" s="39"/>
      <c r="X47" s="31" t="str">
        <f t="shared" si="21"/>
        <v>-</v>
      </c>
    </row>
    <row r="48" spans="2:24" x14ac:dyDescent="0.3">
      <c r="B48" s="27">
        <f>MAX(B$15:B47)+1</f>
        <v>29</v>
      </c>
      <c r="D48" s="7" t="s">
        <v>37</v>
      </c>
      <c r="F48" s="8">
        <v>0</v>
      </c>
      <c r="H48" s="13">
        <f t="shared" si="22"/>
        <v>0</v>
      </c>
      <c r="J48" s="8">
        <v>0</v>
      </c>
      <c r="L48" s="8">
        <f t="shared" si="16"/>
        <v>0</v>
      </c>
      <c r="N48" s="13">
        <f t="shared" si="23"/>
        <v>0</v>
      </c>
      <c r="P48" s="8">
        <f t="shared" si="17"/>
        <v>0</v>
      </c>
      <c r="R48" s="8">
        <f t="shared" si="18"/>
        <v>0</v>
      </c>
      <c r="T48" s="13">
        <f t="shared" si="19"/>
        <v>0</v>
      </c>
      <c r="V48" s="36" t="str">
        <f t="shared" si="20"/>
        <v>-</v>
      </c>
      <c r="W48" s="39"/>
      <c r="X48" s="31" t="str">
        <f t="shared" si="21"/>
        <v>-</v>
      </c>
    </row>
    <row r="49" spans="2:24" x14ac:dyDescent="0.3">
      <c r="B49" s="27">
        <f>MAX(B$15:B48)+1</f>
        <v>30</v>
      </c>
      <c r="D49" s="7" t="s">
        <v>38</v>
      </c>
      <c r="F49" s="8">
        <v>13319.912708256001</v>
      </c>
      <c r="H49" s="13">
        <f t="shared" si="22"/>
        <v>-511.20565312246617</v>
      </c>
      <c r="J49" s="8">
        <v>13831.118361378467</v>
      </c>
      <c r="L49" s="8">
        <f t="shared" si="16"/>
        <v>0</v>
      </c>
      <c r="N49" s="13">
        <f t="shared" si="23"/>
        <v>13831.118361378467</v>
      </c>
      <c r="P49" s="8">
        <f t="shared" si="17"/>
        <v>-142.20109746067453</v>
      </c>
      <c r="R49" s="8">
        <f t="shared" si="18"/>
        <v>-5.1639625537636276</v>
      </c>
      <c r="T49" s="13">
        <f t="shared" si="19"/>
        <v>13683.75330136403</v>
      </c>
      <c r="V49" s="35">
        <f t="shared" si="20"/>
        <v>0.9893453980969511</v>
      </c>
      <c r="X49" s="31">
        <f t="shared" si="21"/>
        <v>2.7315538853532662E-2</v>
      </c>
    </row>
    <row r="50" spans="2:24" x14ac:dyDescent="0.3">
      <c r="B50" s="27">
        <f>MAX(B$15:B49)+1</f>
        <v>31</v>
      </c>
      <c r="D50" s="7" t="s">
        <v>39</v>
      </c>
      <c r="F50" s="8">
        <v>2189.1370718790631</v>
      </c>
      <c r="H50" s="13">
        <f t="shared" si="22"/>
        <v>-1797.5056248388642</v>
      </c>
      <c r="J50" s="8">
        <v>3986.01178067399</v>
      </c>
      <c r="L50" s="8">
        <f t="shared" si="16"/>
        <v>0.63091604393753054</v>
      </c>
      <c r="N50" s="13">
        <f t="shared" si="23"/>
        <v>3986.6426967179273</v>
      </c>
      <c r="P50" s="8">
        <f t="shared" si="17"/>
        <v>0</v>
      </c>
      <c r="R50" s="8">
        <f t="shared" si="18"/>
        <v>895</v>
      </c>
      <c r="T50" s="13">
        <f t="shared" si="19"/>
        <v>4881.6426967179268</v>
      </c>
      <c r="V50" s="35">
        <f t="shared" si="20"/>
        <v>1.2244996775700074</v>
      </c>
      <c r="X50" s="31">
        <f t="shared" si="21"/>
        <v>1.2299392575393786</v>
      </c>
    </row>
    <row r="51" spans="2:24" x14ac:dyDescent="0.3">
      <c r="B51" s="27">
        <f>MAX(B$15:B50)+1</f>
        <v>32</v>
      </c>
      <c r="D51" s="7" t="s">
        <v>40</v>
      </c>
      <c r="F51" s="8">
        <v>2289.0599931731563</v>
      </c>
      <c r="H51" s="13">
        <f t="shared" si="22"/>
        <v>-659.52102048069128</v>
      </c>
      <c r="J51" s="8">
        <v>2948.1661111618682</v>
      </c>
      <c r="L51" s="8">
        <f t="shared" si="16"/>
        <v>0.41490249197926532</v>
      </c>
      <c r="N51" s="13">
        <f t="shared" si="23"/>
        <v>2948.5810136538475</v>
      </c>
      <c r="P51" s="8">
        <f t="shared" si="17"/>
        <v>-2.2833105672609864</v>
      </c>
      <c r="R51" s="8">
        <f t="shared" si="18"/>
        <v>-895</v>
      </c>
      <c r="T51" s="13">
        <f t="shared" si="19"/>
        <v>2051.2977030865864</v>
      </c>
      <c r="V51" s="35">
        <f t="shared" si="20"/>
        <v>0.69568978894856337</v>
      </c>
      <c r="X51" s="31">
        <f t="shared" si="21"/>
        <v>-0.10386896402700985</v>
      </c>
    </row>
    <row r="52" spans="2:24" x14ac:dyDescent="0.3">
      <c r="B52" s="27">
        <f>MAX(B$15:B51)+1</f>
        <v>33</v>
      </c>
      <c r="D52" s="7" t="s">
        <v>41</v>
      </c>
      <c r="F52" s="8">
        <v>0</v>
      </c>
      <c r="H52" s="13">
        <f t="shared" si="22"/>
        <v>0</v>
      </c>
      <c r="J52" s="8">
        <v>0</v>
      </c>
      <c r="L52" s="8">
        <f t="shared" si="16"/>
        <v>0</v>
      </c>
      <c r="N52" s="13">
        <f t="shared" si="23"/>
        <v>0</v>
      </c>
      <c r="P52" s="8">
        <f t="shared" si="17"/>
        <v>0</v>
      </c>
      <c r="R52" s="8">
        <f t="shared" si="18"/>
        <v>0</v>
      </c>
      <c r="T52" s="13">
        <f t="shared" si="19"/>
        <v>0</v>
      </c>
      <c r="V52" s="36" t="str">
        <f t="shared" si="20"/>
        <v>-</v>
      </c>
      <c r="X52" s="31" t="str">
        <f t="shared" si="21"/>
        <v>-</v>
      </c>
    </row>
    <row r="53" spans="2:24" x14ac:dyDescent="0.3">
      <c r="B53" s="27">
        <f>MAX(B$15:B52)+1</f>
        <v>34</v>
      </c>
      <c r="D53" s="7" t="s">
        <v>42</v>
      </c>
      <c r="F53" s="8">
        <v>0</v>
      </c>
      <c r="H53" s="13">
        <f t="shared" si="22"/>
        <v>0</v>
      </c>
      <c r="J53" s="8">
        <v>0</v>
      </c>
      <c r="L53" s="8">
        <f t="shared" si="16"/>
        <v>0</v>
      </c>
      <c r="N53" s="13">
        <f t="shared" si="23"/>
        <v>0</v>
      </c>
      <c r="P53" s="8">
        <f t="shared" si="17"/>
        <v>0</v>
      </c>
      <c r="R53" s="8">
        <f t="shared" si="18"/>
        <v>0</v>
      </c>
      <c r="T53" s="13">
        <f t="shared" si="19"/>
        <v>0</v>
      </c>
      <c r="V53" s="36" t="str">
        <f t="shared" si="20"/>
        <v>-</v>
      </c>
      <c r="X53" s="31" t="str">
        <f t="shared" si="21"/>
        <v>-</v>
      </c>
    </row>
    <row r="54" spans="2:24" x14ac:dyDescent="0.3">
      <c r="B54" s="27">
        <f>MAX(B$15:B53)+1</f>
        <v>35</v>
      </c>
      <c r="D54" s="7" t="s">
        <v>43</v>
      </c>
      <c r="F54" s="8">
        <v>0</v>
      </c>
      <c r="H54" s="13">
        <f t="shared" si="22"/>
        <v>0</v>
      </c>
      <c r="J54" s="8">
        <v>0</v>
      </c>
      <c r="L54" s="8">
        <f t="shared" si="16"/>
        <v>0</v>
      </c>
      <c r="N54" s="13">
        <f t="shared" si="23"/>
        <v>0</v>
      </c>
      <c r="P54" s="8">
        <f t="shared" si="17"/>
        <v>0</v>
      </c>
      <c r="R54" s="8">
        <f t="shared" si="18"/>
        <v>0</v>
      </c>
      <c r="T54" s="13">
        <f t="shared" si="19"/>
        <v>0</v>
      </c>
      <c r="V54" s="36" t="str">
        <f t="shared" si="20"/>
        <v>-</v>
      </c>
      <c r="X54" s="31" t="str">
        <f t="shared" si="21"/>
        <v>-</v>
      </c>
    </row>
    <row r="55" spans="2:24" x14ac:dyDescent="0.3">
      <c r="B55" s="27">
        <f>MAX(B$15:B54)+1</f>
        <v>36</v>
      </c>
      <c r="D55" s="10" t="s">
        <v>48</v>
      </c>
      <c r="F55" s="17">
        <f>SUM(F44:F54)</f>
        <v>2586788.2051947615</v>
      </c>
      <c r="H55" s="14">
        <f>SUM(H44:H54)</f>
        <v>91403.101718713151</v>
      </c>
      <c r="J55" s="17">
        <f>SUM(J44:J54)</f>
        <v>2494655.2792701516</v>
      </c>
      <c r="L55" s="14">
        <f>SUM(L44:L54)</f>
        <v>729.82420589671699</v>
      </c>
      <c r="N55" s="17">
        <f>SUM(N44:N54)</f>
        <v>2495385.1034760484</v>
      </c>
      <c r="P55" s="14">
        <f>SUM(P44:P54)</f>
        <v>-11424.462507988099</v>
      </c>
      <c r="R55" s="14">
        <f>SUM(R44:R54)</f>
        <v>-5.1639625537636675</v>
      </c>
      <c r="T55" s="17">
        <f>SUM(T44:T54)</f>
        <v>2483955.4770055059</v>
      </c>
      <c r="V55" s="38">
        <f>T55/N55</f>
        <v>0.99541969435714706</v>
      </c>
      <c r="X55" s="34">
        <f>T55/F55-1</f>
        <v>-3.97530528331419E-2</v>
      </c>
    </row>
    <row r="56" spans="2:24" x14ac:dyDescent="0.3">
      <c r="B56" s="27"/>
      <c r="D56" s="10"/>
    </row>
    <row r="57" spans="2:24" x14ac:dyDescent="0.3">
      <c r="B57" s="27"/>
      <c r="D57" s="6" t="s">
        <v>49</v>
      </c>
    </row>
    <row r="58" spans="2:24" x14ac:dyDescent="0.3">
      <c r="B58" s="27">
        <f>MAX(B$15:B57)+1</f>
        <v>37</v>
      </c>
      <c r="D58" s="7" t="s">
        <v>33</v>
      </c>
      <c r="F58" s="40">
        <v>986142.57822526875</v>
      </c>
      <c r="H58" s="13">
        <f>F58-N58</f>
        <v>-54443.270060371724</v>
      </c>
      <c r="J58" s="8">
        <v>1040047.8590255148</v>
      </c>
      <c r="L58" s="8">
        <f t="shared" ref="L58:L68" si="24">L153+L247</f>
        <v>537.98926012562868</v>
      </c>
      <c r="N58" s="13">
        <f t="shared" ref="N58:N68" si="25">J58+L58</f>
        <v>1040585.8482856405</v>
      </c>
      <c r="P58" s="8">
        <f t="shared" ref="P58:P68" si="26">P153+P247</f>
        <v>-2235.711986539573</v>
      </c>
      <c r="R58" s="8">
        <f t="shared" ref="R58:R68" si="27">R153+R247</f>
        <v>0</v>
      </c>
      <c r="T58" s="13">
        <f t="shared" ref="T58:T68" si="28">N58+P58+R58</f>
        <v>1038350.1362991009</v>
      </c>
      <c r="V58" s="35">
        <f t="shared" ref="V58:V68" si="29">IFERROR(T58/N58,"-")</f>
        <v>0.99785148722690886</v>
      </c>
      <c r="X58" s="31">
        <f t="shared" ref="X58:X68" si="30">IFERROR(T58/F58-1,"-")</f>
        <v>5.2941186423355324E-2</v>
      </c>
    </row>
    <row r="59" spans="2:24" x14ac:dyDescent="0.3">
      <c r="B59" s="27">
        <f>MAX(B$15:B58)+1</f>
        <v>38</v>
      </c>
      <c r="D59" s="7" t="s">
        <v>34</v>
      </c>
      <c r="F59" s="8">
        <v>296599.51713700668</v>
      </c>
      <c r="H59" s="13">
        <f t="shared" ref="H59:H68" si="31">F59-N59</f>
        <v>-11103.889227632317</v>
      </c>
      <c r="J59" s="8">
        <v>307582.27557594143</v>
      </c>
      <c r="L59" s="8">
        <f t="shared" si="24"/>
        <v>121.13078869756572</v>
      </c>
      <c r="N59" s="13">
        <f t="shared" si="25"/>
        <v>307703.406364639</v>
      </c>
      <c r="P59" s="8">
        <f t="shared" si="26"/>
        <v>-1364.2587696092337</v>
      </c>
      <c r="R59" s="8">
        <f t="shared" si="27"/>
        <v>0</v>
      </c>
      <c r="T59" s="13">
        <f t="shared" si="28"/>
        <v>306339.14759502979</v>
      </c>
      <c r="V59" s="35">
        <f t="shared" si="29"/>
        <v>0.99556631892468384</v>
      </c>
      <c r="X59" s="31">
        <f t="shared" si="30"/>
        <v>3.2837647721200236E-2</v>
      </c>
    </row>
    <row r="60" spans="2:24" x14ac:dyDescent="0.3">
      <c r="B60" s="27">
        <f>MAX(B$15:B59)+1</f>
        <v>39</v>
      </c>
      <c r="D60" s="7" t="s">
        <v>35</v>
      </c>
      <c r="F60" s="8">
        <v>81680.717501090228</v>
      </c>
      <c r="H60" s="13">
        <f t="shared" si="31"/>
        <v>1861.8174323256389</v>
      </c>
      <c r="J60" s="8">
        <v>80316.618652464123</v>
      </c>
      <c r="L60" s="8">
        <f t="shared" si="24"/>
        <v>-497.71858369952707</v>
      </c>
      <c r="N60" s="13">
        <f t="shared" si="25"/>
        <v>79818.900068764589</v>
      </c>
      <c r="P60" s="8">
        <f t="shared" si="26"/>
        <v>-395.31396728591881</v>
      </c>
      <c r="R60" s="8">
        <f t="shared" si="27"/>
        <v>0</v>
      </c>
      <c r="T60" s="13">
        <f t="shared" si="28"/>
        <v>79423.586101478664</v>
      </c>
      <c r="V60" s="35">
        <f t="shared" si="29"/>
        <v>0.9950473638831735</v>
      </c>
      <c r="X60" s="31">
        <f t="shared" si="30"/>
        <v>-2.7633589281110815E-2</v>
      </c>
    </row>
    <row r="61" spans="2:24" x14ac:dyDescent="0.3">
      <c r="B61" s="27">
        <f>MAX(B$15:B60)+1</f>
        <v>40</v>
      </c>
      <c r="D61" s="7" t="s">
        <v>36</v>
      </c>
      <c r="F61" s="8">
        <v>70374.889700499247</v>
      </c>
      <c r="H61" s="13">
        <f t="shared" si="31"/>
        <v>-6101.0838393413869</v>
      </c>
      <c r="J61" s="8">
        <v>77613.641680262852</v>
      </c>
      <c r="L61" s="8">
        <f t="shared" si="24"/>
        <v>-1137.6681404222254</v>
      </c>
      <c r="N61" s="13">
        <f t="shared" si="25"/>
        <v>76475.973539840634</v>
      </c>
      <c r="P61" s="8">
        <f t="shared" si="26"/>
        <v>-608.70243067434922</v>
      </c>
      <c r="R61" s="8">
        <f t="shared" si="27"/>
        <v>0</v>
      </c>
      <c r="T61" s="13">
        <f t="shared" si="28"/>
        <v>75867.271109166279</v>
      </c>
      <c r="V61" s="35">
        <f t="shared" si="29"/>
        <v>0.99204060566346042</v>
      </c>
      <c r="X61" s="31">
        <f t="shared" si="30"/>
        <v>7.8044618358074302E-2</v>
      </c>
    </row>
    <row r="62" spans="2:24" x14ac:dyDescent="0.3">
      <c r="B62" s="27">
        <f>MAX(B$15:B61)+1</f>
        <v>41</v>
      </c>
      <c r="D62" s="7" t="s">
        <v>37</v>
      </c>
      <c r="F62" s="8">
        <v>0</v>
      </c>
      <c r="H62" s="13">
        <f t="shared" si="31"/>
        <v>0</v>
      </c>
      <c r="J62" s="8">
        <v>0</v>
      </c>
      <c r="L62" s="8">
        <f t="shared" si="24"/>
        <v>0</v>
      </c>
      <c r="N62" s="13">
        <f t="shared" si="25"/>
        <v>0</v>
      </c>
      <c r="P62" s="8">
        <f t="shared" si="26"/>
        <v>0</v>
      </c>
      <c r="R62" s="8">
        <f t="shared" si="27"/>
        <v>0</v>
      </c>
      <c r="T62" s="41">
        <f t="shared" si="28"/>
        <v>0</v>
      </c>
      <c r="U62" s="39"/>
      <c r="V62" s="36" t="str">
        <f t="shared" si="29"/>
        <v>-</v>
      </c>
      <c r="X62" s="31" t="str">
        <f t="shared" si="30"/>
        <v>-</v>
      </c>
    </row>
    <row r="63" spans="2:24" x14ac:dyDescent="0.3">
      <c r="B63" s="27">
        <f>MAX(B$15:B62)+1</f>
        <v>42</v>
      </c>
      <c r="D63" s="7" t="s">
        <v>38</v>
      </c>
      <c r="F63" s="8">
        <v>26185.11141835263</v>
      </c>
      <c r="H63" s="13">
        <f t="shared" si="31"/>
        <v>-4129.8825475105441</v>
      </c>
      <c r="J63" s="8">
        <v>30870.039503144973</v>
      </c>
      <c r="L63" s="8">
        <f t="shared" si="24"/>
        <v>-555.04553728179883</v>
      </c>
      <c r="N63" s="13">
        <f t="shared" si="25"/>
        <v>30314.993965863174</v>
      </c>
      <c r="P63" s="8">
        <f t="shared" si="26"/>
        <v>-155.10926019404184</v>
      </c>
      <c r="R63" s="8">
        <f t="shared" si="27"/>
        <v>-5.6327161019662348</v>
      </c>
      <c r="T63" s="13">
        <f t="shared" si="28"/>
        <v>30154.251989567165</v>
      </c>
      <c r="V63" s="35">
        <f t="shared" si="29"/>
        <v>0.99469760817115727</v>
      </c>
      <c r="X63" s="31">
        <f t="shared" si="30"/>
        <v>0.15158005279414777</v>
      </c>
    </row>
    <row r="64" spans="2:24" x14ac:dyDescent="0.3">
      <c r="B64" s="27">
        <f>MAX(B$15:B63)+1</f>
        <v>43</v>
      </c>
      <c r="D64" s="7" t="s">
        <v>39</v>
      </c>
      <c r="F64" s="8">
        <v>5072.699087215191</v>
      </c>
      <c r="H64" s="13">
        <f t="shared" si="31"/>
        <v>2369.9410517034166</v>
      </c>
      <c r="J64" s="8">
        <v>2702.1060342828455</v>
      </c>
      <c r="L64" s="8">
        <f t="shared" si="24"/>
        <v>0.65200122892883094</v>
      </c>
      <c r="N64" s="13">
        <f t="shared" si="25"/>
        <v>2702.7580355117743</v>
      </c>
      <c r="P64" s="8">
        <f t="shared" si="26"/>
        <v>-2.2777478681218564</v>
      </c>
      <c r="R64" s="8">
        <f t="shared" si="27"/>
        <v>-15</v>
      </c>
      <c r="T64" s="13">
        <f t="shared" si="28"/>
        <v>2685.4802876436524</v>
      </c>
      <c r="V64" s="35">
        <f t="shared" si="29"/>
        <v>0.99360736416611917</v>
      </c>
      <c r="X64" s="31">
        <f t="shared" si="30"/>
        <v>-0.47060130288194824</v>
      </c>
    </row>
    <row r="65" spans="2:24" x14ac:dyDescent="0.3">
      <c r="B65" s="27">
        <f>MAX(B$15:B64)+1</f>
        <v>44</v>
      </c>
      <c r="D65" s="7" t="s">
        <v>40</v>
      </c>
      <c r="F65" s="8">
        <v>389.54398172568182</v>
      </c>
      <c r="H65" s="13">
        <f t="shared" si="31"/>
        <v>-60.860647360745588</v>
      </c>
      <c r="J65" s="8">
        <v>449.5722637155568</v>
      </c>
      <c r="L65" s="8">
        <f t="shared" si="24"/>
        <v>0.8323653708706289</v>
      </c>
      <c r="N65" s="13">
        <f t="shared" si="25"/>
        <v>450.40462908642741</v>
      </c>
      <c r="P65" s="8">
        <f t="shared" si="26"/>
        <v>0</v>
      </c>
      <c r="R65" s="8">
        <f t="shared" si="27"/>
        <v>15</v>
      </c>
      <c r="T65" s="13">
        <f t="shared" si="28"/>
        <v>465.40462908642741</v>
      </c>
      <c r="V65" s="35">
        <f t="shared" si="29"/>
        <v>1.0333033877347688</v>
      </c>
      <c r="X65" s="31">
        <f t="shared" si="30"/>
        <v>0.1947421880956357</v>
      </c>
    </row>
    <row r="66" spans="2:24" x14ac:dyDescent="0.3">
      <c r="B66" s="27">
        <f>MAX(B$15:B65)+1</f>
        <v>45</v>
      </c>
      <c r="D66" s="7" t="s">
        <v>41</v>
      </c>
      <c r="F66" s="8">
        <v>1660.6533767253904</v>
      </c>
      <c r="H66" s="13">
        <f t="shared" si="31"/>
        <v>-102.55572609095861</v>
      </c>
      <c r="J66" s="8">
        <v>1763.2091028163491</v>
      </c>
      <c r="L66" s="8">
        <f t="shared" si="24"/>
        <v>0</v>
      </c>
      <c r="N66" s="13">
        <f t="shared" si="25"/>
        <v>1763.2091028163491</v>
      </c>
      <c r="P66" s="8">
        <f t="shared" si="26"/>
        <v>-21.770441564897311</v>
      </c>
      <c r="R66" s="8">
        <f t="shared" si="27"/>
        <v>17.70857532527566</v>
      </c>
      <c r="T66" s="13">
        <f t="shared" si="28"/>
        <v>1759.1472365767274</v>
      </c>
      <c r="V66" s="35">
        <f t="shared" si="29"/>
        <v>0.99769632187519131</v>
      </c>
      <c r="X66" s="31">
        <f t="shared" si="30"/>
        <v>5.9310305950514008E-2</v>
      </c>
    </row>
    <row r="67" spans="2:24" x14ac:dyDescent="0.3">
      <c r="B67" s="27">
        <f>MAX(B$15:B66)+1</f>
        <v>46</v>
      </c>
      <c r="D67" s="7" t="s">
        <v>42</v>
      </c>
      <c r="F67" s="8">
        <v>4500.3048958949512</v>
      </c>
      <c r="H67" s="13">
        <f t="shared" si="31"/>
        <v>68.486562492133999</v>
      </c>
      <c r="J67" s="8">
        <v>4425.7707876317836</v>
      </c>
      <c r="L67" s="8">
        <f t="shared" si="24"/>
        <v>6.0475457710332652</v>
      </c>
      <c r="N67" s="13">
        <f t="shared" si="25"/>
        <v>4431.8183334028172</v>
      </c>
      <c r="P67" s="8">
        <f t="shared" si="26"/>
        <v>-53.642380002981675</v>
      </c>
      <c r="R67" s="8">
        <f t="shared" si="27"/>
        <v>0</v>
      </c>
      <c r="T67" s="13">
        <f t="shared" si="28"/>
        <v>4378.1759533998356</v>
      </c>
      <c r="V67" s="35">
        <f t="shared" si="29"/>
        <v>0.98789607877230068</v>
      </c>
      <c r="X67" s="31">
        <f t="shared" si="30"/>
        <v>-2.713792627839906E-2</v>
      </c>
    </row>
    <row r="68" spans="2:24" x14ac:dyDescent="0.3">
      <c r="B68" s="27">
        <f>MAX(B$15:B67)+1</f>
        <v>47</v>
      </c>
      <c r="D68" s="7" t="s">
        <v>43</v>
      </c>
      <c r="F68" s="8">
        <v>8385.5420590421272</v>
      </c>
      <c r="H68" s="13">
        <f t="shared" si="31"/>
        <v>-969.56755724399591</v>
      </c>
      <c r="J68" s="8">
        <v>9355.1096162861231</v>
      </c>
      <c r="L68" s="8">
        <f t="shared" si="24"/>
        <v>0</v>
      </c>
      <c r="N68" s="13">
        <f t="shared" si="25"/>
        <v>9355.1096162861231</v>
      </c>
      <c r="P68" s="8">
        <f t="shared" si="26"/>
        <v>-282.04233468716393</v>
      </c>
      <c r="R68" s="8">
        <f t="shared" si="27"/>
        <v>0</v>
      </c>
      <c r="T68" s="13">
        <f t="shared" si="28"/>
        <v>9073.0672815989601</v>
      </c>
      <c r="V68" s="35">
        <f t="shared" si="29"/>
        <v>0.9698515200510146</v>
      </c>
      <c r="X68" s="31">
        <f t="shared" si="30"/>
        <v>8.1989359509022419E-2</v>
      </c>
    </row>
    <row r="69" spans="2:24" x14ac:dyDescent="0.3">
      <c r="B69" s="27">
        <f>MAX(B$15:B68)+1</f>
        <v>48</v>
      </c>
      <c r="D69" s="10" t="s">
        <v>50</v>
      </c>
      <c r="F69" s="17">
        <f>SUM(F58:F68)</f>
        <v>1480991.5573828206</v>
      </c>
      <c r="H69" s="14">
        <f>SUM(H58:H68)</f>
        <v>-72610.86455903048</v>
      </c>
      <c r="J69" s="14">
        <f>SUM(J58:J68)</f>
        <v>1555126.2022420608</v>
      </c>
      <c r="L69" s="14">
        <f>SUM(L58:L68)</f>
        <v>-1523.7803002095243</v>
      </c>
      <c r="N69" s="14">
        <f>SUM(N58:N68)</f>
        <v>1553602.4219418513</v>
      </c>
      <c r="P69" s="14">
        <f>SUM(P58:P68)</f>
        <v>-5118.8293184262811</v>
      </c>
      <c r="R69" s="14">
        <f>SUM(R58:R68)</f>
        <v>12.075859223309426</v>
      </c>
      <c r="T69" s="14">
        <f>SUM(T58:T68)</f>
        <v>1548495.6684826484</v>
      </c>
      <c r="V69" s="38">
        <f>T69/N69</f>
        <v>0.9967129599007577</v>
      </c>
      <c r="X69" s="42">
        <f>T69/F69-1</f>
        <v>4.5580348357366463E-2</v>
      </c>
    </row>
    <row r="70" spans="2:24" x14ac:dyDescent="0.3">
      <c r="B70" s="27"/>
      <c r="D70" s="1"/>
    </row>
    <row r="71" spans="2:24" x14ac:dyDescent="0.3">
      <c r="B71" s="27">
        <f>MAX(B$15:B70)+1</f>
        <v>49</v>
      </c>
      <c r="D71" s="10" t="s">
        <v>51</v>
      </c>
      <c r="F71" s="17">
        <f t="shared" ref="F71:S71" si="32">ROUND(F27+F41+F55+F69,0)</f>
        <v>5097046</v>
      </c>
      <c r="G71" s="16">
        <f t="shared" si="32"/>
        <v>0</v>
      </c>
      <c r="H71" s="14">
        <f t="shared" si="32"/>
        <v>-11524</v>
      </c>
      <c r="I71" s="16">
        <f t="shared" si="32"/>
        <v>0</v>
      </c>
      <c r="J71" s="17">
        <f t="shared" si="32"/>
        <v>5108570</v>
      </c>
      <c r="K71" s="16">
        <f t="shared" si="32"/>
        <v>0</v>
      </c>
      <c r="L71" s="14">
        <f t="shared" si="32"/>
        <v>0</v>
      </c>
      <c r="M71" s="16">
        <f t="shared" si="32"/>
        <v>0</v>
      </c>
      <c r="N71" s="17">
        <f t="shared" si="32"/>
        <v>5108570</v>
      </c>
      <c r="O71" s="16">
        <f t="shared" si="32"/>
        <v>0</v>
      </c>
      <c r="P71" s="14">
        <f>P27+P41+P55+P69</f>
        <v>-19201.314086804356</v>
      </c>
      <c r="Q71" s="16">
        <f t="shared" si="32"/>
        <v>0</v>
      </c>
      <c r="R71" s="14">
        <f t="shared" si="32"/>
        <v>0</v>
      </c>
      <c r="S71" s="16">
        <f t="shared" si="32"/>
        <v>0</v>
      </c>
      <c r="T71" s="14">
        <f>T27+T41+T55+T69</f>
        <v>5089368.5291037224</v>
      </c>
      <c r="V71" s="38">
        <f>T71/N71</f>
        <v>0.99624132176004687</v>
      </c>
      <c r="X71" s="42">
        <f>T71/F71-1</f>
        <v>-1.5062588990324421E-3</v>
      </c>
    </row>
    <row r="72" spans="2:24" x14ac:dyDescent="0.3">
      <c r="B72" s="27"/>
      <c r="D72" s="10"/>
      <c r="J72" s="16"/>
    </row>
    <row r="73" spans="2:24" x14ac:dyDescent="0.3">
      <c r="B73" s="27"/>
      <c r="D73" s="6" t="s">
        <v>52</v>
      </c>
      <c r="T73" s="8"/>
    </row>
    <row r="74" spans="2:24" x14ac:dyDescent="0.3">
      <c r="B74" s="27">
        <f>MAX(B$15:B73)+1</f>
        <v>50</v>
      </c>
      <c r="D74" s="7" t="s">
        <v>53</v>
      </c>
      <c r="F74" s="8">
        <v>543.41803200000004</v>
      </c>
      <c r="H74" s="13">
        <f>F74-N74</f>
        <v>229.58572420050729</v>
      </c>
      <c r="I74" s="16"/>
      <c r="J74" s="8">
        <v>313.83230779949275</v>
      </c>
      <c r="L74" s="8">
        <v>0</v>
      </c>
      <c r="N74" s="13">
        <f>J74+L74</f>
        <v>313.83230779949275</v>
      </c>
      <c r="P74" s="8">
        <f>T74-N74</f>
        <v>25.345638000000008</v>
      </c>
      <c r="R74" s="8">
        <v>0</v>
      </c>
      <c r="T74" s="8">
        <v>339.17794579949276</v>
      </c>
      <c r="V74" s="35">
        <f>IFERROR(T74/N74,"-")</f>
        <v>1.0807617232837397</v>
      </c>
      <c r="X74" s="31">
        <f>IFERROR(T74/F74-1,"-")</f>
        <v>-0.37584340999657384</v>
      </c>
    </row>
    <row r="75" spans="2:24" x14ac:dyDescent="0.3">
      <c r="B75" s="27">
        <f>MAX(B$15:B74)+1</f>
        <v>51</v>
      </c>
      <c r="D75" s="7" t="s">
        <v>54</v>
      </c>
      <c r="F75" s="8">
        <v>158473.76214660442</v>
      </c>
      <c r="H75" s="13">
        <f t="shared" ref="H75:H78" si="33">F75-N75</f>
        <v>23473.264527346677</v>
      </c>
      <c r="J75" s="8">
        <v>135000.49761925775</v>
      </c>
      <c r="L75" s="8">
        <v>0</v>
      </c>
      <c r="N75" s="13">
        <f>J75+L75</f>
        <v>135000.49761925775</v>
      </c>
      <c r="P75" s="8">
        <f t="shared" ref="P75:P78" si="34">T75-N75</f>
        <v>13660.316641350248</v>
      </c>
      <c r="R75" s="8">
        <v>0</v>
      </c>
      <c r="T75" s="8">
        <v>148660.81426060799</v>
      </c>
      <c r="V75" s="35">
        <f>IFERROR(T75/N75,"-")</f>
        <v>1.1011871576938663</v>
      </c>
      <c r="X75" s="31">
        <f>IFERROR(T75/F75-1,"-")</f>
        <v>-6.1921593537474395E-2</v>
      </c>
    </row>
    <row r="76" spans="2:24" x14ac:dyDescent="0.3">
      <c r="B76" s="27">
        <f>MAX(B$15:B75)+1</f>
        <v>52</v>
      </c>
      <c r="D76" s="7" t="s">
        <v>55</v>
      </c>
      <c r="F76" s="8">
        <v>603.30261955727349</v>
      </c>
      <c r="H76" s="13">
        <f t="shared" si="33"/>
        <v>308.58775096123634</v>
      </c>
      <c r="J76" s="8">
        <v>294.71486859603715</v>
      </c>
      <c r="L76" s="8">
        <v>0</v>
      </c>
      <c r="N76" s="13">
        <f t="shared" ref="N76:N78" si="35">J76+L76</f>
        <v>294.71486859603715</v>
      </c>
      <c r="P76" s="8">
        <f t="shared" si="34"/>
        <v>351.76690113786583</v>
      </c>
      <c r="R76" s="8">
        <v>0</v>
      </c>
      <c r="T76" s="8">
        <v>646.48176973390298</v>
      </c>
      <c r="V76" s="36">
        <f>IFERROR(T76/N76,"-")</f>
        <v>2.1935838283749076</v>
      </c>
      <c r="X76" s="31">
        <f>IFERROR(T76/F76-1,"-")</f>
        <v>7.1571295692891335E-2</v>
      </c>
    </row>
    <row r="77" spans="2:24" x14ac:dyDescent="0.3">
      <c r="B77" s="27">
        <f>MAX(B$15:B76)+1</f>
        <v>53</v>
      </c>
      <c r="D77" s="7" t="s">
        <v>56</v>
      </c>
      <c r="F77" s="8">
        <v>424.03364183333326</v>
      </c>
      <c r="H77" s="13">
        <f t="shared" si="33"/>
        <v>345.86325481452053</v>
      </c>
      <c r="J77" s="8">
        <v>78.170387018812718</v>
      </c>
      <c r="L77" s="8">
        <v>0</v>
      </c>
      <c r="N77" s="13">
        <f t="shared" si="35"/>
        <v>78.170387018812718</v>
      </c>
      <c r="P77" s="8">
        <f t="shared" si="34"/>
        <v>706.63458362708218</v>
      </c>
      <c r="R77" s="8">
        <v>0</v>
      </c>
      <c r="T77" s="8">
        <v>784.80497064589485</v>
      </c>
      <c r="V77" s="36">
        <f>IFERROR(T77/N77,"-")</f>
        <v>10.039671038817056</v>
      </c>
      <c r="X77" s="31">
        <f>IFERROR(T77/F77-1,"-")</f>
        <v>0.85080826901551143</v>
      </c>
    </row>
    <row r="78" spans="2:24" x14ac:dyDescent="0.3">
      <c r="B78" s="27">
        <f>MAX(B$15:B77)+1</f>
        <v>54</v>
      </c>
      <c r="D78" s="7" t="s">
        <v>57</v>
      </c>
      <c r="F78" s="8">
        <v>3560.977942268019</v>
      </c>
      <c r="H78" s="13">
        <f t="shared" si="33"/>
        <v>3560.977942268019</v>
      </c>
      <c r="J78" s="8">
        <v>0</v>
      </c>
      <c r="L78" s="8">
        <v>0</v>
      </c>
      <c r="N78" s="13">
        <f t="shared" si="35"/>
        <v>0</v>
      </c>
      <c r="P78" s="8">
        <f t="shared" si="34"/>
        <v>3560.977942268019</v>
      </c>
      <c r="R78" s="8">
        <v>0</v>
      </c>
      <c r="T78" s="8">
        <v>3560.977942268019</v>
      </c>
      <c r="V78" s="36" t="str">
        <f>IFERROR(T78/N78,"-")</f>
        <v>-</v>
      </c>
      <c r="X78" s="31">
        <f>IFERROR(T78/F78-1,"-")</f>
        <v>0</v>
      </c>
    </row>
    <row r="79" spans="2:24" x14ac:dyDescent="0.3">
      <c r="B79" s="27">
        <f>MAX(B$15:B78)+1</f>
        <v>55</v>
      </c>
      <c r="D79" s="10" t="s">
        <v>58</v>
      </c>
      <c r="F79" s="14">
        <f>ROUND(SUM(F74:F78),0)</f>
        <v>163605</v>
      </c>
      <c r="H79" s="14">
        <f>SUM(H74:H78)</f>
        <v>27918.279199590961</v>
      </c>
      <c r="J79" s="14">
        <f>SUM(J74:J78)</f>
        <v>135687.21518267208</v>
      </c>
      <c r="L79" s="14">
        <f>SUM(L74:L78)</f>
        <v>0</v>
      </c>
      <c r="N79" s="14">
        <f>SUM(N74:N78)</f>
        <v>135687.21518267208</v>
      </c>
      <c r="P79" s="14">
        <f>SUM(P74:P78)</f>
        <v>18305.041706383217</v>
      </c>
      <c r="R79" s="14">
        <f>SUM(R74:R78)</f>
        <v>0</v>
      </c>
      <c r="T79" s="14">
        <f>SUM(T74:T78)</f>
        <v>153992.25688905531</v>
      </c>
      <c r="V79" s="38">
        <f>T79/N79</f>
        <v>1.1349061640165556</v>
      </c>
      <c r="X79" s="34">
        <f>T79/F79-1</f>
        <v>-5.8755802762413656E-2</v>
      </c>
    </row>
    <row r="80" spans="2:24" x14ac:dyDescent="0.3">
      <c r="B80" s="27"/>
      <c r="D80" s="10"/>
    </row>
    <row r="81" spans="2:24" x14ac:dyDescent="0.3">
      <c r="B81" s="27">
        <f>MAX(B$15:B80)+1</f>
        <v>56</v>
      </c>
      <c r="D81" s="7" t="s">
        <v>59</v>
      </c>
      <c r="F81" s="8">
        <v>1208.6017580038929</v>
      </c>
      <c r="H81" s="13">
        <f>F81-N81</f>
        <v>1208.6017580038929</v>
      </c>
      <c r="J81" s="8">
        <v>0</v>
      </c>
      <c r="L81" s="8">
        <v>0</v>
      </c>
      <c r="N81" s="13">
        <f>J81+L81</f>
        <v>0</v>
      </c>
      <c r="P81" s="8">
        <v>896.47523933125512</v>
      </c>
      <c r="R81" s="8">
        <v>0</v>
      </c>
      <c r="T81" s="8">
        <v>896.47523933125512</v>
      </c>
      <c r="V81" s="8">
        <v>0</v>
      </c>
      <c r="X81" s="31">
        <f>T81/F81-1</f>
        <v>-0.25825423188870822</v>
      </c>
    </row>
    <row r="82" spans="2:24" x14ac:dyDescent="0.3">
      <c r="B82" s="27"/>
      <c r="D82" s="7"/>
    </row>
    <row r="83" spans="2:24" ht="12.9" thickBot="1" x14ac:dyDescent="0.35">
      <c r="B83" s="27">
        <f>MAX(B$15:B82)+1</f>
        <v>57</v>
      </c>
      <c r="D83" s="10" t="s">
        <v>60</v>
      </c>
      <c r="F83" s="43">
        <f>ROUND(F71+F79+F81,0)</f>
        <v>5261860</v>
      </c>
      <c r="H83" s="44">
        <f>ROUND(H71+H79+H81,0)</f>
        <v>17603</v>
      </c>
      <c r="J83" s="43">
        <f>J71+J79+J81</f>
        <v>5244257.2151826723</v>
      </c>
      <c r="L83" s="44">
        <f>L71+L79+L81</f>
        <v>0</v>
      </c>
      <c r="N83" s="44">
        <f>N71+N79+N81</f>
        <v>5244257.2151826723</v>
      </c>
      <c r="P83" s="44">
        <f>ROUND(P71+P79+P81,0)</f>
        <v>0</v>
      </c>
      <c r="R83" s="44">
        <f>ROUND(R71+R79+R81,0)</f>
        <v>0</v>
      </c>
      <c r="T83" s="44">
        <f>T71+T79+T81</f>
        <v>5244257.2612321088</v>
      </c>
      <c r="V83" s="45">
        <f>T83/N83</f>
        <v>1.0000000087809264</v>
      </c>
      <c r="X83" s="46">
        <f>T83/F83-1</f>
        <v>-3.3453453280571921E-3</v>
      </c>
    </row>
    <row r="84" spans="2:24" ht="12.9" thickTop="1" x14ac:dyDescent="0.3"/>
    <row r="85" spans="2:24" x14ac:dyDescent="0.3">
      <c r="B85" s="11" t="s">
        <v>61</v>
      </c>
      <c r="J85" s="16"/>
    </row>
    <row r="86" spans="2:24" x14ac:dyDescent="0.3">
      <c r="B86" s="47" t="s">
        <v>62</v>
      </c>
      <c r="D86" s="15" t="s">
        <v>63</v>
      </c>
    </row>
    <row r="87" spans="2:24" x14ac:dyDescent="0.3">
      <c r="B87" s="47" t="s">
        <v>64</v>
      </c>
      <c r="D87" s="15" t="s">
        <v>74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8"/>
    </row>
    <row r="88" spans="2:24" x14ac:dyDescent="0.3">
      <c r="B88" s="47" t="s">
        <v>65</v>
      </c>
      <c r="D88" s="15" t="s">
        <v>66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8"/>
    </row>
    <row r="89" spans="2:24" x14ac:dyDescent="0.3">
      <c r="B89" s="47" t="s">
        <v>67</v>
      </c>
      <c r="D89" s="15" t="s">
        <v>68</v>
      </c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</row>
    <row r="90" spans="2:24" x14ac:dyDescent="0.3">
      <c r="B90" s="47" t="s">
        <v>69</v>
      </c>
      <c r="D90" s="15" t="s">
        <v>70</v>
      </c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</row>
    <row r="91" spans="2:24" x14ac:dyDescent="0.3">
      <c r="B91" s="47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</row>
    <row r="92" spans="2:24" x14ac:dyDescent="0.3"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</row>
    <row r="93" spans="2:24" x14ac:dyDescent="0.3">
      <c r="B93" s="47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</row>
    <row r="94" spans="2:24" x14ac:dyDescent="0.3">
      <c r="B94" s="47"/>
    </row>
    <row r="95" spans="2:24" x14ac:dyDescent="0.3">
      <c r="B95" s="47"/>
    </row>
    <row r="96" spans="2:24" ht="36" customHeight="1" x14ac:dyDescent="0.3"/>
    <row r="100" spans="2:25" x14ac:dyDescent="0.3">
      <c r="B100" s="51" t="str">
        <f>+B5</f>
        <v>Summary of Proposed Revenue Change by Rate Class - Four Rate Zones - With One Rate Zone Distribution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</row>
    <row r="101" spans="2:25" x14ac:dyDescent="0.3">
      <c r="B101" s="51" t="s">
        <v>71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</row>
    <row r="102" spans="2:25" x14ac:dyDescent="0.3">
      <c r="B102" s="20"/>
      <c r="C102" s="20"/>
      <c r="D102" s="20"/>
      <c r="E102" s="20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2:25" x14ac:dyDescent="0.3">
      <c r="B103" s="21"/>
      <c r="C103" s="21"/>
      <c r="D103" s="21"/>
      <c r="E103" s="2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2:25" x14ac:dyDescent="0.3">
      <c r="B104" s="22"/>
      <c r="C104" s="22"/>
      <c r="D104" s="22"/>
      <c r="E104" s="22"/>
      <c r="F104" s="23" t="s">
        <v>2</v>
      </c>
      <c r="G104" s="23"/>
      <c r="H104" s="23"/>
      <c r="I104" s="21"/>
      <c r="J104" s="23" t="s">
        <v>3</v>
      </c>
      <c r="K104" s="23"/>
      <c r="L104" s="23"/>
      <c r="M104" s="23"/>
      <c r="N104" s="4"/>
      <c r="O104" s="21"/>
      <c r="P104" s="23" t="s">
        <v>4</v>
      </c>
      <c r="Q104" s="23"/>
      <c r="R104" s="23"/>
      <c r="S104" s="23"/>
      <c r="T104" s="4"/>
      <c r="U104" s="23"/>
      <c r="V104" s="23"/>
      <c r="W104" s="23"/>
      <c r="X104" s="4"/>
    </row>
    <row r="105" spans="2:25" ht="54" customHeight="1" x14ac:dyDescent="0.3">
      <c r="B105" s="24" t="s">
        <v>5</v>
      </c>
      <c r="C105" s="24"/>
      <c r="D105" s="24"/>
      <c r="E105" s="24"/>
      <c r="F105" s="5" t="s">
        <v>6</v>
      </c>
      <c r="G105" s="5"/>
      <c r="H105" s="5" t="s">
        <v>7</v>
      </c>
      <c r="I105" s="24"/>
      <c r="J105" s="24" t="s">
        <v>8</v>
      </c>
      <c r="K105" s="24"/>
      <c r="L105" s="24" t="s">
        <v>9</v>
      </c>
      <c r="M105" s="24"/>
      <c r="N105" s="24" t="s">
        <v>3</v>
      </c>
      <c r="O105" s="24"/>
      <c r="P105" s="5" t="s">
        <v>10</v>
      </c>
      <c r="Q105" s="24"/>
      <c r="R105" s="5" t="s">
        <v>11</v>
      </c>
      <c r="S105" s="24"/>
      <c r="T105" s="5" t="s">
        <v>12</v>
      </c>
      <c r="U105" s="24"/>
      <c r="V105" s="24" t="s">
        <v>13</v>
      </c>
      <c r="W105" s="24"/>
      <c r="X105" s="24" t="s">
        <v>14</v>
      </c>
    </row>
    <row r="106" spans="2:25" x14ac:dyDescent="0.3">
      <c r="B106" s="25" t="s">
        <v>15</v>
      </c>
      <c r="C106" s="22"/>
      <c r="D106" s="26" t="s">
        <v>16</v>
      </c>
      <c r="E106" s="27"/>
      <c r="F106" s="25" t="s">
        <v>17</v>
      </c>
      <c r="G106" s="1"/>
      <c r="H106" s="25" t="s">
        <v>17</v>
      </c>
      <c r="I106" s="27"/>
      <c r="J106" s="25" t="s">
        <v>17</v>
      </c>
      <c r="K106" s="27"/>
      <c r="L106" s="25" t="s">
        <v>17</v>
      </c>
      <c r="M106" s="27"/>
      <c r="N106" s="25" t="s">
        <v>17</v>
      </c>
      <c r="O106" s="27"/>
      <c r="P106" s="25" t="s">
        <v>17</v>
      </c>
      <c r="Q106" s="27"/>
      <c r="R106" s="25" t="s">
        <v>18</v>
      </c>
      <c r="S106" s="27"/>
      <c r="T106" s="25" t="s">
        <v>17</v>
      </c>
      <c r="U106" s="27"/>
      <c r="V106" s="25" t="s">
        <v>19</v>
      </c>
      <c r="W106" s="27"/>
      <c r="X106" s="25" t="s">
        <v>20</v>
      </c>
    </row>
    <row r="107" spans="2:25" x14ac:dyDescent="0.3">
      <c r="B107" s="27"/>
      <c r="C107" s="22"/>
      <c r="D107" s="22"/>
      <c r="E107" s="27"/>
      <c r="F107" s="27" t="s">
        <v>21</v>
      </c>
      <c r="G107" s="27"/>
      <c r="H107" s="27" t="s">
        <v>22</v>
      </c>
      <c r="I107" s="27"/>
      <c r="J107" s="27" t="s">
        <v>23</v>
      </c>
      <c r="K107" s="27"/>
      <c r="L107" s="27" t="s">
        <v>24</v>
      </c>
      <c r="M107" s="27"/>
      <c r="N107" s="27" t="s">
        <v>25</v>
      </c>
      <c r="O107" s="27"/>
      <c r="P107" s="27" t="s">
        <v>26</v>
      </c>
      <c r="Q107" s="27"/>
      <c r="R107" s="27" t="s">
        <v>27</v>
      </c>
      <c r="S107" s="27"/>
      <c r="T107" s="27" t="s">
        <v>28</v>
      </c>
      <c r="U107" s="27"/>
      <c r="V107" s="28" t="s">
        <v>29</v>
      </c>
      <c r="W107" s="27"/>
      <c r="X107" s="28" t="s">
        <v>30</v>
      </c>
    </row>
    <row r="108" spans="2:25" x14ac:dyDescent="0.3">
      <c r="B108" s="27"/>
      <c r="C108" s="22"/>
      <c r="D108" s="22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8"/>
      <c r="W108" s="27"/>
      <c r="X108" s="28"/>
      <c r="Y108" s="1"/>
    </row>
    <row r="109" spans="2:25" x14ac:dyDescent="0.3">
      <c r="D109" s="29" t="s">
        <v>31</v>
      </c>
      <c r="Y109" s="1"/>
    </row>
    <row r="110" spans="2:25" x14ac:dyDescent="0.3">
      <c r="D110" s="6" t="s">
        <v>32</v>
      </c>
      <c r="J110" s="8"/>
      <c r="P110" s="8"/>
      <c r="R110" s="8"/>
      <c r="Y110" s="1"/>
    </row>
    <row r="111" spans="2:25" x14ac:dyDescent="0.3">
      <c r="B111" s="27">
        <v>1</v>
      </c>
      <c r="D111" s="7" t="s">
        <v>33</v>
      </c>
      <c r="F111" s="8">
        <v>150956.19954708923</v>
      </c>
      <c r="G111" s="13"/>
      <c r="H111" s="13">
        <f>F111-N111</f>
        <v>26663.384132542094</v>
      </c>
      <c r="I111" s="13"/>
      <c r="J111" s="8">
        <v>123810.3269755497</v>
      </c>
      <c r="K111" s="13"/>
      <c r="L111" s="8">
        <v>482.48843899743855</v>
      </c>
      <c r="M111" s="13"/>
      <c r="N111" s="13">
        <f>J111+L111</f>
        <v>124292.81541454713</v>
      </c>
      <c r="O111" s="13"/>
      <c r="P111" s="8">
        <v>-546.09998392111947</v>
      </c>
      <c r="Q111" s="13"/>
      <c r="R111" s="9">
        <v>0</v>
      </c>
      <c r="S111" s="13"/>
      <c r="T111" s="13">
        <f t="shared" ref="T111:T121" si="36">N111+P111+R111</f>
        <v>123746.71543062602</v>
      </c>
      <c r="U111" s="13"/>
      <c r="V111" s="30">
        <f t="shared" ref="V111:V121" si="37">IFERROR(T111/N111,"-")</f>
        <v>0.99560634311726115</v>
      </c>
      <c r="W111" s="13"/>
      <c r="X111" s="31">
        <f t="shared" ref="X111:X121" si="38">IFERROR(T111/F111-1,"-")</f>
        <v>-0.18024754331454595</v>
      </c>
      <c r="Y111" s="1"/>
    </row>
    <row r="112" spans="2:25" x14ac:dyDescent="0.3">
      <c r="B112" s="27">
        <f>MAX(B$110:B111)+1</f>
        <v>2</v>
      </c>
      <c r="D112" s="7" t="s">
        <v>34</v>
      </c>
      <c r="F112" s="8">
        <v>30917.085784751358</v>
      </c>
      <c r="G112" s="13"/>
      <c r="H112" s="13">
        <f t="shared" ref="H112:H121" si="39">F112-N112</f>
        <v>6341.7109092458668</v>
      </c>
      <c r="I112" s="13"/>
      <c r="J112" s="8">
        <v>24413.705319150213</v>
      </c>
      <c r="K112" s="13"/>
      <c r="L112" s="8">
        <v>161.66955635527793</v>
      </c>
      <c r="M112" s="13"/>
      <c r="N112" s="13">
        <f t="shared" ref="N112:N121" si="40">J112+L112</f>
        <v>24575.374875505491</v>
      </c>
      <c r="O112" s="13"/>
      <c r="P112" s="8">
        <v>-284.55848194502909</v>
      </c>
      <c r="Q112" s="13"/>
      <c r="R112" s="9">
        <v>0</v>
      </c>
      <c r="T112" s="13">
        <f t="shared" si="36"/>
        <v>24290.816393560461</v>
      </c>
      <c r="U112" s="13"/>
      <c r="V112" s="32">
        <f t="shared" si="37"/>
        <v>0.9884209912000711</v>
      </c>
      <c r="W112" s="13"/>
      <c r="X112" s="31">
        <f t="shared" si="38"/>
        <v>-0.21432386730508235</v>
      </c>
      <c r="Y112" s="1"/>
    </row>
    <row r="113" spans="2:25" x14ac:dyDescent="0.3">
      <c r="B113" s="27">
        <f>MAX(B$110:B112)+1</f>
        <v>3</v>
      </c>
      <c r="D113" s="7" t="s">
        <v>35</v>
      </c>
      <c r="F113" s="8">
        <v>2231.2407355556302</v>
      </c>
      <c r="G113" s="13"/>
      <c r="H113" s="13">
        <f t="shared" si="39"/>
        <v>226.22826395253196</v>
      </c>
      <c r="I113" s="13"/>
      <c r="J113" s="8">
        <v>1995.7877893687826</v>
      </c>
      <c r="K113" s="13"/>
      <c r="L113" s="8">
        <v>9.2246822343156811</v>
      </c>
      <c r="M113" s="13"/>
      <c r="N113" s="13">
        <f t="shared" si="40"/>
        <v>2005.0124716030982</v>
      </c>
      <c r="O113" s="13"/>
      <c r="P113" s="8">
        <v>-32.57192115401687</v>
      </c>
      <c r="Q113" s="13"/>
      <c r="R113" s="9">
        <v>0</v>
      </c>
      <c r="S113" s="13"/>
      <c r="T113" s="13">
        <f t="shared" si="36"/>
        <v>1972.4405504490815</v>
      </c>
      <c r="U113" s="13"/>
      <c r="V113" s="32">
        <f t="shared" si="37"/>
        <v>0.98375475384052147</v>
      </c>
      <c r="W113" s="13"/>
      <c r="X113" s="31">
        <f t="shared" si="38"/>
        <v>-0.11598936008225103</v>
      </c>
      <c r="Y113" s="1"/>
    </row>
    <row r="114" spans="2:25" x14ac:dyDescent="0.3">
      <c r="B114" s="27">
        <f>MAX(B$110:B113)+1</f>
        <v>4</v>
      </c>
      <c r="D114" s="7" t="s">
        <v>36</v>
      </c>
      <c r="F114" s="8">
        <v>0</v>
      </c>
      <c r="G114" s="13"/>
      <c r="H114" s="13">
        <f t="shared" si="39"/>
        <v>0</v>
      </c>
      <c r="I114" s="13"/>
      <c r="J114" s="8">
        <v>0</v>
      </c>
      <c r="K114" s="13"/>
      <c r="L114" s="9">
        <v>0</v>
      </c>
      <c r="M114" s="13"/>
      <c r="N114" s="13">
        <f t="shared" si="40"/>
        <v>0</v>
      </c>
      <c r="O114" s="13"/>
      <c r="P114" s="8">
        <v>0</v>
      </c>
      <c r="Q114" s="13"/>
      <c r="R114" s="9">
        <v>0</v>
      </c>
      <c r="S114" s="13"/>
      <c r="T114" s="13">
        <f t="shared" si="36"/>
        <v>0</v>
      </c>
      <c r="U114" s="13"/>
      <c r="V114" s="32" t="str">
        <f t="shared" si="37"/>
        <v>-</v>
      </c>
      <c r="W114" s="13"/>
      <c r="X114" s="31" t="str">
        <f t="shared" si="38"/>
        <v>-</v>
      </c>
      <c r="Y114" s="3"/>
    </row>
    <row r="115" spans="2:25" x14ac:dyDescent="0.3">
      <c r="B115" s="27">
        <f>MAX(B$110:B114)+1</f>
        <v>5</v>
      </c>
      <c r="D115" s="7" t="s">
        <v>37</v>
      </c>
      <c r="F115" s="8">
        <v>16229.782835188422</v>
      </c>
      <c r="G115" s="13"/>
      <c r="H115" s="13">
        <f t="shared" si="39"/>
        <v>8383.4724064066504</v>
      </c>
      <c r="I115" s="13"/>
      <c r="J115" s="8">
        <v>7846.3104287817723</v>
      </c>
      <c r="K115" s="13"/>
      <c r="L115" s="8">
        <v>0</v>
      </c>
      <c r="M115" s="13"/>
      <c r="N115" s="13">
        <f t="shared" si="40"/>
        <v>7846.3104287817723</v>
      </c>
      <c r="O115" s="13"/>
      <c r="P115" s="8">
        <v>0</v>
      </c>
      <c r="Q115" s="13"/>
      <c r="R115" s="9">
        <v>-28.037505286815303</v>
      </c>
      <c r="S115" s="13"/>
      <c r="T115" s="13">
        <f t="shared" si="36"/>
        <v>7818.2729234949566</v>
      </c>
      <c r="U115" s="13"/>
      <c r="V115" s="32">
        <f t="shared" si="37"/>
        <v>0.99642666377512046</v>
      </c>
      <c r="W115" s="13"/>
      <c r="X115" s="31">
        <f t="shared" si="38"/>
        <v>-0.51827618379810625</v>
      </c>
      <c r="Y115" s="3"/>
    </row>
    <row r="116" spans="2:25" x14ac:dyDescent="0.3">
      <c r="B116" s="27">
        <f>MAX(B$110:B115)+1</f>
        <v>6</v>
      </c>
      <c r="D116" s="7" t="s">
        <v>38</v>
      </c>
      <c r="F116" s="8">
        <v>6306.5052081699696</v>
      </c>
      <c r="G116" s="13"/>
      <c r="H116" s="13">
        <f t="shared" si="39"/>
        <v>4020.7862486409917</v>
      </c>
      <c r="I116" s="13"/>
      <c r="J116" s="8">
        <v>2285.7189595289778</v>
      </c>
      <c r="K116" s="13"/>
      <c r="L116" s="8">
        <v>0</v>
      </c>
      <c r="M116" s="13"/>
      <c r="N116" s="13">
        <f t="shared" si="40"/>
        <v>2285.7189595289778</v>
      </c>
      <c r="O116" s="13"/>
      <c r="P116" s="8">
        <v>-21.498257188674728</v>
      </c>
      <c r="Q116" s="13"/>
      <c r="R116" s="9">
        <v>-0.931951032952267</v>
      </c>
      <c r="S116" s="13"/>
      <c r="T116" s="13">
        <f t="shared" si="36"/>
        <v>2263.2887513073506</v>
      </c>
      <c r="U116" s="13"/>
      <c r="V116" s="32">
        <f t="shared" si="37"/>
        <v>0.99018680396900172</v>
      </c>
      <c r="W116" s="13"/>
      <c r="X116" s="31">
        <f t="shared" si="38"/>
        <v>-0.64111838861636095</v>
      </c>
      <c r="Y116" s="1"/>
    </row>
    <row r="117" spans="2:25" x14ac:dyDescent="0.3">
      <c r="B117" s="27">
        <f>MAX(B$110:B116)+1</f>
        <v>7</v>
      </c>
      <c r="D117" s="7" t="s">
        <v>39</v>
      </c>
      <c r="F117" s="8">
        <v>236.07142827583391</v>
      </c>
      <c r="G117" s="13"/>
      <c r="H117" s="13">
        <f t="shared" si="39"/>
        <v>179.95368528962541</v>
      </c>
      <c r="I117" s="13"/>
      <c r="J117" s="8">
        <v>51.528161097869003</v>
      </c>
      <c r="K117" s="13"/>
      <c r="L117" s="8">
        <v>4.589581888339513</v>
      </c>
      <c r="M117" s="13"/>
      <c r="N117" s="13">
        <f>J117+L117</f>
        <v>56.117742986208512</v>
      </c>
      <c r="O117" s="13"/>
      <c r="P117" s="8">
        <v>0</v>
      </c>
      <c r="Q117" s="13"/>
      <c r="R117" s="9">
        <v>0</v>
      </c>
      <c r="S117" s="13"/>
      <c r="T117" s="13">
        <f t="shared" si="36"/>
        <v>56.117742986208512</v>
      </c>
      <c r="U117" s="13"/>
      <c r="V117" s="32">
        <f t="shared" si="37"/>
        <v>1</v>
      </c>
      <c r="W117" s="13"/>
      <c r="X117" s="31">
        <f t="shared" si="38"/>
        <v>-0.76228490081976963</v>
      </c>
      <c r="Y117" s="1"/>
    </row>
    <row r="118" spans="2:25" x14ac:dyDescent="0.3">
      <c r="B118" s="27">
        <f>MAX(B$110:B117)+1</f>
        <v>8</v>
      </c>
      <c r="D118" s="7" t="s">
        <v>40</v>
      </c>
      <c r="F118" s="8">
        <v>0</v>
      </c>
      <c r="G118" s="13"/>
      <c r="H118" s="13">
        <f t="shared" si="39"/>
        <v>0</v>
      </c>
      <c r="I118" s="13"/>
      <c r="J118" s="8">
        <v>0</v>
      </c>
      <c r="K118" s="13"/>
      <c r="L118" s="8">
        <v>0</v>
      </c>
      <c r="M118" s="13"/>
      <c r="N118" s="13">
        <f t="shared" si="40"/>
        <v>0</v>
      </c>
      <c r="O118" s="13"/>
      <c r="P118" s="8">
        <v>0</v>
      </c>
      <c r="Q118" s="13"/>
      <c r="R118" s="9">
        <v>0</v>
      </c>
      <c r="S118" s="13"/>
      <c r="T118" s="13">
        <f t="shared" si="36"/>
        <v>0</v>
      </c>
      <c r="U118" s="13"/>
      <c r="V118" s="32" t="str">
        <f t="shared" si="37"/>
        <v>-</v>
      </c>
      <c r="W118" s="13"/>
      <c r="X118" s="31" t="str">
        <f t="shared" si="38"/>
        <v>-</v>
      </c>
      <c r="Y118" s="22"/>
    </row>
    <row r="119" spans="2:25" x14ac:dyDescent="0.3">
      <c r="B119" s="27">
        <f>MAX(B$110:B118)+1</f>
        <v>9</v>
      </c>
      <c r="D119" s="7" t="s">
        <v>41</v>
      </c>
      <c r="F119" s="8">
        <v>1236.409003</v>
      </c>
      <c r="G119" s="13"/>
      <c r="H119" s="13">
        <f t="shared" si="39"/>
        <v>579.23372633756435</v>
      </c>
      <c r="I119" s="13"/>
      <c r="J119" s="8">
        <v>657.17527666243564</v>
      </c>
      <c r="K119" s="13"/>
      <c r="L119" s="8">
        <v>0</v>
      </c>
      <c r="M119" s="13"/>
      <c r="N119" s="13">
        <f t="shared" si="40"/>
        <v>657.17527666243564</v>
      </c>
      <c r="O119" s="13"/>
      <c r="P119" s="8">
        <v>-8.0667749790494305</v>
      </c>
      <c r="Q119" s="13"/>
      <c r="R119" s="9">
        <v>135.36150669201737</v>
      </c>
      <c r="S119" s="13"/>
      <c r="T119" s="13">
        <f t="shared" si="36"/>
        <v>784.47000837540349</v>
      </c>
      <c r="U119" s="13"/>
      <c r="V119" s="32">
        <f t="shared" si="37"/>
        <v>1.1936998183490004</v>
      </c>
      <c r="W119" s="13"/>
      <c r="X119" s="31">
        <f t="shared" si="38"/>
        <v>-0.36552548026423304</v>
      </c>
      <c r="Y119" s="5"/>
    </row>
    <row r="120" spans="2:25" x14ac:dyDescent="0.3">
      <c r="B120" s="27">
        <f>MAX(B$110:B119)+1</f>
        <v>10</v>
      </c>
      <c r="D120" s="7" t="s">
        <v>42</v>
      </c>
      <c r="F120" s="8">
        <v>0</v>
      </c>
      <c r="G120" s="13"/>
      <c r="H120" s="13">
        <f t="shared" si="39"/>
        <v>0</v>
      </c>
      <c r="I120" s="13"/>
      <c r="J120" s="8">
        <v>0</v>
      </c>
      <c r="K120" s="13"/>
      <c r="L120" s="8">
        <v>0</v>
      </c>
      <c r="M120" s="13"/>
      <c r="N120" s="13">
        <f t="shared" si="40"/>
        <v>0</v>
      </c>
      <c r="O120" s="13"/>
      <c r="P120" s="8">
        <v>0</v>
      </c>
      <c r="Q120" s="13"/>
      <c r="R120" s="9">
        <v>0</v>
      </c>
      <c r="S120" s="13"/>
      <c r="T120" s="13">
        <f t="shared" si="36"/>
        <v>0</v>
      </c>
      <c r="U120" s="13"/>
      <c r="V120" s="32" t="str">
        <f t="shared" si="37"/>
        <v>-</v>
      </c>
      <c r="W120" s="13"/>
      <c r="X120" s="31" t="str">
        <f t="shared" si="38"/>
        <v>-</v>
      </c>
      <c r="Y120" s="1"/>
    </row>
    <row r="121" spans="2:25" x14ac:dyDescent="0.3">
      <c r="B121" s="27">
        <f>MAX(B$110:B120)+1</f>
        <v>11</v>
      </c>
      <c r="D121" s="7" t="s">
        <v>43</v>
      </c>
      <c r="F121" s="8">
        <v>0</v>
      </c>
      <c r="G121" s="13"/>
      <c r="H121" s="13">
        <f t="shared" si="39"/>
        <v>0</v>
      </c>
      <c r="I121" s="13"/>
      <c r="J121" s="8">
        <v>0</v>
      </c>
      <c r="K121" s="13"/>
      <c r="L121" s="8">
        <v>0</v>
      </c>
      <c r="M121" s="13"/>
      <c r="N121" s="13">
        <f t="shared" si="40"/>
        <v>0</v>
      </c>
      <c r="O121" s="13"/>
      <c r="P121" s="8">
        <v>0</v>
      </c>
      <c r="Q121" s="13"/>
      <c r="R121" s="9">
        <v>0</v>
      </c>
      <c r="S121" s="13"/>
      <c r="T121" s="13">
        <f t="shared" si="36"/>
        <v>0</v>
      </c>
      <c r="U121" s="13"/>
      <c r="V121" s="32" t="str">
        <f t="shared" si="37"/>
        <v>-</v>
      </c>
      <c r="W121" s="13"/>
      <c r="X121" s="31" t="str">
        <f t="shared" si="38"/>
        <v>-</v>
      </c>
      <c r="Y121" s="1"/>
    </row>
    <row r="122" spans="2:25" x14ac:dyDescent="0.3">
      <c r="B122" s="27">
        <f>MAX(B$110:B121)+1</f>
        <v>12</v>
      </c>
      <c r="D122" s="10" t="s">
        <v>44</v>
      </c>
      <c r="F122" s="14">
        <f>SUM(F111:F121)</f>
        <v>208113.29454203046</v>
      </c>
      <c r="G122" s="13"/>
      <c r="H122" s="14">
        <f>SUM(H111:H121)</f>
        <v>46394.769372415329</v>
      </c>
      <c r="I122" s="13"/>
      <c r="J122" s="14">
        <f>SUM(J111:J121)</f>
        <v>161060.55291013976</v>
      </c>
      <c r="K122" s="13"/>
      <c r="L122" s="14">
        <f>SUM(L111:L121)</f>
        <v>657.97225947537163</v>
      </c>
      <c r="M122" s="13"/>
      <c r="N122" s="14">
        <f>SUM(N111:N121)</f>
        <v>161718.52516961511</v>
      </c>
      <c r="O122" s="13"/>
      <c r="P122" s="14">
        <f>SUM(P111:P121)</f>
        <v>-892.79541918788971</v>
      </c>
      <c r="Q122" s="13"/>
      <c r="R122" s="14">
        <f>SUM(R111:R121)</f>
        <v>106.3920503722498</v>
      </c>
      <c r="S122" s="13"/>
      <c r="T122" s="14">
        <f>SUM(T111:T121)</f>
        <v>160932.12180079948</v>
      </c>
      <c r="U122" s="13"/>
      <c r="V122" s="33">
        <f>T122/N122</f>
        <v>0.99513720912313031</v>
      </c>
      <c r="W122" s="13"/>
      <c r="X122" s="34">
        <f>T122/F122-1</f>
        <v>-0.22670907615516267</v>
      </c>
      <c r="Y122" s="1"/>
    </row>
    <row r="123" spans="2:25" x14ac:dyDescent="0.3">
      <c r="B123" s="27"/>
    </row>
    <row r="124" spans="2:25" x14ac:dyDescent="0.3">
      <c r="B124" s="27"/>
      <c r="D124" s="6" t="s">
        <v>45</v>
      </c>
    </row>
    <row r="125" spans="2:25" x14ac:dyDescent="0.3">
      <c r="B125" s="27">
        <f>MAX(B$110:B124)+1</f>
        <v>13</v>
      </c>
      <c r="D125" s="7" t="s">
        <v>33</v>
      </c>
      <c r="F125" s="8">
        <v>265477.55850738991</v>
      </c>
      <c r="H125" s="13">
        <f>F125-N125</f>
        <v>12336.969470601878</v>
      </c>
      <c r="J125" s="8">
        <v>253055.57769112321</v>
      </c>
      <c r="L125" s="8">
        <v>85.011345664821221</v>
      </c>
      <c r="N125" s="13">
        <f>J125+L125</f>
        <v>253140.58903678803</v>
      </c>
      <c r="P125" s="8">
        <v>-885.89438568657431</v>
      </c>
      <c r="R125" s="8">
        <v>0</v>
      </c>
      <c r="T125" s="13">
        <f t="shared" ref="T125:T135" si="41">N125+P125+R125</f>
        <v>252254.69465110145</v>
      </c>
      <c r="V125" s="35">
        <f t="shared" ref="V125:V135" si="42">IFERROR(T125/N125,"-")</f>
        <v>0.99650038585650191</v>
      </c>
      <c r="X125" s="31">
        <f t="shared" ref="X125:X135" si="43">IFERROR(T125/F125-1,"-")</f>
        <v>-4.9807840371262069E-2</v>
      </c>
    </row>
    <row r="126" spans="2:25" x14ac:dyDescent="0.3">
      <c r="B126" s="27">
        <f>MAX(B$110:B125)+1</f>
        <v>14</v>
      </c>
      <c r="D126" s="7" t="s">
        <v>34</v>
      </c>
      <c r="F126" s="8">
        <v>57011.047450530896</v>
      </c>
      <c r="H126" s="13">
        <f t="shared" ref="H126:H135" si="44">F126-N126</f>
        <v>-225.92117442900053</v>
      </c>
      <c r="J126" s="8">
        <v>57201.465514201569</v>
      </c>
      <c r="L126" s="8">
        <v>35.503110758328432</v>
      </c>
      <c r="N126" s="13">
        <f t="shared" ref="N126:N135" si="45">J126+L126</f>
        <v>57236.968624959896</v>
      </c>
      <c r="P126" s="8">
        <v>-624.4531183439293</v>
      </c>
      <c r="R126" s="8">
        <v>0</v>
      </c>
      <c r="T126" s="13">
        <f t="shared" si="41"/>
        <v>56612.515506615964</v>
      </c>
      <c r="V126" s="35">
        <f t="shared" si="42"/>
        <v>0.98909003860012912</v>
      </c>
      <c r="X126" s="31">
        <f t="shared" si="43"/>
        <v>-6.9904336393878941E-3</v>
      </c>
    </row>
    <row r="127" spans="2:25" x14ac:dyDescent="0.3">
      <c r="B127" s="27">
        <f>MAX(B$110:B126)+1</f>
        <v>15</v>
      </c>
      <c r="D127" s="7" t="s">
        <v>35</v>
      </c>
      <c r="F127" s="8">
        <v>8866.1566187364806</v>
      </c>
      <c r="H127" s="13">
        <f t="shared" si="44"/>
        <v>1264.681531517962</v>
      </c>
      <c r="J127" s="8">
        <v>7597.71193221061</v>
      </c>
      <c r="L127" s="8">
        <v>3.7631550079090186</v>
      </c>
      <c r="N127" s="13">
        <f t="shared" si="45"/>
        <v>7601.4750872185186</v>
      </c>
      <c r="P127" s="8">
        <v>-98.50131883403526</v>
      </c>
      <c r="R127" s="8">
        <v>0</v>
      </c>
      <c r="T127" s="13">
        <f t="shared" si="41"/>
        <v>7502.9737683844833</v>
      </c>
      <c r="V127" s="35">
        <f t="shared" si="42"/>
        <v>0.98704181521298939</v>
      </c>
      <c r="X127" s="31">
        <f t="shared" si="43"/>
        <v>-0.15375127115070808</v>
      </c>
    </row>
    <row r="128" spans="2:25" x14ac:dyDescent="0.3">
      <c r="B128" s="27">
        <f>MAX(B$110:B127)+1</f>
        <v>16</v>
      </c>
      <c r="D128" s="7" t="s">
        <v>36</v>
      </c>
      <c r="F128" s="8">
        <v>0</v>
      </c>
      <c r="H128" s="13">
        <f t="shared" si="44"/>
        <v>0</v>
      </c>
      <c r="J128" s="8">
        <v>0</v>
      </c>
      <c r="L128" s="8">
        <v>0</v>
      </c>
      <c r="N128" s="13">
        <f t="shared" si="45"/>
        <v>0</v>
      </c>
      <c r="P128" s="8">
        <v>0</v>
      </c>
      <c r="R128" s="8">
        <v>0</v>
      </c>
      <c r="T128" s="13">
        <f t="shared" si="41"/>
        <v>0</v>
      </c>
      <c r="V128" s="36" t="str">
        <f t="shared" si="42"/>
        <v>-</v>
      </c>
      <c r="X128" s="31" t="str">
        <f t="shared" si="43"/>
        <v>-</v>
      </c>
    </row>
    <row r="129" spans="2:24" x14ac:dyDescent="0.3">
      <c r="B129" s="27">
        <f>MAX(B$110:B128)+1</f>
        <v>17</v>
      </c>
      <c r="D129" s="7" t="s">
        <v>37</v>
      </c>
      <c r="F129" s="8">
        <v>6446.5426161722253</v>
      </c>
      <c r="H129" s="13">
        <f t="shared" si="44"/>
        <v>2949.6640219002538</v>
      </c>
      <c r="J129" s="8">
        <v>3496.8785942719715</v>
      </c>
      <c r="L129" s="8">
        <v>0</v>
      </c>
      <c r="N129" s="13">
        <f t="shared" si="45"/>
        <v>3496.8785942719715</v>
      </c>
      <c r="P129" s="8">
        <v>0</v>
      </c>
      <c r="R129" s="8">
        <v>-111.18801750196531</v>
      </c>
      <c r="T129" s="41">
        <f t="shared" si="41"/>
        <v>3385.6905767700064</v>
      </c>
      <c r="U129" s="39"/>
      <c r="V129" s="36">
        <f t="shared" si="42"/>
        <v>0.96820363804334086</v>
      </c>
      <c r="X129" s="31">
        <f t="shared" si="43"/>
        <v>-0.47480521290956212</v>
      </c>
    </row>
    <row r="130" spans="2:24" x14ac:dyDescent="0.3">
      <c r="B130" s="27">
        <f>MAX(B$110:B129)+1</f>
        <v>18</v>
      </c>
      <c r="D130" s="7" t="s">
        <v>38</v>
      </c>
      <c r="F130" s="8">
        <v>12494.111415332509</v>
      </c>
      <c r="H130" s="13">
        <f t="shared" si="44"/>
        <v>6221.3963275627284</v>
      </c>
      <c r="J130" s="8">
        <v>6272.7150877697804</v>
      </c>
      <c r="L130" s="8">
        <v>0</v>
      </c>
      <c r="N130" s="13">
        <f t="shared" si="45"/>
        <v>6272.7150877697804</v>
      </c>
      <c r="P130" s="8">
        <v>-58.505971349179084</v>
      </c>
      <c r="R130" s="8">
        <v>-2.5362381682486692</v>
      </c>
      <c r="T130" s="13">
        <f t="shared" si="41"/>
        <v>6211.6728782523523</v>
      </c>
      <c r="V130" s="35">
        <f t="shared" si="42"/>
        <v>0.99026861436183433</v>
      </c>
      <c r="X130" s="31">
        <f t="shared" si="43"/>
        <v>-0.502831960452224</v>
      </c>
    </row>
    <row r="131" spans="2:24" x14ac:dyDescent="0.3">
      <c r="B131" s="27">
        <f>MAX(B$110:B130)+1</f>
        <v>19</v>
      </c>
      <c r="D131" s="7" t="s">
        <v>39</v>
      </c>
      <c r="F131" s="8">
        <v>737.92579670283703</v>
      </c>
      <c r="H131" s="13">
        <f t="shared" si="44"/>
        <v>411.59855994399527</v>
      </c>
      <c r="J131" s="8">
        <v>326.30943423497331</v>
      </c>
      <c r="L131" s="8">
        <v>1.780252386844473E-2</v>
      </c>
      <c r="N131" s="13">
        <f t="shared" si="45"/>
        <v>326.32723675884176</v>
      </c>
      <c r="P131" s="8">
        <v>0</v>
      </c>
      <c r="R131" s="8">
        <v>196</v>
      </c>
      <c r="T131" s="13">
        <f t="shared" si="41"/>
        <v>522.32723675884176</v>
      </c>
      <c r="V131" s="35">
        <f t="shared" si="42"/>
        <v>1.6006240911629619</v>
      </c>
      <c r="X131" s="31">
        <f t="shared" si="43"/>
        <v>-0.29216834661062385</v>
      </c>
    </row>
    <row r="132" spans="2:24" x14ac:dyDescent="0.3">
      <c r="B132" s="27">
        <f>MAX(B$110:B131)+1</f>
        <v>20</v>
      </c>
      <c r="D132" s="7" t="s">
        <v>40</v>
      </c>
      <c r="F132" s="8">
        <v>341.57787898728509</v>
      </c>
      <c r="H132" s="13">
        <f t="shared" si="44"/>
        <v>-76.712181106654839</v>
      </c>
      <c r="J132" s="8">
        <v>418.24943901723788</v>
      </c>
      <c r="L132" s="8">
        <v>4.062107670206646E-2</v>
      </c>
      <c r="N132" s="13">
        <f t="shared" si="45"/>
        <v>418.29006009393993</v>
      </c>
      <c r="P132" s="8">
        <v>-4.0380341573596802E-2</v>
      </c>
      <c r="R132" s="8">
        <v>-196</v>
      </c>
      <c r="T132" s="41">
        <f t="shared" si="41"/>
        <v>222.24967975236632</v>
      </c>
      <c r="U132" s="39"/>
      <c r="V132" s="36">
        <f t="shared" si="42"/>
        <v>0.53132909661408956</v>
      </c>
      <c r="X132" s="31">
        <f t="shared" si="43"/>
        <v>-0.34934404882630188</v>
      </c>
    </row>
    <row r="133" spans="2:24" x14ac:dyDescent="0.3">
      <c r="B133" s="27">
        <f>MAX(B$110:B132)+1</f>
        <v>21</v>
      </c>
      <c r="D133" s="7" t="s">
        <v>41</v>
      </c>
      <c r="F133" s="8">
        <v>0</v>
      </c>
      <c r="H133" s="13">
        <f t="shared" si="44"/>
        <v>0</v>
      </c>
      <c r="J133" s="8">
        <v>0</v>
      </c>
      <c r="L133" s="8">
        <v>0</v>
      </c>
      <c r="N133" s="13">
        <f t="shared" si="45"/>
        <v>0</v>
      </c>
      <c r="P133" s="8">
        <v>0</v>
      </c>
      <c r="R133" s="8">
        <v>0</v>
      </c>
      <c r="T133" s="13">
        <f t="shared" si="41"/>
        <v>0</v>
      </c>
      <c r="V133" s="36" t="str">
        <f t="shared" si="42"/>
        <v>-</v>
      </c>
      <c r="X133" s="31" t="str">
        <f t="shared" si="43"/>
        <v>-</v>
      </c>
    </row>
    <row r="134" spans="2:24" x14ac:dyDescent="0.3">
      <c r="B134" s="27">
        <f>MAX(B$110:B133)+1</f>
        <v>22</v>
      </c>
      <c r="D134" s="7" t="s">
        <v>42</v>
      </c>
      <c r="F134" s="8">
        <v>5168.0916729286218</v>
      </c>
      <c r="H134" s="13">
        <f t="shared" si="44"/>
        <v>1786.4348465712892</v>
      </c>
      <c r="J134" s="8">
        <v>3370.0090265515264</v>
      </c>
      <c r="L134" s="8">
        <v>11.647799805806374</v>
      </c>
      <c r="N134" s="13">
        <f t="shared" si="45"/>
        <v>3381.6568263573326</v>
      </c>
      <c r="P134" s="8">
        <v>-97.831666646795824</v>
      </c>
      <c r="R134" s="8">
        <v>0</v>
      </c>
      <c r="T134" s="41">
        <f t="shared" si="41"/>
        <v>3283.8251597105368</v>
      </c>
      <c r="U134" s="39"/>
      <c r="V134" s="36">
        <f t="shared" si="42"/>
        <v>0.97106990103659374</v>
      </c>
      <c r="X134" s="31">
        <f t="shared" si="43"/>
        <v>-0.36459618607158351</v>
      </c>
    </row>
    <row r="135" spans="2:24" x14ac:dyDescent="0.3">
      <c r="B135" s="27">
        <f>MAX(B$110:B134)+1</f>
        <v>23</v>
      </c>
      <c r="D135" s="7" t="s">
        <v>43</v>
      </c>
      <c r="F135" s="8">
        <v>0</v>
      </c>
      <c r="H135" s="13">
        <f t="shared" si="44"/>
        <v>0</v>
      </c>
      <c r="J135" s="8">
        <v>0</v>
      </c>
      <c r="L135" s="8">
        <v>0</v>
      </c>
      <c r="N135" s="13">
        <f t="shared" si="45"/>
        <v>0</v>
      </c>
      <c r="P135" s="8">
        <v>0</v>
      </c>
      <c r="R135" s="8">
        <v>0</v>
      </c>
      <c r="T135" s="41">
        <f t="shared" si="41"/>
        <v>0</v>
      </c>
      <c r="U135" s="39"/>
      <c r="V135" s="36" t="str">
        <f t="shared" si="42"/>
        <v>-</v>
      </c>
      <c r="X135" s="31" t="str">
        <f t="shared" si="43"/>
        <v>-</v>
      </c>
    </row>
    <row r="136" spans="2:24" x14ac:dyDescent="0.3">
      <c r="B136" s="27">
        <f>MAX(B$110:B135)+1</f>
        <v>24</v>
      </c>
      <c r="D136" s="10" t="s">
        <v>46</v>
      </c>
      <c r="F136" s="17">
        <f>SUM(F125:F135)</f>
        <v>356543.01195678074</v>
      </c>
      <c r="H136" s="14">
        <f>SUM(H125:H135)</f>
        <v>24668.111402562456</v>
      </c>
      <c r="J136" s="14">
        <f>SUM(J125:J135)</f>
        <v>331738.91671938088</v>
      </c>
      <c r="L136" s="14">
        <f>SUM(L125:L135)</f>
        <v>135.98383483743555</v>
      </c>
      <c r="N136" s="14">
        <f>SUM(N125:N135)</f>
        <v>331874.90055421827</v>
      </c>
      <c r="P136" s="14">
        <f>SUM(P125:P135)</f>
        <v>-1765.2268412020874</v>
      </c>
      <c r="R136" s="14">
        <f>SUM(R125:R135)</f>
        <v>-113.72425567021398</v>
      </c>
      <c r="T136" s="14">
        <f>SUM(T125:T135)</f>
        <v>329995.949457346</v>
      </c>
      <c r="V136" s="38">
        <f>T136/N136</f>
        <v>0.99433837541273984</v>
      </c>
      <c r="X136" s="34">
        <f>T136/F136-1</f>
        <v>-7.4456830197678125E-2</v>
      </c>
    </row>
    <row r="137" spans="2:24" x14ac:dyDescent="0.3">
      <c r="B137" s="27"/>
    </row>
    <row r="138" spans="2:24" x14ac:dyDescent="0.3">
      <c r="B138" s="27"/>
      <c r="D138" s="6" t="s">
        <v>47</v>
      </c>
    </row>
    <row r="139" spans="2:24" x14ac:dyDescent="0.3">
      <c r="B139" s="27">
        <f>MAX(B$110:B138)+1</f>
        <v>25</v>
      </c>
      <c r="D139" s="7" t="s">
        <v>33</v>
      </c>
      <c r="F139" s="8">
        <v>1024898.7569262407</v>
      </c>
      <c r="H139" s="13">
        <f>F139-N139</f>
        <v>3051.9784165723249</v>
      </c>
      <c r="J139" s="8">
        <v>1021381.5451866259</v>
      </c>
      <c r="L139" s="8">
        <v>465.23332304254444</v>
      </c>
      <c r="N139" s="13">
        <f>J139+L139</f>
        <v>1021846.7785096684</v>
      </c>
      <c r="P139" s="8">
        <v>-5900.965521142276</v>
      </c>
      <c r="R139" s="8">
        <v>0</v>
      </c>
      <c r="T139" s="13">
        <f t="shared" ref="T139:T149" si="46">N139+P139+R139</f>
        <v>1015945.8129885262</v>
      </c>
      <c r="V139" s="35">
        <f t="shared" ref="V139:V149" si="47">IFERROR(T139/N139,"-")</f>
        <v>0.99422519535683362</v>
      </c>
      <c r="X139" s="31">
        <f t="shared" ref="X139:X149" si="48">IFERROR(T139/F139-1,"-")</f>
        <v>-8.7354422836507517E-3</v>
      </c>
    </row>
    <row r="140" spans="2:24" x14ac:dyDescent="0.3">
      <c r="B140" s="27">
        <f>MAX(B$110:B139)+1</f>
        <v>26</v>
      </c>
      <c r="D140" s="7" t="s">
        <v>34</v>
      </c>
      <c r="F140" s="8">
        <v>282729.88830723322</v>
      </c>
      <c r="H140" s="13">
        <f t="shared" ref="H140:H149" si="49">F140-N140</f>
        <v>-26413.852614822157</v>
      </c>
      <c r="J140" s="8">
        <v>308888.4759355745</v>
      </c>
      <c r="L140" s="8">
        <v>255.26498648089404</v>
      </c>
      <c r="N140" s="13">
        <f t="shared" ref="N140:N149" si="50">J140+L140</f>
        <v>309143.74092205538</v>
      </c>
      <c r="P140" s="8">
        <v>-4660.2321475347208</v>
      </c>
      <c r="R140" s="8">
        <v>0</v>
      </c>
      <c r="T140" s="13">
        <f t="shared" si="46"/>
        <v>304483.50877452065</v>
      </c>
      <c r="V140" s="35">
        <f t="shared" si="47"/>
        <v>0.98492535500270817</v>
      </c>
      <c r="X140" s="31">
        <f t="shared" si="48"/>
        <v>7.694135415796044E-2</v>
      </c>
    </row>
    <row r="141" spans="2:24" x14ac:dyDescent="0.3">
      <c r="B141" s="27">
        <f>MAX(B$110:B140)+1</f>
        <v>27</v>
      </c>
      <c r="D141" s="7" t="s">
        <v>35</v>
      </c>
      <c r="F141" s="8">
        <v>39949.238622188612</v>
      </c>
      <c r="H141" s="13">
        <f t="shared" si="49"/>
        <v>-4836.6877582431407</v>
      </c>
      <c r="J141" s="8">
        <v>44777.646302594389</v>
      </c>
      <c r="L141" s="8">
        <v>8.280077837361647</v>
      </c>
      <c r="N141" s="13">
        <f t="shared" si="50"/>
        <v>44785.926380431752</v>
      </c>
      <c r="P141" s="8">
        <v>-718.78043128316699</v>
      </c>
      <c r="R141" s="8">
        <v>0</v>
      </c>
      <c r="T141" s="13">
        <f t="shared" si="46"/>
        <v>44067.145949148588</v>
      </c>
      <c r="V141" s="35">
        <f t="shared" si="47"/>
        <v>0.98395075218099715</v>
      </c>
      <c r="X141" s="31">
        <f t="shared" si="48"/>
        <v>0.10307849333260655</v>
      </c>
    </row>
    <row r="142" spans="2:24" x14ac:dyDescent="0.3">
      <c r="B142" s="27">
        <f>MAX(B$110:B141)+1</f>
        <v>28</v>
      </c>
      <c r="D142" s="7" t="s">
        <v>36</v>
      </c>
      <c r="F142" s="8">
        <v>0</v>
      </c>
      <c r="H142" s="13">
        <f t="shared" si="49"/>
        <v>0</v>
      </c>
      <c r="J142" s="8">
        <v>0</v>
      </c>
      <c r="L142" s="8">
        <v>0</v>
      </c>
      <c r="N142" s="13">
        <f t="shared" si="50"/>
        <v>0</v>
      </c>
      <c r="P142" s="8">
        <v>0</v>
      </c>
      <c r="R142" s="8">
        <v>0</v>
      </c>
      <c r="T142" s="13">
        <f t="shared" si="46"/>
        <v>0</v>
      </c>
      <c r="U142" s="39"/>
      <c r="V142" s="36" t="str">
        <f t="shared" si="47"/>
        <v>-</v>
      </c>
      <c r="X142" s="31" t="str">
        <f t="shared" si="48"/>
        <v>-</v>
      </c>
    </row>
    <row r="143" spans="2:24" x14ac:dyDescent="0.3">
      <c r="B143" s="27">
        <f>MAX(B$110:B142)+1</f>
        <v>29</v>
      </c>
      <c r="D143" s="7" t="s">
        <v>37</v>
      </c>
      <c r="F143" s="8">
        <v>0</v>
      </c>
      <c r="H143" s="13">
        <f t="shared" si="49"/>
        <v>0</v>
      </c>
      <c r="J143" s="8">
        <v>0</v>
      </c>
      <c r="L143" s="8">
        <v>0</v>
      </c>
      <c r="N143" s="13">
        <f t="shared" si="50"/>
        <v>0</v>
      </c>
      <c r="P143" s="8">
        <v>0</v>
      </c>
      <c r="R143" s="8">
        <v>0</v>
      </c>
      <c r="T143" s="13">
        <f t="shared" si="46"/>
        <v>0</v>
      </c>
      <c r="U143" s="39"/>
      <c r="V143" s="36" t="str">
        <f t="shared" si="47"/>
        <v>-</v>
      </c>
      <c r="X143" s="31" t="str">
        <f t="shared" si="48"/>
        <v>-</v>
      </c>
    </row>
    <row r="144" spans="2:24" x14ac:dyDescent="0.3">
      <c r="B144" s="27">
        <f>MAX(B$110:B143)+1</f>
        <v>30</v>
      </c>
      <c r="D144" s="7" t="s">
        <v>38</v>
      </c>
      <c r="F144" s="8">
        <v>12826.732203294578</v>
      </c>
      <c r="H144" s="13">
        <f t="shared" si="49"/>
        <v>-332.1784194125139</v>
      </c>
      <c r="J144" s="8">
        <v>13158.910622707092</v>
      </c>
      <c r="L144" s="8">
        <v>0</v>
      </c>
      <c r="N144" s="13">
        <f t="shared" si="50"/>
        <v>13158.910622707092</v>
      </c>
      <c r="P144" s="8">
        <v>-142.20109746067453</v>
      </c>
      <c r="R144" s="8">
        <v>-6.164428051183398</v>
      </c>
      <c r="T144" s="41">
        <f t="shared" si="46"/>
        <v>13010.545097195234</v>
      </c>
      <c r="U144" s="39"/>
      <c r="V144" s="36">
        <f t="shared" si="47"/>
        <v>0.9887250905667041</v>
      </c>
      <c r="X144" s="31">
        <f t="shared" si="48"/>
        <v>1.4330453851172154E-2</v>
      </c>
    </row>
    <row r="145" spans="2:24" x14ac:dyDescent="0.3">
      <c r="B145" s="27">
        <f>MAX(B$110:B144)+1</f>
        <v>31</v>
      </c>
      <c r="D145" s="7" t="s">
        <v>39</v>
      </c>
      <c r="F145" s="8">
        <v>3295.4671187804038</v>
      </c>
      <c r="H145" s="13">
        <f t="shared" si="49"/>
        <v>1731.7042574874997</v>
      </c>
      <c r="J145" s="8">
        <v>1563.1319452489665</v>
      </c>
      <c r="L145" s="8">
        <v>0.63091604393753054</v>
      </c>
      <c r="N145" s="13">
        <f t="shared" si="50"/>
        <v>1563.7628612929041</v>
      </c>
      <c r="P145" s="8">
        <v>0</v>
      </c>
      <c r="R145" s="8">
        <v>895</v>
      </c>
      <c r="T145" s="41">
        <f t="shared" si="46"/>
        <v>2458.7628612929038</v>
      </c>
      <c r="U145" s="39"/>
      <c r="V145" s="36">
        <f t="shared" si="47"/>
        <v>1.5723374190253006</v>
      </c>
      <c r="X145" s="31">
        <f t="shared" si="48"/>
        <v>-0.25389549563982594</v>
      </c>
    </row>
    <row r="146" spans="2:24" x14ac:dyDescent="0.3">
      <c r="B146" s="27">
        <f>MAX(B$110:B145)+1</f>
        <v>32</v>
      </c>
      <c r="D146" s="7" t="s">
        <v>40</v>
      </c>
      <c r="F146" s="8">
        <v>1858.637181301124</v>
      </c>
      <c r="H146" s="13">
        <f t="shared" si="49"/>
        <v>-292.96743988194544</v>
      </c>
      <c r="J146" s="8">
        <v>2151.1897186910901</v>
      </c>
      <c r="L146" s="8">
        <v>0.41490249197926532</v>
      </c>
      <c r="N146" s="13">
        <f t="shared" si="50"/>
        <v>2151.6046211830694</v>
      </c>
      <c r="P146" s="8">
        <v>-2.2833105672609864</v>
      </c>
      <c r="R146" s="8">
        <v>-895</v>
      </c>
      <c r="T146" s="41">
        <f t="shared" si="46"/>
        <v>1254.3213106158082</v>
      </c>
      <c r="U146" s="39"/>
      <c r="V146" s="36">
        <f t="shared" si="47"/>
        <v>0.58297016945711622</v>
      </c>
      <c r="X146" s="31">
        <f t="shared" si="48"/>
        <v>-0.32513923468499073</v>
      </c>
    </row>
    <row r="147" spans="2:24" x14ac:dyDescent="0.3">
      <c r="B147" s="27">
        <f>MAX(B$110:B146)+1</f>
        <v>33</v>
      </c>
      <c r="D147" s="7" t="s">
        <v>41</v>
      </c>
      <c r="F147" s="8">
        <v>0</v>
      </c>
      <c r="H147" s="13">
        <f t="shared" si="49"/>
        <v>0</v>
      </c>
      <c r="J147" s="8">
        <v>0</v>
      </c>
      <c r="L147" s="8">
        <v>0</v>
      </c>
      <c r="N147" s="13">
        <f t="shared" si="50"/>
        <v>0</v>
      </c>
      <c r="P147" s="8">
        <v>0</v>
      </c>
      <c r="R147" s="8">
        <v>0</v>
      </c>
      <c r="T147" s="41">
        <f t="shared" si="46"/>
        <v>0</v>
      </c>
      <c r="U147" s="39"/>
      <c r="V147" s="36" t="str">
        <f t="shared" si="47"/>
        <v>-</v>
      </c>
      <c r="X147" s="31" t="str">
        <f t="shared" si="48"/>
        <v>-</v>
      </c>
    </row>
    <row r="148" spans="2:24" x14ac:dyDescent="0.3">
      <c r="B148" s="27">
        <f>MAX(B$110:B147)+1</f>
        <v>34</v>
      </c>
      <c r="D148" s="7" t="s">
        <v>42</v>
      </c>
      <c r="F148" s="8">
        <v>0</v>
      </c>
      <c r="H148" s="13">
        <f t="shared" si="49"/>
        <v>0</v>
      </c>
      <c r="J148" s="8">
        <v>0</v>
      </c>
      <c r="L148" s="8">
        <v>0</v>
      </c>
      <c r="N148" s="13">
        <f t="shared" si="50"/>
        <v>0</v>
      </c>
      <c r="P148" s="8">
        <v>0</v>
      </c>
      <c r="R148" s="8">
        <v>0</v>
      </c>
      <c r="T148" s="41">
        <f t="shared" si="46"/>
        <v>0</v>
      </c>
      <c r="U148" s="39"/>
      <c r="V148" s="36" t="str">
        <f t="shared" si="47"/>
        <v>-</v>
      </c>
      <c r="X148" s="31" t="str">
        <f t="shared" si="48"/>
        <v>-</v>
      </c>
    </row>
    <row r="149" spans="2:24" x14ac:dyDescent="0.3">
      <c r="B149" s="27">
        <f>MAX(B$110:B148)+1</f>
        <v>35</v>
      </c>
      <c r="D149" s="7" t="s">
        <v>43</v>
      </c>
      <c r="F149" s="8">
        <v>0</v>
      </c>
      <c r="H149" s="13">
        <f t="shared" si="49"/>
        <v>0</v>
      </c>
      <c r="J149" s="8">
        <v>0</v>
      </c>
      <c r="L149" s="8">
        <v>0</v>
      </c>
      <c r="N149" s="13">
        <f t="shared" si="50"/>
        <v>0</v>
      </c>
      <c r="P149" s="8">
        <v>0</v>
      </c>
      <c r="R149" s="8">
        <v>0</v>
      </c>
      <c r="T149" s="41">
        <f t="shared" si="46"/>
        <v>0</v>
      </c>
      <c r="U149" s="39"/>
      <c r="V149" s="36" t="str">
        <f t="shared" si="47"/>
        <v>-</v>
      </c>
      <c r="X149" s="31" t="str">
        <f t="shared" si="48"/>
        <v>-</v>
      </c>
    </row>
    <row r="150" spans="2:24" x14ac:dyDescent="0.3">
      <c r="B150" s="27">
        <f>MAX(B$110:B149)+1</f>
        <v>36</v>
      </c>
      <c r="D150" s="10" t="s">
        <v>48</v>
      </c>
      <c r="F150" s="17">
        <f>SUM(F139:F149)</f>
        <v>1365558.7203590386</v>
      </c>
      <c r="H150" s="14">
        <f>SUM(H139:H149)</f>
        <v>-27092.00355829993</v>
      </c>
      <c r="J150" s="14">
        <f>SUM(J139:J149)</f>
        <v>1391920.8997114419</v>
      </c>
      <c r="L150" s="14">
        <f>SUM(L139:L149)</f>
        <v>729.82420589671699</v>
      </c>
      <c r="N150" s="14">
        <f>SUM(N139:N149)</f>
        <v>1392650.7239173385</v>
      </c>
      <c r="P150" s="14">
        <f>SUM(P139:P149)</f>
        <v>-11424.462507988099</v>
      </c>
      <c r="R150" s="14">
        <f>SUM(R139:R149)</f>
        <v>-6.1644280511834495</v>
      </c>
      <c r="T150" s="14">
        <f>SUM(T139:T149)</f>
        <v>1381220.0969812993</v>
      </c>
      <c r="V150" s="38">
        <f>T150/N150</f>
        <v>0.99179217966161226</v>
      </c>
      <c r="X150" s="34">
        <f>T150/F150-1</f>
        <v>1.1468841572878752E-2</v>
      </c>
    </row>
    <row r="151" spans="2:24" x14ac:dyDescent="0.3">
      <c r="B151" s="27"/>
      <c r="D151" s="10"/>
    </row>
    <row r="152" spans="2:24" x14ac:dyDescent="0.3">
      <c r="B152" s="27"/>
      <c r="D152" s="6" t="s">
        <v>49</v>
      </c>
    </row>
    <row r="153" spans="2:24" x14ac:dyDescent="0.3">
      <c r="B153" s="27">
        <f>MAX(B$110:B152)+1</f>
        <v>37</v>
      </c>
      <c r="D153" s="7" t="s">
        <v>33</v>
      </c>
      <c r="F153" s="8">
        <v>542323.76113979798</v>
      </c>
      <c r="H153" s="13">
        <f>F153-N153</f>
        <v>-68001.67060869548</v>
      </c>
      <c r="J153" s="8">
        <v>609787.44248836779</v>
      </c>
      <c r="L153" s="8">
        <v>537.98926012562868</v>
      </c>
      <c r="N153" s="13">
        <f>J153+L153</f>
        <v>610325.43174849346</v>
      </c>
      <c r="P153" s="8">
        <v>-2235.711986539573</v>
      </c>
      <c r="R153" s="8">
        <v>0</v>
      </c>
      <c r="T153" s="13">
        <f t="shared" ref="T153:T163" si="51">N153+P153+R153</f>
        <v>608089.71976195392</v>
      </c>
      <c r="V153" s="36">
        <f t="shared" ref="V153:V163" si="52">IFERROR(T153/N153,"-")</f>
        <v>0.9963368526523062</v>
      </c>
      <c r="X153" s="31">
        <f t="shared" ref="X153:X163" si="53">IFERROR(T153/F153-1,"-")</f>
        <v>0.121266968800954</v>
      </c>
    </row>
    <row r="154" spans="2:24" x14ac:dyDescent="0.3">
      <c r="B154" s="27">
        <f>MAX(B$110:B153)+1</f>
        <v>38</v>
      </c>
      <c r="D154" s="7" t="s">
        <v>34</v>
      </c>
      <c r="F154" s="8">
        <v>118564.37951064995</v>
      </c>
      <c r="H154" s="13">
        <f t="shared" ref="H154:H163" si="54">F154-N154</f>
        <v>-10654.405441678377</v>
      </c>
      <c r="J154" s="8">
        <v>129097.65416363075</v>
      </c>
      <c r="L154" s="8">
        <v>121.13078869756572</v>
      </c>
      <c r="N154" s="13">
        <f t="shared" ref="N154:N163" si="55">J154+L154</f>
        <v>129218.78495232832</v>
      </c>
      <c r="P154" s="8">
        <v>-1364.2587696092337</v>
      </c>
      <c r="R154" s="8">
        <v>0</v>
      </c>
      <c r="T154" s="13">
        <f t="shared" si="51"/>
        <v>127854.52618271908</v>
      </c>
      <c r="V154" s="36">
        <f t="shared" si="52"/>
        <v>0.98944225663387453</v>
      </c>
      <c r="X154" s="31">
        <f t="shared" si="53"/>
        <v>7.8355292798834686E-2</v>
      </c>
    </row>
    <row r="155" spans="2:24" x14ac:dyDescent="0.3">
      <c r="B155" s="27">
        <f>MAX(B$110:B154)+1</f>
        <v>39</v>
      </c>
      <c r="D155" s="7" t="s">
        <v>35</v>
      </c>
      <c r="F155" s="8">
        <v>64060.212525998097</v>
      </c>
      <c r="H155" s="13">
        <f t="shared" si="54"/>
        <v>4448.047939161559</v>
      </c>
      <c r="J155" s="8">
        <v>60109.883170536064</v>
      </c>
      <c r="L155" s="8">
        <v>-497.71858369952707</v>
      </c>
      <c r="N155" s="13">
        <f t="shared" si="55"/>
        <v>59612.164586836538</v>
      </c>
      <c r="P155" s="8">
        <v>-395.31396728591881</v>
      </c>
      <c r="R155" s="8">
        <v>0</v>
      </c>
      <c r="T155" s="13">
        <f t="shared" si="51"/>
        <v>59216.85061955062</v>
      </c>
      <c r="V155" s="36">
        <f t="shared" si="52"/>
        <v>0.99336856881433877</v>
      </c>
      <c r="X155" s="31">
        <f t="shared" si="53"/>
        <v>-7.5606397722796426E-2</v>
      </c>
    </row>
    <row r="156" spans="2:24" x14ac:dyDescent="0.3">
      <c r="B156" s="27">
        <f>MAX(B$110:B155)+1</f>
        <v>40</v>
      </c>
      <c r="D156" s="7" t="s">
        <v>36</v>
      </c>
      <c r="F156" s="8">
        <v>67425.484115496904</v>
      </c>
      <c r="H156" s="13">
        <f t="shared" si="54"/>
        <v>-90.005301089971908</v>
      </c>
      <c r="J156" s="8">
        <v>68653.157557009108</v>
      </c>
      <c r="L156" s="8">
        <v>-1137.6681404222254</v>
      </c>
      <c r="N156" s="13">
        <f t="shared" si="55"/>
        <v>67515.489416586875</v>
      </c>
      <c r="P156" s="8">
        <v>-608.70243067434922</v>
      </c>
      <c r="R156" s="8">
        <v>0</v>
      </c>
      <c r="T156" s="13">
        <f t="shared" si="51"/>
        <v>66906.78698591252</v>
      </c>
      <c r="V156" s="36">
        <f t="shared" si="52"/>
        <v>0.99098425508080801</v>
      </c>
      <c r="X156" s="31">
        <f t="shared" si="53"/>
        <v>-7.6928944061547266E-3</v>
      </c>
    </row>
    <row r="157" spans="2:24" x14ac:dyDescent="0.3">
      <c r="B157" s="27">
        <f>MAX(B$110:B156)+1</f>
        <v>41</v>
      </c>
      <c r="D157" s="7" t="s">
        <v>37</v>
      </c>
      <c r="F157" s="8">
        <v>0</v>
      </c>
      <c r="H157" s="13">
        <f t="shared" si="54"/>
        <v>0</v>
      </c>
      <c r="J157" s="8">
        <v>0</v>
      </c>
      <c r="L157" s="8">
        <v>0</v>
      </c>
      <c r="N157" s="13">
        <f t="shared" si="55"/>
        <v>0</v>
      </c>
      <c r="P157" s="8">
        <v>0</v>
      </c>
      <c r="R157" s="8">
        <v>0</v>
      </c>
      <c r="T157" s="13">
        <f t="shared" si="51"/>
        <v>0</v>
      </c>
      <c r="V157" s="36" t="str">
        <f t="shared" si="52"/>
        <v>-</v>
      </c>
      <c r="X157" s="31" t="str">
        <f t="shared" si="53"/>
        <v>-</v>
      </c>
    </row>
    <row r="158" spans="2:24" x14ac:dyDescent="0.3">
      <c r="B158" s="27">
        <f>MAX(B$110:B157)+1</f>
        <v>42</v>
      </c>
      <c r="D158" s="7" t="s">
        <v>38</v>
      </c>
      <c r="F158" s="8">
        <v>25295.810528139715</v>
      </c>
      <c r="H158" s="13">
        <f t="shared" si="54"/>
        <v>-2643.8741190948494</v>
      </c>
      <c r="J158" s="8">
        <v>28494.730184516364</v>
      </c>
      <c r="L158" s="8">
        <v>-555.04553728179883</v>
      </c>
      <c r="N158" s="13">
        <f t="shared" si="55"/>
        <v>27939.684647234564</v>
      </c>
      <c r="P158" s="8">
        <v>-155.10926019404184</v>
      </c>
      <c r="R158" s="8">
        <v>-6.7239978566472063</v>
      </c>
      <c r="T158" s="13">
        <f t="shared" si="51"/>
        <v>27777.851389183874</v>
      </c>
      <c r="V158" s="36">
        <f t="shared" si="52"/>
        <v>0.99420776361315488</v>
      </c>
      <c r="X158" s="31">
        <f t="shared" si="53"/>
        <v>9.8120629828527317E-2</v>
      </c>
    </row>
    <row r="159" spans="2:24" x14ac:dyDescent="0.3">
      <c r="B159" s="27">
        <f>MAX(B$110:B158)+1</f>
        <v>43</v>
      </c>
      <c r="D159" s="7" t="s">
        <v>39</v>
      </c>
      <c r="F159" s="8">
        <v>4555.9401171365789</v>
      </c>
      <c r="H159" s="13">
        <f t="shared" si="54"/>
        <v>2386.0730640018196</v>
      </c>
      <c r="J159" s="8">
        <v>2169.2150519058305</v>
      </c>
      <c r="L159" s="8">
        <v>0.65200122892883094</v>
      </c>
      <c r="N159" s="13">
        <f t="shared" si="55"/>
        <v>2169.8670531347593</v>
      </c>
      <c r="P159" s="8">
        <v>-2.2777478681218564</v>
      </c>
      <c r="R159" s="8">
        <v>-15</v>
      </c>
      <c r="T159" s="13">
        <f t="shared" si="51"/>
        <v>2152.5893052666374</v>
      </c>
      <c r="V159" s="36">
        <f t="shared" si="52"/>
        <v>0.99203741637389209</v>
      </c>
      <c r="X159" s="31">
        <f t="shared" si="53"/>
        <v>-0.52752028123241756</v>
      </c>
    </row>
    <row r="160" spans="2:24" x14ac:dyDescent="0.3">
      <c r="B160" s="27">
        <f>MAX(B$110:B159)+1</f>
        <v>44</v>
      </c>
      <c r="D160" s="7" t="s">
        <v>40</v>
      </c>
      <c r="F160" s="8">
        <v>31.029771759699994</v>
      </c>
      <c r="H160" s="13">
        <f t="shared" si="54"/>
        <v>-77.500857461904289</v>
      </c>
      <c r="J160" s="8">
        <v>107.69826385073365</v>
      </c>
      <c r="L160" s="8">
        <v>0.8323653708706289</v>
      </c>
      <c r="N160" s="13">
        <f t="shared" si="55"/>
        <v>108.53062922160429</v>
      </c>
      <c r="P160" s="8">
        <v>0</v>
      </c>
      <c r="R160" s="8">
        <v>15</v>
      </c>
      <c r="T160" s="13">
        <f t="shared" si="51"/>
        <v>123.53062922160429</v>
      </c>
      <c r="V160" s="36">
        <f t="shared" si="52"/>
        <v>1.1382098317090938</v>
      </c>
      <c r="X160" s="31">
        <f t="shared" si="53"/>
        <v>2.9810357026873158</v>
      </c>
    </row>
    <row r="161" spans="2:24" x14ac:dyDescent="0.3">
      <c r="B161" s="27">
        <f>MAX(B$110:B160)+1</f>
        <v>45</v>
      </c>
      <c r="D161" s="7" t="s">
        <v>41</v>
      </c>
      <c r="F161" s="8">
        <v>1450.1352278304</v>
      </c>
      <c r="H161" s="13">
        <f t="shared" si="54"/>
        <v>378.22719788800032</v>
      </c>
      <c r="J161" s="8">
        <v>1071.9080299423997</v>
      </c>
      <c r="L161" s="8">
        <v>0</v>
      </c>
      <c r="N161" s="13">
        <f t="shared" si="55"/>
        <v>1071.9080299423997</v>
      </c>
      <c r="P161" s="8">
        <v>-21.770441564897311</v>
      </c>
      <c r="R161" s="8">
        <v>20.363197771233075</v>
      </c>
      <c r="T161" s="13">
        <f t="shared" si="51"/>
        <v>1070.5007861487354</v>
      </c>
      <c r="V161" s="36">
        <f t="shared" si="52"/>
        <v>0.99868715994809754</v>
      </c>
      <c r="X161" s="31">
        <f t="shared" si="53"/>
        <v>-0.26179244141916991</v>
      </c>
    </row>
    <row r="162" spans="2:24" x14ac:dyDescent="0.3">
      <c r="B162" s="27">
        <f>MAX(B$110:B161)+1</f>
        <v>46</v>
      </c>
      <c r="D162" s="7" t="s">
        <v>42</v>
      </c>
      <c r="F162" s="8">
        <v>1820.5893601219002</v>
      </c>
      <c r="H162" s="13">
        <f t="shared" si="54"/>
        <v>134.14428469911536</v>
      </c>
      <c r="J162" s="8">
        <v>1680.3975296517515</v>
      </c>
      <c r="L162" s="8">
        <v>6.0475457710332652</v>
      </c>
      <c r="N162" s="13">
        <f t="shared" si="55"/>
        <v>1686.4450754227848</v>
      </c>
      <c r="P162" s="8">
        <v>-53.642380002981675</v>
      </c>
      <c r="R162" s="8">
        <v>0</v>
      </c>
      <c r="T162" s="13">
        <f t="shared" si="51"/>
        <v>1632.8026954198031</v>
      </c>
      <c r="V162" s="36">
        <f t="shared" si="52"/>
        <v>0.96819203851656188</v>
      </c>
      <c r="X162" s="31">
        <f t="shared" si="53"/>
        <v>-0.10314608489721355</v>
      </c>
    </row>
    <row r="163" spans="2:24" x14ac:dyDescent="0.3">
      <c r="B163" s="27">
        <f>MAX(B$110:B162)+1</f>
        <v>47</v>
      </c>
      <c r="D163" s="7" t="s">
        <v>43</v>
      </c>
      <c r="F163" s="8">
        <v>8098.2100109627099</v>
      </c>
      <c r="H163" s="13">
        <f t="shared" si="54"/>
        <v>-68.367475361741526</v>
      </c>
      <c r="J163" s="8">
        <v>8166.5774863244515</v>
      </c>
      <c r="L163" s="8">
        <v>0</v>
      </c>
      <c r="N163" s="13">
        <f t="shared" si="55"/>
        <v>8166.5774863244515</v>
      </c>
      <c r="P163" s="8">
        <v>-282.04233468716393</v>
      </c>
      <c r="R163" s="8">
        <v>0</v>
      </c>
      <c r="T163" s="13">
        <f t="shared" si="51"/>
        <v>7884.5351516372875</v>
      </c>
      <c r="V163" s="36">
        <f t="shared" si="52"/>
        <v>0.96546382677939868</v>
      </c>
      <c r="X163" s="31">
        <f t="shared" si="53"/>
        <v>-2.6385443083862592E-2</v>
      </c>
    </row>
    <row r="164" spans="2:24" x14ac:dyDescent="0.3">
      <c r="B164" s="27">
        <f>MAX(B$110:B163)+1</f>
        <v>48</v>
      </c>
      <c r="D164" s="10" t="s">
        <v>50</v>
      </c>
      <c r="F164" s="17">
        <f>SUM(F153:F163)</f>
        <v>833625.55230789387</v>
      </c>
      <c r="H164" s="14">
        <f>SUM(H153:H163)</f>
        <v>-74189.331317631833</v>
      </c>
      <c r="J164" s="14">
        <f>SUM(J153:J163)</f>
        <v>909338.6639257354</v>
      </c>
      <c r="L164" s="14">
        <f>SUM(L153:L163)</f>
        <v>-1523.7803002095243</v>
      </c>
      <c r="N164" s="14">
        <f>SUM(N153:N163)</f>
        <v>907814.88362552586</v>
      </c>
      <c r="P164" s="14">
        <f>SUM(P153:P163)</f>
        <v>-5118.8293184262811</v>
      </c>
      <c r="R164" s="14">
        <f>SUM(R153:R163)</f>
        <v>13.63919991458587</v>
      </c>
      <c r="T164" s="14">
        <f>SUM(T153:T163)</f>
        <v>902709.69350701384</v>
      </c>
      <c r="V164" s="38">
        <f>T164/F164</f>
        <v>1.0828719093457013</v>
      </c>
      <c r="X164" s="34">
        <f>T164/F164-1</f>
        <v>8.2871909345701322E-2</v>
      </c>
    </row>
    <row r="165" spans="2:24" x14ac:dyDescent="0.3">
      <c r="B165" s="27"/>
      <c r="D165" s="1"/>
    </row>
    <row r="166" spans="2:24" x14ac:dyDescent="0.3">
      <c r="B166" s="27">
        <f>MAX(B$110:B165)+1</f>
        <v>49</v>
      </c>
      <c r="D166" s="10" t="s">
        <v>51</v>
      </c>
      <c r="F166" s="17">
        <f>F122+F136+F150+F164</f>
        <v>2763840.5791657437</v>
      </c>
      <c r="G166" s="16">
        <f t="shared" ref="G166:T166" si="56">ROUND(G122+G136+G150+G164,0)</f>
        <v>0</v>
      </c>
      <c r="H166" s="14">
        <f t="shared" si="56"/>
        <v>-30218</v>
      </c>
      <c r="I166" s="16">
        <f t="shared" si="56"/>
        <v>0</v>
      </c>
      <c r="J166" s="17">
        <f t="shared" si="56"/>
        <v>2794059</v>
      </c>
      <c r="K166" s="16">
        <f t="shared" si="56"/>
        <v>0</v>
      </c>
      <c r="L166" s="14">
        <f t="shared" si="56"/>
        <v>0</v>
      </c>
      <c r="M166" s="16">
        <f t="shared" si="56"/>
        <v>0</v>
      </c>
      <c r="N166" s="17">
        <f t="shared" si="56"/>
        <v>2794059</v>
      </c>
      <c r="O166" s="16">
        <f t="shared" si="56"/>
        <v>0</v>
      </c>
      <c r="P166" s="14">
        <f>P122+P136+P150+P164</f>
        <v>-19201.314086804356</v>
      </c>
      <c r="Q166" s="16">
        <f t="shared" si="56"/>
        <v>0</v>
      </c>
      <c r="R166" s="14">
        <f t="shared" si="56"/>
        <v>0</v>
      </c>
      <c r="S166" s="16">
        <f t="shared" si="56"/>
        <v>0</v>
      </c>
      <c r="T166" s="17">
        <f t="shared" si="56"/>
        <v>2774858</v>
      </c>
      <c r="V166" s="38">
        <f>T166/F166</f>
        <v>1.0039862721885291</v>
      </c>
      <c r="X166" s="34">
        <f>T166/F166-1</f>
        <v>3.9862721885290942E-3</v>
      </c>
    </row>
    <row r="167" spans="2:24" x14ac:dyDescent="0.3">
      <c r="B167" s="27"/>
      <c r="D167" s="10"/>
    </row>
    <row r="168" spans="2:24" x14ac:dyDescent="0.3">
      <c r="B168" s="27"/>
      <c r="D168" s="6" t="s">
        <v>52</v>
      </c>
    </row>
    <row r="169" spans="2:24" x14ac:dyDescent="0.3">
      <c r="B169" s="27">
        <f>MAX(B$110:B168)+1</f>
        <v>50</v>
      </c>
      <c r="D169" s="7" t="s">
        <v>53</v>
      </c>
      <c r="F169" s="8">
        <v>543.41803200000004</v>
      </c>
      <c r="H169" s="13">
        <f>F169-N169</f>
        <v>240.37912907873374</v>
      </c>
      <c r="J169" s="8">
        <v>303.0389029212663</v>
      </c>
      <c r="L169" s="8">
        <v>0</v>
      </c>
      <c r="N169" s="13">
        <f>J169+L169</f>
        <v>303.0389029212663</v>
      </c>
      <c r="P169" s="8">
        <f>T169-N169</f>
        <v>25.345638000000008</v>
      </c>
      <c r="R169" s="8">
        <v>0</v>
      </c>
      <c r="T169" s="8">
        <v>328.38454092126631</v>
      </c>
      <c r="V169" s="36">
        <f>IFERROR(T169/N169,"-")</f>
        <v>1.083638231777077</v>
      </c>
      <c r="X169" s="31">
        <f>IFERROR(T169/F169-1,"-")</f>
        <v>-0.39570547610892259</v>
      </c>
    </row>
    <row r="170" spans="2:24" x14ac:dyDescent="0.3">
      <c r="B170" s="27">
        <f>MAX(B$110:B169)+1</f>
        <v>51</v>
      </c>
      <c r="D170" s="7" t="s">
        <v>54</v>
      </c>
      <c r="F170" s="8">
        <v>142270.45494913991</v>
      </c>
      <c r="H170" s="13">
        <f t="shared" ref="H170:H173" si="57">F170-N170</f>
        <v>27558.988631860557</v>
      </c>
      <c r="J170" s="8">
        <v>114711.46631727935</v>
      </c>
      <c r="L170" s="8">
        <v>0</v>
      </c>
      <c r="N170" s="13">
        <f t="shared" ref="N170:N173" si="58">J170+L170</f>
        <v>114711.46631727935</v>
      </c>
      <c r="P170" s="8">
        <f t="shared" ref="P170:P173" si="59">T170-N170</f>
        <v>13660.345065664136</v>
      </c>
      <c r="R170" s="8">
        <v>0</v>
      </c>
      <c r="T170" s="8">
        <v>128371.81138294349</v>
      </c>
      <c r="V170" s="36">
        <f>IFERROR(T170/N170,"-")</f>
        <v>1.1190843906386927</v>
      </c>
      <c r="X170" s="31">
        <f>IFERROR(T170/F170-1,"-")</f>
        <v>-9.7691706764872821E-2</v>
      </c>
    </row>
    <row r="171" spans="2:24" x14ac:dyDescent="0.3">
      <c r="B171" s="27">
        <f>MAX(B$110:B170)+1</f>
        <v>52</v>
      </c>
      <c r="D171" s="7" t="s">
        <v>55</v>
      </c>
      <c r="F171" s="8">
        <v>439.51764896551725</v>
      </c>
      <c r="H171" s="13">
        <f t="shared" si="57"/>
        <v>435.49538752054406</v>
      </c>
      <c r="J171" s="8">
        <v>4.0222614449731955</v>
      </c>
      <c r="L171" s="8">
        <v>0</v>
      </c>
      <c r="N171" s="13">
        <f t="shared" si="58"/>
        <v>4.0222614449731955</v>
      </c>
      <c r="P171" s="8">
        <f t="shared" si="59"/>
        <v>351.76690125940547</v>
      </c>
      <c r="R171" s="8">
        <v>0</v>
      </c>
      <c r="T171" s="8">
        <v>355.78916270437867</v>
      </c>
      <c r="V171" s="36">
        <f>IFERROR(T171/N171,"-")</f>
        <v>88.455006610528685</v>
      </c>
      <c r="X171" s="31">
        <f>IFERROR(T171/F171-1,"-")</f>
        <v>-0.19050085123591376</v>
      </c>
    </row>
    <row r="172" spans="2:24" x14ac:dyDescent="0.3">
      <c r="B172" s="27">
        <f>MAX(B$110:B171)+1</f>
        <v>53</v>
      </c>
      <c r="D172" s="7" t="s">
        <v>56</v>
      </c>
      <c r="F172" s="8">
        <v>385.70474449999995</v>
      </c>
      <c r="H172" s="13">
        <f t="shared" si="57"/>
        <v>383.9349961680054</v>
      </c>
      <c r="J172" s="8">
        <v>1.7697483319945253</v>
      </c>
      <c r="L172" s="8">
        <v>0</v>
      </c>
      <c r="N172" s="13">
        <f t="shared" si="58"/>
        <v>1.7697483319945253</v>
      </c>
      <c r="P172" s="8">
        <f t="shared" si="59"/>
        <v>706.63481163805488</v>
      </c>
      <c r="R172" s="8">
        <v>0</v>
      </c>
      <c r="T172" s="8">
        <v>708.40455997004938</v>
      </c>
      <c r="V172" s="36">
        <f>IFERROR(T172/N172,"-")</f>
        <v>400.2854796713778</v>
      </c>
      <c r="X172" s="31">
        <f>IFERROR(T172/F172-1,"-")</f>
        <v>0.83664984699209333</v>
      </c>
    </row>
    <row r="173" spans="2:24" x14ac:dyDescent="0.3">
      <c r="B173" s="27">
        <f>MAX(B$110:B172)+1</f>
        <v>54</v>
      </c>
      <c r="D173" s="7" t="s">
        <v>57</v>
      </c>
      <c r="F173" s="8">
        <v>3560.977942268019</v>
      </c>
      <c r="H173" s="13">
        <f t="shared" si="57"/>
        <v>3560.977942268019</v>
      </c>
      <c r="J173" s="8">
        <v>0</v>
      </c>
      <c r="L173" s="8">
        <v>0</v>
      </c>
      <c r="N173" s="13">
        <f t="shared" si="58"/>
        <v>0</v>
      </c>
      <c r="P173" s="8">
        <f t="shared" si="59"/>
        <v>3560.977942268019</v>
      </c>
      <c r="R173" s="8">
        <v>0</v>
      </c>
      <c r="T173" s="8">
        <v>3560.977942268019</v>
      </c>
      <c r="V173" s="36" t="str">
        <f>IFERROR(T173/N173,"-")</f>
        <v>-</v>
      </c>
      <c r="X173" s="31">
        <f>IFERROR(T173/F173-1,"-")</f>
        <v>0</v>
      </c>
    </row>
    <row r="174" spans="2:24" x14ac:dyDescent="0.3">
      <c r="B174" s="27">
        <f>MAX(B$110:B173)+1</f>
        <v>55</v>
      </c>
      <c r="D174" s="10" t="s">
        <v>58</v>
      </c>
      <c r="F174" s="14">
        <f>SUM(F169:F173)</f>
        <v>147200.07331687343</v>
      </c>
      <c r="H174" s="14">
        <f>SUM(H169:H173)</f>
        <v>32179.776086895858</v>
      </c>
      <c r="J174" s="14">
        <f>SUM(J169:J173)</f>
        <v>115020.29722997759</v>
      </c>
      <c r="L174" s="14">
        <f>SUM(L169:L173)</f>
        <v>0</v>
      </c>
      <c r="N174" s="14">
        <f>SUM(N169:N173)</f>
        <v>115020.29722997759</v>
      </c>
      <c r="P174" s="14">
        <f>SUM(P169:P173)</f>
        <v>18305.070358829616</v>
      </c>
      <c r="R174" s="14">
        <f>SUM(R169:R173)</f>
        <v>0</v>
      </c>
      <c r="T174" s="14">
        <f>SUM(T169:T173)</f>
        <v>133325.36758880719</v>
      </c>
      <c r="V174" s="38">
        <f>T174/N174</f>
        <v>1.1591464358871328</v>
      </c>
      <c r="X174" s="34">
        <f>T174/F174-1</f>
        <v>-9.4257464792144141E-2</v>
      </c>
    </row>
    <row r="175" spans="2:24" x14ac:dyDescent="0.3">
      <c r="B175" s="27"/>
      <c r="D175" s="10"/>
    </row>
    <row r="176" spans="2:24" x14ac:dyDescent="0.3">
      <c r="B176" s="27">
        <f>MAX(B$110:B175)+1</f>
        <v>56</v>
      </c>
      <c r="D176" s="7" t="s">
        <v>59</v>
      </c>
      <c r="F176" s="8">
        <v>1208.6017580038929</v>
      </c>
      <c r="H176" s="13">
        <f>F176-N176</f>
        <v>1208.6017580038929</v>
      </c>
      <c r="J176" s="8">
        <v>0</v>
      </c>
      <c r="L176" s="8">
        <v>0</v>
      </c>
      <c r="N176" s="8">
        <v>0</v>
      </c>
      <c r="P176" s="8">
        <v>896.47523933125512</v>
      </c>
      <c r="R176" s="8">
        <v>0</v>
      </c>
      <c r="T176" s="8">
        <v>896.47523933125512</v>
      </c>
      <c r="V176" s="8">
        <v>0</v>
      </c>
      <c r="X176" s="31">
        <f>IFERROR(T176/F176-1,"-")</f>
        <v>-0.25825423188870822</v>
      </c>
    </row>
    <row r="177" spans="2:25" x14ac:dyDescent="0.3">
      <c r="B177" s="27"/>
      <c r="D177" s="7"/>
    </row>
    <row r="178" spans="2:25" ht="12.9" thickBot="1" x14ac:dyDescent="0.35">
      <c r="B178" s="27">
        <f>MAX(B$110:B177)+1</f>
        <v>57</v>
      </c>
      <c r="D178" s="10" t="s">
        <v>60</v>
      </c>
      <c r="F178" s="43">
        <f>ROUND(F166+F174+F176,0)</f>
        <v>2912249</v>
      </c>
      <c r="H178" s="44">
        <f>ROUND(H166+H174+H176,0)</f>
        <v>3170</v>
      </c>
      <c r="J178" s="43">
        <f>J166+J174+J176</f>
        <v>2909079.2972299778</v>
      </c>
      <c r="L178" s="44">
        <f>L166+L174+L176</f>
        <v>0</v>
      </c>
      <c r="N178" s="43">
        <f>N166+N174+N176</f>
        <v>2909079.2972299778</v>
      </c>
      <c r="P178" s="44">
        <f>P166+P174+P176</f>
        <v>0.23151135651596633</v>
      </c>
      <c r="R178" s="44">
        <f>R166+R174+R176</f>
        <v>0</v>
      </c>
      <c r="T178" s="43">
        <f>T166+T174+T176-0.4</f>
        <v>2909079.4428281388</v>
      </c>
      <c r="V178" s="45">
        <f>T178/N178</f>
        <v>1.0000000500495676</v>
      </c>
      <c r="X178" s="46">
        <f>T178/F178-1</f>
        <v>-1.0883537677791599E-3</v>
      </c>
    </row>
    <row r="179" spans="2:25" ht="12.9" thickTop="1" x14ac:dyDescent="0.3"/>
    <row r="180" spans="2:25" x14ac:dyDescent="0.3">
      <c r="B180" s="11" t="s">
        <v>61</v>
      </c>
    </row>
    <row r="181" spans="2:25" x14ac:dyDescent="0.3">
      <c r="B181" s="47" t="s">
        <v>62</v>
      </c>
      <c r="D181" s="15" t="s">
        <v>63</v>
      </c>
    </row>
    <row r="182" spans="2:25" x14ac:dyDescent="0.3">
      <c r="B182" s="47" t="s">
        <v>64</v>
      </c>
      <c r="D182" s="15" t="s">
        <v>75</v>
      </c>
    </row>
    <row r="183" spans="2:25" x14ac:dyDescent="0.3">
      <c r="B183" s="47" t="s">
        <v>65</v>
      </c>
      <c r="D183" s="15" t="s">
        <v>66</v>
      </c>
    </row>
    <row r="184" spans="2:25" x14ac:dyDescent="0.3">
      <c r="B184" s="47" t="s">
        <v>67</v>
      </c>
      <c r="D184" s="15" t="s">
        <v>68</v>
      </c>
    </row>
    <row r="185" spans="2:25" x14ac:dyDescent="0.3">
      <c r="B185" s="47" t="s">
        <v>69</v>
      </c>
      <c r="D185" s="15" t="s">
        <v>70</v>
      </c>
    </row>
    <row r="186" spans="2:25" x14ac:dyDescent="0.3">
      <c r="B186" s="47"/>
    </row>
    <row r="187" spans="2:25" x14ac:dyDescent="0.3">
      <c r="B187" s="47"/>
    </row>
    <row r="188" spans="2:25" x14ac:dyDescent="0.3">
      <c r="B188" s="47"/>
    </row>
    <row r="190" spans="2:25" ht="36.65" customHeight="1" x14ac:dyDescent="0.3">
      <c r="B190" s="2"/>
      <c r="C190" s="1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1"/>
      <c r="V190" s="1"/>
      <c r="W190" s="1"/>
      <c r="X190" s="1"/>
      <c r="Y190" s="1"/>
    </row>
    <row r="191" spans="2:25" x14ac:dyDescent="0.3">
      <c r="B191" s="2"/>
      <c r="C191" s="1"/>
      <c r="D191" s="1"/>
      <c r="E191" s="1"/>
      <c r="F191" s="12"/>
      <c r="G191" s="12"/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2"/>
      <c r="U191" s="1"/>
      <c r="V191" s="1"/>
      <c r="W191" s="1"/>
      <c r="X191" s="1"/>
      <c r="Y191" s="1"/>
    </row>
    <row r="192" spans="2:25" x14ac:dyDescent="0.3"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x14ac:dyDescent="0.3"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x14ac:dyDescent="0.3">
      <c r="B194" s="51" t="str">
        <f>+B5</f>
        <v>Summary of Proposed Revenue Change by Rate Class - Four Rate Zones - With One Rate Zone Distribution</v>
      </c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3"/>
    </row>
    <row r="195" spans="2:25" x14ac:dyDescent="0.3">
      <c r="B195" s="51" t="s">
        <v>72</v>
      </c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3"/>
    </row>
    <row r="196" spans="2:25" x14ac:dyDescent="0.3">
      <c r="B196" s="20"/>
      <c r="C196" s="20"/>
      <c r="D196" s="20"/>
      <c r="E196" s="20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x14ac:dyDescent="0.3">
      <c r="B197" s="21"/>
      <c r="C197" s="21"/>
      <c r="D197" s="21"/>
      <c r="E197" s="2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x14ac:dyDescent="0.3">
      <c r="B198" s="22"/>
      <c r="C198" s="22"/>
      <c r="D198" s="22"/>
      <c r="E198" s="22"/>
      <c r="F198" s="23" t="s">
        <v>2</v>
      </c>
      <c r="G198" s="23"/>
      <c r="H198" s="23"/>
      <c r="I198" s="21"/>
      <c r="J198" s="23" t="s">
        <v>3</v>
      </c>
      <c r="K198" s="23"/>
      <c r="L198" s="23"/>
      <c r="M198" s="23"/>
      <c r="N198" s="4"/>
      <c r="O198" s="21"/>
      <c r="P198" s="23" t="s">
        <v>4</v>
      </c>
      <c r="Q198" s="23"/>
      <c r="R198" s="23"/>
      <c r="S198" s="23"/>
      <c r="T198" s="4"/>
      <c r="U198" s="23"/>
      <c r="V198" s="23"/>
      <c r="W198" s="23"/>
      <c r="X198" s="4"/>
      <c r="Y198" s="22"/>
    </row>
    <row r="199" spans="2:25" ht="54" customHeight="1" x14ac:dyDescent="0.3">
      <c r="B199" s="24" t="s">
        <v>5</v>
      </c>
      <c r="C199" s="24"/>
      <c r="D199" s="24"/>
      <c r="E199" s="24"/>
      <c r="F199" s="5" t="s">
        <v>6</v>
      </c>
      <c r="G199" s="5"/>
      <c r="H199" s="5" t="s">
        <v>7</v>
      </c>
      <c r="I199" s="24"/>
      <c r="J199" s="24" t="s">
        <v>8</v>
      </c>
      <c r="K199" s="24"/>
      <c r="L199" s="24" t="s">
        <v>9</v>
      </c>
      <c r="M199" s="24"/>
      <c r="N199" s="24" t="s">
        <v>3</v>
      </c>
      <c r="O199" s="24"/>
      <c r="P199" s="5" t="s">
        <v>10</v>
      </c>
      <c r="Q199" s="24"/>
      <c r="R199" s="5" t="s">
        <v>11</v>
      </c>
      <c r="S199" s="24"/>
      <c r="T199" s="5" t="s">
        <v>12</v>
      </c>
      <c r="U199" s="24"/>
      <c r="V199" s="24" t="s">
        <v>13</v>
      </c>
      <c r="W199" s="24"/>
      <c r="X199" s="24" t="s">
        <v>14</v>
      </c>
      <c r="Y199" s="5"/>
    </row>
    <row r="200" spans="2:25" x14ac:dyDescent="0.3">
      <c r="B200" s="25" t="s">
        <v>15</v>
      </c>
      <c r="C200" s="22"/>
      <c r="D200" s="26" t="s">
        <v>16</v>
      </c>
      <c r="E200" s="27"/>
      <c r="F200" s="25" t="s">
        <v>17</v>
      </c>
      <c r="G200" s="1"/>
      <c r="H200" s="25" t="s">
        <v>17</v>
      </c>
      <c r="I200" s="27"/>
      <c r="J200" s="25" t="s">
        <v>17</v>
      </c>
      <c r="K200" s="27"/>
      <c r="L200" s="25" t="s">
        <v>17</v>
      </c>
      <c r="M200" s="27"/>
      <c r="N200" s="25" t="s">
        <v>17</v>
      </c>
      <c r="O200" s="27"/>
      <c r="P200" s="25" t="s">
        <v>17</v>
      </c>
      <c r="Q200" s="27"/>
      <c r="R200" s="25" t="s">
        <v>18</v>
      </c>
      <c r="S200" s="27"/>
      <c r="T200" s="25" t="s">
        <v>17</v>
      </c>
      <c r="U200" s="27"/>
      <c r="V200" s="25" t="s">
        <v>19</v>
      </c>
      <c r="W200" s="27"/>
      <c r="X200" s="25" t="s">
        <v>20</v>
      </c>
      <c r="Y200" s="1"/>
    </row>
    <row r="201" spans="2:25" x14ac:dyDescent="0.3">
      <c r="B201" s="27"/>
      <c r="C201" s="22"/>
      <c r="D201" s="22"/>
      <c r="E201" s="27"/>
      <c r="F201" s="27" t="s">
        <v>21</v>
      </c>
      <c r="G201" s="27"/>
      <c r="H201" s="27" t="s">
        <v>22</v>
      </c>
      <c r="I201" s="27"/>
      <c r="J201" s="27" t="s">
        <v>23</v>
      </c>
      <c r="K201" s="27"/>
      <c r="L201" s="27" t="s">
        <v>24</v>
      </c>
      <c r="M201" s="27"/>
      <c r="N201" s="27" t="s">
        <v>25</v>
      </c>
      <c r="O201" s="27"/>
      <c r="P201" s="27" t="s">
        <v>26</v>
      </c>
      <c r="Q201" s="27"/>
      <c r="R201" s="27" t="s">
        <v>27</v>
      </c>
      <c r="S201" s="27"/>
      <c r="T201" s="27" t="s">
        <v>28</v>
      </c>
      <c r="U201" s="27"/>
      <c r="V201" s="28" t="s">
        <v>29</v>
      </c>
      <c r="W201" s="27"/>
      <c r="X201" s="28" t="s">
        <v>30</v>
      </c>
      <c r="Y201" s="1"/>
    </row>
    <row r="202" spans="2:25" x14ac:dyDescent="0.3">
      <c r="B202" s="27"/>
      <c r="C202" s="22"/>
      <c r="D202" s="22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8"/>
      <c r="W202" s="27"/>
      <c r="X202" s="28"/>
      <c r="Y202" s="1"/>
    </row>
    <row r="203" spans="2:25" x14ac:dyDescent="0.3">
      <c r="D203" s="29" t="s">
        <v>31</v>
      </c>
    </row>
    <row r="204" spans="2:25" x14ac:dyDescent="0.3">
      <c r="D204" s="6" t="s">
        <v>32</v>
      </c>
      <c r="J204" s="8"/>
      <c r="P204" s="8"/>
      <c r="R204" s="8"/>
    </row>
    <row r="205" spans="2:25" x14ac:dyDescent="0.3">
      <c r="B205" s="27">
        <v>1</v>
      </c>
      <c r="D205" s="7" t="s">
        <v>33</v>
      </c>
      <c r="F205" s="8">
        <v>112158.04831573827</v>
      </c>
      <c r="G205" s="13"/>
      <c r="H205" s="13">
        <f>F205-N205</f>
        <v>4830.450176113809</v>
      </c>
      <c r="I205" s="13"/>
      <c r="J205" s="8">
        <v>107327.59813962446</v>
      </c>
      <c r="K205" s="13"/>
      <c r="L205" s="8">
        <v>0</v>
      </c>
      <c r="M205" s="13"/>
      <c r="N205" s="13">
        <f>J205+L205</f>
        <v>107327.59813962446</v>
      </c>
      <c r="O205" s="13"/>
      <c r="P205" s="8">
        <v>0</v>
      </c>
      <c r="Q205" s="13"/>
      <c r="R205" s="8">
        <v>0</v>
      </c>
      <c r="S205" s="13"/>
      <c r="T205" s="13">
        <f t="shared" ref="T205:T215" si="60">N205+P205+R205</f>
        <v>107327.59813962446</v>
      </c>
      <c r="U205" s="13"/>
      <c r="V205" s="30">
        <f t="shared" ref="V205:V215" si="61">IFERROR(T205/N205,"-")</f>
        <v>1</v>
      </c>
      <c r="W205" s="13"/>
      <c r="X205" s="31">
        <f t="shared" ref="X205:X215" si="62">IFERROR(T205/F205-1,"-")</f>
        <v>-4.306824386347663E-2</v>
      </c>
    </row>
    <row r="206" spans="2:25" x14ac:dyDescent="0.3">
      <c r="B206" s="27">
        <f>MAX(B$204:B205)+1</f>
        <v>2</v>
      </c>
      <c r="D206" s="7" t="s">
        <v>34</v>
      </c>
      <c r="F206" s="8">
        <v>39987.752802097835</v>
      </c>
      <c r="G206" s="13"/>
      <c r="H206" s="13">
        <f t="shared" ref="H206:H215" si="63">F206-N206</f>
        <v>-1399.5646494311004</v>
      </c>
      <c r="I206" s="13"/>
      <c r="J206" s="8">
        <v>41387.317451528936</v>
      </c>
      <c r="K206" s="13"/>
      <c r="L206" s="8">
        <v>0</v>
      </c>
      <c r="M206" s="13"/>
      <c r="N206" s="13">
        <f t="shared" ref="N206:N215" si="64">J206+L206</f>
        <v>41387.317451528936</v>
      </c>
      <c r="O206" s="13"/>
      <c r="P206" s="8">
        <v>0</v>
      </c>
      <c r="Q206" s="13"/>
      <c r="R206" s="8">
        <v>0</v>
      </c>
      <c r="T206" s="13">
        <f t="shared" si="60"/>
        <v>41387.317451528936</v>
      </c>
      <c r="U206" s="13"/>
      <c r="V206" s="30">
        <f t="shared" si="61"/>
        <v>1</v>
      </c>
      <c r="W206" s="13"/>
      <c r="X206" s="31">
        <f t="shared" si="62"/>
        <v>3.4999832482651483E-2</v>
      </c>
    </row>
    <row r="207" spans="2:25" x14ac:dyDescent="0.3">
      <c r="B207" s="27">
        <f>MAX(B$204:B206)+1</f>
        <v>3</v>
      </c>
      <c r="D207" s="7" t="s">
        <v>35</v>
      </c>
      <c r="F207" s="8">
        <v>3367.2788998837709</v>
      </c>
      <c r="G207" s="13"/>
      <c r="H207" s="13">
        <f t="shared" si="63"/>
        <v>-752.26677280543345</v>
      </c>
      <c r="I207" s="13"/>
      <c r="J207" s="8">
        <v>4119.5456726892044</v>
      </c>
      <c r="K207" s="13"/>
      <c r="L207" s="8">
        <v>0</v>
      </c>
      <c r="M207" s="13"/>
      <c r="N207" s="13">
        <f t="shared" si="64"/>
        <v>4119.5456726892044</v>
      </c>
      <c r="O207" s="13"/>
      <c r="P207" s="8">
        <v>0</v>
      </c>
      <c r="Q207" s="13"/>
      <c r="R207" s="8">
        <v>0</v>
      </c>
      <c r="S207" s="13"/>
      <c r="T207" s="13">
        <f t="shared" si="60"/>
        <v>4119.5456726892044</v>
      </c>
      <c r="U207" s="13"/>
      <c r="V207" s="30">
        <f t="shared" si="61"/>
        <v>1</v>
      </c>
      <c r="W207" s="13"/>
      <c r="X207" s="31">
        <f t="shared" si="62"/>
        <v>0.22340494956666634</v>
      </c>
    </row>
    <row r="208" spans="2:25" x14ac:dyDescent="0.3">
      <c r="B208" s="27">
        <f>MAX(B$204:B207)+1</f>
        <v>4</v>
      </c>
      <c r="D208" s="7" t="s">
        <v>36</v>
      </c>
      <c r="F208" s="8">
        <v>0</v>
      </c>
      <c r="G208" s="13"/>
      <c r="H208" s="13">
        <f t="shared" si="63"/>
        <v>0</v>
      </c>
      <c r="I208" s="13"/>
      <c r="J208" s="8">
        <v>0</v>
      </c>
      <c r="K208" s="13"/>
      <c r="L208" s="8">
        <v>0</v>
      </c>
      <c r="M208" s="13"/>
      <c r="N208" s="13">
        <f t="shared" si="64"/>
        <v>0</v>
      </c>
      <c r="O208" s="13"/>
      <c r="P208" s="8">
        <v>0</v>
      </c>
      <c r="Q208" s="13"/>
      <c r="R208" s="8">
        <v>0</v>
      </c>
      <c r="S208" s="13"/>
      <c r="T208" s="13">
        <f t="shared" si="60"/>
        <v>0</v>
      </c>
      <c r="U208" s="41"/>
      <c r="V208" s="32" t="str">
        <f t="shared" si="61"/>
        <v>-</v>
      </c>
      <c r="W208" s="13"/>
      <c r="X208" s="31" t="str">
        <f t="shared" si="62"/>
        <v>-</v>
      </c>
    </row>
    <row r="209" spans="2:24" x14ac:dyDescent="0.3">
      <c r="B209" s="27">
        <f>MAX(B$204:B208)+1</f>
        <v>5</v>
      </c>
      <c r="D209" s="7" t="s">
        <v>37</v>
      </c>
      <c r="F209" s="8">
        <v>13.121127174288237</v>
      </c>
      <c r="G209" s="13"/>
      <c r="H209" s="13">
        <f t="shared" si="63"/>
        <v>-604.71246637796389</v>
      </c>
      <c r="I209" s="13"/>
      <c r="J209" s="8">
        <v>617.83359355225218</v>
      </c>
      <c r="K209" s="13"/>
      <c r="L209" s="8">
        <v>0</v>
      </c>
      <c r="M209" s="13"/>
      <c r="N209" s="13">
        <f t="shared" si="64"/>
        <v>617.83359355225218</v>
      </c>
      <c r="O209" s="13"/>
      <c r="P209" s="8">
        <v>0</v>
      </c>
      <c r="Q209" s="13"/>
      <c r="R209" s="8">
        <v>0</v>
      </c>
      <c r="S209" s="13"/>
      <c r="T209" s="13">
        <f t="shared" si="60"/>
        <v>617.83359355225218</v>
      </c>
      <c r="U209" s="41"/>
      <c r="V209" s="32">
        <f t="shared" si="61"/>
        <v>1</v>
      </c>
      <c r="W209" s="13"/>
      <c r="X209" s="31">
        <f>IFERROR(T209/F209-1,"-")</f>
        <v>46.086929754247045</v>
      </c>
    </row>
    <row r="210" spans="2:24" x14ac:dyDescent="0.3">
      <c r="B210" s="27">
        <f>MAX(B$204:B209)+1</f>
        <v>6</v>
      </c>
      <c r="D210" s="7" t="s">
        <v>38</v>
      </c>
      <c r="F210" s="8">
        <v>16.097577427062998</v>
      </c>
      <c r="G210" s="13"/>
      <c r="H210" s="13">
        <f t="shared" si="63"/>
        <v>-409.4711521498881</v>
      </c>
      <c r="I210" s="13"/>
      <c r="J210" s="8">
        <v>425.56872957695111</v>
      </c>
      <c r="K210" s="13"/>
      <c r="L210" s="8">
        <v>0</v>
      </c>
      <c r="M210" s="13"/>
      <c r="N210" s="13">
        <f t="shared" si="64"/>
        <v>425.56872957695111</v>
      </c>
      <c r="O210" s="13"/>
      <c r="P210" s="8">
        <v>0</v>
      </c>
      <c r="Q210" s="13"/>
      <c r="R210" s="8">
        <v>0.15125245132425011</v>
      </c>
      <c r="S210" s="13"/>
      <c r="T210" s="13">
        <f t="shared" si="60"/>
        <v>425.71998202827535</v>
      </c>
      <c r="U210" s="41"/>
      <c r="V210" s="32">
        <f t="shared" si="61"/>
        <v>1.000355412512274</v>
      </c>
      <c r="W210" s="13"/>
      <c r="X210" s="31">
        <f t="shared" si="62"/>
        <v>25.446214280203524</v>
      </c>
    </row>
    <row r="211" spans="2:24" x14ac:dyDescent="0.3">
      <c r="B211" s="27">
        <f>MAX(B$204:B210)+1</f>
        <v>7</v>
      </c>
      <c r="D211" s="7" t="s">
        <v>39</v>
      </c>
      <c r="F211" s="8">
        <v>582.25678610279135</v>
      </c>
      <c r="G211" s="13"/>
      <c r="H211" s="13">
        <f t="shared" si="63"/>
        <v>-250.67934562130085</v>
      </c>
      <c r="I211" s="13"/>
      <c r="J211" s="8">
        <v>832.93613172409221</v>
      </c>
      <c r="K211" s="13"/>
      <c r="L211" s="8">
        <v>0</v>
      </c>
      <c r="M211" s="13"/>
      <c r="N211" s="13">
        <f t="shared" si="64"/>
        <v>832.93613172409221</v>
      </c>
      <c r="O211" s="13"/>
      <c r="P211" s="8">
        <v>0</v>
      </c>
      <c r="Q211" s="13"/>
      <c r="R211" s="8">
        <v>0</v>
      </c>
      <c r="S211" s="13"/>
      <c r="T211" s="13">
        <f t="shared" si="60"/>
        <v>832.93613172409221</v>
      </c>
      <c r="U211" s="41"/>
      <c r="V211" s="32">
        <f t="shared" si="61"/>
        <v>1</v>
      </c>
      <c r="W211" s="13"/>
      <c r="X211" s="31">
        <f t="shared" si="62"/>
        <v>0.43053056933723055</v>
      </c>
    </row>
    <row r="212" spans="2:24" x14ac:dyDescent="0.3">
      <c r="B212" s="27">
        <f>MAX(B$204:B211)+1</f>
        <v>8</v>
      </c>
      <c r="D212" s="7" t="s">
        <v>40</v>
      </c>
      <c r="F212" s="8">
        <v>0</v>
      </c>
      <c r="G212" s="13"/>
      <c r="H212" s="13">
        <f t="shared" si="63"/>
        <v>0</v>
      </c>
      <c r="I212" s="13"/>
      <c r="J212" s="8">
        <v>0</v>
      </c>
      <c r="K212" s="13"/>
      <c r="L212" s="8">
        <v>0</v>
      </c>
      <c r="M212" s="13"/>
      <c r="N212" s="13">
        <f t="shared" si="64"/>
        <v>0</v>
      </c>
      <c r="O212" s="13"/>
      <c r="P212" s="8">
        <v>0</v>
      </c>
      <c r="Q212" s="13"/>
      <c r="R212" s="8">
        <v>0</v>
      </c>
      <c r="S212" s="13"/>
      <c r="T212" s="13">
        <f t="shared" si="60"/>
        <v>0</v>
      </c>
      <c r="U212" s="41"/>
      <c r="V212" s="32" t="str">
        <f t="shared" si="61"/>
        <v>-</v>
      </c>
      <c r="W212" s="13"/>
      <c r="X212" s="31" t="str">
        <f t="shared" si="62"/>
        <v>-</v>
      </c>
    </row>
    <row r="213" spans="2:24" x14ac:dyDescent="0.3">
      <c r="B213" s="27">
        <f>MAX(B$204:B212)+1</f>
        <v>9</v>
      </c>
      <c r="D213" s="7" t="s">
        <v>41</v>
      </c>
      <c r="F213" s="8">
        <v>1455.6771469999999</v>
      </c>
      <c r="G213" s="13"/>
      <c r="H213" s="13">
        <f t="shared" si="63"/>
        <v>-514.73031255996239</v>
      </c>
      <c r="I213" s="13"/>
      <c r="J213" s="8">
        <v>1970.4074595599623</v>
      </c>
      <c r="K213" s="13"/>
      <c r="L213" s="8">
        <v>0</v>
      </c>
      <c r="M213" s="13"/>
      <c r="N213" s="13">
        <f t="shared" si="64"/>
        <v>1970.4074595599623</v>
      </c>
      <c r="O213" s="13"/>
      <c r="P213" s="8">
        <v>0</v>
      </c>
      <c r="Q213" s="13"/>
      <c r="R213" s="8">
        <v>0</v>
      </c>
      <c r="S213" s="13"/>
      <c r="T213" s="13">
        <f t="shared" si="60"/>
        <v>1970.4074595599623</v>
      </c>
      <c r="U213" s="41"/>
      <c r="V213" s="32">
        <f t="shared" si="61"/>
        <v>1</v>
      </c>
      <c r="W213" s="13"/>
      <c r="X213" s="31">
        <f t="shared" si="62"/>
        <v>0.35360197391349346</v>
      </c>
    </row>
    <row r="214" spans="2:24" x14ac:dyDescent="0.3">
      <c r="B214" s="27">
        <f>MAX(B$204:B213)+1</f>
        <v>10</v>
      </c>
      <c r="D214" s="7" t="s">
        <v>42</v>
      </c>
      <c r="F214" s="8">
        <v>0</v>
      </c>
      <c r="G214" s="13"/>
      <c r="H214" s="13">
        <f t="shared" si="63"/>
        <v>0</v>
      </c>
      <c r="I214" s="13"/>
      <c r="J214" s="8">
        <v>0</v>
      </c>
      <c r="K214" s="13"/>
      <c r="L214" s="8">
        <v>0</v>
      </c>
      <c r="M214" s="13"/>
      <c r="N214" s="13">
        <f t="shared" si="64"/>
        <v>0</v>
      </c>
      <c r="O214" s="13"/>
      <c r="P214" s="8">
        <v>0</v>
      </c>
      <c r="Q214" s="13"/>
      <c r="R214" s="8">
        <v>0</v>
      </c>
      <c r="S214" s="13"/>
      <c r="T214" s="13">
        <f t="shared" si="60"/>
        <v>0</v>
      </c>
      <c r="U214" s="41"/>
      <c r="V214" s="32" t="str">
        <f t="shared" si="61"/>
        <v>-</v>
      </c>
      <c r="W214" s="13"/>
      <c r="X214" s="31" t="str">
        <f t="shared" si="62"/>
        <v>-</v>
      </c>
    </row>
    <row r="215" spans="2:24" x14ac:dyDescent="0.3">
      <c r="B215" s="27">
        <f>MAX(B$204:B214)+1</f>
        <v>11</v>
      </c>
      <c r="D215" s="7" t="s">
        <v>43</v>
      </c>
      <c r="F215" s="8">
        <v>0</v>
      </c>
      <c r="G215" s="13"/>
      <c r="H215" s="13">
        <f t="shared" si="63"/>
        <v>0</v>
      </c>
      <c r="I215" s="13"/>
      <c r="J215" s="8">
        <v>0</v>
      </c>
      <c r="K215" s="13"/>
      <c r="L215" s="8">
        <v>0</v>
      </c>
      <c r="M215" s="13"/>
      <c r="N215" s="13">
        <f t="shared" si="64"/>
        <v>0</v>
      </c>
      <c r="O215" s="13"/>
      <c r="P215" s="8">
        <v>0</v>
      </c>
      <c r="Q215" s="13"/>
      <c r="R215" s="8">
        <v>0</v>
      </c>
      <c r="S215" s="13"/>
      <c r="T215" s="13">
        <f t="shared" si="60"/>
        <v>0</v>
      </c>
      <c r="U215" s="41"/>
      <c r="V215" s="32" t="str">
        <f t="shared" si="61"/>
        <v>-</v>
      </c>
      <c r="W215" s="13"/>
      <c r="X215" s="31" t="str">
        <f t="shared" si="62"/>
        <v>-</v>
      </c>
    </row>
    <row r="216" spans="2:24" x14ac:dyDescent="0.3">
      <c r="B216" s="27">
        <f>MAX(B$204:B215)+1</f>
        <v>12</v>
      </c>
      <c r="D216" s="10" t="s">
        <v>44</v>
      </c>
      <c r="F216" s="14">
        <f>SUM(F205:F215)</f>
        <v>157580.23265542401</v>
      </c>
      <c r="G216" s="13"/>
      <c r="H216" s="14">
        <f>SUM(H205:H215)</f>
        <v>899.02547716816025</v>
      </c>
      <c r="I216" s="13"/>
      <c r="J216" s="14">
        <f>SUM(J205:J215)</f>
        <v>156681.20717825589</v>
      </c>
      <c r="K216" s="13"/>
      <c r="L216" s="14">
        <f>SUM(L205:L215)</f>
        <v>0</v>
      </c>
      <c r="M216" s="13"/>
      <c r="N216" s="14">
        <f>SUM(N205:N215)</f>
        <v>156681.20717825589</v>
      </c>
      <c r="O216" s="13"/>
      <c r="P216" s="14">
        <f>SUM(P205:P215)</f>
        <v>0</v>
      </c>
      <c r="Q216" s="13"/>
      <c r="R216" s="14">
        <f>SUM(R205:R215)</f>
        <v>0.15125245132425011</v>
      </c>
      <c r="S216" s="13"/>
      <c r="T216" s="14">
        <f>SUM(T205:T215)</f>
        <v>156681.35843070722</v>
      </c>
      <c r="U216" s="13"/>
      <c r="V216" s="33">
        <f>T216/N216</f>
        <v>1.0000009653515827</v>
      </c>
      <c r="W216" s="13"/>
      <c r="X216" s="34">
        <f>T216/F216-1</f>
        <v>-5.7042321208037317E-3</v>
      </c>
    </row>
    <row r="217" spans="2:24" x14ac:dyDescent="0.3">
      <c r="B217" s="27"/>
    </row>
    <row r="218" spans="2:24" x14ac:dyDescent="0.3">
      <c r="B218" s="27"/>
      <c r="D218" s="6" t="s">
        <v>45</v>
      </c>
    </row>
    <row r="219" spans="2:24" x14ac:dyDescent="0.3">
      <c r="B219" s="27">
        <f>MAX(B$204:B218)+1</f>
        <v>13</v>
      </c>
      <c r="D219" s="7" t="s">
        <v>33</v>
      </c>
      <c r="F219" s="8">
        <v>187619.20055620041</v>
      </c>
      <c r="H219" s="13">
        <f>F219-N219</f>
        <v>-39567.280121673335</v>
      </c>
      <c r="J219" s="8">
        <v>227186.48067787374</v>
      </c>
      <c r="L219" s="8">
        <v>0</v>
      </c>
      <c r="N219" s="13">
        <f>J219+L219</f>
        <v>227186.48067787374</v>
      </c>
      <c r="P219" s="8">
        <v>0</v>
      </c>
      <c r="R219" s="8">
        <v>0</v>
      </c>
      <c r="T219" s="13">
        <f t="shared" ref="T219:T229" si="65">N219+P219+R219</f>
        <v>227186.48067787374</v>
      </c>
      <c r="V219" s="32">
        <f t="shared" ref="V219:V229" si="66">IFERROR(T219/N219,"-")</f>
        <v>1</v>
      </c>
      <c r="X219" s="31">
        <f t="shared" ref="X219:X229" si="67">IFERROR(T219/F219-1,"-")</f>
        <v>0.21089142264957661</v>
      </c>
    </row>
    <row r="220" spans="2:24" x14ac:dyDescent="0.3">
      <c r="B220" s="27">
        <f>MAX(B$204:B219)+1</f>
        <v>14</v>
      </c>
      <c r="D220" s="7" t="s">
        <v>34</v>
      </c>
      <c r="F220" s="8">
        <v>84769.711710241507</v>
      </c>
      <c r="H220" s="13">
        <f t="shared" ref="H220:H229" si="68">F220-N220</f>
        <v>-42468.836469092479</v>
      </c>
      <c r="J220" s="8">
        <v>127238.54817933399</v>
      </c>
      <c r="L220" s="8">
        <v>0</v>
      </c>
      <c r="N220" s="13">
        <f t="shared" ref="N220:N229" si="69">J220+L220</f>
        <v>127238.54817933399</v>
      </c>
      <c r="P220" s="8">
        <v>0</v>
      </c>
      <c r="R220" s="8">
        <v>0</v>
      </c>
      <c r="T220" s="13">
        <f t="shared" si="65"/>
        <v>127238.54817933399</v>
      </c>
      <c r="V220" s="32">
        <f t="shared" si="66"/>
        <v>1</v>
      </c>
      <c r="X220" s="31">
        <f t="shared" si="67"/>
        <v>0.50099069127731366</v>
      </c>
    </row>
    <row r="221" spans="2:24" x14ac:dyDescent="0.3">
      <c r="B221" s="27">
        <f>MAX(B$204:B220)+1</f>
        <v>15</v>
      </c>
      <c r="D221" s="7" t="s">
        <v>35</v>
      </c>
      <c r="F221" s="8">
        <v>10506.764537330757</v>
      </c>
      <c r="H221" s="13">
        <f t="shared" si="68"/>
        <v>-11490.869845172532</v>
      </c>
      <c r="J221" s="8">
        <v>21997.634382503289</v>
      </c>
      <c r="L221" s="8">
        <v>0</v>
      </c>
      <c r="N221" s="13">
        <f t="shared" si="69"/>
        <v>21997.634382503289</v>
      </c>
      <c r="P221" s="8">
        <v>0</v>
      </c>
      <c r="R221" s="8">
        <v>0</v>
      </c>
      <c r="T221" s="13">
        <f t="shared" si="65"/>
        <v>21997.634382503289</v>
      </c>
      <c r="V221" s="32">
        <f t="shared" si="66"/>
        <v>1</v>
      </c>
      <c r="X221" s="31">
        <f t="shared" si="67"/>
        <v>1.0936639728001163</v>
      </c>
    </row>
    <row r="222" spans="2:24" x14ac:dyDescent="0.3">
      <c r="B222" s="27">
        <f>MAX(B$204:B221)+1</f>
        <v>16</v>
      </c>
      <c r="D222" s="7" t="s">
        <v>36</v>
      </c>
      <c r="F222" s="8">
        <v>0</v>
      </c>
      <c r="H222" s="13">
        <f t="shared" si="68"/>
        <v>0</v>
      </c>
      <c r="J222" s="8">
        <v>0</v>
      </c>
      <c r="L222" s="8">
        <v>0</v>
      </c>
      <c r="N222" s="13">
        <f t="shared" si="69"/>
        <v>0</v>
      </c>
      <c r="P222" s="8">
        <v>0</v>
      </c>
      <c r="R222" s="8">
        <v>0</v>
      </c>
      <c r="T222" s="13">
        <f t="shared" si="65"/>
        <v>0</v>
      </c>
      <c r="V222" s="32" t="str">
        <f t="shared" si="66"/>
        <v>-</v>
      </c>
      <c r="X222" s="31" t="str">
        <f t="shared" si="67"/>
        <v>-</v>
      </c>
    </row>
    <row r="223" spans="2:24" x14ac:dyDescent="0.3">
      <c r="B223" s="27">
        <f>MAX(B$204:B222)+1</f>
        <v>17</v>
      </c>
      <c r="D223" s="7" t="s">
        <v>37</v>
      </c>
      <c r="F223" s="8">
        <v>37.716620240079862</v>
      </c>
      <c r="H223" s="13">
        <f t="shared" si="68"/>
        <v>-245.57385059394267</v>
      </c>
      <c r="J223" s="8">
        <v>283.29047083402253</v>
      </c>
      <c r="L223" s="8">
        <v>0</v>
      </c>
      <c r="N223" s="13">
        <f t="shared" si="69"/>
        <v>283.29047083402253</v>
      </c>
      <c r="P223" s="8">
        <v>0</v>
      </c>
      <c r="R223" s="8">
        <v>0</v>
      </c>
      <c r="T223" s="41">
        <f t="shared" si="65"/>
        <v>283.29047083402253</v>
      </c>
      <c r="U223" s="39"/>
      <c r="V223" s="32">
        <f t="shared" si="66"/>
        <v>1</v>
      </c>
      <c r="X223" s="31">
        <f t="shared" si="67"/>
        <v>6.5110248222342486</v>
      </c>
    </row>
    <row r="224" spans="2:24" x14ac:dyDescent="0.3">
      <c r="B224" s="27">
        <f>MAX(B$204:B223)+1</f>
        <v>18</v>
      </c>
      <c r="D224" s="7" t="s">
        <v>38</v>
      </c>
      <c r="F224" s="8">
        <v>40.100871581492569</v>
      </c>
      <c r="H224" s="13">
        <f t="shared" si="68"/>
        <v>-445.61705023257275</v>
      </c>
      <c r="J224" s="8">
        <v>485.71792181406533</v>
      </c>
      <c r="L224" s="8">
        <v>0</v>
      </c>
      <c r="N224" s="13">
        <f t="shared" si="69"/>
        <v>485.71792181406533</v>
      </c>
      <c r="P224" s="8">
        <v>0</v>
      </c>
      <c r="R224" s="8">
        <v>0.41162274253242348</v>
      </c>
      <c r="T224" s="13">
        <f t="shared" si="65"/>
        <v>486.12954455659775</v>
      </c>
      <c r="V224" s="32">
        <f t="shared" si="66"/>
        <v>1.0008474522434649</v>
      </c>
      <c r="X224" s="31">
        <f t="shared" si="67"/>
        <v>11.122667797099881</v>
      </c>
    </row>
    <row r="225" spans="2:24" x14ac:dyDescent="0.3">
      <c r="B225" s="27">
        <f>MAX(B$204:B224)+1</f>
        <v>19</v>
      </c>
      <c r="D225" s="7" t="s">
        <v>39</v>
      </c>
      <c r="F225" s="8">
        <v>-135.37912264657481</v>
      </c>
      <c r="H225" s="13">
        <f t="shared" si="68"/>
        <v>-2016.1090723415427</v>
      </c>
      <c r="J225" s="8">
        <v>1880.7299496949679</v>
      </c>
      <c r="L225" s="8">
        <v>0</v>
      </c>
      <c r="N225" s="13">
        <f t="shared" si="69"/>
        <v>1880.7299496949679</v>
      </c>
      <c r="P225" s="8">
        <v>0</v>
      </c>
      <c r="R225" s="8">
        <v>0</v>
      </c>
      <c r="T225" s="13">
        <f t="shared" si="65"/>
        <v>1880.7299496949679</v>
      </c>
      <c r="V225" s="32">
        <f t="shared" si="66"/>
        <v>1</v>
      </c>
      <c r="X225" s="31">
        <v>1</v>
      </c>
    </row>
    <row r="226" spans="2:24" x14ac:dyDescent="0.3">
      <c r="B226" s="27">
        <f>MAX(B$204:B225)+1</f>
        <v>20</v>
      </c>
      <c r="D226" s="7" t="s">
        <v>40</v>
      </c>
      <c r="F226" s="8">
        <v>44.051124720468131</v>
      </c>
      <c r="H226" s="13">
        <f t="shared" si="68"/>
        <v>-418.65761909729224</v>
      </c>
      <c r="J226" s="8">
        <v>462.70874381776036</v>
      </c>
      <c r="L226" s="8">
        <v>0</v>
      </c>
      <c r="N226" s="13">
        <f t="shared" si="69"/>
        <v>462.70874381776036</v>
      </c>
      <c r="P226" s="8">
        <v>0</v>
      </c>
      <c r="R226" s="8">
        <v>0</v>
      </c>
      <c r="T226" s="13">
        <f t="shared" si="65"/>
        <v>462.70874381776036</v>
      </c>
      <c r="V226" s="32">
        <f t="shared" si="66"/>
        <v>1</v>
      </c>
      <c r="X226" s="31">
        <f t="shared" si="67"/>
        <v>9.5039030615889164</v>
      </c>
    </row>
    <row r="227" spans="2:24" x14ac:dyDescent="0.3">
      <c r="B227" s="27">
        <f>MAX(B$204:B226)+1</f>
        <v>21</v>
      </c>
      <c r="D227" s="7" t="s">
        <v>41</v>
      </c>
      <c r="F227" s="8">
        <v>0</v>
      </c>
      <c r="H227" s="13">
        <f t="shared" si="68"/>
        <v>0</v>
      </c>
      <c r="J227" s="8">
        <v>0</v>
      </c>
      <c r="L227" s="8">
        <v>0</v>
      </c>
      <c r="N227" s="13">
        <f t="shared" si="69"/>
        <v>0</v>
      </c>
      <c r="P227" s="8">
        <v>0</v>
      </c>
      <c r="R227" s="8">
        <v>0</v>
      </c>
      <c r="T227" s="13">
        <f t="shared" si="65"/>
        <v>0</v>
      </c>
      <c r="V227" s="32" t="str">
        <f t="shared" si="66"/>
        <v>-</v>
      </c>
      <c r="X227" s="31" t="str">
        <f t="shared" si="67"/>
        <v>-</v>
      </c>
    </row>
    <row r="228" spans="2:24" x14ac:dyDescent="0.3">
      <c r="B228" s="27">
        <f>MAX(B$204:B227)+1</f>
        <v>22</v>
      </c>
      <c r="D228" s="7" t="s">
        <v>42</v>
      </c>
      <c r="F228" s="8">
        <v>24147.616252371383</v>
      </c>
      <c r="H228" s="13">
        <f t="shared" si="68"/>
        <v>-5624.8157257298117</v>
      </c>
      <c r="J228" s="8">
        <v>29772.431978101195</v>
      </c>
      <c r="L228" s="8">
        <v>0</v>
      </c>
      <c r="N228" s="13">
        <f t="shared" si="69"/>
        <v>29772.431978101195</v>
      </c>
      <c r="P228" s="8">
        <v>0</v>
      </c>
      <c r="R228" s="8">
        <v>0</v>
      </c>
      <c r="T228" s="13">
        <f t="shared" si="65"/>
        <v>29772.431978101195</v>
      </c>
      <c r="V228" s="32">
        <f t="shared" si="66"/>
        <v>1</v>
      </c>
      <c r="X228" s="31">
        <f t="shared" si="67"/>
        <v>0.23293461627614831</v>
      </c>
    </row>
    <row r="229" spans="2:24" x14ac:dyDescent="0.3">
      <c r="B229" s="27">
        <f>MAX(B$204:B228)+1</f>
        <v>23</v>
      </c>
      <c r="D229" s="7" t="s">
        <v>43</v>
      </c>
      <c r="F229" s="8">
        <v>0</v>
      </c>
      <c r="H229" s="13">
        <f t="shared" si="68"/>
        <v>0</v>
      </c>
      <c r="J229" s="8">
        <v>0</v>
      </c>
      <c r="L229" s="8">
        <v>0</v>
      </c>
      <c r="N229" s="13">
        <f t="shared" si="69"/>
        <v>0</v>
      </c>
      <c r="P229" s="8">
        <v>0</v>
      </c>
      <c r="R229" s="8">
        <v>0</v>
      </c>
      <c r="T229" s="13">
        <f t="shared" si="65"/>
        <v>0</v>
      </c>
      <c r="V229" s="32" t="str">
        <f t="shared" si="66"/>
        <v>-</v>
      </c>
      <c r="X229" s="31" t="str">
        <f t="shared" si="67"/>
        <v>-</v>
      </c>
    </row>
    <row r="230" spans="2:24" x14ac:dyDescent="0.3">
      <c r="B230" s="27">
        <f>MAX(B$204:B229)+1</f>
        <v>24</v>
      </c>
      <c r="D230" s="10" t="s">
        <v>46</v>
      </c>
      <c r="F230" s="17">
        <f>SUM(F219:F229)</f>
        <v>307029.78255003953</v>
      </c>
      <c r="H230" s="14">
        <f>SUM(H219:H229)</f>
        <v>-102277.75975393351</v>
      </c>
      <c r="J230" s="14">
        <f>SUM(J219:J229)</f>
        <v>409307.54230397299</v>
      </c>
      <c r="L230" s="14">
        <f>SUM(L219:L229)</f>
        <v>0</v>
      </c>
      <c r="N230" s="14">
        <f>SUM(N219:N229)</f>
        <v>409307.54230397299</v>
      </c>
      <c r="P230" s="14">
        <f>SUM(P219:P229)</f>
        <v>0</v>
      </c>
      <c r="R230" s="14">
        <f>SUM(R219:R229)</f>
        <v>0.41162274253242348</v>
      </c>
      <c r="T230" s="14">
        <f>SUM(T219:T229)</f>
        <v>409307.95392671553</v>
      </c>
      <c r="V230" s="38">
        <f>T230/N230</f>
        <v>1.0000010056563831</v>
      </c>
      <c r="X230" s="34">
        <f>T230/F230-1</f>
        <v>0.33312133607105943</v>
      </c>
    </row>
    <row r="231" spans="2:24" x14ac:dyDescent="0.3">
      <c r="B231" s="27"/>
    </row>
    <row r="232" spans="2:24" x14ac:dyDescent="0.3">
      <c r="B232" s="27"/>
      <c r="D232" s="6" t="s">
        <v>47</v>
      </c>
    </row>
    <row r="233" spans="2:24" x14ac:dyDescent="0.3">
      <c r="B233" s="27">
        <f>MAX(B$204:B232)+1</f>
        <v>25</v>
      </c>
      <c r="D233" s="7" t="s">
        <v>33</v>
      </c>
      <c r="F233" s="8">
        <v>765126.59307475644</v>
      </c>
      <c r="H233" s="13">
        <f>F233-N233</f>
        <v>76489.89261021628</v>
      </c>
      <c r="J233" s="8">
        <v>688636.70046454016</v>
      </c>
      <c r="L233" s="8">
        <v>0</v>
      </c>
      <c r="N233" s="13">
        <f>J233+L233</f>
        <v>688636.70046454016</v>
      </c>
      <c r="P233" s="8">
        <v>0</v>
      </c>
      <c r="R233" s="8">
        <v>0</v>
      </c>
      <c r="T233" s="13">
        <f t="shared" ref="T233:T243" si="70">N233+P233+R233</f>
        <v>688636.70046454016</v>
      </c>
      <c r="V233" s="30">
        <f t="shared" ref="V233:V243" si="71">IFERROR(T233/N233,"-")</f>
        <v>1</v>
      </c>
      <c r="X233" s="31">
        <f t="shared" ref="X233:X243" si="72">IFERROR(T233/F233-1,"-")</f>
        <v>-9.9970244535393937E-2</v>
      </c>
    </row>
    <row r="234" spans="2:24" x14ac:dyDescent="0.3">
      <c r="B234" s="27">
        <f>MAX(B$204:B233)+1</f>
        <v>26</v>
      </c>
      <c r="D234" s="7" t="s">
        <v>34</v>
      </c>
      <c r="F234" s="8">
        <v>435443.93181882671</v>
      </c>
      <c r="H234" s="13">
        <f t="shared" ref="H234:H243" si="73">F234-N234</f>
        <v>45270.180880639004</v>
      </c>
      <c r="J234" s="8">
        <v>390173.7509381877</v>
      </c>
      <c r="L234" s="8">
        <v>0</v>
      </c>
      <c r="N234" s="13">
        <f t="shared" ref="N234:N243" si="74">J234+L234</f>
        <v>390173.7509381877</v>
      </c>
      <c r="P234" s="8">
        <v>0</v>
      </c>
      <c r="R234" s="8">
        <v>0</v>
      </c>
      <c r="T234" s="13">
        <f t="shared" si="70"/>
        <v>390173.7509381877</v>
      </c>
      <c r="V234" s="30">
        <f t="shared" si="71"/>
        <v>1</v>
      </c>
      <c r="X234" s="31">
        <f t="shared" si="72"/>
        <v>-0.10396328338196792</v>
      </c>
    </row>
    <row r="235" spans="2:24" x14ac:dyDescent="0.3">
      <c r="B235" s="27">
        <f>MAX(B$204:B234)+1</f>
        <v>27</v>
      </c>
      <c r="D235" s="7" t="s">
        <v>35</v>
      </c>
      <c r="F235" s="8">
        <v>20841.686672207652</v>
      </c>
      <c r="H235" s="13">
        <f t="shared" si="73"/>
        <v>809.82248279291525</v>
      </c>
      <c r="J235" s="8">
        <v>20031.864189414737</v>
      </c>
      <c r="L235" s="8">
        <v>0</v>
      </c>
      <c r="N235" s="13">
        <f t="shared" si="74"/>
        <v>20031.864189414737</v>
      </c>
      <c r="P235" s="8">
        <v>0</v>
      </c>
      <c r="R235" s="8">
        <v>0</v>
      </c>
      <c r="T235" s="13">
        <f t="shared" si="70"/>
        <v>20031.864189414737</v>
      </c>
      <c r="V235" s="30">
        <f t="shared" si="71"/>
        <v>1</v>
      </c>
      <c r="X235" s="31">
        <f t="shared" si="72"/>
        <v>-3.8855899502261093E-2</v>
      </c>
    </row>
    <row r="236" spans="2:24" x14ac:dyDescent="0.3">
      <c r="B236" s="27">
        <f>MAX(B$204:B235)+1</f>
        <v>28</v>
      </c>
      <c r="D236" s="7" t="s">
        <v>36</v>
      </c>
      <c r="F236" s="8">
        <v>0</v>
      </c>
      <c r="H236" s="13">
        <f t="shared" si="73"/>
        <v>0</v>
      </c>
      <c r="J236" s="8">
        <v>0</v>
      </c>
      <c r="L236" s="8">
        <v>0</v>
      </c>
      <c r="N236" s="13">
        <f t="shared" si="74"/>
        <v>0</v>
      </c>
      <c r="P236" s="8">
        <v>0</v>
      </c>
      <c r="R236" s="8">
        <v>0</v>
      </c>
      <c r="T236" s="13">
        <f t="shared" si="70"/>
        <v>0</v>
      </c>
      <c r="V236" s="32" t="str">
        <f t="shared" si="71"/>
        <v>-</v>
      </c>
      <c r="W236" s="39"/>
      <c r="X236" s="31" t="str">
        <f t="shared" si="72"/>
        <v>-</v>
      </c>
    </row>
    <row r="237" spans="2:24" x14ac:dyDescent="0.3">
      <c r="B237" s="27">
        <f>MAX(B$204:B236)+1</f>
        <v>29</v>
      </c>
      <c r="D237" s="7" t="s">
        <v>37</v>
      </c>
      <c r="F237" s="8">
        <v>0</v>
      </c>
      <c r="H237" s="13">
        <f t="shared" si="73"/>
        <v>0</v>
      </c>
      <c r="J237" s="8">
        <v>0</v>
      </c>
      <c r="L237" s="8">
        <v>0</v>
      </c>
      <c r="N237" s="13">
        <f t="shared" si="74"/>
        <v>0</v>
      </c>
      <c r="P237" s="8">
        <v>0</v>
      </c>
      <c r="R237" s="8">
        <v>0</v>
      </c>
      <c r="T237" s="13">
        <f t="shared" si="70"/>
        <v>0</v>
      </c>
      <c r="V237" s="32" t="str">
        <f t="shared" si="71"/>
        <v>-</v>
      </c>
      <c r="W237" s="39"/>
      <c r="X237" s="31" t="str">
        <f t="shared" si="72"/>
        <v>-</v>
      </c>
    </row>
    <row r="238" spans="2:24" x14ac:dyDescent="0.3">
      <c r="B238" s="27">
        <f>MAX(B$204:B237)+1</f>
        <v>30</v>
      </c>
      <c r="D238" s="7" t="s">
        <v>38</v>
      </c>
      <c r="F238" s="8">
        <v>493.18050496142229</v>
      </c>
      <c r="H238" s="13">
        <f t="shared" si="73"/>
        <v>-179.02723370995335</v>
      </c>
      <c r="J238" s="8">
        <v>672.20773867137564</v>
      </c>
      <c r="L238" s="8">
        <v>0</v>
      </c>
      <c r="N238" s="13">
        <f t="shared" si="74"/>
        <v>672.20773867137564</v>
      </c>
      <c r="P238" s="8">
        <v>0</v>
      </c>
      <c r="R238" s="8">
        <v>1.0004654974197706</v>
      </c>
      <c r="T238" s="13">
        <f t="shared" si="70"/>
        <v>673.20820416879542</v>
      </c>
      <c r="V238" s="32">
        <f t="shared" si="71"/>
        <v>1.0014883278484672</v>
      </c>
      <c r="W238" s="39"/>
      <c r="X238" s="31">
        <f t="shared" si="72"/>
        <v>0.36503409481170657</v>
      </c>
    </row>
    <row r="239" spans="2:24" x14ac:dyDescent="0.3">
      <c r="B239" s="27">
        <f>MAX(B$204:B238)+1</f>
        <v>31</v>
      </c>
      <c r="D239" s="7" t="s">
        <v>39</v>
      </c>
      <c r="F239" s="8">
        <v>-1106.3300469013409</v>
      </c>
      <c r="H239" s="13">
        <f t="shared" si="73"/>
        <v>-3529.2098823263641</v>
      </c>
      <c r="J239" s="8">
        <v>2422.8798354250234</v>
      </c>
      <c r="L239" s="8">
        <v>0</v>
      </c>
      <c r="N239" s="13">
        <f t="shared" si="74"/>
        <v>2422.8798354250234</v>
      </c>
      <c r="P239" s="8">
        <v>0</v>
      </c>
      <c r="R239" s="8">
        <v>0</v>
      </c>
      <c r="T239" s="13">
        <f t="shared" si="70"/>
        <v>2422.8798354250234</v>
      </c>
      <c r="V239" s="32">
        <f t="shared" si="71"/>
        <v>1</v>
      </c>
      <c r="W239" s="39"/>
      <c r="X239" s="31">
        <v>1</v>
      </c>
    </row>
    <row r="240" spans="2:24" x14ac:dyDescent="0.3">
      <c r="B240" s="27">
        <f>MAX(B$204:B239)+1</f>
        <v>32</v>
      </c>
      <c r="D240" s="7" t="s">
        <v>40</v>
      </c>
      <c r="F240" s="8">
        <v>430.4228118720323</v>
      </c>
      <c r="H240" s="13">
        <f t="shared" si="73"/>
        <v>-366.55358059874584</v>
      </c>
      <c r="J240" s="8">
        <v>796.97639247077814</v>
      </c>
      <c r="L240" s="8">
        <v>0</v>
      </c>
      <c r="N240" s="13">
        <f t="shared" si="74"/>
        <v>796.97639247077814</v>
      </c>
      <c r="P240" s="8">
        <v>0</v>
      </c>
      <c r="R240" s="8">
        <v>0</v>
      </c>
      <c r="T240" s="13">
        <f t="shared" si="70"/>
        <v>796.97639247077814</v>
      </c>
      <c r="V240" s="32">
        <f t="shared" si="71"/>
        <v>1</v>
      </c>
      <c r="W240" s="39"/>
      <c r="X240" s="31">
        <f t="shared" si="72"/>
        <v>0.85161281067910677</v>
      </c>
    </row>
    <row r="241" spans="2:24" x14ac:dyDescent="0.3">
      <c r="B241" s="27">
        <f>MAX(B$204:B240)+1</f>
        <v>33</v>
      </c>
      <c r="D241" s="7" t="s">
        <v>41</v>
      </c>
      <c r="F241" s="8">
        <v>0</v>
      </c>
      <c r="H241" s="13">
        <f t="shared" si="73"/>
        <v>0</v>
      </c>
      <c r="J241" s="8">
        <v>0</v>
      </c>
      <c r="L241" s="8">
        <v>0</v>
      </c>
      <c r="N241" s="13">
        <f t="shared" si="74"/>
        <v>0</v>
      </c>
      <c r="P241" s="8">
        <v>0</v>
      </c>
      <c r="R241" s="8">
        <v>0</v>
      </c>
      <c r="T241" s="13">
        <f t="shared" si="70"/>
        <v>0</v>
      </c>
      <c r="V241" s="32" t="str">
        <f t="shared" si="71"/>
        <v>-</v>
      </c>
      <c r="W241" s="39"/>
      <c r="X241" s="31" t="str">
        <f t="shared" si="72"/>
        <v>-</v>
      </c>
    </row>
    <row r="242" spans="2:24" x14ac:dyDescent="0.3">
      <c r="B242" s="27">
        <f>MAX(B$204:B241)+1</f>
        <v>34</v>
      </c>
      <c r="D242" s="7" t="s">
        <v>42</v>
      </c>
      <c r="F242" s="8">
        <v>0</v>
      </c>
      <c r="H242" s="13">
        <f t="shared" si="73"/>
        <v>0</v>
      </c>
      <c r="J242" s="8">
        <v>0</v>
      </c>
      <c r="L242" s="8">
        <v>0</v>
      </c>
      <c r="N242" s="13">
        <f t="shared" si="74"/>
        <v>0</v>
      </c>
      <c r="P242" s="8">
        <v>0</v>
      </c>
      <c r="R242" s="8">
        <v>0</v>
      </c>
      <c r="T242" s="13">
        <f t="shared" si="70"/>
        <v>0</v>
      </c>
      <c r="V242" s="32" t="str">
        <f t="shared" si="71"/>
        <v>-</v>
      </c>
      <c r="W242" s="39"/>
      <c r="X242" s="31" t="str">
        <f t="shared" si="72"/>
        <v>-</v>
      </c>
    </row>
    <row r="243" spans="2:24" x14ac:dyDescent="0.3">
      <c r="B243" s="27">
        <f>MAX(B$204:B242)+1</f>
        <v>35</v>
      </c>
      <c r="D243" s="7" t="s">
        <v>43</v>
      </c>
      <c r="F243" s="8">
        <v>0</v>
      </c>
      <c r="H243" s="13">
        <f t="shared" si="73"/>
        <v>0</v>
      </c>
      <c r="J243" s="8">
        <v>0</v>
      </c>
      <c r="L243" s="8">
        <v>0</v>
      </c>
      <c r="N243" s="13">
        <f t="shared" si="74"/>
        <v>0</v>
      </c>
      <c r="P243" s="8">
        <v>0</v>
      </c>
      <c r="R243" s="8">
        <v>0</v>
      </c>
      <c r="T243" s="13">
        <f t="shared" si="70"/>
        <v>0</v>
      </c>
      <c r="V243" s="32" t="str">
        <f t="shared" si="71"/>
        <v>-</v>
      </c>
      <c r="W243" s="39"/>
      <c r="X243" s="31" t="str">
        <f t="shared" si="72"/>
        <v>-</v>
      </c>
    </row>
    <row r="244" spans="2:24" x14ac:dyDescent="0.3">
      <c r="B244" s="27">
        <f>MAX(B$204:B243)+1</f>
        <v>36</v>
      </c>
      <c r="D244" s="10" t="s">
        <v>48</v>
      </c>
      <c r="F244" s="17">
        <f>SUM(F233:F243)</f>
        <v>1221229.4848357232</v>
      </c>
      <c r="H244" s="14">
        <f>SUM(H233:H243)</f>
        <v>118495.10527701314</v>
      </c>
      <c r="J244" s="14">
        <f>SUM(J233:J243)</f>
        <v>1102734.3795587099</v>
      </c>
      <c r="L244" s="14">
        <f>SUM(L233:L243)</f>
        <v>0</v>
      </c>
      <c r="N244" s="14">
        <f>SUM(N233:N243)</f>
        <v>1102734.3795587099</v>
      </c>
      <c r="P244" s="14">
        <f>SUM(P233:P243)</f>
        <v>0</v>
      </c>
      <c r="R244" s="14">
        <f>SUM(R233:R243)</f>
        <v>1.0004654974197706</v>
      </c>
      <c r="T244" s="14">
        <f>SUM(T233:T243)</f>
        <v>1102735.3800242073</v>
      </c>
      <c r="V244" s="38">
        <f>T244/N244</f>
        <v>1.000000907258825</v>
      </c>
      <c r="X244" s="34">
        <f>T244/F244-1</f>
        <v>-9.7028532542723034E-2</v>
      </c>
    </row>
    <row r="245" spans="2:24" x14ac:dyDescent="0.3">
      <c r="B245" s="27"/>
      <c r="D245" s="10"/>
    </row>
    <row r="246" spans="2:24" x14ac:dyDescent="0.3">
      <c r="B246" s="27"/>
      <c r="D246" s="6" t="s">
        <v>49</v>
      </c>
      <c r="V246" s="39"/>
    </row>
    <row r="247" spans="2:24" x14ac:dyDescent="0.3">
      <c r="B247" s="27">
        <f>MAX(B$204:B246)+1</f>
        <v>37</v>
      </c>
      <c r="D247" s="7" t="s">
        <v>33</v>
      </c>
      <c r="F247" s="8">
        <v>443818.81708547071</v>
      </c>
      <c r="H247" s="13">
        <f>F247-N247</f>
        <v>13558.400548323698</v>
      </c>
      <c r="J247" s="8">
        <v>430260.41653714702</v>
      </c>
      <c r="L247" s="8">
        <v>0</v>
      </c>
      <c r="N247" s="13">
        <f>J247+L247</f>
        <v>430260.41653714702</v>
      </c>
      <c r="P247" s="8">
        <v>0</v>
      </c>
      <c r="R247" s="8">
        <v>0</v>
      </c>
      <c r="T247" s="13">
        <f t="shared" ref="T247:T257" si="75">N247+P247+R247</f>
        <v>430260.41653714702</v>
      </c>
      <c r="V247" s="32">
        <f t="shared" ref="V247:V257" si="76">IFERROR(T247/N247,"-")</f>
        <v>1</v>
      </c>
      <c r="X247" s="31">
        <f t="shared" ref="X247:X257" si="77">IFERROR(T247/F247-1,"-")</f>
        <v>-3.0549404455991414E-2</v>
      </c>
    </row>
    <row r="248" spans="2:24" x14ac:dyDescent="0.3">
      <c r="B248" s="27">
        <f>MAX(B$204:B247)+1</f>
        <v>38</v>
      </c>
      <c r="D248" s="7" t="s">
        <v>34</v>
      </c>
      <c r="F248" s="8">
        <v>178035.13762635674</v>
      </c>
      <c r="H248" s="13">
        <f t="shared" ref="H248:H257" si="78">F248-N248</f>
        <v>-449.48378595395479</v>
      </c>
      <c r="J248" s="8">
        <v>178484.62141231069</v>
      </c>
      <c r="L248" s="8">
        <v>0</v>
      </c>
      <c r="N248" s="13">
        <f t="shared" ref="N248:N257" si="79">J248+L248</f>
        <v>178484.62141231069</v>
      </c>
      <c r="P248" s="8">
        <v>0</v>
      </c>
      <c r="R248" s="8">
        <v>0</v>
      </c>
      <c r="T248" s="13">
        <f t="shared" si="75"/>
        <v>178484.62141231069</v>
      </c>
      <c r="V248" s="32">
        <f t="shared" si="76"/>
        <v>1</v>
      </c>
      <c r="X248" s="31">
        <f t="shared" si="77"/>
        <v>2.5246914285947941E-3</v>
      </c>
    </row>
    <row r="249" spans="2:24" x14ac:dyDescent="0.3">
      <c r="B249" s="27">
        <f>MAX(B$204:B248)+1</f>
        <v>39</v>
      </c>
      <c r="D249" s="7" t="s">
        <v>35</v>
      </c>
      <c r="F249" s="8">
        <v>17620.504975092124</v>
      </c>
      <c r="H249" s="13">
        <f t="shared" si="78"/>
        <v>-2586.2305068359383</v>
      </c>
      <c r="J249" s="8">
        <v>20206.735481928063</v>
      </c>
      <c r="L249" s="8">
        <v>0</v>
      </c>
      <c r="N249" s="13">
        <f t="shared" si="79"/>
        <v>20206.735481928063</v>
      </c>
      <c r="P249" s="8">
        <v>0</v>
      </c>
      <c r="R249" s="8">
        <v>0</v>
      </c>
      <c r="T249" s="13">
        <f t="shared" si="75"/>
        <v>20206.735481928063</v>
      </c>
      <c r="V249" s="32">
        <f t="shared" si="76"/>
        <v>1</v>
      </c>
      <c r="X249" s="31">
        <f t="shared" si="77"/>
        <v>0.14677391541796125</v>
      </c>
    </row>
    <row r="250" spans="2:24" x14ac:dyDescent="0.3">
      <c r="B250" s="27">
        <f>MAX(B$204:B249)+1</f>
        <v>40</v>
      </c>
      <c r="D250" s="7" t="s">
        <v>36</v>
      </c>
      <c r="F250" s="8">
        <v>2949.4055850023437</v>
      </c>
      <c r="H250" s="13">
        <f t="shared" si="78"/>
        <v>-6011.078538251395</v>
      </c>
      <c r="J250" s="8">
        <v>8960.4841232537383</v>
      </c>
      <c r="L250" s="8">
        <v>0</v>
      </c>
      <c r="N250" s="13">
        <f t="shared" si="79"/>
        <v>8960.4841232537383</v>
      </c>
      <c r="P250" s="8">
        <v>0</v>
      </c>
      <c r="R250" s="8">
        <v>0</v>
      </c>
      <c r="T250" s="13">
        <f t="shared" si="75"/>
        <v>8960.4841232537383</v>
      </c>
      <c r="V250" s="32">
        <f t="shared" si="76"/>
        <v>1</v>
      </c>
      <c r="X250" s="31">
        <f t="shared" si="77"/>
        <v>2.0380644048473986</v>
      </c>
    </row>
    <row r="251" spans="2:24" x14ac:dyDescent="0.3">
      <c r="B251" s="27">
        <f>MAX(B$204:B250)+1</f>
        <v>41</v>
      </c>
      <c r="D251" s="7" t="s">
        <v>37</v>
      </c>
      <c r="F251" s="8">
        <v>0</v>
      </c>
      <c r="H251" s="13">
        <f t="shared" si="78"/>
        <v>0</v>
      </c>
      <c r="J251" s="8">
        <v>0</v>
      </c>
      <c r="L251" s="8">
        <v>0</v>
      </c>
      <c r="N251" s="13">
        <f t="shared" si="79"/>
        <v>0</v>
      </c>
      <c r="P251" s="8">
        <v>0</v>
      </c>
      <c r="R251" s="8">
        <v>0</v>
      </c>
      <c r="T251" s="13">
        <f t="shared" si="75"/>
        <v>0</v>
      </c>
      <c r="V251" s="32" t="str">
        <f t="shared" si="76"/>
        <v>-</v>
      </c>
      <c r="X251" s="31" t="str">
        <f t="shared" si="77"/>
        <v>-</v>
      </c>
    </row>
    <row r="252" spans="2:24" x14ac:dyDescent="0.3">
      <c r="B252" s="27">
        <f>MAX(B$204:B251)+1</f>
        <v>42</v>
      </c>
      <c r="D252" s="7" t="s">
        <v>38</v>
      </c>
      <c r="F252" s="8">
        <v>889.30089021291417</v>
      </c>
      <c r="H252" s="13">
        <f t="shared" si="78"/>
        <v>-1486.0084284156937</v>
      </c>
      <c r="J252" s="8">
        <v>2375.3093186286078</v>
      </c>
      <c r="L252" s="8">
        <v>0</v>
      </c>
      <c r="N252" s="13">
        <f t="shared" si="79"/>
        <v>2375.3093186286078</v>
      </c>
      <c r="P252" s="8">
        <v>0</v>
      </c>
      <c r="R252" s="8">
        <v>1.091281754680971</v>
      </c>
      <c r="T252" s="13">
        <f t="shared" si="75"/>
        <v>2376.4006003832887</v>
      </c>
      <c r="V252" s="32">
        <f t="shared" si="76"/>
        <v>1.0004594272190668</v>
      </c>
      <c r="X252" s="31">
        <f t="shared" si="77"/>
        <v>1.6722121011419846</v>
      </c>
    </row>
    <row r="253" spans="2:24" x14ac:dyDescent="0.3">
      <c r="B253" s="27">
        <f>MAX(B$204:B252)+1</f>
        <v>43</v>
      </c>
      <c r="D253" s="7" t="s">
        <v>39</v>
      </c>
      <c r="F253" s="8">
        <v>516.75897007861192</v>
      </c>
      <c r="H253" s="13">
        <f t="shared" si="78"/>
        <v>-16.132012298402969</v>
      </c>
      <c r="J253" s="8">
        <v>532.89098237701489</v>
      </c>
      <c r="L253" s="8">
        <v>0</v>
      </c>
      <c r="N253" s="13">
        <f t="shared" si="79"/>
        <v>532.89098237701489</v>
      </c>
      <c r="P253" s="8">
        <v>0</v>
      </c>
      <c r="R253" s="8">
        <v>0</v>
      </c>
      <c r="T253" s="13">
        <f t="shared" si="75"/>
        <v>532.89098237701489</v>
      </c>
      <c r="V253" s="32">
        <f t="shared" si="76"/>
        <v>1</v>
      </c>
      <c r="X253" s="31">
        <f t="shared" si="77"/>
        <v>3.1217672517515949E-2</v>
      </c>
    </row>
    <row r="254" spans="2:24" x14ac:dyDescent="0.3">
      <c r="B254" s="27">
        <f>MAX(B$204:B253)+1</f>
        <v>44</v>
      </c>
      <c r="D254" s="7" t="s">
        <v>40</v>
      </c>
      <c r="F254" s="8">
        <v>358.51420996598182</v>
      </c>
      <c r="H254" s="13">
        <f t="shared" si="78"/>
        <v>16.640210101158686</v>
      </c>
      <c r="J254" s="8">
        <v>341.87399986482313</v>
      </c>
      <c r="L254" s="8">
        <v>0</v>
      </c>
      <c r="N254" s="13">
        <f t="shared" si="79"/>
        <v>341.87399986482313</v>
      </c>
      <c r="P254" s="8">
        <v>0</v>
      </c>
      <c r="R254" s="8">
        <v>0</v>
      </c>
      <c r="T254" s="13">
        <f t="shared" si="75"/>
        <v>341.87399986482313</v>
      </c>
      <c r="V254" s="32">
        <f t="shared" si="76"/>
        <v>1</v>
      </c>
      <c r="X254" s="31">
        <f t="shared" si="77"/>
        <v>-4.6414366958390851E-2</v>
      </c>
    </row>
    <row r="255" spans="2:24" x14ac:dyDescent="0.3">
      <c r="B255" s="27">
        <f>MAX(B$204:B254)+1</f>
        <v>45</v>
      </c>
      <c r="D255" s="7" t="s">
        <v>41</v>
      </c>
      <c r="F255" s="8">
        <v>210.51814889499033</v>
      </c>
      <c r="H255" s="13">
        <f t="shared" si="78"/>
        <v>-480.78292397895905</v>
      </c>
      <c r="J255" s="8">
        <v>691.30107287394935</v>
      </c>
      <c r="L255" s="8">
        <v>0</v>
      </c>
      <c r="N255" s="13">
        <f t="shared" si="79"/>
        <v>691.30107287394935</v>
      </c>
      <c r="P255" s="8">
        <v>0</v>
      </c>
      <c r="R255" s="8">
        <v>-2.6546224459574148</v>
      </c>
      <c r="T255" s="13">
        <f t="shared" si="75"/>
        <v>688.64645042799191</v>
      </c>
      <c r="V255" s="32">
        <f t="shared" si="76"/>
        <v>0.9961599619180086</v>
      </c>
      <c r="X255" s="31">
        <f t="shared" si="77"/>
        <v>2.2711975382773257</v>
      </c>
    </row>
    <row r="256" spans="2:24" x14ac:dyDescent="0.3">
      <c r="B256" s="27">
        <f>MAX(B$204:B255)+1</f>
        <v>46</v>
      </c>
      <c r="D256" s="7" t="s">
        <v>42</v>
      </c>
      <c r="F256" s="8">
        <v>2679.7155357730512</v>
      </c>
      <c r="H256" s="13">
        <f t="shared" si="78"/>
        <v>-65.657722206981362</v>
      </c>
      <c r="J256" s="8">
        <v>2745.3732579800326</v>
      </c>
      <c r="L256" s="8">
        <v>0</v>
      </c>
      <c r="N256" s="13">
        <f t="shared" si="79"/>
        <v>2745.3732579800326</v>
      </c>
      <c r="P256" s="8">
        <v>0</v>
      </c>
      <c r="R256" s="8">
        <v>0</v>
      </c>
      <c r="T256" s="13">
        <f t="shared" si="75"/>
        <v>2745.3732579800326</v>
      </c>
      <c r="V256" s="32">
        <f t="shared" si="76"/>
        <v>1</v>
      </c>
      <c r="X256" s="31">
        <f t="shared" si="77"/>
        <v>2.4501750775587583E-2</v>
      </c>
    </row>
    <row r="257" spans="2:24" x14ac:dyDescent="0.3">
      <c r="B257" s="27">
        <f>MAX(B$204:B256)+1</f>
        <v>47</v>
      </c>
      <c r="D257" s="7" t="s">
        <v>43</v>
      </c>
      <c r="F257" s="8">
        <v>287.33204807941672</v>
      </c>
      <c r="H257" s="13">
        <f t="shared" si="78"/>
        <v>-901.2000818822554</v>
      </c>
      <c r="J257" s="8">
        <v>1188.5321299616721</v>
      </c>
      <c r="L257" s="8">
        <v>0</v>
      </c>
      <c r="N257" s="13">
        <f t="shared" si="79"/>
        <v>1188.5321299616721</v>
      </c>
      <c r="P257" s="8">
        <v>0</v>
      </c>
      <c r="R257" s="8">
        <v>0</v>
      </c>
      <c r="T257" s="13">
        <f t="shared" si="75"/>
        <v>1188.5321299616721</v>
      </c>
      <c r="V257" s="32">
        <f t="shared" si="76"/>
        <v>1</v>
      </c>
      <c r="X257" s="31">
        <f t="shared" si="77"/>
        <v>3.1364412285578727</v>
      </c>
    </row>
    <row r="258" spans="2:24" x14ac:dyDescent="0.3">
      <c r="B258" s="27">
        <f>MAX(B$204:B257)+1</f>
        <v>48</v>
      </c>
      <c r="D258" s="10" t="s">
        <v>50</v>
      </c>
      <c r="F258" s="17">
        <f>SUM(F247:F257)</f>
        <v>647366.005074927</v>
      </c>
      <c r="H258" s="14">
        <f>SUM(H247:H257)</f>
        <v>1578.4667586012761</v>
      </c>
      <c r="J258" s="14">
        <f>SUM(J247:J257)</f>
        <v>645787.53831632563</v>
      </c>
      <c r="L258" s="14">
        <f>SUM(L247:L257)</f>
        <v>0</v>
      </c>
      <c r="N258" s="14">
        <f>SUM(N247:N257)</f>
        <v>645787.53831632563</v>
      </c>
      <c r="P258" s="14">
        <f>SUM(P247:P257)</f>
        <v>0</v>
      </c>
      <c r="R258" s="14">
        <f>ROUND(SUM(R247:R257),0 )</f>
        <v>-2</v>
      </c>
      <c r="T258" s="14">
        <f>SUM(T247:T257)</f>
        <v>645785.97497563425</v>
      </c>
      <c r="V258" s="38">
        <f>T258/F258</f>
        <v>0.99755929398994336</v>
      </c>
      <c r="X258" s="34">
        <f>T258/F258-1</f>
        <v>-2.4407060100566369E-3</v>
      </c>
    </row>
    <row r="259" spans="2:24" x14ac:dyDescent="0.3">
      <c r="B259" s="27"/>
      <c r="D259" s="1"/>
      <c r="R259" s="14"/>
    </row>
    <row r="260" spans="2:24" x14ac:dyDescent="0.3">
      <c r="B260" s="27">
        <f>MAX(B$204:B259)+1</f>
        <v>49</v>
      </c>
      <c r="D260" s="10" t="s">
        <v>51</v>
      </c>
      <c r="F260" s="17">
        <f>F216+F230+F244+F258</f>
        <v>2333205.5051161139</v>
      </c>
      <c r="G260" s="16"/>
      <c r="H260" s="14">
        <f t="shared" ref="H260:T260" si="80">ROUND(H216+H230+H244+H258,0)</f>
        <v>18695</v>
      </c>
      <c r="I260" s="16"/>
      <c r="J260" s="17">
        <f t="shared" si="80"/>
        <v>2314511</v>
      </c>
      <c r="K260" s="16"/>
      <c r="L260" s="14">
        <f t="shared" si="80"/>
        <v>0</v>
      </c>
      <c r="M260" s="16"/>
      <c r="N260" s="17">
        <f t="shared" si="80"/>
        <v>2314511</v>
      </c>
      <c r="O260" s="16"/>
      <c r="P260" s="14">
        <f t="shared" si="80"/>
        <v>0</v>
      </c>
      <c r="Q260" s="16"/>
      <c r="R260" s="14">
        <f t="shared" si="80"/>
        <v>0</v>
      </c>
      <c r="S260" s="16"/>
      <c r="T260" s="17">
        <f t="shared" si="80"/>
        <v>2314511</v>
      </c>
      <c r="U260" s="16"/>
      <c r="V260" s="38">
        <f>T260/F260</f>
        <v>0.9919876302901216</v>
      </c>
      <c r="X260" s="34">
        <f>T260/F260-1</f>
        <v>-8.0123697098783975E-3</v>
      </c>
    </row>
    <row r="261" spans="2:24" x14ac:dyDescent="0.3">
      <c r="B261" s="27"/>
      <c r="D261" s="10"/>
    </row>
    <row r="262" spans="2:24" x14ac:dyDescent="0.3">
      <c r="B262" s="27"/>
      <c r="D262" s="6" t="s">
        <v>52</v>
      </c>
    </row>
    <row r="263" spans="2:24" x14ac:dyDescent="0.3">
      <c r="B263" s="27">
        <f>MAX(B$204:B262)+1</f>
        <v>50</v>
      </c>
      <c r="D263" s="7" t="s">
        <v>53</v>
      </c>
      <c r="F263" s="8">
        <v>0</v>
      </c>
      <c r="H263" s="13">
        <f>F263-N263</f>
        <v>-10.793404878226456</v>
      </c>
      <c r="J263" s="8">
        <v>10.793404878226456</v>
      </c>
      <c r="L263" s="8">
        <v>0</v>
      </c>
      <c r="N263" s="13">
        <f>J263+L263</f>
        <v>10.793404878226456</v>
      </c>
      <c r="P263" s="8">
        <f>T263-N263</f>
        <v>0</v>
      </c>
      <c r="R263" s="8">
        <v>0</v>
      </c>
      <c r="T263" s="8">
        <v>10.793404878226456</v>
      </c>
      <c r="V263" s="32">
        <f>IFERROR(T263/N263,"-")</f>
        <v>1</v>
      </c>
      <c r="X263" s="31" t="str">
        <f>IFERROR(T263/F263-1,"-")</f>
        <v>-</v>
      </c>
    </row>
    <row r="264" spans="2:24" x14ac:dyDescent="0.3">
      <c r="B264" s="27">
        <f>MAX(B$204:B263)+1</f>
        <v>51</v>
      </c>
      <c r="D264" s="7" t="s">
        <v>54</v>
      </c>
      <c r="F264" s="8">
        <v>16203.307197464526</v>
      </c>
      <c r="H264" s="13">
        <f t="shared" ref="H264:H267" si="81">F264-N264</f>
        <v>-4085.7241045138708</v>
      </c>
      <c r="J264" s="8">
        <v>20289.031301978397</v>
      </c>
      <c r="L264" s="8">
        <v>0</v>
      </c>
      <c r="N264" s="13">
        <f t="shared" ref="N264:N267" si="82">J264+L264</f>
        <v>20289.031301978397</v>
      </c>
      <c r="P264" s="8">
        <f>ROUND(T264-N264,0)</f>
        <v>0</v>
      </c>
      <c r="R264" s="8">
        <v>0</v>
      </c>
      <c r="T264" s="8">
        <v>20289.002877664519</v>
      </c>
      <c r="V264" s="32">
        <f>IFERROR(T264/N264,"-")</f>
        <v>0.99999859903050792</v>
      </c>
      <c r="X264" s="31">
        <f>IFERROR(T264/F264-1,"-")</f>
        <v>0.25215196073301116</v>
      </c>
    </row>
    <row r="265" spans="2:24" x14ac:dyDescent="0.3">
      <c r="B265" s="27">
        <f>MAX(B$204:B264)+1</f>
        <v>52</v>
      </c>
      <c r="D265" s="7" t="s">
        <v>55</v>
      </c>
      <c r="F265" s="8">
        <v>163.78497059175623</v>
      </c>
      <c r="H265" s="13">
        <f t="shared" si="81"/>
        <v>-126.90763655930772</v>
      </c>
      <c r="J265" s="8">
        <v>290.69260715106395</v>
      </c>
      <c r="L265" s="8">
        <v>0</v>
      </c>
      <c r="N265" s="13">
        <f t="shared" si="82"/>
        <v>290.69260715106395</v>
      </c>
      <c r="P265" s="8">
        <f>ROUND(T265-N265,0)</f>
        <v>0</v>
      </c>
      <c r="R265" s="8">
        <v>0</v>
      </c>
      <c r="T265" s="8">
        <v>290.69260702952431</v>
      </c>
      <c r="V265" s="32">
        <f>IFERROR(T265/N265,"-")</f>
        <v>0.99999999958189634</v>
      </c>
      <c r="X265" s="31">
        <f>IFERROR(T265/F265-1,"-")</f>
        <v>0.77484299065567441</v>
      </c>
    </row>
    <row r="266" spans="2:24" x14ac:dyDescent="0.3">
      <c r="B266" s="27">
        <f>MAX(B$204:B265)+1</f>
        <v>53</v>
      </c>
      <c r="D266" s="7" t="s">
        <v>56</v>
      </c>
      <c r="F266" s="8">
        <v>38.32889733333333</v>
      </c>
      <c r="H266" s="13">
        <f t="shared" si="81"/>
        <v>-38.071741353484867</v>
      </c>
      <c r="J266" s="8">
        <v>76.400638686818198</v>
      </c>
      <c r="L266" s="8">
        <v>0</v>
      </c>
      <c r="N266" s="13">
        <f t="shared" si="82"/>
        <v>76.400638686818198</v>
      </c>
      <c r="P266" s="8">
        <f>ROUND(T266-N266,0)</f>
        <v>0</v>
      </c>
      <c r="R266" s="8">
        <v>0</v>
      </c>
      <c r="T266" s="8">
        <v>76.400410675845464</v>
      </c>
      <c r="V266" s="32">
        <f>IFERROR(T266/N266,"-")</f>
        <v>0.99999701558813314</v>
      </c>
      <c r="X266" s="31">
        <f>IFERROR(T266/F266-1,"-")</f>
        <v>0.99328485793413734</v>
      </c>
    </row>
    <row r="267" spans="2:24" x14ac:dyDescent="0.3">
      <c r="B267" s="27">
        <f>MAX(B$204:B266)+1</f>
        <v>54</v>
      </c>
      <c r="D267" s="7" t="s">
        <v>57</v>
      </c>
      <c r="F267" s="8">
        <v>0</v>
      </c>
      <c r="H267" s="13">
        <f t="shared" si="81"/>
        <v>0</v>
      </c>
      <c r="J267" s="8">
        <v>0</v>
      </c>
      <c r="L267" s="8">
        <v>0</v>
      </c>
      <c r="N267" s="13">
        <f t="shared" si="82"/>
        <v>0</v>
      </c>
      <c r="P267" s="8">
        <f>ROUND(T267-N267,0)</f>
        <v>0</v>
      </c>
      <c r="R267" s="8">
        <v>0</v>
      </c>
      <c r="T267" s="8">
        <v>0</v>
      </c>
      <c r="V267" s="32" t="str">
        <f>IFERROR(T267/N267,"-")</f>
        <v>-</v>
      </c>
      <c r="X267" s="31" t="str">
        <f>IFERROR(T267/F267-1,"-")</f>
        <v>-</v>
      </c>
    </row>
    <row r="268" spans="2:24" x14ac:dyDescent="0.3">
      <c r="B268" s="27">
        <f>MAX(B$204:B267)+1</f>
        <v>55</v>
      </c>
      <c r="D268" s="10" t="s">
        <v>58</v>
      </c>
      <c r="F268" s="14">
        <f>SUM(F263:F267)</f>
        <v>16405.421065389615</v>
      </c>
      <c r="H268" s="14">
        <f>SUM(H263:H267)</f>
        <v>-4261.4968873048892</v>
      </c>
      <c r="J268" s="14">
        <f>SUM(J263:J267)</f>
        <v>20666.917952694504</v>
      </c>
      <c r="L268" s="14">
        <f>SUM(L263:L267)</f>
        <v>0</v>
      </c>
      <c r="N268" s="14">
        <f>SUM(N263:N267)</f>
        <v>20666.917952694504</v>
      </c>
      <c r="P268" s="14">
        <f>SUM(P263:P267)</f>
        <v>0</v>
      </c>
      <c r="R268" s="14">
        <f>SUM(R263:R267)</f>
        <v>0</v>
      </c>
      <c r="T268" s="14">
        <f>SUM(T263:T267)</f>
        <v>20666.889300248113</v>
      </c>
      <c r="V268" s="38">
        <f>T268/N268</f>
        <v>0.99999861360816078</v>
      </c>
      <c r="X268" s="34">
        <f>T268/F268-1</f>
        <v>0.25975975976921939</v>
      </c>
    </row>
    <row r="269" spans="2:24" x14ac:dyDescent="0.3">
      <c r="B269" s="27"/>
      <c r="D269" s="10"/>
    </row>
    <row r="270" spans="2:24" x14ac:dyDescent="0.3">
      <c r="B270" s="27">
        <f>MAX(B$204:B269)+1</f>
        <v>56</v>
      </c>
      <c r="D270" s="7" t="s">
        <v>59</v>
      </c>
      <c r="F270" s="8">
        <v>0</v>
      </c>
      <c r="H270" s="8">
        <v>0</v>
      </c>
      <c r="J270" s="8">
        <v>0</v>
      </c>
      <c r="L270" s="8">
        <v>0</v>
      </c>
      <c r="N270" s="8">
        <v>0</v>
      </c>
      <c r="P270" s="8">
        <v>0</v>
      </c>
      <c r="R270" s="8">
        <v>0</v>
      </c>
      <c r="T270" s="8">
        <v>0</v>
      </c>
      <c r="V270" s="8">
        <v>0</v>
      </c>
      <c r="X270" s="8">
        <v>0</v>
      </c>
    </row>
    <row r="271" spans="2:24" x14ac:dyDescent="0.3">
      <c r="B271" s="27"/>
      <c r="D271" s="7"/>
    </row>
    <row r="272" spans="2:24" ht="12.9" thickBot="1" x14ac:dyDescent="0.35">
      <c r="B272" s="27">
        <f>MAX(B$204:B271)+1</f>
        <v>57</v>
      </c>
      <c r="D272" s="10" t="s">
        <v>60</v>
      </c>
      <c r="F272" s="43">
        <f>ROUND(F260+F268+F270,0)</f>
        <v>2349611</v>
      </c>
      <c r="G272" s="16"/>
      <c r="H272" s="49">
        <f>(ROUND(H260+H268+H270,0))</f>
        <v>14434</v>
      </c>
      <c r="I272" s="16"/>
      <c r="J272" s="43">
        <f t="shared" ref="J272:T272" si="83">J260+J268+J270</f>
        <v>2335177.9179526945</v>
      </c>
      <c r="K272" s="16"/>
      <c r="L272" s="44">
        <f t="shared" si="83"/>
        <v>0</v>
      </c>
      <c r="M272" s="16"/>
      <c r="N272" s="43">
        <f t="shared" si="83"/>
        <v>2335177.9179526945</v>
      </c>
      <c r="O272" s="16"/>
      <c r="P272" s="18">
        <f>ROUND(P260+P268+P270,0)</f>
        <v>0</v>
      </c>
      <c r="Q272" s="16"/>
      <c r="R272" s="44">
        <f t="shared" si="83"/>
        <v>0</v>
      </c>
      <c r="S272" s="16"/>
      <c r="T272" s="43">
        <f t="shared" si="83"/>
        <v>2335177.8893002481</v>
      </c>
      <c r="U272" s="16"/>
      <c r="V272" s="45">
        <f>T272/N272</f>
        <v>0.99999998773007992</v>
      </c>
      <c r="X272" s="46">
        <f>T272/F272-1</f>
        <v>-6.1427660577652032E-3</v>
      </c>
    </row>
    <row r="273" spans="2:24" ht="12.9" thickTop="1" x14ac:dyDescent="0.3"/>
    <row r="274" spans="2:24" x14ac:dyDescent="0.3">
      <c r="B274" s="11" t="s">
        <v>61</v>
      </c>
    </row>
    <row r="275" spans="2:24" x14ac:dyDescent="0.3">
      <c r="B275" s="47" t="s">
        <v>62</v>
      </c>
      <c r="D275" s="15" t="s">
        <v>63</v>
      </c>
    </row>
    <row r="276" spans="2:24" x14ac:dyDescent="0.3">
      <c r="B276" s="47" t="s">
        <v>64</v>
      </c>
      <c r="D276" s="15" t="s">
        <v>76</v>
      </c>
      <c r="V276" s="13"/>
    </row>
    <row r="277" spans="2:24" x14ac:dyDescent="0.3">
      <c r="B277" s="47" t="s">
        <v>65</v>
      </c>
      <c r="D277" s="15" t="s">
        <v>73</v>
      </c>
    </row>
    <row r="278" spans="2:24" x14ac:dyDescent="0.3">
      <c r="B278" s="47" t="s">
        <v>67</v>
      </c>
      <c r="D278" s="15" t="s">
        <v>68</v>
      </c>
    </row>
    <row r="279" spans="2:24" x14ac:dyDescent="0.3">
      <c r="B279" s="47" t="s">
        <v>69</v>
      </c>
      <c r="D279" s="15" t="s">
        <v>70</v>
      </c>
    </row>
    <row r="280" spans="2:24" x14ac:dyDescent="0.3">
      <c r="B280" s="47"/>
    </row>
    <row r="281" spans="2:24" x14ac:dyDescent="0.3">
      <c r="B281" s="47"/>
    </row>
    <row r="282" spans="2:24" x14ac:dyDescent="0.3">
      <c r="B282" s="47"/>
    </row>
    <row r="283" spans="2:24" x14ac:dyDescent="0.3"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48"/>
    </row>
    <row r="284" spans="2:24" x14ac:dyDescent="0.3"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1"/>
      <c r="W284" s="1"/>
      <c r="X284" s="1"/>
    </row>
    <row r="285" spans="2:24" x14ac:dyDescent="0.3"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2:24" x14ac:dyDescent="0.3"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2:24" x14ac:dyDescent="0.3"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</row>
    <row r="288" spans="2:24" x14ac:dyDescent="0.3"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</row>
    <row r="289" spans="6:20" x14ac:dyDescent="0.3">
      <c r="F289" s="48"/>
      <c r="G289" s="48"/>
      <c r="H289" s="48"/>
      <c r="I289" s="48"/>
      <c r="J289" s="50"/>
      <c r="K289" s="48"/>
      <c r="L289" s="48"/>
      <c r="M289" s="48"/>
      <c r="N289" s="50"/>
      <c r="O289" s="48"/>
      <c r="P289" s="48"/>
      <c r="Q289" s="48"/>
      <c r="R289" s="48"/>
      <c r="S289" s="48"/>
      <c r="T289" s="50"/>
    </row>
  </sheetData>
  <mergeCells count="6">
    <mergeCell ref="B195:X195"/>
    <mergeCell ref="B5:X5"/>
    <mergeCell ref="B6:X6"/>
    <mergeCell ref="B100:X100"/>
    <mergeCell ref="B101:X101"/>
    <mergeCell ref="B194:X194"/>
  </mergeCells>
  <pageMargins left="0.7" right="0.7" top="0.75" bottom="0.75" header="0.3" footer="0.3"/>
  <pageSetup scale="42" orientation="portrait" r:id="rId1"/>
  <headerFooter>
    <oddHeader xml:space="preserve">&amp;R&amp;"Arial,Regular"&amp;10 Filed: 2025-02-28
 EB-2025-0064
 Phase 3 Exhibit 8
 Tab 2
 Schedule 14
 Attachment 1
 Page &amp;P of 3
</oddHeader>
  </headerFooter>
  <rowBreaks count="2" manualBreakCount="2">
    <brk id="95" max="24" man="1"/>
    <brk id="189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4C2A4096-AAE7-490A-9D12-A3EAA0A29D74}"/>
</file>

<file path=customXml/itemProps2.xml><?xml version="1.0" encoding="utf-8"?>
<ds:datastoreItem xmlns:ds="http://schemas.openxmlformats.org/officeDocument/2006/customXml" ds:itemID="{7A8377EC-A154-4AF3-957E-BFD51E3F3332}"/>
</file>

<file path=customXml/itemProps3.xml><?xml version="1.0" encoding="utf-8"?>
<ds:datastoreItem xmlns:ds="http://schemas.openxmlformats.org/officeDocument/2006/customXml" ds:itemID="{DE8BD01C-F9BD-47AF-8D3F-F25858030D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8.2.14.1</vt:lpstr>
      <vt:lpstr>'8.2.14.1'!Print_Area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2025-02-28T16:02:25Z</dcterms:created>
  <dcterms:modified xsi:type="dcterms:W3CDTF">2025-02-28T16:02:43Z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2025-02-28T16:02:40Z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b0481d11-0058-44a9-978d-34b7e89bdce9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