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59" documentId="13_ncr:1_{95423364-86EE-4ABF-ABB6-1898F59943DB}" xr6:coauthVersionLast="47" xr6:coauthVersionMax="47" xr10:uidLastSave="{730D55E2-823E-4AC7-A736-C51523199E24}"/>
  <bookViews>
    <workbookView xWindow="28680" yWindow="-120" windowWidth="29040" windowHeight="15720" xr2:uid="{794E218E-7347-4E84-B3D9-410DDBAD7112}"/>
  </bookViews>
  <sheets>
    <sheet name="8.2.14.2 p.1-9" sheetId="1" r:id="rId1"/>
    <sheet name="8.2.14.2 p.10-11" sheetId="2" r:id="rId2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hidden="1">{#N/A,#N/A,FALSE,"H3 Tab 1"}</definedName>
    <definedName name="_xlnm.Print_Area" localSheetId="1">'8.2.14.2 p.10-11'!$A$1:$AA$117</definedName>
    <definedName name="_xlnm.Print_Area" localSheetId="0">'8.2.14.2 p.1-9'!$A$1:$AA$469</definedName>
    <definedName name="_xlnm.Print_Titles" localSheetId="0">'8.2.14.2 p.1-9'!$3:$15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R106" i="2"/>
  <c r="P106" i="2"/>
  <c r="N106" i="2" s="1"/>
  <c r="H106" i="2"/>
  <c r="L106" i="2" s="1"/>
  <c r="D106" i="2"/>
  <c r="X104" i="2"/>
  <c r="T106" i="2"/>
  <c r="X103" i="2"/>
  <c r="D101" i="2"/>
  <c r="T99" i="2"/>
  <c r="H101" i="2"/>
  <c r="T98" i="2"/>
  <c r="T97" i="2"/>
  <c r="R97" i="2" s="1"/>
  <c r="T96" i="2"/>
  <c r="T95" i="2"/>
  <c r="X95" i="2" s="1"/>
  <c r="P101" i="2"/>
  <c r="N101" i="2" s="1"/>
  <c r="T94" i="2"/>
  <c r="D90" i="2"/>
  <c r="R88" i="2"/>
  <c r="X88" i="2"/>
  <c r="X87" i="2"/>
  <c r="X85" i="2"/>
  <c r="R85" i="2"/>
  <c r="R83" i="2"/>
  <c r="R82" i="2"/>
  <c r="T81" i="2"/>
  <c r="T80" i="2"/>
  <c r="R80" i="2" s="1"/>
  <c r="T79" i="2"/>
  <c r="T78" i="2"/>
  <c r="X78" i="2" s="1"/>
  <c r="H90" i="2"/>
  <c r="T77" i="2"/>
  <c r="T75" i="2"/>
  <c r="T74" i="2"/>
  <c r="P90" i="2"/>
  <c r="N90" i="2" s="1"/>
  <c r="D57" i="2"/>
  <c r="P55" i="2"/>
  <c r="N55" i="2" s="1"/>
  <c r="D55" i="2"/>
  <c r="X53" i="2"/>
  <c r="R53" i="2"/>
  <c r="T55" i="2"/>
  <c r="X50" i="2"/>
  <c r="H55" i="2"/>
  <c r="L55" i="2" s="1"/>
  <c r="J57" i="2"/>
  <c r="D47" i="2"/>
  <c r="X45" i="2"/>
  <c r="R45" i="2"/>
  <c r="X44" i="2"/>
  <c r="X43" i="2"/>
  <c r="T42" i="2"/>
  <c r="T41" i="2"/>
  <c r="T40" i="2"/>
  <c r="T39" i="2"/>
  <c r="T38" i="2"/>
  <c r="R38" i="2" s="1"/>
  <c r="T35" i="2"/>
  <c r="T33" i="2"/>
  <c r="X33" i="2" s="1"/>
  <c r="T32" i="2"/>
  <c r="T29" i="2"/>
  <c r="P47" i="2"/>
  <c r="T28" i="2"/>
  <c r="T27" i="2"/>
  <c r="R27" i="2" s="1"/>
  <c r="T26" i="2"/>
  <c r="T25" i="2"/>
  <c r="R25" i="2" s="1"/>
  <c r="T24" i="2"/>
  <c r="H47" i="2"/>
  <c r="D19" i="2"/>
  <c r="T17" i="2"/>
  <c r="R17" i="2" s="1"/>
  <c r="H19" i="2"/>
  <c r="L19" i="2" s="1"/>
  <c r="B17" i="2"/>
  <c r="B19" i="2" s="1"/>
  <c r="T15" i="2"/>
  <c r="P19" i="2"/>
  <c r="H458" i="1"/>
  <c r="L458" i="1" s="1"/>
  <c r="X455" i="1"/>
  <c r="R455" i="1"/>
  <c r="T454" i="1"/>
  <c r="R454" i="1" s="1"/>
  <c r="P456" i="1"/>
  <c r="T453" i="1"/>
  <c r="R453" i="1" s="1"/>
  <c r="T452" i="1"/>
  <c r="R452" i="1" s="1"/>
  <c r="T451" i="1"/>
  <c r="R451" i="1" s="1"/>
  <c r="T449" i="1"/>
  <c r="H446" i="1"/>
  <c r="H456" i="1" s="1"/>
  <c r="T445" i="1"/>
  <c r="R445" i="1" s="1"/>
  <c r="X444" i="1"/>
  <c r="R444" i="1"/>
  <c r="T443" i="1"/>
  <c r="R443" i="1" s="1"/>
  <c r="T442" i="1"/>
  <c r="R442" i="1" s="1"/>
  <c r="P446" i="1"/>
  <c r="H436" i="1"/>
  <c r="T430" i="1"/>
  <c r="T429" i="1"/>
  <c r="X429" i="1" s="1"/>
  <c r="T428" i="1"/>
  <c r="T427" i="1"/>
  <c r="T423" i="1"/>
  <c r="X422" i="1"/>
  <c r="T422" i="1"/>
  <c r="R422" i="1" s="1"/>
  <c r="T420" i="1"/>
  <c r="T418" i="1"/>
  <c r="X418" i="1" s="1"/>
  <c r="T417" i="1"/>
  <c r="T416" i="1"/>
  <c r="T415" i="1"/>
  <c r="X415" i="1" s="1"/>
  <c r="T410" i="1"/>
  <c r="X409" i="1"/>
  <c r="T409" i="1"/>
  <c r="R409" i="1" s="1"/>
  <c r="T408" i="1"/>
  <c r="X408" i="1" s="1"/>
  <c r="T407" i="1"/>
  <c r="T404" i="1"/>
  <c r="T402" i="1"/>
  <c r="R402" i="1" s="1"/>
  <c r="T400" i="1"/>
  <c r="X399" i="1"/>
  <c r="T399" i="1"/>
  <c r="R399" i="1" s="1"/>
  <c r="P435" i="1"/>
  <c r="N435" i="1" s="1"/>
  <c r="T397" i="1"/>
  <c r="P389" i="1"/>
  <c r="T387" i="1"/>
  <c r="P392" i="1"/>
  <c r="N392" i="1" s="1"/>
  <c r="T386" i="1"/>
  <c r="X386" i="1" s="1"/>
  <c r="T384" i="1"/>
  <c r="X384" i="1" s="1"/>
  <c r="T383" i="1"/>
  <c r="R380" i="1"/>
  <c r="H392" i="1"/>
  <c r="R379" i="1"/>
  <c r="H391" i="1"/>
  <c r="T377" i="1"/>
  <c r="H389" i="1"/>
  <c r="L389" i="1" s="1"/>
  <c r="T376" i="1"/>
  <c r="X376" i="1" s="1"/>
  <c r="T375" i="1"/>
  <c r="X374" i="1"/>
  <c r="T374" i="1"/>
  <c r="R374" i="1" s="1"/>
  <c r="X373" i="1"/>
  <c r="T373" i="1"/>
  <c r="R373" i="1" s="1"/>
  <c r="T370" i="1"/>
  <c r="T369" i="1"/>
  <c r="X369" i="1" s="1"/>
  <c r="H362" i="1"/>
  <c r="T356" i="1"/>
  <c r="T355" i="1"/>
  <c r="X355" i="1" s="1"/>
  <c r="T353" i="1"/>
  <c r="T349" i="1"/>
  <c r="T348" i="1"/>
  <c r="X348" i="1" s="1"/>
  <c r="T346" i="1"/>
  <c r="T344" i="1"/>
  <c r="R344" i="1" s="1"/>
  <c r="T342" i="1"/>
  <c r="V341" i="1"/>
  <c r="T341" i="1" s="1"/>
  <c r="T336" i="1"/>
  <c r="T335" i="1"/>
  <c r="X335" i="1" s="1"/>
  <c r="T334" i="1"/>
  <c r="X334" i="1" s="1"/>
  <c r="T333" i="1"/>
  <c r="T331" i="1"/>
  <c r="T328" i="1"/>
  <c r="X328" i="1" s="1"/>
  <c r="T326" i="1"/>
  <c r="X326" i="1" s="1"/>
  <c r="P362" i="1"/>
  <c r="N362" i="1" s="1"/>
  <c r="T325" i="1"/>
  <c r="X325" i="1" s="1"/>
  <c r="P361" i="1"/>
  <c r="N361" i="1" s="1"/>
  <c r="T323" i="1"/>
  <c r="P318" i="1"/>
  <c r="T311" i="1"/>
  <c r="T310" i="1"/>
  <c r="T309" i="1"/>
  <c r="T308" i="1"/>
  <c r="X308" i="1" s="1"/>
  <c r="P305" i="1"/>
  <c r="X303" i="1"/>
  <c r="T303" i="1"/>
  <c r="R303" i="1" s="1"/>
  <c r="T302" i="1"/>
  <c r="X302" i="1" s="1"/>
  <c r="T301" i="1"/>
  <c r="R301" i="1" s="1"/>
  <c r="T299" i="1"/>
  <c r="T298" i="1"/>
  <c r="T297" i="1"/>
  <c r="X297" i="1" s="1"/>
  <c r="T291" i="1"/>
  <c r="T290" i="1"/>
  <c r="X290" i="1" s="1"/>
  <c r="T289" i="1"/>
  <c r="T288" i="1"/>
  <c r="R286" i="1"/>
  <c r="T286" i="1"/>
  <c r="X286" i="1" s="1"/>
  <c r="T285" i="1"/>
  <c r="T284" i="1"/>
  <c r="X284" i="1" s="1"/>
  <c r="X283" i="1"/>
  <c r="T283" i="1"/>
  <c r="T280" i="1"/>
  <c r="X280" i="1" s="1"/>
  <c r="H317" i="1"/>
  <c r="T279" i="1"/>
  <c r="P316" i="1"/>
  <c r="H316" i="1"/>
  <c r="T276" i="1"/>
  <c r="X276" i="1" s="1"/>
  <c r="T275" i="1"/>
  <c r="P317" i="1"/>
  <c r="T274" i="1"/>
  <c r="X274" i="1" s="1"/>
  <c r="T273" i="1"/>
  <c r="X273" i="1" s="1"/>
  <c r="H268" i="1"/>
  <c r="L268" i="1" s="1"/>
  <c r="H266" i="1"/>
  <c r="L266" i="1" s="1"/>
  <c r="H263" i="1"/>
  <c r="L263" i="1" s="1"/>
  <c r="X261" i="1"/>
  <c r="R261" i="1"/>
  <c r="T259" i="1"/>
  <c r="R259" i="1" s="1"/>
  <c r="T256" i="1"/>
  <c r="T255" i="1"/>
  <c r="R255" i="1" s="1"/>
  <c r="T254" i="1"/>
  <c r="R254" i="1" s="1"/>
  <c r="T252" i="1"/>
  <c r="R252" i="1" s="1"/>
  <c r="T251" i="1"/>
  <c r="X251" i="1" s="1"/>
  <c r="T250" i="1"/>
  <c r="T249" i="1"/>
  <c r="X249" i="1" s="1"/>
  <c r="R245" i="1"/>
  <c r="P245" i="1"/>
  <c r="P244" i="1"/>
  <c r="R244" i="1"/>
  <c r="T241" i="1"/>
  <c r="X241" i="1" s="1"/>
  <c r="T239" i="1"/>
  <c r="T234" i="1"/>
  <c r="T233" i="1"/>
  <c r="X233" i="1" s="1"/>
  <c r="T232" i="1"/>
  <c r="R232" i="1" s="1"/>
  <c r="H226" i="1"/>
  <c r="L226" i="1" s="1"/>
  <c r="T222" i="1"/>
  <c r="T213" i="1"/>
  <c r="P210" i="1"/>
  <c r="T208" i="1"/>
  <c r="H210" i="1"/>
  <c r="H227" i="1"/>
  <c r="T205" i="1"/>
  <c r="H224" i="1"/>
  <c r="L224" i="1" s="1"/>
  <c r="T202" i="1"/>
  <c r="R193" i="1"/>
  <c r="T192" i="1"/>
  <c r="T191" i="1"/>
  <c r="T190" i="1"/>
  <c r="R190" i="1" s="1"/>
  <c r="T189" i="1"/>
  <c r="T188" i="1"/>
  <c r="R188" i="1" s="1"/>
  <c r="T187" i="1"/>
  <c r="T181" i="1"/>
  <c r="R181" i="1" s="1"/>
  <c r="T180" i="1"/>
  <c r="R180" i="1" s="1"/>
  <c r="P178" i="1"/>
  <c r="P184" i="1" s="1"/>
  <c r="R177" i="1"/>
  <c r="R176" i="1"/>
  <c r="H178" i="1"/>
  <c r="T178" i="1"/>
  <c r="V178" i="1" s="1"/>
  <c r="R175" i="1"/>
  <c r="R173" i="1"/>
  <c r="T172" i="1"/>
  <c r="R172" i="1" s="1"/>
  <c r="H184" i="1"/>
  <c r="H195" i="1" s="1"/>
  <c r="T171" i="1"/>
  <c r="H162" i="1"/>
  <c r="L162" i="1" s="1"/>
  <c r="T158" i="1"/>
  <c r="T157" i="1"/>
  <c r="R157" i="1" s="1"/>
  <c r="T156" i="1"/>
  <c r="X156" i="1" s="1"/>
  <c r="T155" i="1"/>
  <c r="H152" i="1"/>
  <c r="T151" i="1"/>
  <c r="T150" i="1"/>
  <c r="T149" i="1"/>
  <c r="R149" i="1" s="1"/>
  <c r="T148" i="1"/>
  <c r="T146" i="1"/>
  <c r="R146" i="1" s="1"/>
  <c r="T144" i="1"/>
  <c r="P152" i="1"/>
  <c r="T143" i="1"/>
  <c r="R143" i="1" s="1"/>
  <c r="H137" i="1"/>
  <c r="T136" i="1"/>
  <c r="R136" i="1" s="1"/>
  <c r="P137" i="1"/>
  <c r="H132" i="1"/>
  <c r="T131" i="1"/>
  <c r="R131" i="1" s="1"/>
  <c r="P132" i="1"/>
  <c r="T130" i="1"/>
  <c r="R130" i="1" s="1"/>
  <c r="P127" i="1"/>
  <c r="T121" i="1"/>
  <c r="R121" i="1" s="1"/>
  <c r="T120" i="1"/>
  <c r="R120" i="1" s="1"/>
  <c r="P122" i="1"/>
  <c r="H122" i="1"/>
  <c r="H164" i="1"/>
  <c r="L164" i="1" s="1"/>
  <c r="T115" i="1"/>
  <c r="X115" i="1" s="1"/>
  <c r="T113" i="1"/>
  <c r="T112" i="1"/>
  <c r="T111" i="1"/>
  <c r="T110" i="1"/>
  <c r="R110" i="1" s="1"/>
  <c r="P104" i="1"/>
  <c r="T98" i="1"/>
  <c r="T97" i="1"/>
  <c r="T96" i="1"/>
  <c r="T95" i="1"/>
  <c r="T91" i="1"/>
  <c r="T90" i="1"/>
  <c r="R90" i="1" s="1"/>
  <c r="T89" i="1"/>
  <c r="T88" i="1"/>
  <c r="X88" i="1" s="1"/>
  <c r="T86" i="1"/>
  <c r="T85" i="1"/>
  <c r="T84" i="1"/>
  <c r="T83" i="1"/>
  <c r="X83" i="1" s="1"/>
  <c r="P92" i="1"/>
  <c r="H92" i="1"/>
  <c r="T78" i="1"/>
  <c r="R78" i="1" s="1"/>
  <c r="T77" i="1"/>
  <c r="T76" i="1"/>
  <c r="X76" i="1" s="1"/>
  <c r="T75" i="1"/>
  <c r="T73" i="1"/>
  <c r="H105" i="1"/>
  <c r="H104" i="1"/>
  <c r="T71" i="1"/>
  <c r="R71" i="1" s="1"/>
  <c r="H103" i="1"/>
  <c r="L103" i="1" s="1"/>
  <c r="T70" i="1"/>
  <c r="H102" i="1"/>
  <c r="L102" i="1" s="1"/>
  <c r="T68" i="1"/>
  <c r="R68" i="1" s="1"/>
  <c r="P105" i="1"/>
  <c r="T67" i="1"/>
  <c r="T66" i="1"/>
  <c r="X66" i="1" s="1"/>
  <c r="P79" i="1"/>
  <c r="P102" i="1"/>
  <c r="T65" i="1"/>
  <c r="J465" i="1"/>
  <c r="J463" i="1"/>
  <c r="T52" i="1"/>
  <c r="T51" i="1"/>
  <c r="R51" i="1" s="1"/>
  <c r="T50" i="1"/>
  <c r="T49" i="1"/>
  <c r="R49" i="1" s="1"/>
  <c r="T45" i="1"/>
  <c r="R45" i="1" s="1"/>
  <c r="T44" i="1"/>
  <c r="T43" i="1"/>
  <c r="T42" i="1"/>
  <c r="R42" i="1" s="1"/>
  <c r="T40" i="1"/>
  <c r="T39" i="1"/>
  <c r="R39" i="1" s="1"/>
  <c r="H46" i="1"/>
  <c r="P46" i="1"/>
  <c r="T37" i="1"/>
  <c r="T32" i="1"/>
  <c r="T31" i="1"/>
  <c r="X30" i="1"/>
  <c r="T30" i="1"/>
  <c r="R30" i="1" s="1"/>
  <c r="T29" i="1"/>
  <c r="T27" i="1"/>
  <c r="R27" i="1" s="1"/>
  <c r="H59" i="1"/>
  <c r="P58" i="1"/>
  <c r="H58" i="1"/>
  <c r="H57" i="1"/>
  <c r="H56" i="1"/>
  <c r="L56" i="1" s="1"/>
  <c r="T22" i="1"/>
  <c r="P59" i="1"/>
  <c r="T21" i="1"/>
  <c r="T20" i="1"/>
  <c r="X20" i="1" s="1"/>
  <c r="P57" i="1"/>
  <c r="B20" i="1"/>
  <c r="T19" i="1"/>
  <c r="P33" i="1"/>
  <c r="X27" i="2" l="1"/>
  <c r="P57" i="2"/>
  <c r="R290" i="1"/>
  <c r="X146" i="1"/>
  <c r="R276" i="1"/>
  <c r="X178" i="1"/>
  <c r="R122" i="1"/>
  <c r="R274" i="1"/>
  <c r="X344" i="1"/>
  <c r="R308" i="1"/>
  <c r="X180" i="1"/>
  <c r="R251" i="1"/>
  <c r="X301" i="1"/>
  <c r="P458" i="1"/>
  <c r="N458" i="1" s="1"/>
  <c r="R386" i="1"/>
  <c r="R446" i="1"/>
  <c r="X51" i="1"/>
  <c r="X149" i="1"/>
  <c r="X157" i="1"/>
  <c r="X190" i="1"/>
  <c r="X255" i="1"/>
  <c r="X402" i="1"/>
  <c r="R325" i="1"/>
  <c r="T446" i="1"/>
  <c r="R335" i="1"/>
  <c r="R348" i="1"/>
  <c r="R369" i="1"/>
  <c r="T195" i="1"/>
  <c r="V195" i="1" s="1"/>
  <c r="X252" i="1"/>
  <c r="R284" i="1"/>
  <c r="R326" i="1"/>
  <c r="P54" i="1"/>
  <c r="X71" i="1"/>
  <c r="R178" i="1"/>
  <c r="X187" i="1"/>
  <c r="H197" i="1"/>
  <c r="L197" i="1" s="1"/>
  <c r="R408" i="1"/>
  <c r="X42" i="1"/>
  <c r="R156" i="1"/>
  <c r="R249" i="1"/>
  <c r="R280" i="1"/>
  <c r="R355" i="1"/>
  <c r="R418" i="1"/>
  <c r="X32" i="2"/>
  <c r="R32" i="2"/>
  <c r="R39" i="2"/>
  <c r="X39" i="2"/>
  <c r="X42" i="2"/>
  <c r="R42" i="2"/>
  <c r="X55" i="2"/>
  <c r="V55" i="2"/>
  <c r="Z55" i="2" s="1"/>
  <c r="V106" i="2"/>
  <c r="Z106" i="2" s="1"/>
  <c r="X106" i="2"/>
  <c r="X35" i="2"/>
  <c r="R35" i="2"/>
  <c r="R40" i="2"/>
  <c r="X40" i="2"/>
  <c r="R81" i="2"/>
  <c r="X81" i="2"/>
  <c r="R26" i="2"/>
  <c r="X26" i="2"/>
  <c r="X79" i="2"/>
  <c r="R79" i="2"/>
  <c r="H57" i="2"/>
  <c r="L57" i="2" s="1"/>
  <c r="L47" i="2"/>
  <c r="R84" i="2"/>
  <c r="X84" i="2"/>
  <c r="N19" i="2"/>
  <c r="T47" i="2"/>
  <c r="X24" i="2"/>
  <c r="R24" i="2"/>
  <c r="X41" i="2"/>
  <c r="R41" i="2"/>
  <c r="X94" i="2"/>
  <c r="R94" i="2"/>
  <c r="T101" i="2"/>
  <c r="R98" i="2"/>
  <c r="X98" i="2"/>
  <c r="X28" i="2"/>
  <c r="R28" i="2"/>
  <c r="R15" i="2"/>
  <c r="R19" i="2" s="1"/>
  <c r="T19" i="2"/>
  <c r="X15" i="2"/>
  <c r="X96" i="2"/>
  <c r="R96" i="2"/>
  <c r="X77" i="2"/>
  <c r="R77" i="2"/>
  <c r="X74" i="2"/>
  <c r="T90" i="2"/>
  <c r="R74" i="2"/>
  <c r="X29" i="2"/>
  <c r="R29" i="2"/>
  <c r="X75" i="2"/>
  <c r="R75" i="2"/>
  <c r="R99" i="2"/>
  <c r="X99" i="2"/>
  <c r="J110" i="2"/>
  <c r="R33" i="2"/>
  <c r="R44" i="2"/>
  <c r="N47" i="2"/>
  <c r="R51" i="2"/>
  <c r="R78" i="2"/>
  <c r="L90" i="2"/>
  <c r="R95" i="2"/>
  <c r="X17" i="2"/>
  <c r="R50" i="2"/>
  <c r="X51" i="2"/>
  <c r="X25" i="2"/>
  <c r="X80" i="2"/>
  <c r="X83" i="2"/>
  <c r="R87" i="2"/>
  <c r="X97" i="2"/>
  <c r="B24" i="2"/>
  <c r="L101" i="2"/>
  <c r="X38" i="2"/>
  <c r="X73" i="1"/>
  <c r="R73" i="1"/>
  <c r="X77" i="1"/>
  <c r="R77" i="1"/>
  <c r="X96" i="1"/>
  <c r="R96" i="1"/>
  <c r="X21" i="1"/>
  <c r="R21" i="1"/>
  <c r="R50" i="1"/>
  <c r="X50" i="1"/>
  <c r="P100" i="1"/>
  <c r="X75" i="1"/>
  <c r="R75" i="1"/>
  <c r="T92" i="1"/>
  <c r="X85" i="1"/>
  <c r="R85" i="1"/>
  <c r="X89" i="1"/>
  <c r="R89" i="1"/>
  <c r="X97" i="1"/>
  <c r="R97" i="1"/>
  <c r="X67" i="1"/>
  <c r="R67" i="1"/>
  <c r="X52" i="1"/>
  <c r="R52" i="1"/>
  <c r="P164" i="1"/>
  <c r="N164" i="1" s="1"/>
  <c r="X31" i="1"/>
  <c r="R31" i="1"/>
  <c r="X86" i="1"/>
  <c r="R86" i="1"/>
  <c r="R91" i="1"/>
  <c r="X91" i="1"/>
  <c r="N59" i="1"/>
  <c r="X95" i="1"/>
  <c r="R95" i="1"/>
  <c r="R112" i="1"/>
  <c r="X112" i="1"/>
  <c r="R19" i="1"/>
  <c r="X19" i="1"/>
  <c r="X37" i="1"/>
  <c r="T46" i="1"/>
  <c r="R37" i="1"/>
  <c r="X43" i="1"/>
  <c r="R43" i="1"/>
  <c r="N58" i="1"/>
  <c r="R29" i="1"/>
  <c r="X29" i="1"/>
  <c r="R40" i="1"/>
  <c r="X40" i="1"/>
  <c r="X84" i="1"/>
  <c r="R84" i="1"/>
  <c r="R98" i="1"/>
  <c r="X98" i="1"/>
  <c r="N102" i="1"/>
  <c r="P139" i="1"/>
  <c r="P160" i="1" s="1"/>
  <c r="T57" i="1"/>
  <c r="X22" i="1"/>
  <c r="T59" i="1"/>
  <c r="R22" i="1"/>
  <c r="X32" i="1"/>
  <c r="R32" i="1"/>
  <c r="X44" i="1"/>
  <c r="R44" i="1"/>
  <c r="X65" i="1"/>
  <c r="T102" i="1"/>
  <c r="R65" i="1"/>
  <c r="R70" i="1"/>
  <c r="X70" i="1"/>
  <c r="P56" i="1"/>
  <c r="T105" i="1"/>
  <c r="X111" i="1"/>
  <c r="R113" i="1"/>
  <c r="P162" i="1"/>
  <c r="N162" i="1" s="1"/>
  <c r="R353" i="1"/>
  <c r="X353" i="1"/>
  <c r="L391" i="1"/>
  <c r="B21" i="1"/>
  <c r="T26" i="1"/>
  <c r="T58" i="1" s="1"/>
  <c r="T38" i="1"/>
  <c r="L57" i="1"/>
  <c r="R66" i="1"/>
  <c r="R76" i="1"/>
  <c r="R88" i="1"/>
  <c r="P103" i="1"/>
  <c r="N103" i="1" s="1"/>
  <c r="P165" i="1"/>
  <c r="N165" i="1" s="1"/>
  <c r="T117" i="1"/>
  <c r="T126" i="1"/>
  <c r="R126" i="1" s="1"/>
  <c r="X150" i="1"/>
  <c r="R150" i="1"/>
  <c r="R158" i="1"/>
  <c r="X158" i="1"/>
  <c r="H215" i="1"/>
  <c r="T238" i="1"/>
  <c r="T265" i="1" s="1"/>
  <c r="H265" i="1"/>
  <c r="L265" i="1" s="1"/>
  <c r="X299" i="1"/>
  <c r="R299" i="1"/>
  <c r="H361" i="1"/>
  <c r="L361" i="1" s="1"/>
  <c r="T329" i="1"/>
  <c r="X27" i="1"/>
  <c r="X49" i="1"/>
  <c r="N57" i="1"/>
  <c r="X78" i="1"/>
  <c r="X90" i="1"/>
  <c r="T24" i="1"/>
  <c r="T56" i="1" s="1"/>
  <c r="J464" i="1"/>
  <c r="X113" i="1"/>
  <c r="H165" i="1"/>
  <c r="T118" i="1"/>
  <c r="R132" i="1"/>
  <c r="R192" i="1"/>
  <c r="L227" i="1"/>
  <c r="H33" i="1"/>
  <c r="H54" i="1" s="1"/>
  <c r="L54" i="1" s="1"/>
  <c r="T25" i="1"/>
  <c r="X39" i="1"/>
  <c r="X68" i="1"/>
  <c r="T103" i="1"/>
  <c r="T116" i="1"/>
  <c r="H163" i="1"/>
  <c r="L163" i="1" s="1"/>
  <c r="R291" i="1"/>
  <c r="X291" i="1"/>
  <c r="L58" i="1"/>
  <c r="H79" i="1"/>
  <c r="H100" i="1" s="1"/>
  <c r="L100" i="1" s="1"/>
  <c r="X110" i="1"/>
  <c r="T132" i="1"/>
  <c r="X155" i="1"/>
  <c r="R155" i="1"/>
  <c r="X202" i="1"/>
  <c r="R202" i="1"/>
  <c r="R213" i="1"/>
  <c r="X279" i="1"/>
  <c r="R279" i="1"/>
  <c r="X289" i="1"/>
  <c r="R289" i="1"/>
  <c r="R309" i="1"/>
  <c r="X309" i="1"/>
  <c r="N316" i="1"/>
  <c r="L316" i="1"/>
  <c r="X341" i="1"/>
  <c r="R341" i="1"/>
  <c r="R400" i="1"/>
  <c r="X400" i="1"/>
  <c r="T122" i="1"/>
  <c r="R148" i="1"/>
  <c r="X148" i="1"/>
  <c r="H318" i="1"/>
  <c r="L318" i="1" s="1"/>
  <c r="T281" i="1"/>
  <c r="R20" i="1"/>
  <c r="J462" i="1"/>
  <c r="T72" i="1"/>
  <c r="T79" i="1" s="1"/>
  <c r="R83" i="1"/>
  <c r="R115" i="1"/>
  <c r="H127" i="1"/>
  <c r="T125" i="1"/>
  <c r="T135" i="1"/>
  <c r="X144" i="1"/>
  <c r="R144" i="1"/>
  <c r="X151" i="1"/>
  <c r="R151" i="1"/>
  <c r="X191" i="1"/>
  <c r="R191" i="1"/>
  <c r="R342" i="1"/>
  <c r="X342" i="1"/>
  <c r="R376" i="1"/>
  <c r="L104" i="1"/>
  <c r="P163" i="1"/>
  <c r="N163" i="1" s="1"/>
  <c r="L165" i="1"/>
  <c r="R189" i="1"/>
  <c r="X189" i="1"/>
  <c r="T219" i="1"/>
  <c r="H220" i="1"/>
  <c r="X239" i="1"/>
  <c r="R239" i="1"/>
  <c r="P246" i="1"/>
  <c r="R246" i="1" s="1"/>
  <c r="P315" i="1"/>
  <c r="P292" i="1"/>
  <c r="P313" i="1" s="1"/>
  <c r="N313" i="1" s="1"/>
  <c r="R370" i="1"/>
  <c r="X370" i="1"/>
  <c r="R383" i="1"/>
  <c r="X383" i="1"/>
  <c r="R410" i="1"/>
  <c r="X410" i="1"/>
  <c r="L59" i="1"/>
  <c r="N104" i="1"/>
  <c r="R111" i="1"/>
  <c r="X143" i="1"/>
  <c r="T145" i="1"/>
  <c r="T184" i="1"/>
  <c r="X171" i="1"/>
  <c r="R171" i="1"/>
  <c r="P195" i="1"/>
  <c r="P197" i="1" s="1"/>
  <c r="T266" i="1"/>
  <c r="H315" i="1"/>
  <c r="L315" i="1" s="1"/>
  <c r="H292" i="1"/>
  <c r="H313" i="1" s="1"/>
  <c r="L313" i="1" s="1"/>
  <c r="T278" i="1"/>
  <c r="R288" i="1"/>
  <c r="X288" i="1"/>
  <c r="N318" i="1"/>
  <c r="T392" i="1"/>
  <c r="X397" i="1"/>
  <c r="R397" i="1"/>
  <c r="T434" i="1"/>
  <c r="H139" i="1"/>
  <c r="H160" i="1" s="1"/>
  <c r="L160" i="1" s="1"/>
  <c r="T209" i="1"/>
  <c r="R209" i="1" s="1"/>
  <c r="P215" i="1"/>
  <c r="P227" i="1" s="1"/>
  <c r="P226" i="1"/>
  <c r="X254" i="1"/>
  <c r="T257" i="1"/>
  <c r="R297" i="1"/>
  <c r="N317" i="1"/>
  <c r="L317" i="1"/>
  <c r="R334" i="1"/>
  <c r="R336" i="1"/>
  <c r="X336" i="1"/>
  <c r="T360" i="1"/>
  <c r="H363" i="1"/>
  <c r="L363" i="1" s="1"/>
  <c r="X380" i="1"/>
  <c r="T391" i="1"/>
  <c r="R416" i="1"/>
  <c r="X416" i="1"/>
  <c r="X430" i="1"/>
  <c r="R430" i="1"/>
  <c r="R205" i="1"/>
  <c r="R234" i="1"/>
  <c r="X234" i="1"/>
  <c r="R241" i="1"/>
  <c r="P247" i="1"/>
  <c r="R247" i="1" s="1"/>
  <c r="T316" i="1"/>
  <c r="X275" i="1"/>
  <c r="R275" i="1"/>
  <c r="X285" i="1"/>
  <c r="R285" i="1"/>
  <c r="T296" i="1"/>
  <c r="R311" i="1"/>
  <c r="X311" i="1"/>
  <c r="T317" i="1"/>
  <c r="T363" i="1"/>
  <c r="L105" i="1"/>
  <c r="T214" i="1"/>
  <c r="R214" i="1" s="1"/>
  <c r="T218" i="1"/>
  <c r="P266" i="1"/>
  <c r="N266" i="1" s="1"/>
  <c r="P337" i="1"/>
  <c r="P360" i="1"/>
  <c r="N360" i="1" s="1"/>
  <c r="T330" i="1"/>
  <c r="R349" i="1"/>
  <c r="X349" i="1"/>
  <c r="X356" i="1"/>
  <c r="R356" i="1"/>
  <c r="R391" i="1"/>
  <c r="X407" i="1"/>
  <c r="R407" i="1"/>
  <c r="N105" i="1"/>
  <c r="R187" i="1"/>
  <c r="T203" i="1"/>
  <c r="X205" i="1"/>
  <c r="R208" i="1"/>
  <c r="R233" i="1"/>
  <c r="H267" i="1"/>
  <c r="L267" i="1" s="1"/>
  <c r="T240" i="1"/>
  <c r="T267" i="1" s="1"/>
  <c r="X250" i="1"/>
  <c r="R250" i="1"/>
  <c r="R302" i="1"/>
  <c r="X333" i="1"/>
  <c r="R333" i="1"/>
  <c r="X404" i="1"/>
  <c r="R404" i="1"/>
  <c r="X232" i="1"/>
  <c r="T235" i="1"/>
  <c r="R256" i="1"/>
  <c r="X256" i="1"/>
  <c r="T304" i="1"/>
  <c r="R310" i="1"/>
  <c r="X310" i="1"/>
  <c r="R328" i="1"/>
  <c r="T343" i="1"/>
  <c r="X377" i="1"/>
  <c r="R377" i="1"/>
  <c r="T405" i="1"/>
  <c r="T437" i="1" s="1"/>
  <c r="H437" i="1"/>
  <c r="L437" i="1" s="1"/>
  <c r="X420" i="1"/>
  <c r="R420" i="1"/>
  <c r="N226" i="1"/>
  <c r="P265" i="1"/>
  <c r="N265" i="1" s="1"/>
  <c r="T260" i="1"/>
  <c r="R273" i="1"/>
  <c r="R283" i="1"/>
  <c r="X298" i="1"/>
  <c r="R298" i="1"/>
  <c r="X331" i="1"/>
  <c r="R331" i="1"/>
  <c r="X375" i="1"/>
  <c r="R375" i="1"/>
  <c r="R427" i="1"/>
  <c r="X427" i="1"/>
  <c r="X446" i="1"/>
  <c r="V446" i="1"/>
  <c r="T206" i="1"/>
  <c r="H305" i="1"/>
  <c r="P363" i="1"/>
  <c r="L392" i="1"/>
  <c r="P437" i="1"/>
  <c r="T403" i="1"/>
  <c r="H435" i="1"/>
  <c r="L435" i="1" s="1"/>
  <c r="T421" i="1"/>
  <c r="T424" i="1" s="1"/>
  <c r="X428" i="1"/>
  <c r="R428" i="1"/>
  <c r="L436" i="1"/>
  <c r="X323" i="1"/>
  <c r="R323" i="1"/>
  <c r="X346" i="1"/>
  <c r="R346" i="1"/>
  <c r="P391" i="1"/>
  <c r="N391" i="1" s="1"/>
  <c r="X379" i="1"/>
  <c r="X387" i="1"/>
  <c r="R387" i="1"/>
  <c r="P434" i="1"/>
  <c r="N434" i="1" s="1"/>
  <c r="P411" i="1"/>
  <c r="P436" i="1"/>
  <c r="N436" i="1" s="1"/>
  <c r="J460" i="1"/>
  <c r="H424" i="1"/>
  <c r="H350" i="1"/>
  <c r="L362" i="1"/>
  <c r="T389" i="1"/>
  <c r="N389" i="1"/>
  <c r="T436" i="1"/>
  <c r="H411" i="1"/>
  <c r="H432" i="1" s="1"/>
  <c r="L432" i="1" s="1"/>
  <c r="P424" i="1"/>
  <c r="X417" i="1"/>
  <c r="R417" i="1"/>
  <c r="R423" i="1"/>
  <c r="X423" i="1"/>
  <c r="R429" i="1"/>
  <c r="R449" i="1"/>
  <c r="R456" i="1" s="1"/>
  <c r="T456" i="1"/>
  <c r="T324" i="1"/>
  <c r="H337" i="1"/>
  <c r="H358" i="1" s="1"/>
  <c r="L358" i="1" s="1"/>
  <c r="P350" i="1"/>
  <c r="T347" i="1"/>
  <c r="T354" i="1"/>
  <c r="T398" i="1"/>
  <c r="R415" i="1"/>
  <c r="H360" i="1"/>
  <c r="L360" i="1" s="1"/>
  <c r="H434" i="1"/>
  <c r="L434" i="1" s="1"/>
  <c r="R384" i="1"/>
  <c r="P110" i="2" l="1"/>
  <c r="N57" i="2"/>
  <c r="N110" i="2" s="1"/>
  <c r="R47" i="2"/>
  <c r="R90" i="2"/>
  <c r="R458" i="1"/>
  <c r="R184" i="1"/>
  <c r="R363" i="1"/>
  <c r="P358" i="1"/>
  <c r="N358" i="1" s="1"/>
  <c r="P224" i="1"/>
  <c r="R162" i="1"/>
  <c r="R210" i="1"/>
  <c r="R316" i="1"/>
  <c r="T315" i="1"/>
  <c r="X315" i="1" s="1"/>
  <c r="T33" i="1"/>
  <c r="R389" i="1"/>
  <c r="R436" i="1"/>
  <c r="T362" i="1"/>
  <c r="R105" i="1"/>
  <c r="T292" i="1"/>
  <c r="X292" i="1" s="1"/>
  <c r="P268" i="1"/>
  <c r="N268" i="1" s="1"/>
  <c r="T164" i="1"/>
  <c r="X164" i="1" s="1"/>
  <c r="P432" i="1"/>
  <c r="N432" i="1" s="1"/>
  <c r="P263" i="1"/>
  <c r="N263" i="1" s="1"/>
  <c r="T318" i="1"/>
  <c r="X318" i="1" s="1"/>
  <c r="R55" i="2"/>
  <c r="T57" i="2"/>
  <c r="X47" i="2"/>
  <c r="V47" i="2"/>
  <c r="Z47" i="2" s="1"/>
  <c r="X90" i="2"/>
  <c r="V90" i="2"/>
  <c r="Z90" i="2" s="1"/>
  <c r="V101" i="2"/>
  <c r="Z101" i="2" s="1"/>
  <c r="X101" i="2"/>
  <c r="B25" i="2"/>
  <c r="R101" i="2"/>
  <c r="X19" i="2"/>
  <c r="V19" i="2"/>
  <c r="Z19" i="2" s="1"/>
  <c r="N197" i="1"/>
  <c r="V362" i="1"/>
  <c r="Z362" i="1" s="1"/>
  <c r="X362" i="1"/>
  <c r="N227" i="1"/>
  <c r="N463" i="1" s="1"/>
  <c r="P463" i="1"/>
  <c r="V318" i="1"/>
  <c r="Z318" i="1" s="1"/>
  <c r="X145" i="1"/>
  <c r="R145" i="1"/>
  <c r="R152" i="1" s="1"/>
  <c r="T100" i="1"/>
  <c r="V79" i="1"/>
  <c r="X79" i="1"/>
  <c r="T54" i="1"/>
  <c r="X33" i="1"/>
  <c r="V33" i="1"/>
  <c r="T152" i="1"/>
  <c r="X219" i="1"/>
  <c r="R219" i="1"/>
  <c r="X103" i="1"/>
  <c r="V103" i="1"/>
  <c r="Z103" i="1" s="1"/>
  <c r="X57" i="1"/>
  <c r="V57" i="1"/>
  <c r="Z57" i="1" s="1"/>
  <c r="X421" i="1"/>
  <c r="R421" i="1"/>
  <c r="N363" i="1"/>
  <c r="T268" i="1"/>
  <c r="R235" i="1"/>
  <c r="X235" i="1"/>
  <c r="R195" i="1"/>
  <c r="R197" i="1" s="1"/>
  <c r="X434" i="1"/>
  <c r="V434" i="1"/>
  <c r="Z434" i="1" s="1"/>
  <c r="V266" i="1"/>
  <c r="Z266" i="1" s="1"/>
  <c r="X266" i="1"/>
  <c r="R92" i="1"/>
  <c r="X118" i="1"/>
  <c r="R118" i="1"/>
  <c r="T215" i="1"/>
  <c r="X238" i="1"/>
  <c r="R238" i="1"/>
  <c r="R265" i="1" s="1"/>
  <c r="X195" i="1"/>
  <c r="P462" i="1"/>
  <c r="N56" i="1"/>
  <c r="N160" i="1"/>
  <c r="V315" i="1"/>
  <c r="Z315" i="1" s="1"/>
  <c r="X343" i="1"/>
  <c r="R343" i="1"/>
  <c r="X203" i="1"/>
  <c r="R203" i="1"/>
  <c r="R296" i="1"/>
  <c r="X296" i="1"/>
  <c r="T305" i="1"/>
  <c r="T313" i="1" s="1"/>
  <c r="X354" i="1"/>
  <c r="R354" i="1"/>
  <c r="X347" i="1"/>
  <c r="R347" i="1"/>
  <c r="X260" i="1"/>
  <c r="R260" i="1"/>
  <c r="X240" i="1"/>
  <c r="R240" i="1"/>
  <c r="R267" i="1" s="1"/>
  <c r="V363" i="1"/>
  <c r="Z363" i="1" s="1"/>
  <c r="X363" i="1"/>
  <c r="R434" i="1"/>
  <c r="N315" i="1"/>
  <c r="N100" i="1"/>
  <c r="R125" i="1"/>
  <c r="R127" i="1" s="1"/>
  <c r="T127" i="1"/>
  <c r="T139" i="1" s="1"/>
  <c r="V122" i="1"/>
  <c r="X122" i="1"/>
  <c r="R215" i="1"/>
  <c r="P267" i="1"/>
  <c r="X267" i="1" s="1"/>
  <c r="X398" i="1"/>
  <c r="R398" i="1"/>
  <c r="T435" i="1"/>
  <c r="T137" i="1"/>
  <c r="T165" i="1" s="1"/>
  <c r="T465" i="1" s="1"/>
  <c r="R135" i="1"/>
  <c r="R137" i="1" s="1"/>
  <c r="R165" i="1" s="1"/>
  <c r="V105" i="1"/>
  <c r="Z105" i="1" s="1"/>
  <c r="X105" i="1"/>
  <c r="X56" i="1"/>
  <c r="V56" i="1"/>
  <c r="Z56" i="1" s="1"/>
  <c r="R360" i="1"/>
  <c r="R403" i="1"/>
  <c r="X403" i="1"/>
  <c r="X405" i="1"/>
  <c r="R405" i="1"/>
  <c r="R437" i="1" s="1"/>
  <c r="V265" i="1"/>
  <c r="Z265" i="1" s="1"/>
  <c r="X265" i="1"/>
  <c r="R317" i="1"/>
  <c r="R278" i="1"/>
  <c r="X278" i="1"/>
  <c r="X72" i="1"/>
  <c r="R72" i="1"/>
  <c r="R104" i="1" s="1"/>
  <c r="T210" i="1"/>
  <c r="T162" i="1"/>
  <c r="R38" i="1"/>
  <c r="R46" i="1" s="1"/>
  <c r="X38" i="1"/>
  <c r="T104" i="1"/>
  <c r="X360" i="1"/>
  <c r="V360" i="1"/>
  <c r="Z360" i="1" s="1"/>
  <c r="N437" i="1"/>
  <c r="T411" i="1"/>
  <c r="R281" i="1"/>
  <c r="X281" i="1"/>
  <c r="T350" i="1"/>
  <c r="R329" i="1"/>
  <c r="X329" i="1"/>
  <c r="R79" i="1"/>
  <c r="R100" i="1" s="1"/>
  <c r="R102" i="1"/>
  <c r="V46" i="1"/>
  <c r="X46" i="1"/>
  <c r="V92" i="1"/>
  <c r="X92" i="1"/>
  <c r="X58" i="1"/>
  <c r="V58" i="1"/>
  <c r="Z58" i="1" s="1"/>
  <c r="X456" i="1"/>
  <c r="V456" i="1"/>
  <c r="T458" i="1"/>
  <c r="R257" i="1"/>
  <c r="X257" i="1"/>
  <c r="V436" i="1"/>
  <c r="Z436" i="1" s="1"/>
  <c r="X436" i="1"/>
  <c r="R304" i="1"/>
  <c r="X304" i="1"/>
  <c r="R266" i="1"/>
  <c r="X391" i="1"/>
  <c r="V391" i="1"/>
  <c r="Z391" i="1" s="1"/>
  <c r="R424" i="1"/>
  <c r="X324" i="1"/>
  <c r="T361" i="1"/>
  <c r="R324" i="1"/>
  <c r="T337" i="1"/>
  <c r="X206" i="1"/>
  <c r="R206" i="1"/>
  <c r="X317" i="1"/>
  <c r="V317" i="1"/>
  <c r="Z317" i="1" s="1"/>
  <c r="X316" i="1"/>
  <c r="V316" i="1"/>
  <c r="Z316" i="1" s="1"/>
  <c r="V267" i="1"/>
  <c r="Z267" i="1" s="1"/>
  <c r="N224" i="1"/>
  <c r="X392" i="1"/>
  <c r="V392" i="1"/>
  <c r="Z392" i="1" s="1"/>
  <c r="R392" i="1"/>
  <c r="X24" i="1"/>
  <c r="R24" i="1"/>
  <c r="X117" i="1"/>
  <c r="R117" i="1"/>
  <c r="R164" i="1" s="1"/>
  <c r="R26" i="1"/>
  <c r="R58" i="1" s="1"/>
  <c r="X26" i="1"/>
  <c r="X102" i="1"/>
  <c r="V102" i="1"/>
  <c r="Z102" i="1" s="1"/>
  <c r="R59" i="1"/>
  <c r="X424" i="1"/>
  <c r="V424" i="1"/>
  <c r="X389" i="1"/>
  <c r="V389" i="1"/>
  <c r="Z389" i="1" s="1"/>
  <c r="T263" i="1"/>
  <c r="R330" i="1"/>
  <c r="X330" i="1"/>
  <c r="R218" i="1"/>
  <c r="X218" i="1"/>
  <c r="T197" i="1"/>
  <c r="X184" i="1"/>
  <c r="V184" i="1"/>
  <c r="V437" i="1"/>
  <c r="Z437" i="1" s="1"/>
  <c r="X437" i="1"/>
  <c r="X132" i="1"/>
  <c r="V132" i="1"/>
  <c r="X116" i="1"/>
  <c r="R116" i="1"/>
  <c r="R163" i="1" s="1"/>
  <c r="X25" i="1"/>
  <c r="R25" i="1"/>
  <c r="R103" i="1"/>
  <c r="B22" i="1"/>
  <c r="B24" i="1" s="1"/>
  <c r="X59" i="1"/>
  <c r="V59" i="1"/>
  <c r="Z59" i="1" s="1"/>
  <c r="R57" i="2" l="1"/>
  <c r="R57" i="1"/>
  <c r="P465" i="1"/>
  <c r="R226" i="1"/>
  <c r="N460" i="1"/>
  <c r="T224" i="1"/>
  <c r="R362" i="1"/>
  <c r="V164" i="1"/>
  <c r="Z164" i="1" s="1"/>
  <c r="R224" i="1"/>
  <c r="N465" i="1"/>
  <c r="R33" i="1"/>
  <c r="R54" i="1" s="1"/>
  <c r="R263" i="1"/>
  <c r="R318" i="1"/>
  <c r="R292" i="1"/>
  <c r="V292" i="1"/>
  <c r="R350" i="1"/>
  <c r="R139" i="1"/>
  <c r="R160" i="1" s="1"/>
  <c r="P460" i="1"/>
  <c r="R110" i="2"/>
  <c r="V57" i="2"/>
  <c r="Z57" i="2" s="1"/>
  <c r="X57" i="2"/>
  <c r="T110" i="2"/>
  <c r="B26" i="2"/>
  <c r="X139" i="1"/>
  <c r="V139" i="1"/>
  <c r="T160" i="1"/>
  <c r="R435" i="1"/>
  <c r="V305" i="1"/>
  <c r="X305" i="1"/>
  <c r="V263" i="1"/>
  <c r="Z263" i="1" s="1"/>
  <c r="X263" i="1"/>
  <c r="R315" i="1"/>
  <c r="T358" i="1"/>
  <c r="X337" i="1"/>
  <c r="V337" i="1"/>
  <c r="X210" i="1"/>
  <c r="V210" i="1"/>
  <c r="T226" i="1"/>
  <c r="X137" i="1"/>
  <c r="V137" i="1"/>
  <c r="R305" i="1"/>
  <c r="X100" i="1"/>
  <c r="V100" i="1"/>
  <c r="Z100" i="1" s="1"/>
  <c r="V104" i="1"/>
  <c r="Z104" i="1" s="1"/>
  <c r="X104" i="1"/>
  <c r="X165" i="1"/>
  <c r="V165" i="1"/>
  <c r="Z165" i="1" s="1"/>
  <c r="X197" i="1"/>
  <c r="V197" i="1"/>
  <c r="Z197" i="1" s="1"/>
  <c r="R361" i="1"/>
  <c r="R227" i="1"/>
  <c r="X152" i="1"/>
  <c r="V152" i="1"/>
  <c r="X435" i="1"/>
  <c r="V435" i="1"/>
  <c r="Z435" i="1" s="1"/>
  <c r="N267" i="1"/>
  <c r="N464" i="1" s="1"/>
  <c r="X127" i="1"/>
  <c r="V127" i="1"/>
  <c r="T163" i="1"/>
  <c r="X215" i="1"/>
  <c r="V215" i="1"/>
  <c r="V54" i="1"/>
  <c r="Z54" i="1" s="1"/>
  <c r="X54" i="1"/>
  <c r="N462" i="1"/>
  <c r="R464" i="1"/>
  <c r="V458" i="1"/>
  <c r="Z458" i="1" s="1"/>
  <c r="X458" i="1"/>
  <c r="T432" i="1"/>
  <c r="V411" i="1"/>
  <c r="X411" i="1"/>
  <c r="R337" i="1"/>
  <c r="R411" i="1"/>
  <c r="R432" i="1" s="1"/>
  <c r="B25" i="1"/>
  <c r="B26" i="1" s="1"/>
  <c r="X361" i="1"/>
  <c r="V361" i="1"/>
  <c r="Z361" i="1" s="1"/>
  <c r="T227" i="1"/>
  <c r="R56" i="1"/>
  <c r="X224" i="1"/>
  <c r="V224" i="1"/>
  <c r="Z224" i="1" s="1"/>
  <c r="V350" i="1"/>
  <c r="X350" i="1"/>
  <c r="X162" i="1"/>
  <c r="V162" i="1"/>
  <c r="Z162" i="1" s="1"/>
  <c r="P464" i="1"/>
  <c r="R268" i="1"/>
  <c r="T464" i="1"/>
  <c r="T462" i="1"/>
  <c r="X313" i="1"/>
  <c r="V313" i="1"/>
  <c r="Z313" i="1" s="1"/>
  <c r="V268" i="1"/>
  <c r="Z268" i="1" s="1"/>
  <c r="X268" i="1"/>
  <c r="R358" i="1" l="1"/>
  <c r="T460" i="1"/>
  <c r="R465" i="1"/>
  <c r="R313" i="1"/>
  <c r="B27" i="2"/>
  <c r="R460" i="1"/>
  <c r="X160" i="1"/>
  <c r="V160" i="1"/>
  <c r="Z160" i="1" s="1"/>
  <c r="X226" i="1"/>
  <c r="V226" i="1"/>
  <c r="Z226" i="1" s="1"/>
  <c r="X358" i="1"/>
  <c r="V358" i="1"/>
  <c r="Z358" i="1" s="1"/>
  <c r="R463" i="1"/>
  <c r="B27" i="1"/>
  <c r="X163" i="1"/>
  <c r="V163" i="1"/>
  <c r="Z163" i="1" s="1"/>
  <c r="T463" i="1"/>
  <c r="X227" i="1"/>
  <c r="V227" i="1"/>
  <c r="Z227" i="1" s="1"/>
  <c r="R462" i="1"/>
  <c r="X432" i="1"/>
  <c r="V432" i="1"/>
  <c r="Z432" i="1" s="1"/>
  <c r="B28" i="2" l="1"/>
  <c r="B29" i="2" s="1"/>
  <c r="B29" i="1"/>
  <c r="B30" i="1" s="1"/>
  <c r="B31" i="1" s="1"/>
  <c r="B32" i="2" l="1"/>
  <c r="B32" i="1"/>
  <c r="B33" i="2" l="1"/>
  <c r="B33" i="1"/>
  <c r="B35" i="2" l="1"/>
  <c r="B37" i="1"/>
  <c r="B38" i="2" l="1"/>
  <c r="B39" i="2" s="1"/>
  <c r="B40" i="2" s="1"/>
  <c r="B41" i="2" s="1"/>
  <c r="B42" i="2" s="1"/>
  <c r="B43" i="2" s="1"/>
  <c r="B44" i="2" s="1"/>
  <c r="B45" i="2" s="1"/>
  <c r="B47" i="2" s="1"/>
  <c r="B50" i="2" s="1"/>
  <c r="B51" i="2" s="1"/>
  <c r="B53" i="2" s="1"/>
  <c r="B55" i="2" s="1"/>
  <c r="B57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7" i="2" s="1"/>
  <c r="B88" i="2" s="1"/>
  <c r="B90" i="2" s="1"/>
  <c r="B94" i="2" s="1"/>
  <c r="B95" i="2" s="1"/>
  <c r="B96" i="2" s="1"/>
  <c r="B97" i="2" s="1"/>
  <c r="B98" i="2" s="1"/>
  <c r="B99" i="2" s="1"/>
  <c r="B101" i="2" s="1"/>
  <c r="B104" i="2" s="1"/>
  <c r="B106" i="2" s="1"/>
  <c r="B108" i="2" s="1"/>
  <c r="B110" i="2" s="1"/>
  <c r="B112" i="2" s="1"/>
  <c r="B38" i="1"/>
  <c r="B39" i="1" s="1"/>
  <c r="B40" i="1" s="1"/>
  <c r="B42" i="1" s="1"/>
  <c r="B43" i="1" s="1"/>
  <c r="B44" i="1" s="1"/>
  <c r="B45" i="1" s="1"/>
  <c r="B46" i="1" s="1"/>
  <c r="B49" i="1" s="1"/>
  <c r="B50" i="1" s="1"/>
  <c r="B51" i="1" s="1"/>
  <c r="B52" i="1" s="1"/>
  <c r="B54" i="1" s="1"/>
  <c r="B56" i="1" s="1"/>
  <c r="B57" i="1" s="1"/>
  <c r="B58" i="1" s="1"/>
  <c r="B59" i="1" s="1"/>
  <c r="B65" i="1" s="1"/>
  <c r="B66" i="1" s="1"/>
  <c r="B67" i="1" s="1"/>
  <c r="B68" i="1" s="1"/>
  <c r="B70" i="1" s="1"/>
  <c r="B71" i="1" s="1"/>
  <c r="B72" i="1" s="1"/>
  <c r="B73" i="1" s="1"/>
  <c r="B75" i="1" s="1"/>
  <c r="B76" i="1" s="1"/>
  <c r="B77" i="1" s="1"/>
  <c r="B78" i="1" s="1"/>
  <c r="B79" i="1" s="1"/>
  <c r="B83" i="1" s="1"/>
  <c r="B84" i="1" s="1"/>
  <c r="B85" i="1" s="1"/>
  <c r="B86" i="1" s="1"/>
  <c r="B88" i="1" s="1"/>
  <c r="B89" i="1" s="1"/>
  <c r="B90" i="1" s="1"/>
  <c r="B91" i="1" s="1"/>
  <c r="B92" i="1" s="1"/>
  <c r="B95" i="1" s="1"/>
  <c r="B96" i="1" s="1"/>
  <c r="B97" i="1" s="1"/>
  <c r="B98" i="1" s="1"/>
  <c r="B100" i="1" s="1"/>
  <c r="B102" i="1" s="1"/>
  <c r="B103" i="1" s="1"/>
  <c r="B104" i="1" s="1"/>
  <c r="B105" i="1" s="1"/>
  <c r="B110" i="1" s="1"/>
  <c r="B111" i="1" s="1"/>
  <c r="B112" i="1" s="1"/>
  <c r="B113" i="1" s="1"/>
  <c r="B115" i="1" s="1"/>
  <c r="B116" i="1" s="1"/>
  <c r="B117" i="1" s="1"/>
  <c r="B118" i="1" s="1"/>
  <c r="B120" i="1" s="1"/>
  <c r="B121" i="1" s="1"/>
  <c r="B122" i="1" s="1"/>
  <c r="B125" i="1" s="1"/>
  <c r="B126" i="1" s="1"/>
  <c r="B127" i="1" s="1"/>
  <c r="B130" i="1" s="1"/>
  <c r="B131" i="1" s="1"/>
  <c r="B132" i="1" s="1"/>
  <c r="B135" i="1" s="1"/>
  <c r="B136" i="1" s="1"/>
  <c r="B137" i="1" s="1"/>
  <c r="B139" i="1" s="1"/>
  <c r="B143" i="1" s="1"/>
  <c r="B144" i="1" s="1"/>
  <c r="B145" i="1" s="1"/>
  <c r="B146" i="1" s="1"/>
  <c r="B148" i="1" s="1"/>
  <c r="B149" i="1" s="1"/>
  <c r="B150" i="1" s="1"/>
  <c r="B151" i="1" s="1"/>
  <c r="B152" i="1" s="1"/>
  <c r="B155" i="1" s="1"/>
  <c r="B156" i="1" s="1"/>
  <c r="B157" i="1" s="1"/>
  <c r="B158" i="1" s="1"/>
  <c r="B160" i="1" s="1"/>
  <c r="B162" i="1" s="1"/>
  <c r="B163" i="1" s="1"/>
  <c r="B164" i="1" s="1"/>
  <c r="B165" i="1" s="1"/>
  <c r="B171" i="1" s="1"/>
  <c r="B172" i="1" s="1"/>
  <c r="B173" i="1" s="1"/>
  <c r="B175" i="1" s="1"/>
  <c r="B176" i="1" s="1"/>
  <c r="B177" i="1" s="1"/>
  <c r="B178" i="1" s="1"/>
  <c r="B180" i="1" s="1"/>
  <c r="B181" i="1" s="1"/>
  <c r="B182" i="1" s="1"/>
  <c r="B184" i="1" s="1"/>
  <c r="B187" i="1" s="1"/>
  <c r="B189" i="1" s="1"/>
  <c r="B190" i="1" s="1"/>
  <c r="B191" i="1" s="1"/>
  <c r="B192" i="1" s="1"/>
  <c r="B193" i="1" s="1"/>
  <c r="B195" i="1" s="1"/>
  <c r="B197" i="1" s="1"/>
  <c r="B202" i="1" s="1"/>
  <c r="B203" i="1" s="1"/>
  <c r="B205" i="1" s="1"/>
  <c r="B206" i="1" s="1"/>
  <c r="B208" i="1" s="1"/>
  <c r="B209" i="1" s="1"/>
  <c r="B210" i="1" s="1"/>
  <c r="B213" i="1" s="1"/>
  <c r="B214" i="1" s="1"/>
  <c r="B215" i="1" s="1"/>
  <c r="B218" i="1" s="1"/>
  <c r="B219" i="1" s="1"/>
  <c r="B222" i="1" s="1"/>
  <c r="B224" i="1" s="1"/>
  <c r="B226" i="1" s="1"/>
  <c r="B227" i="1" s="1"/>
  <c r="B232" i="1" s="1"/>
  <c r="B233" i="1" s="1"/>
  <c r="B234" i="1" s="1"/>
  <c r="B235" i="1" s="1"/>
  <c r="B238" i="1" s="1"/>
  <c r="B239" i="1" s="1"/>
  <c r="B240" i="1" s="1"/>
  <c r="B241" i="1" s="1"/>
  <c r="B244" i="1" s="1"/>
  <c r="B245" i="1" s="1"/>
  <c r="B246" i="1" s="1"/>
  <c r="B247" i="1" s="1"/>
  <c r="B249" i="1" s="1"/>
  <c r="B250" i="1" s="1"/>
  <c r="B251" i="1" s="1"/>
  <c r="B252" i="1" s="1"/>
  <c r="B254" i="1" s="1"/>
  <c r="B255" i="1" s="1"/>
  <c r="B256" i="1" s="1"/>
  <c r="B257" i="1" s="1"/>
  <c r="B259" i="1" s="1"/>
  <c r="B260" i="1" s="1"/>
  <c r="B261" i="1" s="1"/>
  <c r="B263" i="1" s="1"/>
  <c r="B265" i="1" s="1"/>
  <c r="B266" i="1" s="1"/>
  <c r="B267" i="1" s="1"/>
  <c r="B268" i="1" s="1"/>
  <c r="B273" i="1" s="1"/>
  <c r="B274" i="1" s="1"/>
  <c r="B275" i="1" s="1"/>
  <c r="B276" i="1" s="1"/>
  <c r="B278" i="1" s="1"/>
  <c r="B279" i="1" s="1"/>
  <c r="B280" i="1" s="1"/>
  <c r="B281" i="1" s="1"/>
  <c r="B283" i="1" s="1"/>
  <c r="B284" i="1" s="1"/>
  <c r="B285" i="1" s="1"/>
  <c r="B286" i="1" s="1"/>
  <c r="B288" i="1" s="1"/>
  <c r="B289" i="1" s="1"/>
  <c r="B290" i="1" s="1"/>
  <c r="B291" i="1" s="1"/>
  <c r="B292" i="1" s="1"/>
  <c r="B295" i="1" s="1"/>
  <c r="B296" i="1" s="1"/>
  <c r="B297" i="1" s="1"/>
  <c r="B298" i="1" s="1"/>
  <c r="B299" i="1" s="1"/>
  <c r="B301" i="1" s="1"/>
  <c r="B302" i="1" s="1"/>
  <c r="B303" i="1" s="1"/>
  <c r="B304" i="1" s="1"/>
  <c r="B305" i="1" s="1"/>
  <c r="B308" i="1" s="1"/>
  <c r="B309" i="1" s="1"/>
  <c r="B310" i="1" s="1"/>
  <c r="B311" i="1" s="1"/>
  <c r="B313" i="1" s="1"/>
  <c r="B315" i="1" s="1"/>
  <c r="B316" i="1" s="1"/>
  <c r="B317" i="1" s="1"/>
  <c r="B318" i="1" s="1"/>
  <c r="B323" i="1" s="1"/>
  <c r="B324" i="1" s="1"/>
  <c r="B325" i="1" s="1"/>
  <c r="B326" i="1" s="1"/>
  <c r="B328" i="1" s="1"/>
  <c r="B329" i="1" s="1"/>
  <c r="B330" i="1" s="1"/>
  <c r="B331" i="1" s="1"/>
  <c r="B333" i="1" s="1"/>
  <c r="B334" i="1" s="1"/>
  <c r="B335" i="1" s="1"/>
  <c r="B336" i="1" s="1"/>
  <c r="B337" i="1" s="1"/>
  <c r="B340" i="1" s="1"/>
  <c r="B341" i="1" s="1"/>
  <c r="B342" i="1" s="1"/>
  <c r="B343" i="1" s="1"/>
  <c r="B344" i="1" s="1"/>
  <c r="B346" i="1" s="1"/>
  <c r="B347" i="1" s="1"/>
  <c r="B348" i="1" s="1"/>
  <c r="B349" i="1" s="1"/>
  <c r="B350" i="1" s="1"/>
  <c r="B353" i="1" s="1"/>
  <c r="B354" i="1" s="1"/>
  <c r="B355" i="1" s="1"/>
  <c r="B356" i="1" s="1"/>
  <c r="B358" i="1" s="1"/>
  <c r="B360" i="1" s="1"/>
  <c r="B361" i="1" s="1"/>
  <c r="B362" i="1" s="1"/>
  <c r="B363" i="1" s="1"/>
  <c r="B369" i="1" s="1"/>
  <c r="B370" i="1" s="1"/>
  <c r="B373" i="1" s="1"/>
  <c r="B374" i="1" s="1"/>
  <c r="B375" i="1" s="1"/>
  <c r="B376" i="1" s="1"/>
  <c r="B377" i="1" s="1"/>
  <c r="B379" i="1" s="1"/>
  <c r="B380" i="1" s="1"/>
  <c r="B383" i="1" s="1"/>
  <c r="B384" i="1" s="1"/>
  <c r="B386" i="1" s="1"/>
  <c r="B387" i="1" s="1"/>
  <c r="B389" i="1" s="1"/>
  <c r="B391" i="1" s="1"/>
  <c r="B392" i="1" s="1"/>
  <c r="B397" i="1" s="1"/>
  <c r="B398" i="1" s="1"/>
  <c r="B399" i="1" s="1"/>
  <c r="B400" i="1" s="1"/>
  <c r="B402" i="1" s="1"/>
  <c r="B403" i="1" s="1"/>
  <c r="B404" i="1" s="1"/>
  <c r="B405" i="1" s="1"/>
  <c r="B407" i="1" s="1"/>
  <c r="B408" i="1" s="1"/>
  <c r="B409" i="1" s="1"/>
  <c r="B410" i="1" s="1"/>
  <c r="B411" i="1" s="1"/>
  <c r="B414" i="1" s="1"/>
  <c r="B415" i="1" s="1"/>
  <c r="B416" i="1" s="1"/>
  <c r="B417" i="1" s="1"/>
  <c r="B418" i="1" s="1"/>
  <c r="B420" i="1" s="1"/>
  <c r="B421" i="1" s="1"/>
  <c r="B422" i="1" s="1"/>
  <c r="B423" i="1" s="1"/>
  <c r="B424" i="1" s="1"/>
  <c r="B427" i="1" s="1"/>
  <c r="B428" i="1" s="1"/>
  <c r="B429" i="1" s="1"/>
  <c r="B430" i="1" s="1"/>
  <c r="B432" i="1" s="1"/>
  <c r="B434" i="1" s="1"/>
  <c r="B435" i="1" s="1"/>
  <c r="B436" i="1" s="1"/>
  <c r="B437" i="1" s="1"/>
  <c r="B442" i="1" s="1"/>
  <c r="B443" i="1" s="1"/>
  <c r="B444" i="1" s="1"/>
  <c r="B445" i="1" s="1"/>
  <c r="B446" i="1" s="1"/>
  <c r="B449" i="1" s="1"/>
  <c r="B451" i="1" s="1"/>
  <c r="B452" i="1" s="1"/>
  <c r="B453" i="1" s="1"/>
  <c r="B454" i="1" s="1"/>
  <c r="B455" i="1" s="1"/>
  <c r="B456" i="1" s="1"/>
  <c r="B458" i="1" s="1"/>
  <c r="B460" i="1" s="1"/>
  <c r="B462" i="1" s="1"/>
  <c r="B463" i="1" s="1"/>
  <c r="B464" i="1" s="1"/>
  <c r="B465" i="1" s="1"/>
</calcChain>
</file>

<file path=xl/sharedStrings.xml><?xml version="1.0" encoding="utf-8"?>
<sst xmlns="http://schemas.openxmlformats.org/spreadsheetml/2006/main" count="816" uniqueCount="215">
  <si>
    <t>Derivation of Proposed Rates and Revenue by Rate Class - Four Rate Zones - With One Rate Zone Distribution</t>
  </si>
  <si>
    <t>In-franchise</t>
  </si>
  <si>
    <t>Current Approved</t>
  </si>
  <si>
    <t>Proposed</t>
  </si>
  <si>
    <t>Line</t>
  </si>
  <si>
    <t>Billing</t>
  </si>
  <si>
    <t xml:space="preserve">2024 
Forecast </t>
  </si>
  <si>
    <t>Revenue</t>
  </si>
  <si>
    <t>Rates</t>
  </si>
  <si>
    <t>Revenue (Deficiency) / Sufficiency</t>
  </si>
  <si>
    <t>Revenue Requirement (1)</t>
  </si>
  <si>
    <t>Revenue (Deficiency) / Sufficiency (2)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</si>
  <si>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</si>
  <si>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</si>
  <si>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</si>
  <si>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</si>
  <si>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</si>
  <si>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</si>
  <si>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</si>
  <si>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</si>
  <si>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</si>
  <si>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</si>
  <si>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</si>
  <si>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</si>
  <si>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</si>
  <si>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</si>
  <si>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</si>
  <si>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</si>
  <si>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</si>
  <si>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</si>
  <si>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</si>
  <si>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</si>
  <si>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Rate E01</t>
  </si>
  <si>
    <t>Monthly Customer Charge</t>
  </si>
  <si>
    <t>North</t>
  </si>
  <si>
    <t>bills</t>
  </si>
  <si>
    <t>East</t>
  </si>
  <si>
    <t>Central</t>
  </si>
  <si>
    <t>South</t>
  </si>
  <si>
    <t>Delivery Commodity Charge</t>
  </si>
  <si>
    <t>10³m³</t>
  </si>
  <si>
    <t>Delivery Demand Charge</t>
  </si>
  <si>
    <t>10³m³/d</t>
  </si>
  <si>
    <t>Total Delivery</t>
  </si>
  <si>
    <t>Gas Supply Transportation Charge</t>
  </si>
  <si>
    <t>Transportation</t>
  </si>
  <si>
    <t>Transportation - Western</t>
  </si>
  <si>
    <t xml:space="preserve"> </t>
  </si>
  <si>
    <t>Gas Supply Commodity Charge</t>
  </si>
  <si>
    <t>Total Rate E01</t>
  </si>
  <si>
    <t>Total Rate E01 - North</t>
  </si>
  <si>
    <t>Total Rate E01 - East</t>
  </si>
  <si>
    <t>Total Rate E01 - Central</t>
  </si>
  <si>
    <t>Total Rate E01 - South</t>
  </si>
  <si>
    <t>Rate E02</t>
  </si>
  <si>
    <t>Total Rate E02</t>
  </si>
  <si>
    <t>Total Rate E02 - North</t>
  </si>
  <si>
    <t>Total Rate E02 - East</t>
  </si>
  <si>
    <t>Total Rate E02 - Central</t>
  </si>
  <si>
    <t>Total Rate E02 - South</t>
  </si>
  <si>
    <t>Rate E10</t>
  </si>
  <si>
    <t>Delivery Demand Charge - North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</si>
  <si>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</si>
  <si>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</si>
  <si>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Delivery Demand Charge - East</t>
  </si>
  <si>
    <t>Delivery Demand Charge - Central</t>
  </si>
  <si>
    <t>Delivery Demand Charge - South</t>
  </si>
  <si>
    <t>Total Rate E10</t>
  </si>
  <si>
    <t>Total Rate E10 - North</t>
  </si>
  <si>
    <t>Total Rate E10 - East</t>
  </si>
  <si>
    <t>Total Rate E10 - Central</t>
  </si>
  <si>
    <t>Total Rate E10 - South</t>
  </si>
  <si>
    <t>Rate E20</t>
  </si>
  <si>
    <t>Transportation Commodity</t>
  </si>
  <si>
    <t>Customer Supplied Fuel - Transportation</t>
  </si>
  <si>
    <t>Transportation Demand Charge - Firm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</si>
  <si>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</si>
  <si>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</si>
  <si>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</si>
  <si>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Charge - IT</t>
  </si>
  <si>
    <t>Pre-authorized Interruptible</t>
  </si>
  <si>
    <t>Central Transportation Charge</t>
  </si>
  <si>
    <t>Total Transportation</t>
  </si>
  <si>
    <t>Storage</t>
  </si>
  <si>
    <t>Space Demand</t>
  </si>
  <si>
    <t>Firm Injection/Withdrawal Right</t>
  </si>
  <si>
    <t>Union provides deliverability inventory</t>
  </si>
  <si>
    <t>Customer provides deliverability inventory</t>
  </si>
  <si>
    <t>Firm incremental injection</t>
  </si>
  <si>
    <t>Injection/Withdrawal Commodity (Customer Provides)</t>
  </si>
  <si>
    <t>GJ</t>
  </si>
  <si>
    <t>Customer Supplied Fuel - Storage</t>
  </si>
  <si>
    <t>Total Storage</t>
  </si>
  <si>
    <t>Total Rate E20</t>
  </si>
  <si>
    <t>Rate E22 - Unbundled</t>
  </si>
  <si>
    <t>Transportation Demand Charge - Firm - North</t>
  </si>
  <si>
    <r>
      <t>over 30,000 m</t>
    </r>
    <r>
      <rPr>
        <vertAlign val="superscript"/>
        <sz val="10"/>
        <rFont val="Arial"/>
        <family val="2"/>
      </rPr>
      <t>3</t>
    </r>
  </si>
  <si>
    <t>Transportation Demand Charge - Firm - East</t>
  </si>
  <si>
    <t>Total Rate E22</t>
  </si>
  <si>
    <t>Total Rate E20 - North</t>
  </si>
  <si>
    <t>Total Rate E20 - East</t>
  </si>
  <si>
    <t>Rate E24</t>
  </si>
  <si>
    <t>Transportation Demand (Firm)</t>
  </si>
  <si>
    <t>Transportation Demand (IT)</t>
  </si>
  <si>
    <t>South Transportation Demand</t>
  </si>
  <si>
    <t>South Transportation CSF</t>
  </si>
  <si>
    <t>Total Rate E24</t>
  </si>
  <si>
    <t>Total Rate E24 - North</t>
  </si>
  <si>
    <t>Total Rate E24 - East</t>
  </si>
  <si>
    <t>Total Rate E24 - Central</t>
  </si>
  <si>
    <t>Total Rate E24 - South</t>
  </si>
  <si>
    <t>Rate E30</t>
  </si>
  <si>
    <t>Delivery Commodity</t>
  </si>
  <si>
    <t>Delivery Demand (Interruptible)</t>
  </si>
  <si>
    <t>Delivery Demand (Firm)</t>
  </si>
  <si>
    <t>Total Rate E30</t>
  </si>
  <si>
    <t>Total Rate E30 - North</t>
  </si>
  <si>
    <t>Total Rate E30 - East</t>
  </si>
  <si>
    <t>Total Rate E30 - Central</t>
  </si>
  <si>
    <t>Total Rate E30 - South</t>
  </si>
  <si>
    <t>Rate E34</t>
  </si>
  <si>
    <t>Delivery Demand</t>
  </si>
  <si>
    <t>Total Rate E34</t>
  </si>
  <si>
    <t>Total Rate E34 - North</t>
  </si>
  <si>
    <t>Total Rate E34 - East</t>
  </si>
  <si>
    <t>Total Rate E34 - Central</t>
  </si>
  <si>
    <t>Total Rate E34 - South</t>
  </si>
  <si>
    <t>Rate E38</t>
  </si>
  <si>
    <t>($/GJ)</t>
  </si>
  <si>
    <t>Transportation Demand</t>
  </si>
  <si>
    <t>Total Rate E38</t>
  </si>
  <si>
    <t>Total Rate E38 - North</t>
  </si>
  <si>
    <t>Total Rate E38 - South</t>
  </si>
  <si>
    <t>Rate E62</t>
  </si>
  <si>
    <t>Total Rate E62</t>
  </si>
  <si>
    <t>Total Rate E62- North</t>
  </si>
  <si>
    <t>Total Rate E62 - East</t>
  </si>
  <si>
    <t>Total Rate E62 - Central</t>
  </si>
  <si>
    <t>Total Rate E62 - South</t>
  </si>
  <si>
    <t>Rate E64</t>
  </si>
  <si>
    <t>Total Rate E64</t>
  </si>
  <si>
    <t xml:space="preserve">Total In-franchise </t>
  </si>
  <si>
    <t>Total In-franchise - North</t>
  </si>
  <si>
    <t>Total In-franchise - East</t>
  </si>
  <si>
    <t>Total In-franchise - Central</t>
  </si>
  <si>
    <t>Total In-franchise - South</t>
  </si>
  <si>
    <t>Notes:</t>
  </si>
  <si>
    <t xml:space="preserve">(1) </t>
  </si>
  <si>
    <t>Revenue requirement by rate component for each rate class provided at Phase 3 Exhibit 7, Tab 3, Schedule 6, Attachment 13.</t>
  </si>
  <si>
    <t>(2)</t>
  </si>
  <si>
    <t>Allocation of S&amp;T Margin and other rate design adjustments.</t>
  </si>
  <si>
    <t>Ex-franchise</t>
  </si>
  <si>
    <t>Rate E60</t>
  </si>
  <si>
    <t>Monthly Fixed Charge</t>
  </si>
  <si>
    <t>Demand:</t>
  </si>
  <si>
    <t xml:space="preserve">            Transportation </t>
  </si>
  <si>
    <t>Rate E70</t>
  </si>
  <si>
    <t xml:space="preserve">Firm Transportation - Easterly Dawn Parkway </t>
  </si>
  <si>
    <t>Dawn to Parkway</t>
  </si>
  <si>
    <t>- F24-T</t>
  </si>
  <si>
    <t>Dawn to Kirkwall</t>
  </si>
  <si>
    <t>Kirkwall to Parkway</t>
  </si>
  <si>
    <t>Dawn to Owen Sound Line</t>
  </si>
  <si>
    <t>Firm Transportation - Westerly Dawn Parkway</t>
  </si>
  <si>
    <t xml:space="preserve">Parkway to Dawn/Kirkwall </t>
  </si>
  <si>
    <t>Kirkwall to Dawn</t>
  </si>
  <si>
    <t>E70-X  (between Dawn, Kirkwall and Parkway)</t>
  </si>
  <si>
    <t>Firm Transportation - Other Paths</t>
  </si>
  <si>
    <t>To Dawn from St.Clair, Bluewater, and Ojibway</t>
  </si>
  <si>
    <t>From Dawn to St.Clair, Bluewater, and Ojibway</t>
  </si>
  <si>
    <t>Parkway to Albion King's North</t>
  </si>
  <si>
    <t>Dawn to Dawn-Vector</t>
  </si>
  <si>
    <t>Dawn to Dawn-TCPL</t>
  </si>
  <si>
    <t xml:space="preserve">Short-term Transportation </t>
  </si>
  <si>
    <t>Corunna (ANR) to Dawn</t>
  </si>
  <si>
    <t>Commodity</t>
  </si>
  <si>
    <t>Easterly - Providing Own Fuel</t>
  </si>
  <si>
    <t>Westerly - Providing Own Fuel</t>
  </si>
  <si>
    <t>Short-term Transportation  - Utility Providing Fuel</t>
  </si>
  <si>
    <t>Derivation of Proposed Rates and Revenue by Rate Class</t>
  </si>
  <si>
    <t xml:space="preserve">Proposed </t>
  </si>
  <si>
    <t xml:space="preserve">2024 Forecast </t>
  </si>
  <si>
    <t xml:space="preserve">Usage </t>
  </si>
  <si>
    <t xml:space="preserve">(f) </t>
  </si>
  <si>
    <t>(i) = (g/e)</t>
  </si>
  <si>
    <t>Rate E72</t>
  </si>
  <si>
    <t>Transmission Commodity Charge</t>
  </si>
  <si>
    <t>Charges West of Dawn:</t>
  </si>
  <si>
    <t xml:space="preserve">  Firm Demand Charge</t>
  </si>
  <si>
    <t>GJ/d</t>
  </si>
  <si>
    <t xml:space="preserve">  Utility Providing Fuel &amp; UFG to Dawn</t>
  </si>
  <si>
    <t xml:space="preserve">  Utility Providing Fuel &amp; UFG to Pool</t>
  </si>
  <si>
    <t xml:space="preserve">  Providing Own Fuel &amp; UFG to Dawn</t>
  </si>
  <si>
    <t xml:space="preserve">  Providing Own Fuel &amp; UFG to Pool</t>
  </si>
  <si>
    <t>Charges East of Dawn:</t>
  </si>
  <si>
    <t xml:space="preserve">  Fuel &amp; UFG to Dawn</t>
  </si>
  <si>
    <t xml:space="preserve">  Fuel &amp; UFG to Pool</t>
  </si>
  <si>
    <t xml:space="preserve">  Commodity Charge - To Dawn</t>
  </si>
  <si>
    <t xml:space="preserve">  Commodity Charge - To Pool</t>
  </si>
  <si>
    <t>Rate E80</t>
  </si>
  <si>
    <t>Monthly Fixed Charge - Typical Station</t>
  </si>
  <si>
    <t>Monthly Fixed Charge - Large Station</t>
  </si>
  <si>
    <t>RNG Sampling Charge</t>
  </si>
  <si>
    <t>per use</t>
  </si>
  <si>
    <t>Commodity - Providing Own Fuel</t>
  </si>
  <si>
    <t>Commodity - Utility Providing Fuel</t>
  </si>
  <si>
    <t>Rate E82</t>
  </si>
  <si>
    <t>Service Fee</t>
  </si>
  <si>
    <t>Non-Utility Cross Charge</t>
  </si>
  <si>
    <t>Total Ex-franchise</t>
  </si>
  <si>
    <t>Total Enbridge Gas</t>
  </si>
  <si>
    <t>(1)</t>
  </si>
  <si>
    <t>Revenue requirement by rate class provided at Phase 3 Exhibit 7, Tab 3, Schedule 6, Attachment 2, line 21.</t>
  </si>
  <si>
    <t>S&amp;T Margin.</t>
  </si>
  <si>
    <t>GJ/d/mth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</si>
</sst>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0.0%"/>
    <numFmt numFmtId="169" formatCode="#,##0.0000_);\(#,##0.0000\);\-"/>
    <numFmt numFmtId="170" formatCode="###0%;\(###0%\)\ "/>
    <numFmt numFmtId="171" formatCode="0.0000"/>
    <numFmt numFmtId="172" formatCode="#,##0.0000_);\(#,##0.0000\)"/>
    <numFmt numFmtId="173" formatCode="0.000"/>
    <numFmt numFmtId="174" formatCode="0.000%"/>
    <numFmt numFmtId="175" formatCode="#,##0.000_);\(#,##0.000\);\-"/>
    <numFmt numFmtId="176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00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Continuous"/>
    </xf>
    <xf numFmtId="0" fontId="3" fillId="0" borderId="0" xfId="4" applyFont="1" applyAlignment="1">
      <alignment horizontal="center" wrapText="1"/>
    </xf>
    <xf numFmtId="0" fontId="6" fillId="0" borderId="0" xfId="5" applyFont="1" applyAlignment="1">
      <alignment horizontal="center"/>
    </xf>
    <xf numFmtId="0" fontId="4" fillId="0" borderId="0" xfId="4" applyFont="1"/>
    <xf numFmtId="164" fontId="6" fillId="0" borderId="0" xfId="6" applyNumberFormat="1" applyFont="1" applyFill="1" applyBorder="1"/>
    <xf numFmtId="164" fontId="3" fillId="0" borderId="0" xfId="6" applyNumberFormat="1" applyFont="1" applyFill="1" applyBorder="1"/>
    <xf numFmtId="0" fontId="3" fillId="0" borderId="0" xfId="4" applyFont="1" applyAlignment="1">
      <alignment horizontal="left" indent="1"/>
    </xf>
    <xf numFmtId="165" fontId="3" fillId="0" borderId="0" xfId="6" applyNumberFormat="1" applyFont="1" applyFill="1" applyBorder="1" applyAlignment="1">
      <alignment horizontal="right"/>
    </xf>
    <xf numFmtId="165" fontId="3" fillId="0" borderId="0" xfId="4" applyNumberFormat="1" applyFont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3"/>
    </xf>
    <xf numFmtId="165" fontId="3" fillId="0" borderId="0" xfId="6" applyNumberFormat="1" applyFont="1" applyFill="1" applyBorder="1" applyAlignment="1">
      <alignment horizontal="center"/>
    </xf>
    <xf numFmtId="0" fontId="6" fillId="0" borderId="0" xfId="5" applyFont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9" fontId="3" fillId="0" borderId="2" xfId="6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right"/>
    </xf>
    <xf numFmtId="0" fontId="3" fillId="0" borderId="0" xfId="4" applyFont="1" applyAlignment="1">
      <alignment horizontal="left" indent="2"/>
    </xf>
    <xf numFmtId="165" fontId="3" fillId="0" borderId="0" xfId="4" applyNumberFormat="1" applyFont="1"/>
    <xf numFmtId="0" fontId="3" fillId="0" borderId="0" xfId="4" applyFont="1" applyAlignment="1">
      <alignment horizontal="left"/>
    </xf>
    <xf numFmtId="169" fontId="3" fillId="0" borderId="3" xfId="6" applyNumberFormat="1" applyFont="1" applyFill="1" applyBorder="1" applyAlignment="1">
      <alignment horizontal="right"/>
    </xf>
    <xf numFmtId="169" fontId="3" fillId="0" borderId="0" xfId="6" applyNumberFormat="1" applyFont="1" applyFill="1" applyBorder="1" applyAlignment="1">
      <alignment horizontal="right"/>
    </xf>
    <xf numFmtId="171" fontId="3" fillId="0" borderId="0" xfId="4" applyNumberFormat="1" applyFont="1"/>
    <xf numFmtId="165" fontId="3" fillId="0" borderId="0" xfId="4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164" fontId="3" fillId="0" borderId="0" xfId="6" applyNumberFormat="1" applyFont="1" applyFill="1" applyBorder="1" applyAlignment="1">
      <alignment horizontal="right"/>
    </xf>
    <xf numFmtId="9" fontId="3" fillId="0" borderId="3" xfId="3" applyFont="1" applyFill="1" applyBorder="1" applyAlignment="1">
      <alignment horizontal="right"/>
    </xf>
    <xf numFmtId="165" fontId="6" fillId="0" borderId="0" xfId="5" applyNumberFormat="1" applyFont="1"/>
    <xf numFmtId="173" fontId="3" fillId="0" borderId="0" xfId="4" applyNumberFormat="1" applyFont="1"/>
    <xf numFmtId="0" fontId="4" fillId="0" borderId="0" xfId="4" applyFont="1" applyAlignment="1">
      <alignment horizontal="left" indent="1"/>
    </xf>
    <xf numFmtId="170" fontId="3" fillId="0" borderId="0" xfId="3" applyNumberFormat="1" applyFont="1" applyFill="1" applyBorder="1" applyAlignment="1">
      <alignment horizontal="right"/>
    </xf>
    <xf numFmtId="169" fontId="3" fillId="0" borderId="0" xfId="4" applyNumberFormat="1" applyFont="1" applyAlignment="1">
      <alignment horizontal="right"/>
    </xf>
    <xf numFmtId="169" fontId="3" fillId="0" borderId="0" xfId="4" applyNumberFormat="1" applyFont="1"/>
    <xf numFmtId="0" fontId="4" fillId="0" borderId="0" xfId="4" applyFont="1" applyAlignment="1">
      <alignment horizontal="left"/>
    </xf>
    <xf numFmtId="0" fontId="3" fillId="0" borderId="0" xfId="0" applyFont="1" applyAlignment="1">
      <alignment horizontal="left" indent="1"/>
    </xf>
    <xf numFmtId="9" fontId="3" fillId="0" borderId="0" xfId="3" applyFont="1" applyFill="1" applyBorder="1" applyAlignment="1">
      <alignment horizontal="right"/>
    </xf>
    <xf numFmtId="164" fontId="3" fillId="0" borderId="0" xfId="1" applyNumberFormat="1" applyFont="1"/>
    <xf numFmtId="175" fontId="3" fillId="0" borderId="0" xfId="6" applyNumberFormat="1" applyFont="1" applyFill="1" applyBorder="1" applyAlignment="1">
      <alignment horizontal="right"/>
    </xf>
    <xf numFmtId="175" fontId="3" fillId="0" borderId="0" xfId="4" applyNumberFormat="1" applyFont="1" applyAlignment="1">
      <alignment horizontal="right"/>
    </xf>
    <xf numFmtId="0" fontId="4" fillId="0" borderId="0" xfId="7" applyFont="1"/>
    <xf numFmtId="0" fontId="3" fillId="0" borderId="0" xfId="4" quotePrefix="1" applyFont="1"/>
    <xf numFmtId="0" fontId="4" fillId="0" borderId="0" xfId="4" applyFont="1" applyAlignment="1">
      <alignment horizontal="centerContinuous"/>
    </xf>
    <xf numFmtId="0" fontId="4" fillId="0" borderId="0" xfId="5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quotePrefix="1" applyFont="1" applyAlignment="1">
      <alignment horizontal="left" indent="5"/>
    </xf>
    <xf numFmtId="0" fontId="3" fillId="0" borderId="0" xfId="0" applyFont="1" applyAlignment="1">
      <alignment horizontal="left" indent="2"/>
    </xf>
    <xf numFmtId="9" fontId="3" fillId="0" borderId="2" xfId="3" applyFont="1" applyFill="1" applyBorder="1" applyAlignment="1">
      <alignment horizontal="right"/>
    </xf>
    <xf numFmtId="167" fontId="3" fillId="0" borderId="0" xfId="6" applyNumberFormat="1" applyFont="1" applyFill="1" applyBorder="1" applyAlignment="1">
      <alignment horizontal="center"/>
    </xf>
    <xf numFmtId="168" fontId="3" fillId="0" borderId="3" xfId="3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4" quotePrefix="1" applyNumberFormat="1" applyFont="1"/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1" xfId="5" applyBorder="1" applyAlignment="1">
      <alignment horizontal="centerContinuous"/>
    </xf>
    <xf numFmtId="0" fontId="3" fillId="0" borderId="0" xfId="5" applyAlignment="1">
      <alignment horizontal="center" wrapText="1"/>
    </xf>
    <xf numFmtId="0" fontId="3" fillId="0" borderId="0" xfId="5" applyAlignment="1">
      <alignment horizontal="center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0" xfId="5" quotePrefix="1" applyAlignment="1">
      <alignment horizontal="center"/>
    </xf>
    <xf numFmtId="0" fontId="3" fillId="0" borderId="0" xfId="5" applyAlignment="1">
      <alignment horizontal="right"/>
    </xf>
    <xf numFmtId="165" fontId="3" fillId="0" borderId="0" xfId="5" applyNumberFormat="1" applyAlignment="1">
      <alignment horizontal="right"/>
    </xf>
    <xf numFmtId="166" fontId="3" fillId="0" borderId="0" xfId="6" applyNumberFormat="1" applyFont="1" applyFill="1" applyBorder="1" applyAlignment="1">
      <alignment horizontal="right"/>
    </xf>
    <xf numFmtId="165" fontId="3" fillId="0" borderId="0" xfId="5" applyNumberFormat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165" fontId="3" fillId="0" borderId="2" xfId="5" applyNumberFormat="1" applyBorder="1" applyAlignment="1">
      <alignment horizontal="right"/>
    </xf>
    <xf numFmtId="167" fontId="3" fillId="0" borderId="2" xfId="5" applyNumberFormat="1" applyBorder="1" applyAlignment="1">
      <alignment horizontal="right"/>
    </xf>
    <xf numFmtId="165" fontId="3" fillId="0" borderId="3" xfId="5" applyNumberFormat="1" applyBorder="1" applyAlignment="1">
      <alignment horizontal="right"/>
    </xf>
    <xf numFmtId="167" fontId="3" fillId="0" borderId="3" xfId="5" applyNumberFormat="1" applyBorder="1" applyAlignment="1">
      <alignment horizontal="right"/>
    </xf>
    <xf numFmtId="170" fontId="3" fillId="0" borderId="3" xfId="3" applyNumberFormat="1" applyFont="1" applyFill="1" applyBorder="1" applyAlignment="1">
      <alignment horizontal="right"/>
    </xf>
    <xf numFmtId="167" fontId="3" fillId="0" borderId="0" xfId="5" applyNumberFormat="1" applyAlignment="1">
      <alignment horizontal="right"/>
    </xf>
    <xf numFmtId="167" fontId="3" fillId="0" borderId="0" xfId="5" applyNumberFormat="1" applyAlignment="1">
      <alignment horizontal="center"/>
    </xf>
    <xf numFmtId="172" fontId="3" fillId="0" borderId="0" xfId="5" applyNumberFormat="1" applyAlignment="1">
      <alignment horizontal="right"/>
    </xf>
    <xf numFmtId="165" fontId="3" fillId="0" borderId="0" xfId="6" applyNumberFormat="1" applyFont="1" applyFill="1" applyBorder="1" applyAlignment="1"/>
    <xf numFmtId="165" fontId="3" fillId="0" borderId="0" xfId="5" applyNumberFormat="1"/>
    <xf numFmtId="164" fontId="3" fillId="0" borderId="0" xfId="5" applyNumberFormat="1" applyAlignment="1">
      <alignment horizontal="center"/>
    </xf>
    <xf numFmtId="174" fontId="3" fillId="0" borderId="0" xfId="3" applyNumberFormat="1" applyFont="1" applyFill="1" applyBorder="1" applyAlignment="1">
      <alignment horizontal="right"/>
    </xf>
    <xf numFmtId="0" fontId="3" fillId="0" borderId="0" xfId="7" quotePrefix="1" applyAlignment="1">
      <alignment horizontal="center" vertical="top"/>
    </xf>
    <xf numFmtId="0" fontId="7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8" applyFont="1"/>
    <xf numFmtId="0" fontId="3" fillId="0" borderId="0" xfId="8" applyFont="1" applyAlignment="1">
      <alignment horizontal="left" indent="4"/>
    </xf>
    <xf numFmtId="0" fontId="4" fillId="0" borderId="0" xfId="0" applyFont="1" applyAlignment="1">
      <alignment horizontal="left"/>
    </xf>
    <xf numFmtId="165" fontId="3" fillId="0" borderId="0" xfId="0" applyNumberFormat="1" applyFont="1"/>
    <xf numFmtId="176" fontId="3" fillId="0" borderId="0" xfId="1" applyNumberFormat="1" applyFont="1" applyFill="1"/>
    <xf numFmtId="165" fontId="3" fillId="2" borderId="0" xfId="6" applyNumberFormat="1" applyFont="1" applyFill="1" applyBorder="1" applyAlignment="1">
      <alignment horizontal="center"/>
    </xf>
    <xf numFmtId="165" fontId="3" fillId="2" borderId="0" xfId="5" applyNumberFormat="1" applyFill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horizontal="center"/>
    </xf>
    <xf numFmtId="0" fontId="9" fillId="0" borderId="0" xfId="0" applyFont="1"/>
    <xf numFmtId="0" fontId="3" fillId="0" borderId="0" xfId="0" quotePrefix="1" applyFont="1" applyAlignment="1">
      <alignment horizontal="center"/>
    </xf>
    <xf numFmtId="0" fontId="4" fillId="0" borderId="0" xfId="4" applyFont="1" applyAlignment="1">
      <alignment horizontal="center"/>
    </xf>
  </cellXfs>
  <cellStyles count="9">
    <cellStyle name="Comma" xfId="1" builtinId="3"/>
    <cellStyle name="Comma 10" xfId="6" xr:uid="{2BC9C7A5-A369-406D-8548-268B6EAE6E63}"/>
    <cellStyle name="Currency" xfId="2" builtinId="4"/>
    <cellStyle name="Normal" xfId="0" builtinId="0"/>
    <cellStyle name="Normal 10" xfId="7" xr:uid="{DE028AB2-A49D-49A9-B5A5-923C7908CC2C}"/>
    <cellStyle name="Normal 4 3" xfId="4" xr:uid="{D4D9E592-3B99-474C-BDB4-D8470D958E1C}"/>
    <cellStyle name="Normal 59" xfId="8" xr:uid="{91F78A19-E6BC-42BF-8DF0-00ACEE39B389}"/>
    <cellStyle name="Normal 60" xfId="5" xr:uid="{DD87070D-4151-4D85-BFBC-EB4DBAD9E27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E6F9-A08B-40E9-B15F-0F5462075811}">
  <sheetPr>
    <pageSetUpPr fitToPage="1"/>
  </sheetPr>
  <dimension ref="B2:AC476"/>
  <sheetViews>
    <sheetView tabSelected="1" view="pageBreakPreview" zoomScaleNormal="80" zoomScaleSheetLayoutView="100" zoomScalePageLayoutView="70" workbookViewId="0">
      <selection activeCell="F453" sqref="F453"/>
    </sheetView>
  </sheetViews>
  <sheetFormatPr defaultRowHeight="12.45" x14ac:dyDescent="0.3"/>
  <cols>
    <col min="1" max="1" width="1.53515625" style="2" customWidth="1"/>
    <col min="2" max="2" width="4.69140625" style="1" customWidth="1"/>
    <col min="3" max="3" width="1.53515625" style="2" customWidth="1"/>
    <col min="4" max="4" width="47" style="2" customWidth="1"/>
    <col min="5" max="5" width="1.53515625" style="2" customWidth="1"/>
    <col min="6" max="6" width="10.6914062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53515625" style="2" customWidth="1"/>
    <col min="25" max="25" width="1.53515625" style="2" customWidth="1"/>
    <col min="26" max="26" width="14.4609375" style="2" customWidth="1"/>
    <col min="27" max="27" width="1.53515625" style="2" customWidth="1"/>
    <col min="28" max="28" width="3.4609375" style="2" customWidth="1"/>
    <col min="29" max="228" width="8.84375" style="2"/>
    <col min="229" max="229" width="4.53515625" style="2" customWidth="1"/>
    <col min="230" max="230" width="1" style="2" customWidth="1"/>
    <col min="231" max="231" width="18" style="2" customWidth="1"/>
    <col min="232" max="232" width="1.84375" style="2" customWidth="1"/>
    <col min="233" max="233" width="12.53515625" style="2" customWidth="1"/>
    <col min="234" max="234" width="1.53515625" style="2" customWidth="1"/>
    <col min="235" max="235" width="9.53515625" style="2" customWidth="1"/>
    <col min="236" max="236" width="1.84375" style="2" customWidth="1"/>
    <col min="237" max="237" width="11.84375" style="2" customWidth="1"/>
    <col min="238" max="238" width="1.53515625" style="2" customWidth="1"/>
    <col min="239" max="239" width="10.07421875" style="2" customWidth="1"/>
    <col min="240" max="240" width="2" style="2" customWidth="1"/>
    <col min="241" max="241" width="9.53515625" style="2" customWidth="1"/>
    <col min="242" max="484" width="8.84375" style="2"/>
    <col min="485" max="485" width="4.53515625" style="2" customWidth="1"/>
    <col min="486" max="486" width="1" style="2" customWidth="1"/>
    <col min="487" max="487" width="18" style="2" customWidth="1"/>
    <col min="488" max="488" width="1.84375" style="2" customWidth="1"/>
    <col min="489" max="489" width="12.53515625" style="2" customWidth="1"/>
    <col min="490" max="490" width="1.53515625" style="2" customWidth="1"/>
    <col min="491" max="491" width="9.53515625" style="2" customWidth="1"/>
    <col min="492" max="492" width="1.84375" style="2" customWidth="1"/>
    <col min="493" max="493" width="11.84375" style="2" customWidth="1"/>
    <col min="494" max="494" width="1.53515625" style="2" customWidth="1"/>
    <col min="495" max="495" width="10.07421875" style="2" customWidth="1"/>
    <col min="496" max="496" width="2" style="2" customWidth="1"/>
    <col min="497" max="497" width="9.53515625" style="2" customWidth="1"/>
    <col min="498" max="740" width="8.84375" style="2"/>
    <col min="741" max="741" width="4.53515625" style="2" customWidth="1"/>
    <col min="742" max="742" width="1" style="2" customWidth="1"/>
    <col min="743" max="743" width="18" style="2" customWidth="1"/>
    <col min="744" max="744" width="1.84375" style="2" customWidth="1"/>
    <col min="745" max="745" width="12.53515625" style="2" customWidth="1"/>
    <col min="746" max="746" width="1.53515625" style="2" customWidth="1"/>
    <col min="747" max="747" width="9.53515625" style="2" customWidth="1"/>
    <col min="748" max="748" width="1.84375" style="2" customWidth="1"/>
    <col min="749" max="749" width="11.84375" style="2" customWidth="1"/>
    <col min="750" max="750" width="1.53515625" style="2" customWidth="1"/>
    <col min="751" max="751" width="10.07421875" style="2" customWidth="1"/>
    <col min="752" max="752" width="2" style="2" customWidth="1"/>
    <col min="753" max="753" width="9.53515625" style="2" customWidth="1"/>
    <col min="754" max="996" width="8.84375" style="2"/>
    <col min="997" max="997" width="4.53515625" style="2" customWidth="1"/>
    <col min="998" max="998" width="1" style="2" customWidth="1"/>
    <col min="999" max="999" width="18" style="2" customWidth="1"/>
    <col min="1000" max="1000" width="1.84375" style="2" customWidth="1"/>
    <col min="1001" max="1001" width="12.53515625" style="2" customWidth="1"/>
    <col min="1002" max="1002" width="1.53515625" style="2" customWidth="1"/>
    <col min="1003" max="1003" width="9.53515625" style="2" customWidth="1"/>
    <col min="1004" max="1004" width="1.84375" style="2" customWidth="1"/>
    <col min="1005" max="1005" width="11.84375" style="2" customWidth="1"/>
    <col min="1006" max="1006" width="1.53515625" style="2" customWidth="1"/>
    <col min="1007" max="1007" width="10.07421875" style="2" customWidth="1"/>
    <col min="1008" max="1008" width="2" style="2" customWidth="1"/>
    <col min="1009" max="1009" width="9.53515625" style="2" customWidth="1"/>
    <col min="1010" max="1252" width="8.84375" style="2"/>
    <col min="1253" max="1253" width="4.53515625" style="2" customWidth="1"/>
    <col min="1254" max="1254" width="1" style="2" customWidth="1"/>
    <col min="1255" max="1255" width="18" style="2" customWidth="1"/>
    <col min="1256" max="1256" width="1.84375" style="2" customWidth="1"/>
    <col min="1257" max="1257" width="12.53515625" style="2" customWidth="1"/>
    <col min="1258" max="1258" width="1.53515625" style="2" customWidth="1"/>
    <col min="1259" max="1259" width="9.53515625" style="2" customWidth="1"/>
    <col min="1260" max="1260" width="1.84375" style="2" customWidth="1"/>
    <col min="1261" max="1261" width="11.84375" style="2" customWidth="1"/>
    <col min="1262" max="1262" width="1.53515625" style="2" customWidth="1"/>
    <col min="1263" max="1263" width="10.07421875" style="2" customWidth="1"/>
    <col min="1264" max="1264" width="2" style="2" customWidth="1"/>
    <col min="1265" max="1265" width="9.53515625" style="2" customWidth="1"/>
    <col min="1266" max="1508" width="8.84375" style="2"/>
    <col min="1509" max="1509" width="4.53515625" style="2" customWidth="1"/>
    <col min="1510" max="1510" width="1" style="2" customWidth="1"/>
    <col min="1511" max="1511" width="18" style="2" customWidth="1"/>
    <col min="1512" max="1512" width="1.84375" style="2" customWidth="1"/>
    <col min="1513" max="1513" width="12.53515625" style="2" customWidth="1"/>
    <col min="1514" max="1514" width="1.53515625" style="2" customWidth="1"/>
    <col min="1515" max="1515" width="9.53515625" style="2" customWidth="1"/>
    <col min="1516" max="1516" width="1.84375" style="2" customWidth="1"/>
    <col min="1517" max="1517" width="11.84375" style="2" customWidth="1"/>
    <col min="1518" max="1518" width="1.53515625" style="2" customWidth="1"/>
    <col min="1519" max="1519" width="10.07421875" style="2" customWidth="1"/>
    <col min="1520" max="1520" width="2" style="2" customWidth="1"/>
    <col min="1521" max="1521" width="9.53515625" style="2" customWidth="1"/>
    <col min="1522" max="1764" width="8.84375" style="2"/>
    <col min="1765" max="1765" width="4.53515625" style="2" customWidth="1"/>
    <col min="1766" max="1766" width="1" style="2" customWidth="1"/>
    <col min="1767" max="1767" width="18" style="2" customWidth="1"/>
    <col min="1768" max="1768" width="1.84375" style="2" customWidth="1"/>
    <col min="1769" max="1769" width="12.53515625" style="2" customWidth="1"/>
    <col min="1770" max="1770" width="1.53515625" style="2" customWidth="1"/>
    <col min="1771" max="1771" width="9.53515625" style="2" customWidth="1"/>
    <col min="1772" max="1772" width="1.84375" style="2" customWidth="1"/>
    <col min="1773" max="1773" width="11.84375" style="2" customWidth="1"/>
    <col min="1774" max="1774" width="1.53515625" style="2" customWidth="1"/>
    <col min="1775" max="1775" width="10.07421875" style="2" customWidth="1"/>
    <col min="1776" max="1776" width="2" style="2" customWidth="1"/>
    <col min="1777" max="1777" width="9.53515625" style="2" customWidth="1"/>
    <col min="1778" max="2020" width="8.84375" style="2"/>
    <col min="2021" max="2021" width="4.53515625" style="2" customWidth="1"/>
    <col min="2022" max="2022" width="1" style="2" customWidth="1"/>
    <col min="2023" max="2023" width="18" style="2" customWidth="1"/>
    <col min="2024" max="2024" width="1.84375" style="2" customWidth="1"/>
    <col min="2025" max="2025" width="12.53515625" style="2" customWidth="1"/>
    <col min="2026" max="2026" width="1.53515625" style="2" customWidth="1"/>
    <col min="2027" max="2027" width="9.53515625" style="2" customWidth="1"/>
    <col min="2028" max="2028" width="1.84375" style="2" customWidth="1"/>
    <col min="2029" max="2029" width="11.84375" style="2" customWidth="1"/>
    <col min="2030" max="2030" width="1.53515625" style="2" customWidth="1"/>
    <col min="2031" max="2031" width="10.07421875" style="2" customWidth="1"/>
    <col min="2032" max="2032" width="2" style="2" customWidth="1"/>
    <col min="2033" max="2033" width="9.53515625" style="2" customWidth="1"/>
    <col min="2034" max="2276" width="8.84375" style="2"/>
    <col min="2277" max="2277" width="4.53515625" style="2" customWidth="1"/>
    <col min="2278" max="2278" width="1" style="2" customWidth="1"/>
    <col min="2279" max="2279" width="18" style="2" customWidth="1"/>
    <col min="2280" max="2280" width="1.84375" style="2" customWidth="1"/>
    <col min="2281" max="2281" width="12.53515625" style="2" customWidth="1"/>
    <col min="2282" max="2282" width="1.53515625" style="2" customWidth="1"/>
    <col min="2283" max="2283" width="9.53515625" style="2" customWidth="1"/>
    <col min="2284" max="2284" width="1.84375" style="2" customWidth="1"/>
    <col min="2285" max="2285" width="11.84375" style="2" customWidth="1"/>
    <col min="2286" max="2286" width="1.53515625" style="2" customWidth="1"/>
    <col min="2287" max="2287" width="10.07421875" style="2" customWidth="1"/>
    <col min="2288" max="2288" width="2" style="2" customWidth="1"/>
    <col min="2289" max="2289" width="9.53515625" style="2" customWidth="1"/>
    <col min="2290" max="2532" width="8.84375" style="2"/>
    <col min="2533" max="2533" width="4.53515625" style="2" customWidth="1"/>
    <col min="2534" max="2534" width="1" style="2" customWidth="1"/>
    <col min="2535" max="2535" width="18" style="2" customWidth="1"/>
    <col min="2536" max="2536" width="1.84375" style="2" customWidth="1"/>
    <col min="2537" max="2537" width="12.53515625" style="2" customWidth="1"/>
    <col min="2538" max="2538" width="1.53515625" style="2" customWidth="1"/>
    <col min="2539" max="2539" width="9.53515625" style="2" customWidth="1"/>
    <col min="2540" max="2540" width="1.84375" style="2" customWidth="1"/>
    <col min="2541" max="2541" width="11.84375" style="2" customWidth="1"/>
    <col min="2542" max="2542" width="1.53515625" style="2" customWidth="1"/>
    <col min="2543" max="2543" width="10.07421875" style="2" customWidth="1"/>
    <col min="2544" max="2544" width="2" style="2" customWidth="1"/>
    <col min="2545" max="2545" width="9.53515625" style="2" customWidth="1"/>
    <col min="2546" max="2788" width="8.84375" style="2"/>
    <col min="2789" max="2789" width="4.53515625" style="2" customWidth="1"/>
    <col min="2790" max="2790" width="1" style="2" customWidth="1"/>
    <col min="2791" max="2791" width="18" style="2" customWidth="1"/>
    <col min="2792" max="2792" width="1.84375" style="2" customWidth="1"/>
    <col min="2793" max="2793" width="12.53515625" style="2" customWidth="1"/>
    <col min="2794" max="2794" width="1.53515625" style="2" customWidth="1"/>
    <col min="2795" max="2795" width="9.53515625" style="2" customWidth="1"/>
    <col min="2796" max="2796" width="1.84375" style="2" customWidth="1"/>
    <col min="2797" max="2797" width="11.84375" style="2" customWidth="1"/>
    <col min="2798" max="2798" width="1.53515625" style="2" customWidth="1"/>
    <col min="2799" max="2799" width="10.07421875" style="2" customWidth="1"/>
    <col min="2800" max="2800" width="2" style="2" customWidth="1"/>
    <col min="2801" max="2801" width="9.53515625" style="2" customWidth="1"/>
    <col min="2802" max="3044" width="8.84375" style="2"/>
    <col min="3045" max="3045" width="4.53515625" style="2" customWidth="1"/>
    <col min="3046" max="3046" width="1" style="2" customWidth="1"/>
    <col min="3047" max="3047" width="18" style="2" customWidth="1"/>
    <col min="3048" max="3048" width="1.84375" style="2" customWidth="1"/>
    <col min="3049" max="3049" width="12.53515625" style="2" customWidth="1"/>
    <col min="3050" max="3050" width="1.53515625" style="2" customWidth="1"/>
    <col min="3051" max="3051" width="9.53515625" style="2" customWidth="1"/>
    <col min="3052" max="3052" width="1.84375" style="2" customWidth="1"/>
    <col min="3053" max="3053" width="11.84375" style="2" customWidth="1"/>
    <col min="3054" max="3054" width="1.53515625" style="2" customWidth="1"/>
    <col min="3055" max="3055" width="10.07421875" style="2" customWidth="1"/>
    <col min="3056" max="3056" width="2" style="2" customWidth="1"/>
    <col min="3057" max="3057" width="9.53515625" style="2" customWidth="1"/>
    <col min="3058" max="3300" width="8.84375" style="2"/>
    <col min="3301" max="3301" width="4.53515625" style="2" customWidth="1"/>
    <col min="3302" max="3302" width="1" style="2" customWidth="1"/>
    <col min="3303" max="3303" width="18" style="2" customWidth="1"/>
    <col min="3304" max="3304" width="1.84375" style="2" customWidth="1"/>
    <col min="3305" max="3305" width="12.53515625" style="2" customWidth="1"/>
    <col min="3306" max="3306" width="1.53515625" style="2" customWidth="1"/>
    <col min="3307" max="3307" width="9.53515625" style="2" customWidth="1"/>
    <col min="3308" max="3308" width="1.84375" style="2" customWidth="1"/>
    <col min="3309" max="3309" width="11.84375" style="2" customWidth="1"/>
    <col min="3310" max="3310" width="1.53515625" style="2" customWidth="1"/>
    <col min="3311" max="3311" width="10.07421875" style="2" customWidth="1"/>
    <col min="3312" max="3312" width="2" style="2" customWidth="1"/>
    <col min="3313" max="3313" width="9.53515625" style="2" customWidth="1"/>
    <col min="3314" max="3556" width="8.84375" style="2"/>
    <col min="3557" max="3557" width="4.53515625" style="2" customWidth="1"/>
    <col min="3558" max="3558" width="1" style="2" customWidth="1"/>
    <col min="3559" max="3559" width="18" style="2" customWidth="1"/>
    <col min="3560" max="3560" width="1.84375" style="2" customWidth="1"/>
    <col min="3561" max="3561" width="12.53515625" style="2" customWidth="1"/>
    <col min="3562" max="3562" width="1.53515625" style="2" customWidth="1"/>
    <col min="3563" max="3563" width="9.53515625" style="2" customWidth="1"/>
    <col min="3564" max="3564" width="1.84375" style="2" customWidth="1"/>
    <col min="3565" max="3565" width="11.84375" style="2" customWidth="1"/>
    <col min="3566" max="3566" width="1.53515625" style="2" customWidth="1"/>
    <col min="3567" max="3567" width="10.07421875" style="2" customWidth="1"/>
    <col min="3568" max="3568" width="2" style="2" customWidth="1"/>
    <col min="3569" max="3569" width="9.53515625" style="2" customWidth="1"/>
    <col min="3570" max="3812" width="8.84375" style="2"/>
    <col min="3813" max="3813" width="4.53515625" style="2" customWidth="1"/>
    <col min="3814" max="3814" width="1" style="2" customWidth="1"/>
    <col min="3815" max="3815" width="18" style="2" customWidth="1"/>
    <col min="3816" max="3816" width="1.84375" style="2" customWidth="1"/>
    <col min="3817" max="3817" width="12.53515625" style="2" customWidth="1"/>
    <col min="3818" max="3818" width="1.53515625" style="2" customWidth="1"/>
    <col min="3819" max="3819" width="9.53515625" style="2" customWidth="1"/>
    <col min="3820" max="3820" width="1.84375" style="2" customWidth="1"/>
    <col min="3821" max="3821" width="11.84375" style="2" customWidth="1"/>
    <col min="3822" max="3822" width="1.53515625" style="2" customWidth="1"/>
    <col min="3823" max="3823" width="10.07421875" style="2" customWidth="1"/>
    <col min="3824" max="3824" width="2" style="2" customWidth="1"/>
    <col min="3825" max="3825" width="9.53515625" style="2" customWidth="1"/>
    <col min="3826" max="4068" width="8.84375" style="2"/>
    <col min="4069" max="4069" width="4.53515625" style="2" customWidth="1"/>
    <col min="4070" max="4070" width="1" style="2" customWidth="1"/>
    <col min="4071" max="4071" width="18" style="2" customWidth="1"/>
    <col min="4072" max="4072" width="1.84375" style="2" customWidth="1"/>
    <col min="4073" max="4073" width="12.53515625" style="2" customWidth="1"/>
    <col min="4074" max="4074" width="1.53515625" style="2" customWidth="1"/>
    <col min="4075" max="4075" width="9.53515625" style="2" customWidth="1"/>
    <col min="4076" max="4076" width="1.84375" style="2" customWidth="1"/>
    <col min="4077" max="4077" width="11.84375" style="2" customWidth="1"/>
    <col min="4078" max="4078" width="1.53515625" style="2" customWidth="1"/>
    <col min="4079" max="4079" width="10.07421875" style="2" customWidth="1"/>
    <col min="4080" max="4080" width="2" style="2" customWidth="1"/>
    <col min="4081" max="4081" width="9.53515625" style="2" customWidth="1"/>
    <col min="4082" max="4324" width="8.84375" style="2"/>
    <col min="4325" max="4325" width="4.53515625" style="2" customWidth="1"/>
    <col min="4326" max="4326" width="1" style="2" customWidth="1"/>
    <col min="4327" max="4327" width="18" style="2" customWidth="1"/>
    <col min="4328" max="4328" width="1.84375" style="2" customWidth="1"/>
    <col min="4329" max="4329" width="12.53515625" style="2" customWidth="1"/>
    <col min="4330" max="4330" width="1.53515625" style="2" customWidth="1"/>
    <col min="4331" max="4331" width="9.53515625" style="2" customWidth="1"/>
    <col min="4332" max="4332" width="1.84375" style="2" customWidth="1"/>
    <col min="4333" max="4333" width="11.84375" style="2" customWidth="1"/>
    <col min="4334" max="4334" width="1.53515625" style="2" customWidth="1"/>
    <col min="4335" max="4335" width="10.07421875" style="2" customWidth="1"/>
    <col min="4336" max="4336" width="2" style="2" customWidth="1"/>
    <col min="4337" max="4337" width="9.53515625" style="2" customWidth="1"/>
    <col min="4338" max="4580" width="8.84375" style="2"/>
    <col min="4581" max="4581" width="4.53515625" style="2" customWidth="1"/>
    <col min="4582" max="4582" width="1" style="2" customWidth="1"/>
    <col min="4583" max="4583" width="18" style="2" customWidth="1"/>
    <col min="4584" max="4584" width="1.84375" style="2" customWidth="1"/>
    <col min="4585" max="4585" width="12.53515625" style="2" customWidth="1"/>
    <col min="4586" max="4586" width="1.53515625" style="2" customWidth="1"/>
    <col min="4587" max="4587" width="9.53515625" style="2" customWidth="1"/>
    <col min="4588" max="4588" width="1.84375" style="2" customWidth="1"/>
    <col min="4589" max="4589" width="11.84375" style="2" customWidth="1"/>
    <col min="4590" max="4590" width="1.53515625" style="2" customWidth="1"/>
    <col min="4591" max="4591" width="10.07421875" style="2" customWidth="1"/>
    <col min="4592" max="4592" width="2" style="2" customWidth="1"/>
    <col min="4593" max="4593" width="9.53515625" style="2" customWidth="1"/>
    <col min="4594" max="4836" width="8.84375" style="2"/>
    <col min="4837" max="4837" width="4.53515625" style="2" customWidth="1"/>
    <col min="4838" max="4838" width="1" style="2" customWidth="1"/>
    <col min="4839" max="4839" width="18" style="2" customWidth="1"/>
    <col min="4840" max="4840" width="1.84375" style="2" customWidth="1"/>
    <col min="4841" max="4841" width="12.53515625" style="2" customWidth="1"/>
    <col min="4842" max="4842" width="1.53515625" style="2" customWidth="1"/>
    <col min="4843" max="4843" width="9.53515625" style="2" customWidth="1"/>
    <col min="4844" max="4844" width="1.84375" style="2" customWidth="1"/>
    <col min="4845" max="4845" width="11.84375" style="2" customWidth="1"/>
    <col min="4846" max="4846" width="1.53515625" style="2" customWidth="1"/>
    <col min="4847" max="4847" width="10.07421875" style="2" customWidth="1"/>
    <col min="4848" max="4848" width="2" style="2" customWidth="1"/>
    <col min="4849" max="4849" width="9.53515625" style="2" customWidth="1"/>
    <col min="4850" max="5092" width="8.84375" style="2"/>
    <col min="5093" max="5093" width="4.53515625" style="2" customWidth="1"/>
    <col min="5094" max="5094" width="1" style="2" customWidth="1"/>
    <col min="5095" max="5095" width="18" style="2" customWidth="1"/>
    <col min="5096" max="5096" width="1.84375" style="2" customWidth="1"/>
    <col min="5097" max="5097" width="12.53515625" style="2" customWidth="1"/>
    <col min="5098" max="5098" width="1.53515625" style="2" customWidth="1"/>
    <col min="5099" max="5099" width="9.53515625" style="2" customWidth="1"/>
    <col min="5100" max="5100" width="1.84375" style="2" customWidth="1"/>
    <col min="5101" max="5101" width="11.84375" style="2" customWidth="1"/>
    <col min="5102" max="5102" width="1.53515625" style="2" customWidth="1"/>
    <col min="5103" max="5103" width="10.07421875" style="2" customWidth="1"/>
    <col min="5104" max="5104" width="2" style="2" customWidth="1"/>
    <col min="5105" max="5105" width="9.53515625" style="2" customWidth="1"/>
    <col min="5106" max="5348" width="8.84375" style="2"/>
    <col min="5349" max="5349" width="4.53515625" style="2" customWidth="1"/>
    <col min="5350" max="5350" width="1" style="2" customWidth="1"/>
    <col min="5351" max="5351" width="18" style="2" customWidth="1"/>
    <col min="5352" max="5352" width="1.84375" style="2" customWidth="1"/>
    <col min="5353" max="5353" width="12.53515625" style="2" customWidth="1"/>
    <col min="5354" max="5354" width="1.53515625" style="2" customWidth="1"/>
    <col min="5355" max="5355" width="9.53515625" style="2" customWidth="1"/>
    <col min="5356" max="5356" width="1.84375" style="2" customWidth="1"/>
    <col min="5357" max="5357" width="11.84375" style="2" customWidth="1"/>
    <col min="5358" max="5358" width="1.53515625" style="2" customWidth="1"/>
    <col min="5359" max="5359" width="10.07421875" style="2" customWidth="1"/>
    <col min="5360" max="5360" width="2" style="2" customWidth="1"/>
    <col min="5361" max="5361" width="9.53515625" style="2" customWidth="1"/>
    <col min="5362" max="5604" width="8.84375" style="2"/>
    <col min="5605" max="5605" width="4.53515625" style="2" customWidth="1"/>
    <col min="5606" max="5606" width="1" style="2" customWidth="1"/>
    <col min="5607" max="5607" width="18" style="2" customWidth="1"/>
    <col min="5608" max="5608" width="1.84375" style="2" customWidth="1"/>
    <col min="5609" max="5609" width="12.53515625" style="2" customWidth="1"/>
    <col min="5610" max="5610" width="1.53515625" style="2" customWidth="1"/>
    <col min="5611" max="5611" width="9.53515625" style="2" customWidth="1"/>
    <col min="5612" max="5612" width="1.84375" style="2" customWidth="1"/>
    <col min="5613" max="5613" width="11.84375" style="2" customWidth="1"/>
    <col min="5614" max="5614" width="1.53515625" style="2" customWidth="1"/>
    <col min="5615" max="5615" width="10.07421875" style="2" customWidth="1"/>
    <col min="5616" max="5616" width="2" style="2" customWidth="1"/>
    <col min="5617" max="5617" width="9.53515625" style="2" customWidth="1"/>
    <col min="5618" max="5860" width="8.84375" style="2"/>
    <col min="5861" max="5861" width="4.53515625" style="2" customWidth="1"/>
    <col min="5862" max="5862" width="1" style="2" customWidth="1"/>
    <col min="5863" max="5863" width="18" style="2" customWidth="1"/>
    <col min="5864" max="5864" width="1.84375" style="2" customWidth="1"/>
    <col min="5865" max="5865" width="12.53515625" style="2" customWidth="1"/>
    <col min="5866" max="5866" width="1.53515625" style="2" customWidth="1"/>
    <col min="5867" max="5867" width="9.53515625" style="2" customWidth="1"/>
    <col min="5868" max="5868" width="1.84375" style="2" customWidth="1"/>
    <col min="5869" max="5869" width="11.84375" style="2" customWidth="1"/>
    <col min="5870" max="5870" width="1.53515625" style="2" customWidth="1"/>
    <col min="5871" max="5871" width="10.07421875" style="2" customWidth="1"/>
    <col min="5872" max="5872" width="2" style="2" customWidth="1"/>
    <col min="5873" max="5873" width="9.53515625" style="2" customWidth="1"/>
    <col min="5874" max="6116" width="8.84375" style="2"/>
    <col min="6117" max="6117" width="4.53515625" style="2" customWidth="1"/>
    <col min="6118" max="6118" width="1" style="2" customWidth="1"/>
    <col min="6119" max="6119" width="18" style="2" customWidth="1"/>
    <col min="6120" max="6120" width="1.84375" style="2" customWidth="1"/>
    <col min="6121" max="6121" width="12.53515625" style="2" customWidth="1"/>
    <col min="6122" max="6122" width="1.53515625" style="2" customWidth="1"/>
    <col min="6123" max="6123" width="9.53515625" style="2" customWidth="1"/>
    <col min="6124" max="6124" width="1.84375" style="2" customWidth="1"/>
    <col min="6125" max="6125" width="11.84375" style="2" customWidth="1"/>
    <col min="6126" max="6126" width="1.53515625" style="2" customWidth="1"/>
    <col min="6127" max="6127" width="10.07421875" style="2" customWidth="1"/>
    <col min="6128" max="6128" width="2" style="2" customWidth="1"/>
    <col min="6129" max="6129" width="9.53515625" style="2" customWidth="1"/>
    <col min="6130" max="6372" width="8.84375" style="2"/>
    <col min="6373" max="6373" width="4.53515625" style="2" customWidth="1"/>
    <col min="6374" max="6374" width="1" style="2" customWidth="1"/>
    <col min="6375" max="6375" width="18" style="2" customWidth="1"/>
    <col min="6376" max="6376" width="1.84375" style="2" customWidth="1"/>
    <col min="6377" max="6377" width="12.53515625" style="2" customWidth="1"/>
    <col min="6378" max="6378" width="1.53515625" style="2" customWidth="1"/>
    <col min="6379" max="6379" width="9.53515625" style="2" customWidth="1"/>
    <col min="6380" max="6380" width="1.84375" style="2" customWidth="1"/>
    <col min="6381" max="6381" width="11.84375" style="2" customWidth="1"/>
    <col min="6382" max="6382" width="1.53515625" style="2" customWidth="1"/>
    <col min="6383" max="6383" width="10.07421875" style="2" customWidth="1"/>
    <col min="6384" max="6384" width="2" style="2" customWidth="1"/>
    <col min="6385" max="6385" width="9.53515625" style="2" customWidth="1"/>
    <col min="6386" max="6628" width="8.84375" style="2"/>
    <col min="6629" max="6629" width="4.53515625" style="2" customWidth="1"/>
    <col min="6630" max="6630" width="1" style="2" customWidth="1"/>
    <col min="6631" max="6631" width="18" style="2" customWidth="1"/>
    <col min="6632" max="6632" width="1.84375" style="2" customWidth="1"/>
    <col min="6633" max="6633" width="12.53515625" style="2" customWidth="1"/>
    <col min="6634" max="6634" width="1.53515625" style="2" customWidth="1"/>
    <col min="6635" max="6635" width="9.53515625" style="2" customWidth="1"/>
    <col min="6636" max="6636" width="1.84375" style="2" customWidth="1"/>
    <col min="6637" max="6637" width="11.84375" style="2" customWidth="1"/>
    <col min="6638" max="6638" width="1.53515625" style="2" customWidth="1"/>
    <col min="6639" max="6639" width="10.07421875" style="2" customWidth="1"/>
    <col min="6640" max="6640" width="2" style="2" customWidth="1"/>
    <col min="6641" max="6641" width="9.53515625" style="2" customWidth="1"/>
    <col min="6642" max="6884" width="8.84375" style="2"/>
    <col min="6885" max="6885" width="4.53515625" style="2" customWidth="1"/>
    <col min="6886" max="6886" width="1" style="2" customWidth="1"/>
    <col min="6887" max="6887" width="18" style="2" customWidth="1"/>
    <col min="6888" max="6888" width="1.84375" style="2" customWidth="1"/>
    <col min="6889" max="6889" width="12.53515625" style="2" customWidth="1"/>
    <col min="6890" max="6890" width="1.53515625" style="2" customWidth="1"/>
    <col min="6891" max="6891" width="9.53515625" style="2" customWidth="1"/>
    <col min="6892" max="6892" width="1.84375" style="2" customWidth="1"/>
    <col min="6893" max="6893" width="11.84375" style="2" customWidth="1"/>
    <col min="6894" max="6894" width="1.53515625" style="2" customWidth="1"/>
    <col min="6895" max="6895" width="10.07421875" style="2" customWidth="1"/>
    <col min="6896" max="6896" width="2" style="2" customWidth="1"/>
    <col min="6897" max="6897" width="9.53515625" style="2" customWidth="1"/>
    <col min="6898" max="7140" width="8.84375" style="2"/>
    <col min="7141" max="7141" width="4.53515625" style="2" customWidth="1"/>
    <col min="7142" max="7142" width="1" style="2" customWidth="1"/>
    <col min="7143" max="7143" width="18" style="2" customWidth="1"/>
    <col min="7144" max="7144" width="1.84375" style="2" customWidth="1"/>
    <col min="7145" max="7145" width="12.53515625" style="2" customWidth="1"/>
    <col min="7146" max="7146" width="1.53515625" style="2" customWidth="1"/>
    <col min="7147" max="7147" width="9.53515625" style="2" customWidth="1"/>
    <col min="7148" max="7148" width="1.84375" style="2" customWidth="1"/>
    <col min="7149" max="7149" width="11.84375" style="2" customWidth="1"/>
    <col min="7150" max="7150" width="1.53515625" style="2" customWidth="1"/>
    <col min="7151" max="7151" width="10.07421875" style="2" customWidth="1"/>
    <col min="7152" max="7152" width="2" style="2" customWidth="1"/>
    <col min="7153" max="7153" width="9.53515625" style="2" customWidth="1"/>
    <col min="7154" max="7396" width="8.84375" style="2"/>
    <col min="7397" max="7397" width="4.53515625" style="2" customWidth="1"/>
    <col min="7398" max="7398" width="1" style="2" customWidth="1"/>
    <col min="7399" max="7399" width="18" style="2" customWidth="1"/>
    <col min="7400" max="7400" width="1.84375" style="2" customWidth="1"/>
    <col min="7401" max="7401" width="12.53515625" style="2" customWidth="1"/>
    <col min="7402" max="7402" width="1.53515625" style="2" customWidth="1"/>
    <col min="7403" max="7403" width="9.53515625" style="2" customWidth="1"/>
    <col min="7404" max="7404" width="1.84375" style="2" customWidth="1"/>
    <col min="7405" max="7405" width="11.84375" style="2" customWidth="1"/>
    <col min="7406" max="7406" width="1.53515625" style="2" customWidth="1"/>
    <col min="7407" max="7407" width="10.07421875" style="2" customWidth="1"/>
    <col min="7408" max="7408" width="2" style="2" customWidth="1"/>
    <col min="7409" max="7409" width="9.53515625" style="2" customWidth="1"/>
    <col min="7410" max="7652" width="8.84375" style="2"/>
    <col min="7653" max="7653" width="4.53515625" style="2" customWidth="1"/>
    <col min="7654" max="7654" width="1" style="2" customWidth="1"/>
    <col min="7655" max="7655" width="18" style="2" customWidth="1"/>
    <col min="7656" max="7656" width="1.84375" style="2" customWidth="1"/>
    <col min="7657" max="7657" width="12.53515625" style="2" customWidth="1"/>
    <col min="7658" max="7658" width="1.53515625" style="2" customWidth="1"/>
    <col min="7659" max="7659" width="9.53515625" style="2" customWidth="1"/>
    <col min="7660" max="7660" width="1.84375" style="2" customWidth="1"/>
    <col min="7661" max="7661" width="11.84375" style="2" customWidth="1"/>
    <col min="7662" max="7662" width="1.53515625" style="2" customWidth="1"/>
    <col min="7663" max="7663" width="10.07421875" style="2" customWidth="1"/>
    <col min="7664" max="7664" width="2" style="2" customWidth="1"/>
    <col min="7665" max="7665" width="9.53515625" style="2" customWidth="1"/>
    <col min="7666" max="7908" width="8.84375" style="2"/>
    <col min="7909" max="7909" width="4.53515625" style="2" customWidth="1"/>
    <col min="7910" max="7910" width="1" style="2" customWidth="1"/>
    <col min="7911" max="7911" width="18" style="2" customWidth="1"/>
    <col min="7912" max="7912" width="1.84375" style="2" customWidth="1"/>
    <col min="7913" max="7913" width="12.53515625" style="2" customWidth="1"/>
    <col min="7914" max="7914" width="1.53515625" style="2" customWidth="1"/>
    <col min="7915" max="7915" width="9.53515625" style="2" customWidth="1"/>
    <col min="7916" max="7916" width="1.84375" style="2" customWidth="1"/>
    <col min="7917" max="7917" width="11.84375" style="2" customWidth="1"/>
    <col min="7918" max="7918" width="1.53515625" style="2" customWidth="1"/>
    <col min="7919" max="7919" width="10.07421875" style="2" customWidth="1"/>
    <col min="7920" max="7920" width="2" style="2" customWidth="1"/>
    <col min="7921" max="7921" width="9.53515625" style="2" customWidth="1"/>
    <col min="7922" max="8164" width="8.84375" style="2"/>
    <col min="8165" max="8165" width="4.53515625" style="2" customWidth="1"/>
    <col min="8166" max="8166" width="1" style="2" customWidth="1"/>
    <col min="8167" max="8167" width="18" style="2" customWidth="1"/>
    <col min="8168" max="8168" width="1.84375" style="2" customWidth="1"/>
    <col min="8169" max="8169" width="12.53515625" style="2" customWidth="1"/>
    <col min="8170" max="8170" width="1.53515625" style="2" customWidth="1"/>
    <col min="8171" max="8171" width="9.53515625" style="2" customWidth="1"/>
    <col min="8172" max="8172" width="1.84375" style="2" customWidth="1"/>
    <col min="8173" max="8173" width="11.84375" style="2" customWidth="1"/>
    <col min="8174" max="8174" width="1.53515625" style="2" customWidth="1"/>
    <col min="8175" max="8175" width="10.07421875" style="2" customWidth="1"/>
    <col min="8176" max="8176" width="2" style="2" customWidth="1"/>
    <col min="8177" max="8177" width="9.53515625" style="2" customWidth="1"/>
    <col min="8178" max="8420" width="8.84375" style="2"/>
    <col min="8421" max="8421" width="4.53515625" style="2" customWidth="1"/>
    <col min="8422" max="8422" width="1" style="2" customWidth="1"/>
    <col min="8423" max="8423" width="18" style="2" customWidth="1"/>
    <col min="8424" max="8424" width="1.84375" style="2" customWidth="1"/>
    <col min="8425" max="8425" width="12.53515625" style="2" customWidth="1"/>
    <col min="8426" max="8426" width="1.53515625" style="2" customWidth="1"/>
    <col min="8427" max="8427" width="9.53515625" style="2" customWidth="1"/>
    <col min="8428" max="8428" width="1.84375" style="2" customWidth="1"/>
    <col min="8429" max="8429" width="11.84375" style="2" customWidth="1"/>
    <col min="8430" max="8430" width="1.53515625" style="2" customWidth="1"/>
    <col min="8431" max="8431" width="10.07421875" style="2" customWidth="1"/>
    <col min="8432" max="8432" width="2" style="2" customWidth="1"/>
    <col min="8433" max="8433" width="9.53515625" style="2" customWidth="1"/>
    <col min="8434" max="8676" width="8.84375" style="2"/>
    <col min="8677" max="8677" width="4.53515625" style="2" customWidth="1"/>
    <col min="8678" max="8678" width="1" style="2" customWidth="1"/>
    <col min="8679" max="8679" width="18" style="2" customWidth="1"/>
    <col min="8680" max="8680" width="1.84375" style="2" customWidth="1"/>
    <col min="8681" max="8681" width="12.53515625" style="2" customWidth="1"/>
    <col min="8682" max="8682" width="1.53515625" style="2" customWidth="1"/>
    <col min="8683" max="8683" width="9.53515625" style="2" customWidth="1"/>
    <col min="8684" max="8684" width="1.84375" style="2" customWidth="1"/>
    <col min="8685" max="8685" width="11.84375" style="2" customWidth="1"/>
    <col min="8686" max="8686" width="1.53515625" style="2" customWidth="1"/>
    <col min="8687" max="8687" width="10.07421875" style="2" customWidth="1"/>
    <col min="8688" max="8688" width="2" style="2" customWidth="1"/>
    <col min="8689" max="8689" width="9.53515625" style="2" customWidth="1"/>
    <col min="8690" max="8932" width="8.84375" style="2"/>
    <col min="8933" max="8933" width="4.53515625" style="2" customWidth="1"/>
    <col min="8934" max="8934" width="1" style="2" customWidth="1"/>
    <col min="8935" max="8935" width="18" style="2" customWidth="1"/>
    <col min="8936" max="8936" width="1.84375" style="2" customWidth="1"/>
    <col min="8937" max="8937" width="12.53515625" style="2" customWidth="1"/>
    <col min="8938" max="8938" width="1.53515625" style="2" customWidth="1"/>
    <col min="8939" max="8939" width="9.53515625" style="2" customWidth="1"/>
    <col min="8940" max="8940" width="1.84375" style="2" customWidth="1"/>
    <col min="8941" max="8941" width="11.84375" style="2" customWidth="1"/>
    <col min="8942" max="8942" width="1.53515625" style="2" customWidth="1"/>
    <col min="8943" max="8943" width="10.07421875" style="2" customWidth="1"/>
    <col min="8944" max="8944" width="2" style="2" customWidth="1"/>
    <col min="8945" max="8945" width="9.53515625" style="2" customWidth="1"/>
    <col min="8946" max="9188" width="8.84375" style="2"/>
    <col min="9189" max="9189" width="4.53515625" style="2" customWidth="1"/>
    <col min="9190" max="9190" width="1" style="2" customWidth="1"/>
    <col min="9191" max="9191" width="18" style="2" customWidth="1"/>
    <col min="9192" max="9192" width="1.84375" style="2" customWidth="1"/>
    <col min="9193" max="9193" width="12.53515625" style="2" customWidth="1"/>
    <col min="9194" max="9194" width="1.53515625" style="2" customWidth="1"/>
    <col min="9195" max="9195" width="9.53515625" style="2" customWidth="1"/>
    <col min="9196" max="9196" width="1.84375" style="2" customWidth="1"/>
    <col min="9197" max="9197" width="11.84375" style="2" customWidth="1"/>
    <col min="9198" max="9198" width="1.53515625" style="2" customWidth="1"/>
    <col min="9199" max="9199" width="10.07421875" style="2" customWidth="1"/>
    <col min="9200" max="9200" width="2" style="2" customWidth="1"/>
    <col min="9201" max="9201" width="9.53515625" style="2" customWidth="1"/>
    <col min="9202" max="9444" width="8.84375" style="2"/>
    <col min="9445" max="9445" width="4.53515625" style="2" customWidth="1"/>
    <col min="9446" max="9446" width="1" style="2" customWidth="1"/>
    <col min="9447" max="9447" width="18" style="2" customWidth="1"/>
    <col min="9448" max="9448" width="1.84375" style="2" customWidth="1"/>
    <col min="9449" max="9449" width="12.53515625" style="2" customWidth="1"/>
    <col min="9450" max="9450" width="1.53515625" style="2" customWidth="1"/>
    <col min="9451" max="9451" width="9.53515625" style="2" customWidth="1"/>
    <col min="9452" max="9452" width="1.84375" style="2" customWidth="1"/>
    <col min="9453" max="9453" width="11.84375" style="2" customWidth="1"/>
    <col min="9454" max="9454" width="1.53515625" style="2" customWidth="1"/>
    <col min="9455" max="9455" width="10.07421875" style="2" customWidth="1"/>
    <col min="9456" max="9456" width="2" style="2" customWidth="1"/>
    <col min="9457" max="9457" width="9.53515625" style="2" customWidth="1"/>
    <col min="9458" max="9700" width="8.84375" style="2"/>
    <col min="9701" max="9701" width="4.53515625" style="2" customWidth="1"/>
    <col min="9702" max="9702" width="1" style="2" customWidth="1"/>
    <col min="9703" max="9703" width="18" style="2" customWidth="1"/>
    <col min="9704" max="9704" width="1.84375" style="2" customWidth="1"/>
    <col min="9705" max="9705" width="12.53515625" style="2" customWidth="1"/>
    <col min="9706" max="9706" width="1.53515625" style="2" customWidth="1"/>
    <col min="9707" max="9707" width="9.53515625" style="2" customWidth="1"/>
    <col min="9708" max="9708" width="1.84375" style="2" customWidth="1"/>
    <col min="9709" max="9709" width="11.84375" style="2" customWidth="1"/>
    <col min="9710" max="9710" width="1.53515625" style="2" customWidth="1"/>
    <col min="9711" max="9711" width="10.07421875" style="2" customWidth="1"/>
    <col min="9712" max="9712" width="2" style="2" customWidth="1"/>
    <col min="9713" max="9713" width="9.53515625" style="2" customWidth="1"/>
    <col min="9714" max="9956" width="8.84375" style="2"/>
    <col min="9957" max="9957" width="4.53515625" style="2" customWidth="1"/>
    <col min="9958" max="9958" width="1" style="2" customWidth="1"/>
    <col min="9959" max="9959" width="18" style="2" customWidth="1"/>
    <col min="9960" max="9960" width="1.84375" style="2" customWidth="1"/>
    <col min="9961" max="9961" width="12.53515625" style="2" customWidth="1"/>
    <col min="9962" max="9962" width="1.53515625" style="2" customWidth="1"/>
    <col min="9963" max="9963" width="9.53515625" style="2" customWidth="1"/>
    <col min="9964" max="9964" width="1.84375" style="2" customWidth="1"/>
    <col min="9965" max="9965" width="11.84375" style="2" customWidth="1"/>
    <col min="9966" max="9966" width="1.53515625" style="2" customWidth="1"/>
    <col min="9967" max="9967" width="10.07421875" style="2" customWidth="1"/>
    <col min="9968" max="9968" width="2" style="2" customWidth="1"/>
    <col min="9969" max="9969" width="9.53515625" style="2" customWidth="1"/>
    <col min="9970" max="10212" width="8.84375" style="2"/>
    <col min="10213" max="10213" width="4.53515625" style="2" customWidth="1"/>
    <col min="10214" max="10214" width="1" style="2" customWidth="1"/>
    <col min="10215" max="10215" width="18" style="2" customWidth="1"/>
    <col min="10216" max="10216" width="1.84375" style="2" customWidth="1"/>
    <col min="10217" max="10217" width="12.53515625" style="2" customWidth="1"/>
    <col min="10218" max="10218" width="1.53515625" style="2" customWidth="1"/>
    <col min="10219" max="10219" width="9.53515625" style="2" customWidth="1"/>
    <col min="10220" max="10220" width="1.84375" style="2" customWidth="1"/>
    <col min="10221" max="10221" width="11.84375" style="2" customWidth="1"/>
    <col min="10222" max="10222" width="1.53515625" style="2" customWidth="1"/>
    <col min="10223" max="10223" width="10.07421875" style="2" customWidth="1"/>
    <col min="10224" max="10224" width="2" style="2" customWidth="1"/>
    <col min="10225" max="10225" width="9.53515625" style="2" customWidth="1"/>
    <col min="10226" max="10468" width="8.84375" style="2"/>
    <col min="10469" max="10469" width="4.53515625" style="2" customWidth="1"/>
    <col min="10470" max="10470" width="1" style="2" customWidth="1"/>
    <col min="10471" max="10471" width="18" style="2" customWidth="1"/>
    <col min="10472" max="10472" width="1.84375" style="2" customWidth="1"/>
    <col min="10473" max="10473" width="12.53515625" style="2" customWidth="1"/>
    <col min="10474" max="10474" width="1.53515625" style="2" customWidth="1"/>
    <col min="10475" max="10475" width="9.53515625" style="2" customWidth="1"/>
    <col min="10476" max="10476" width="1.84375" style="2" customWidth="1"/>
    <col min="10477" max="10477" width="11.84375" style="2" customWidth="1"/>
    <col min="10478" max="10478" width="1.53515625" style="2" customWidth="1"/>
    <col min="10479" max="10479" width="10.07421875" style="2" customWidth="1"/>
    <col min="10480" max="10480" width="2" style="2" customWidth="1"/>
    <col min="10481" max="10481" width="9.53515625" style="2" customWidth="1"/>
    <col min="10482" max="10724" width="8.84375" style="2"/>
    <col min="10725" max="10725" width="4.53515625" style="2" customWidth="1"/>
    <col min="10726" max="10726" width="1" style="2" customWidth="1"/>
    <col min="10727" max="10727" width="18" style="2" customWidth="1"/>
    <col min="10728" max="10728" width="1.84375" style="2" customWidth="1"/>
    <col min="10729" max="10729" width="12.53515625" style="2" customWidth="1"/>
    <col min="10730" max="10730" width="1.53515625" style="2" customWidth="1"/>
    <col min="10731" max="10731" width="9.53515625" style="2" customWidth="1"/>
    <col min="10732" max="10732" width="1.84375" style="2" customWidth="1"/>
    <col min="10733" max="10733" width="11.84375" style="2" customWidth="1"/>
    <col min="10734" max="10734" width="1.53515625" style="2" customWidth="1"/>
    <col min="10735" max="10735" width="10.07421875" style="2" customWidth="1"/>
    <col min="10736" max="10736" width="2" style="2" customWidth="1"/>
    <col min="10737" max="10737" width="9.53515625" style="2" customWidth="1"/>
    <col min="10738" max="10980" width="8.84375" style="2"/>
    <col min="10981" max="10981" width="4.53515625" style="2" customWidth="1"/>
    <col min="10982" max="10982" width="1" style="2" customWidth="1"/>
    <col min="10983" max="10983" width="18" style="2" customWidth="1"/>
    <col min="10984" max="10984" width="1.84375" style="2" customWidth="1"/>
    <col min="10985" max="10985" width="12.53515625" style="2" customWidth="1"/>
    <col min="10986" max="10986" width="1.53515625" style="2" customWidth="1"/>
    <col min="10987" max="10987" width="9.53515625" style="2" customWidth="1"/>
    <col min="10988" max="10988" width="1.84375" style="2" customWidth="1"/>
    <col min="10989" max="10989" width="11.84375" style="2" customWidth="1"/>
    <col min="10990" max="10990" width="1.53515625" style="2" customWidth="1"/>
    <col min="10991" max="10991" width="10.07421875" style="2" customWidth="1"/>
    <col min="10992" max="10992" width="2" style="2" customWidth="1"/>
    <col min="10993" max="10993" width="9.53515625" style="2" customWidth="1"/>
    <col min="10994" max="11236" width="8.84375" style="2"/>
    <col min="11237" max="11237" width="4.53515625" style="2" customWidth="1"/>
    <col min="11238" max="11238" width="1" style="2" customWidth="1"/>
    <col min="11239" max="11239" width="18" style="2" customWidth="1"/>
    <col min="11240" max="11240" width="1.84375" style="2" customWidth="1"/>
    <col min="11241" max="11241" width="12.53515625" style="2" customWidth="1"/>
    <col min="11242" max="11242" width="1.53515625" style="2" customWidth="1"/>
    <col min="11243" max="11243" width="9.53515625" style="2" customWidth="1"/>
    <col min="11244" max="11244" width="1.84375" style="2" customWidth="1"/>
    <col min="11245" max="11245" width="11.84375" style="2" customWidth="1"/>
    <col min="11246" max="11246" width="1.53515625" style="2" customWidth="1"/>
    <col min="11247" max="11247" width="10.07421875" style="2" customWidth="1"/>
    <col min="11248" max="11248" width="2" style="2" customWidth="1"/>
    <col min="11249" max="11249" width="9.53515625" style="2" customWidth="1"/>
    <col min="11250" max="11492" width="8.84375" style="2"/>
    <col min="11493" max="11493" width="4.53515625" style="2" customWidth="1"/>
    <col min="11494" max="11494" width="1" style="2" customWidth="1"/>
    <col min="11495" max="11495" width="18" style="2" customWidth="1"/>
    <col min="11496" max="11496" width="1.84375" style="2" customWidth="1"/>
    <col min="11497" max="11497" width="12.53515625" style="2" customWidth="1"/>
    <col min="11498" max="11498" width="1.53515625" style="2" customWidth="1"/>
    <col min="11499" max="11499" width="9.53515625" style="2" customWidth="1"/>
    <col min="11500" max="11500" width="1.84375" style="2" customWidth="1"/>
    <col min="11501" max="11501" width="11.84375" style="2" customWidth="1"/>
    <col min="11502" max="11502" width="1.53515625" style="2" customWidth="1"/>
    <col min="11503" max="11503" width="10.07421875" style="2" customWidth="1"/>
    <col min="11504" max="11504" width="2" style="2" customWidth="1"/>
    <col min="11505" max="11505" width="9.53515625" style="2" customWidth="1"/>
    <col min="11506" max="11748" width="8.84375" style="2"/>
    <col min="11749" max="11749" width="4.53515625" style="2" customWidth="1"/>
    <col min="11750" max="11750" width="1" style="2" customWidth="1"/>
    <col min="11751" max="11751" width="18" style="2" customWidth="1"/>
    <col min="11752" max="11752" width="1.84375" style="2" customWidth="1"/>
    <col min="11753" max="11753" width="12.53515625" style="2" customWidth="1"/>
    <col min="11754" max="11754" width="1.53515625" style="2" customWidth="1"/>
    <col min="11755" max="11755" width="9.53515625" style="2" customWidth="1"/>
    <col min="11756" max="11756" width="1.84375" style="2" customWidth="1"/>
    <col min="11757" max="11757" width="11.84375" style="2" customWidth="1"/>
    <col min="11758" max="11758" width="1.53515625" style="2" customWidth="1"/>
    <col min="11759" max="11759" width="10.07421875" style="2" customWidth="1"/>
    <col min="11760" max="11760" width="2" style="2" customWidth="1"/>
    <col min="11761" max="11761" width="9.53515625" style="2" customWidth="1"/>
    <col min="11762" max="12004" width="8.84375" style="2"/>
    <col min="12005" max="12005" width="4.53515625" style="2" customWidth="1"/>
    <col min="12006" max="12006" width="1" style="2" customWidth="1"/>
    <col min="12007" max="12007" width="18" style="2" customWidth="1"/>
    <col min="12008" max="12008" width="1.84375" style="2" customWidth="1"/>
    <col min="12009" max="12009" width="12.53515625" style="2" customWidth="1"/>
    <col min="12010" max="12010" width="1.53515625" style="2" customWidth="1"/>
    <col min="12011" max="12011" width="9.53515625" style="2" customWidth="1"/>
    <col min="12012" max="12012" width="1.84375" style="2" customWidth="1"/>
    <col min="12013" max="12013" width="11.84375" style="2" customWidth="1"/>
    <col min="12014" max="12014" width="1.53515625" style="2" customWidth="1"/>
    <col min="12015" max="12015" width="10.07421875" style="2" customWidth="1"/>
    <col min="12016" max="12016" width="2" style="2" customWidth="1"/>
    <col min="12017" max="12017" width="9.53515625" style="2" customWidth="1"/>
    <col min="12018" max="12260" width="8.84375" style="2"/>
    <col min="12261" max="12261" width="4.53515625" style="2" customWidth="1"/>
    <col min="12262" max="12262" width="1" style="2" customWidth="1"/>
    <col min="12263" max="12263" width="18" style="2" customWidth="1"/>
    <col min="12264" max="12264" width="1.84375" style="2" customWidth="1"/>
    <col min="12265" max="12265" width="12.53515625" style="2" customWidth="1"/>
    <col min="12266" max="12266" width="1.53515625" style="2" customWidth="1"/>
    <col min="12267" max="12267" width="9.53515625" style="2" customWidth="1"/>
    <col min="12268" max="12268" width="1.84375" style="2" customWidth="1"/>
    <col min="12269" max="12269" width="11.84375" style="2" customWidth="1"/>
    <col min="12270" max="12270" width="1.53515625" style="2" customWidth="1"/>
    <col min="12271" max="12271" width="10.07421875" style="2" customWidth="1"/>
    <col min="12272" max="12272" width="2" style="2" customWidth="1"/>
    <col min="12273" max="12273" width="9.53515625" style="2" customWidth="1"/>
    <col min="12274" max="12516" width="8.84375" style="2"/>
    <col min="12517" max="12517" width="4.53515625" style="2" customWidth="1"/>
    <col min="12518" max="12518" width="1" style="2" customWidth="1"/>
    <col min="12519" max="12519" width="18" style="2" customWidth="1"/>
    <col min="12520" max="12520" width="1.84375" style="2" customWidth="1"/>
    <col min="12521" max="12521" width="12.53515625" style="2" customWidth="1"/>
    <col min="12522" max="12522" width="1.53515625" style="2" customWidth="1"/>
    <col min="12523" max="12523" width="9.53515625" style="2" customWidth="1"/>
    <col min="12524" max="12524" width="1.84375" style="2" customWidth="1"/>
    <col min="12525" max="12525" width="11.84375" style="2" customWidth="1"/>
    <col min="12526" max="12526" width="1.53515625" style="2" customWidth="1"/>
    <col min="12527" max="12527" width="10.07421875" style="2" customWidth="1"/>
    <col min="12528" max="12528" width="2" style="2" customWidth="1"/>
    <col min="12529" max="12529" width="9.53515625" style="2" customWidth="1"/>
    <col min="12530" max="12772" width="8.84375" style="2"/>
    <col min="12773" max="12773" width="4.53515625" style="2" customWidth="1"/>
    <col min="12774" max="12774" width="1" style="2" customWidth="1"/>
    <col min="12775" max="12775" width="18" style="2" customWidth="1"/>
    <col min="12776" max="12776" width="1.84375" style="2" customWidth="1"/>
    <col min="12777" max="12777" width="12.53515625" style="2" customWidth="1"/>
    <col min="12778" max="12778" width="1.53515625" style="2" customWidth="1"/>
    <col min="12779" max="12779" width="9.53515625" style="2" customWidth="1"/>
    <col min="12780" max="12780" width="1.84375" style="2" customWidth="1"/>
    <col min="12781" max="12781" width="11.84375" style="2" customWidth="1"/>
    <col min="12782" max="12782" width="1.53515625" style="2" customWidth="1"/>
    <col min="12783" max="12783" width="10.07421875" style="2" customWidth="1"/>
    <col min="12784" max="12784" width="2" style="2" customWidth="1"/>
    <col min="12785" max="12785" width="9.53515625" style="2" customWidth="1"/>
    <col min="12786" max="13028" width="8.84375" style="2"/>
    <col min="13029" max="13029" width="4.53515625" style="2" customWidth="1"/>
    <col min="13030" max="13030" width="1" style="2" customWidth="1"/>
    <col min="13031" max="13031" width="18" style="2" customWidth="1"/>
    <col min="13032" max="13032" width="1.84375" style="2" customWidth="1"/>
    <col min="13033" max="13033" width="12.53515625" style="2" customWidth="1"/>
    <col min="13034" max="13034" width="1.53515625" style="2" customWidth="1"/>
    <col min="13035" max="13035" width="9.53515625" style="2" customWidth="1"/>
    <col min="13036" max="13036" width="1.84375" style="2" customWidth="1"/>
    <col min="13037" max="13037" width="11.84375" style="2" customWidth="1"/>
    <col min="13038" max="13038" width="1.53515625" style="2" customWidth="1"/>
    <col min="13039" max="13039" width="10.07421875" style="2" customWidth="1"/>
    <col min="13040" max="13040" width="2" style="2" customWidth="1"/>
    <col min="13041" max="13041" width="9.53515625" style="2" customWidth="1"/>
    <col min="13042" max="13284" width="8.84375" style="2"/>
    <col min="13285" max="13285" width="4.53515625" style="2" customWidth="1"/>
    <col min="13286" max="13286" width="1" style="2" customWidth="1"/>
    <col min="13287" max="13287" width="18" style="2" customWidth="1"/>
    <col min="13288" max="13288" width="1.84375" style="2" customWidth="1"/>
    <col min="13289" max="13289" width="12.53515625" style="2" customWidth="1"/>
    <col min="13290" max="13290" width="1.53515625" style="2" customWidth="1"/>
    <col min="13291" max="13291" width="9.53515625" style="2" customWidth="1"/>
    <col min="13292" max="13292" width="1.84375" style="2" customWidth="1"/>
    <col min="13293" max="13293" width="11.84375" style="2" customWidth="1"/>
    <col min="13294" max="13294" width="1.53515625" style="2" customWidth="1"/>
    <col min="13295" max="13295" width="10.07421875" style="2" customWidth="1"/>
    <col min="13296" max="13296" width="2" style="2" customWidth="1"/>
    <col min="13297" max="13297" width="9.53515625" style="2" customWidth="1"/>
    <col min="13298" max="13540" width="8.84375" style="2"/>
    <col min="13541" max="13541" width="4.53515625" style="2" customWidth="1"/>
    <col min="13542" max="13542" width="1" style="2" customWidth="1"/>
    <col min="13543" max="13543" width="18" style="2" customWidth="1"/>
    <col min="13544" max="13544" width="1.84375" style="2" customWidth="1"/>
    <col min="13545" max="13545" width="12.53515625" style="2" customWidth="1"/>
    <col min="13546" max="13546" width="1.53515625" style="2" customWidth="1"/>
    <col min="13547" max="13547" width="9.53515625" style="2" customWidth="1"/>
    <col min="13548" max="13548" width="1.84375" style="2" customWidth="1"/>
    <col min="13549" max="13549" width="11.84375" style="2" customWidth="1"/>
    <col min="13550" max="13550" width="1.53515625" style="2" customWidth="1"/>
    <col min="13551" max="13551" width="10.07421875" style="2" customWidth="1"/>
    <col min="13552" max="13552" width="2" style="2" customWidth="1"/>
    <col min="13553" max="13553" width="9.53515625" style="2" customWidth="1"/>
    <col min="13554" max="13796" width="8.84375" style="2"/>
    <col min="13797" max="13797" width="4.53515625" style="2" customWidth="1"/>
    <col min="13798" max="13798" width="1" style="2" customWidth="1"/>
    <col min="13799" max="13799" width="18" style="2" customWidth="1"/>
    <col min="13800" max="13800" width="1.84375" style="2" customWidth="1"/>
    <col min="13801" max="13801" width="12.53515625" style="2" customWidth="1"/>
    <col min="13802" max="13802" width="1.53515625" style="2" customWidth="1"/>
    <col min="13803" max="13803" width="9.53515625" style="2" customWidth="1"/>
    <col min="13804" max="13804" width="1.84375" style="2" customWidth="1"/>
    <col min="13805" max="13805" width="11.84375" style="2" customWidth="1"/>
    <col min="13806" max="13806" width="1.53515625" style="2" customWidth="1"/>
    <col min="13807" max="13807" width="10.07421875" style="2" customWidth="1"/>
    <col min="13808" max="13808" width="2" style="2" customWidth="1"/>
    <col min="13809" max="13809" width="9.53515625" style="2" customWidth="1"/>
    <col min="13810" max="14052" width="8.84375" style="2"/>
    <col min="14053" max="14053" width="4.53515625" style="2" customWidth="1"/>
    <col min="14054" max="14054" width="1" style="2" customWidth="1"/>
    <col min="14055" max="14055" width="18" style="2" customWidth="1"/>
    <col min="14056" max="14056" width="1.84375" style="2" customWidth="1"/>
    <col min="14057" max="14057" width="12.53515625" style="2" customWidth="1"/>
    <col min="14058" max="14058" width="1.53515625" style="2" customWidth="1"/>
    <col min="14059" max="14059" width="9.53515625" style="2" customWidth="1"/>
    <col min="14060" max="14060" width="1.84375" style="2" customWidth="1"/>
    <col min="14061" max="14061" width="11.84375" style="2" customWidth="1"/>
    <col min="14062" max="14062" width="1.53515625" style="2" customWidth="1"/>
    <col min="14063" max="14063" width="10.07421875" style="2" customWidth="1"/>
    <col min="14064" max="14064" width="2" style="2" customWidth="1"/>
    <col min="14065" max="14065" width="9.53515625" style="2" customWidth="1"/>
    <col min="14066" max="14308" width="8.84375" style="2"/>
    <col min="14309" max="14309" width="4.53515625" style="2" customWidth="1"/>
    <col min="14310" max="14310" width="1" style="2" customWidth="1"/>
    <col min="14311" max="14311" width="18" style="2" customWidth="1"/>
    <col min="14312" max="14312" width="1.84375" style="2" customWidth="1"/>
    <col min="14313" max="14313" width="12.53515625" style="2" customWidth="1"/>
    <col min="14314" max="14314" width="1.53515625" style="2" customWidth="1"/>
    <col min="14315" max="14315" width="9.53515625" style="2" customWidth="1"/>
    <col min="14316" max="14316" width="1.84375" style="2" customWidth="1"/>
    <col min="14317" max="14317" width="11.84375" style="2" customWidth="1"/>
    <col min="14318" max="14318" width="1.53515625" style="2" customWidth="1"/>
    <col min="14319" max="14319" width="10.07421875" style="2" customWidth="1"/>
    <col min="14320" max="14320" width="2" style="2" customWidth="1"/>
    <col min="14321" max="14321" width="9.53515625" style="2" customWidth="1"/>
    <col min="14322" max="14564" width="8.84375" style="2"/>
    <col min="14565" max="14565" width="4.53515625" style="2" customWidth="1"/>
    <col min="14566" max="14566" width="1" style="2" customWidth="1"/>
    <col min="14567" max="14567" width="18" style="2" customWidth="1"/>
    <col min="14568" max="14568" width="1.84375" style="2" customWidth="1"/>
    <col min="14569" max="14569" width="12.53515625" style="2" customWidth="1"/>
    <col min="14570" max="14570" width="1.53515625" style="2" customWidth="1"/>
    <col min="14571" max="14571" width="9.53515625" style="2" customWidth="1"/>
    <col min="14572" max="14572" width="1.84375" style="2" customWidth="1"/>
    <col min="14573" max="14573" width="11.84375" style="2" customWidth="1"/>
    <col min="14574" max="14574" width="1.53515625" style="2" customWidth="1"/>
    <col min="14575" max="14575" width="10.07421875" style="2" customWidth="1"/>
    <col min="14576" max="14576" width="2" style="2" customWidth="1"/>
    <col min="14577" max="14577" width="9.53515625" style="2" customWidth="1"/>
    <col min="14578" max="14820" width="8.84375" style="2"/>
    <col min="14821" max="14821" width="4.53515625" style="2" customWidth="1"/>
    <col min="14822" max="14822" width="1" style="2" customWidth="1"/>
    <col min="14823" max="14823" width="18" style="2" customWidth="1"/>
    <col min="14824" max="14824" width="1.84375" style="2" customWidth="1"/>
    <col min="14825" max="14825" width="12.53515625" style="2" customWidth="1"/>
    <col min="14826" max="14826" width="1.53515625" style="2" customWidth="1"/>
    <col min="14827" max="14827" width="9.53515625" style="2" customWidth="1"/>
    <col min="14828" max="14828" width="1.84375" style="2" customWidth="1"/>
    <col min="14829" max="14829" width="11.84375" style="2" customWidth="1"/>
    <col min="14830" max="14830" width="1.53515625" style="2" customWidth="1"/>
    <col min="14831" max="14831" width="10.07421875" style="2" customWidth="1"/>
    <col min="14832" max="14832" width="2" style="2" customWidth="1"/>
    <col min="14833" max="14833" width="9.53515625" style="2" customWidth="1"/>
    <col min="14834" max="15076" width="8.84375" style="2"/>
    <col min="15077" max="15077" width="4.53515625" style="2" customWidth="1"/>
    <col min="15078" max="15078" width="1" style="2" customWidth="1"/>
    <col min="15079" max="15079" width="18" style="2" customWidth="1"/>
    <col min="15080" max="15080" width="1.84375" style="2" customWidth="1"/>
    <col min="15081" max="15081" width="12.53515625" style="2" customWidth="1"/>
    <col min="15082" max="15082" width="1.53515625" style="2" customWidth="1"/>
    <col min="15083" max="15083" width="9.53515625" style="2" customWidth="1"/>
    <col min="15084" max="15084" width="1.84375" style="2" customWidth="1"/>
    <col min="15085" max="15085" width="11.84375" style="2" customWidth="1"/>
    <col min="15086" max="15086" width="1.53515625" style="2" customWidth="1"/>
    <col min="15087" max="15087" width="10.07421875" style="2" customWidth="1"/>
    <col min="15088" max="15088" width="2" style="2" customWidth="1"/>
    <col min="15089" max="15089" width="9.53515625" style="2" customWidth="1"/>
    <col min="15090" max="15332" width="8.84375" style="2"/>
    <col min="15333" max="15333" width="4.53515625" style="2" customWidth="1"/>
    <col min="15334" max="15334" width="1" style="2" customWidth="1"/>
    <col min="15335" max="15335" width="18" style="2" customWidth="1"/>
    <col min="15336" max="15336" width="1.84375" style="2" customWidth="1"/>
    <col min="15337" max="15337" width="12.53515625" style="2" customWidth="1"/>
    <col min="15338" max="15338" width="1.53515625" style="2" customWidth="1"/>
    <col min="15339" max="15339" width="9.53515625" style="2" customWidth="1"/>
    <col min="15340" max="15340" width="1.84375" style="2" customWidth="1"/>
    <col min="15341" max="15341" width="11.84375" style="2" customWidth="1"/>
    <col min="15342" max="15342" width="1.53515625" style="2" customWidth="1"/>
    <col min="15343" max="15343" width="10.07421875" style="2" customWidth="1"/>
    <col min="15344" max="15344" width="2" style="2" customWidth="1"/>
    <col min="15345" max="15345" width="9.53515625" style="2" customWidth="1"/>
    <col min="15346" max="15588" width="8.84375" style="2"/>
    <col min="15589" max="15589" width="4.53515625" style="2" customWidth="1"/>
    <col min="15590" max="15590" width="1" style="2" customWidth="1"/>
    <col min="15591" max="15591" width="18" style="2" customWidth="1"/>
    <col min="15592" max="15592" width="1.84375" style="2" customWidth="1"/>
    <col min="15593" max="15593" width="12.53515625" style="2" customWidth="1"/>
    <col min="15594" max="15594" width="1.53515625" style="2" customWidth="1"/>
    <col min="15595" max="15595" width="9.53515625" style="2" customWidth="1"/>
    <col min="15596" max="15596" width="1.84375" style="2" customWidth="1"/>
    <col min="15597" max="15597" width="11.84375" style="2" customWidth="1"/>
    <col min="15598" max="15598" width="1.53515625" style="2" customWidth="1"/>
    <col min="15599" max="15599" width="10.07421875" style="2" customWidth="1"/>
    <col min="15600" max="15600" width="2" style="2" customWidth="1"/>
    <col min="15601" max="15601" width="9.53515625" style="2" customWidth="1"/>
    <col min="15602" max="15844" width="8.84375" style="2"/>
    <col min="15845" max="15845" width="4.53515625" style="2" customWidth="1"/>
    <col min="15846" max="15846" width="1" style="2" customWidth="1"/>
    <col min="15847" max="15847" width="18" style="2" customWidth="1"/>
    <col min="15848" max="15848" width="1.84375" style="2" customWidth="1"/>
    <col min="15849" max="15849" width="12.53515625" style="2" customWidth="1"/>
    <col min="15850" max="15850" width="1.53515625" style="2" customWidth="1"/>
    <col min="15851" max="15851" width="9.53515625" style="2" customWidth="1"/>
    <col min="15852" max="15852" width="1.84375" style="2" customWidth="1"/>
    <col min="15853" max="15853" width="11.84375" style="2" customWidth="1"/>
    <col min="15854" max="15854" width="1.53515625" style="2" customWidth="1"/>
    <col min="15855" max="15855" width="10.07421875" style="2" customWidth="1"/>
    <col min="15856" max="15856" width="2" style="2" customWidth="1"/>
    <col min="15857" max="15857" width="9.53515625" style="2" customWidth="1"/>
    <col min="15858" max="16100" width="8.84375" style="2"/>
    <col min="16101" max="16101" width="4.53515625" style="2" customWidth="1"/>
    <col min="16102" max="16102" width="1" style="2" customWidth="1"/>
    <col min="16103" max="16103" width="18" style="2" customWidth="1"/>
    <col min="16104" max="16104" width="1.84375" style="2" customWidth="1"/>
    <col min="16105" max="16105" width="12.53515625" style="2" customWidth="1"/>
    <col min="16106" max="16106" width="1.53515625" style="2" customWidth="1"/>
    <col min="16107" max="16107" width="9.53515625" style="2" customWidth="1"/>
    <col min="16108" max="16108" width="1.84375" style="2" customWidth="1"/>
    <col min="16109" max="16109" width="11.84375" style="2" customWidth="1"/>
    <col min="16110" max="16110" width="1.53515625" style="2" customWidth="1"/>
    <col min="16111" max="16111" width="10.07421875" style="2" customWidth="1"/>
    <col min="16112" max="16112" width="2" style="2" customWidth="1"/>
    <col min="16113" max="16113" width="9.53515625" style="2" customWidth="1"/>
    <col min="16114" max="16371" width="8.84375" style="2"/>
    <col min="16372" max="16384" width="9.07421875" style="2" customWidth="1"/>
  </cols>
  <sheetData>
    <row r="2" spans="2:26" ht="0.65" customHeight="1" x14ac:dyDescent="0.3"/>
    <row r="3" spans="2:26" hidden="1" x14ac:dyDescent="0.3"/>
    <row r="4" spans="2:26" hidden="1" x14ac:dyDescent="0.3"/>
    <row r="5" spans="2:26" hidden="1" x14ac:dyDescent="0.3"/>
    <row r="6" spans="2:26" hidden="1" x14ac:dyDescent="0.3"/>
    <row r="8" spans="2:26" ht="15" customHeight="1" x14ac:dyDescent="0.3">
      <c r="B8" s="99" t="s">
        <v>0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2:26" x14ac:dyDescent="0.3">
      <c r="B9" s="99" t="s">
        <v>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2:26" x14ac:dyDescent="0.3">
      <c r="B10" s="58"/>
      <c r="C10" s="58"/>
      <c r="D10" s="58"/>
      <c r="E10" s="58"/>
      <c r="F10" s="59"/>
      <c r="G10" s="58"/>
      <c r="H10" s="59"/>
      <c r="I10" s="58"/>
      <c r="J10" s="59"/>
      <c r="K10" s="59"/>
      <c r="L10" s="59"/>
      <c r="M10" s="59"/>
      <c r="N10" s="59"/>
      <c r="O10" s="58"/>
      <c r="P10" s="58"/>
      <c r="Q10" s="58"/>
      <c r="R10" s="58"/>
      <c r="S10" s="58"/>
      <c r="T10" s="58"/>
      <c r="U10" s="58"/>
      <c r="V10" s="58"/>
      <c r="W10" s="58"/>
      <c r="X10" s="3"/>
      <c r="Z10" s="3"/>
    </row>
    <row r="11" spans="2:26" x14ac:dyDescent="0.3">
      <c r="B11" s="59"/>
      <c r="C11" s="59"/>
      <c r="D11" s="59"/>
      <c r="E11" s="59"/>
      <c r="F11" s="58"/>
      <c r="G11" s="59"/>
      <c r="H11" s="58"/>
      <c r="I11" s="59"/>
      <c r="J11" s="60" t="s">
        <v>2</v>
      </c>
      <c r="K11" s="60"/>
      <c r="L11" s="60"/>
      <c r="M11" s="59"/>
      <c r="N11" s="59"/>
      <c r="O11" s="59"/>
      <c r="P11" s="60" t="s">
        <v>3</v>
      </c>
      <c r="Q11" s="60"/>
      <c r="R11" s="60"/>
      <c r="S11" s="60"/>
      <c r="T11" s="60"/>
      <c r="U11" s="60"/>
      <c r="V11" s="60"/>
      <c r="W11" s="60"/>
      <c r="X11" s="4"/>
      <c r="Y11" s="4"/>
      <c r="Z11" s="4"/>
    </row>
    <row r="12" spans="2:26" x14ac:dyDescent="0.3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3"/>
      <c r="Z12" s="3"/>
    </row>
    <row r="13" spans="2:26" s="5" customFormat="1" ht="37.299999999999997" x14ac:dyDescent="0.3">
      <c r="B13" s="61" t="s">
        <v>4</v>
      </c>
      <c r="C13" s="61"/>
      <c r="D13" s="61"/>
      <c r="E13" s="61"/>
      <c r="F13" s="62" t="s">
        <v>5</v>
      </c>
      <c r="G13" s="61"/>
      <c r="H13" s="5" t="s">
        <v>6</v>
      </c>
      <c r="I13" s="61"/>
      <c r="J13" s="5" t="s">
        <v>7</v>
      </c>
      <c r="L13" s="5" t="s">
        <v>8</v>
      </c>
      <c r="M13" s="61"/>
      <c r="N13" s="5" t="s">
        <v>9</v>
      </c>
      <c r="O13" s="61"/>
      <c r="P13" s="61" t="s">
        <v>10</v>
      </c>
      <c r="Q13" s="61"/>
      <c r="R13" s="5" t="s">
        <v>11</v>
      </c>
      <c r="S13" s="61"/>
      <c r="T13" s="5" t="s">
        <v>7</v>
      </c>
      <c r="U13" s="61"/>
      <c r="V13" s="5" t="s">
        <v>8</v>
      </c>
      <c r="W13" s="61"/>
      <c r="X13" s="61" t="s">
        <v>12</v>
      </c>
      <c r="Y13" s="61"/>
      <c r="Z13" s="61" t="s">
        <v>13</v>
      </c>
    </row>
    <row r="14" spans="2:26" ht="14.15" x14ac:dyDescent="0.3">
      <c r="B14" s="63" t="s">
        <v>14</v>
      </c>
      <c r="C14" s="64"/>
      <c r="D14" s="65" t="s">
        <v>15</v>
      </c>
      <c r="E14" s="62"/>
      <c r="F14" s="63" t="s">
        <v>16</v>
      </c>
      <c r="G14" s="62"/>
      <c r="H14" s="63" t="s">
        <v>17</v>
      </c>
      <c r="I14" s="62"/>
      <c r="J14" s="63" t="s">
        <v>18</v>
      </c>
      <c r="L14" s="63" t="s">
        <v>19</v>
      </c>
      <c r="M14" s="62"/>
      <c r="N14" s="63" t="s">
        <v>18</v>
      </c>
      <c r="O14" s="62"/>
      <c r="P14" s="63" t="s">
        <v>18</v>
      </c>
      <c r="Q14" s="62"/>
      <c r="R14" s="63" t="s">
        <v>18</v>
      </c>
      <c r="S14" s="62"/>
      <c r="T14" s="63" t="s">
        <v>18</v>
      </c>
      <c r="U14" s="62"/>
      <c r="V14" s="63" t="s">
        <v>19</v>
      </c>
      <c r="W14" s="62"/>
      <c r="X14" s="63" t="s">
        <v>20</v>
      </c>
      <c r="Y14" s="62"/>
      <c r="Z14" s="63" t="s">
        <v>21</v>
      </c>
    </row>
    <row r="15" spans="2:26" x14ac:dyDescent="0.3">
      <c r="B15" s="62"/>
      <c r="C15" s="64"/>
      <c r="D15" s="64"/>
      <c r="E15" s="62"/>
      <c r="F15" s="62"/>
      <c r="G15" s="62"/>
      <c r="H15" s="62" t="s">
        <v>22</v>
      </c>
      <c r="I15" s="62"/>
      <c r="J15" s="62" t="s">
        <v>23</v>
      </c>
      <c r="K15" s="62"/>
      <c r="L15" s="62" t="s">
        <v>24</v>
      </c>
      <c r="M15" s="62"/>
      <c r="N15" s="62" t="s">
        <v>25</v>
      </c>
      <c r="O15" s="62"/>
      <c r="P15" s="62" t="s">
        <v>26</v>
      </c>
      <c r="Q15" s="62"/>
      <c r="R15" s="62" t="s">
        <v>27</v>
      </c>
      <c r="S15" s="62"/>
      <c r="T15" s="66" t="s">
        <v>28</v>
      </c>
      <c r="U15" s="62"/>
      <c r="V15" s="66" t="s">
        <v>29</v>
      </c>
      <c r="W15" s="62"/>
      <c r="X15" s="66" t="s">
        <v>30</v>
      </c>
      <c r="Y15" s="62"/>
      <c r="Z15" s="66" t="s">
        <v>31</v>
      </c>
    </row>
    <row r="16" spans="2:26" x14ac:dyDescent="0.3">
      <c r="B16" s="62"/>
      <c r="C16" s="64"/>
      <c r="D16" s="64"/>
      <c r="E16" s="62"/>
      <c r="F16" s="6"/>
      <c r="G16" s="62"/>
      <c r="H16" s="6"/>
      <c r="I16" s="62"/>
      <c r="J16" s="6"/>
      <c r="K16" s="62"/>
      <c r="L16" s="62"/>
      <c r="M16" s="62"/>
      <c r="N16" s="6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2:26" x14ac:dyDescent="0.3">
      <c r="B17" s="62"/>
      <c r="C17" s="64"/>
      <c r="D17" s="7" t="s">
        <v>32</v>
      </c>
      <c r="E17" s="62"/>
      <c r="F17" s="6"/>
      <c r="G17" s="62"/>
      <c r="H17" s="6"/>
      <c r="I17" s="62"/>
      <c r="J17" s="6"/>
      <c r="K17" s="62"/>
      <c r="L17" s="62"/>
      <c r="M17" s="62"/>
      <c r="N17" s="8"/>
      <c r="O17" s="62"/>
      <c r="P17" s="9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2:26" x14ac:dyDescent="0.3">
      <c r="B18" s="62"/>
      <c r="C18" s="64"/>
      <c r="D18" s="10" t="s">
        <v>33</v>
      </c>
      <c r="E18" s="62"/>
      <c r="G18" s="62"/>
      <c r="H18" s="11"/>
      <c r="I18" s="67"/>
      <c r="J18" s="11"/>
      <c r="K18" s="68"/>
      <c r="L18" s="11"/>
      <c r="M18" s="68"/>
      <c r="N18" s="11"/>
      <c r="O18" s="12"/>
      <c r="Q18" s="12"/>
      <c r="R18" s="11"/>
      <c r="S18" s="68"/>
      <c r="T18" s="11"/>
      <c r="U18" s="68"/>
      <c r="V18" s="69"/>
      <c r="W18" s="68"/>
      <c r="X18" s="13"/>
      <c r="Y18" s="14"/>
      <c r="Z18" s="15"/>
    </row>
    <row r="19" spans="2:26" x14ac:dyDescent="0.3">
      <c r="B19" s="62">
        <v>1</v>
      </c>
      <c r="C19" s="64"/>
      <c r="D19" s="16" t="s">
        <v>34</v>
      </c>
      <c r="E19" s="62"/>
      <c r="F19" s="17" t="s">
        <v>35</v>
      </c>
      <c r="G19" s="62"/>
      <c r="H19" s="11">
        <v>2919472.4577301228</v>
      </c>
      <c r="I19" s="67"/>
      <c r="J19" s="11"/>
      <c r="K19" s="68"/>
      <c r="L19" s="11"/>
      <c r="M19" s="68"/>
      <c r="N19" s="11"/>
      <c r="O19" s="12"/>
      <c r="P19" s="11">
        <v>84949.671438797959</v>
      </c>
      <c r="Q19" s="12"/>
      <c r="R19" s="11">
        <f>ROUND(T19-P19,0)</f>
        <v>0</v>
      </c>
      <c r="S19" s="68"/>
      <c r="T19" s="68">
        <f>V19*H19/1000</f>
        <v>84949.671438797959</v>
      </c>
      <c r="U19" s="70"/>
      <c r="V19" s="71">
        <v>29.097610156886343</v>
      </c>
      <c r="W19" s="68"/>
      <c r="X19" s="13">
        <f>T19/P19</f>
        <v>1</v>
      </c>
      <c r="Y19" s="14"/>
      <c r="Z19" s="15"/>
    </row>
    <row r="20" spans="2:26" x14ac:dyDescent="0.3">
      <c r="B20" s="62">
        <f>MAX(B$19:B19)+1</f>
        <v>2</v>
      </c>
      <c r="C20" s="64"/>
      <c r="D20" s="16" t="s">
        <v>36</v>
      </c>
      <c r="E20" s="62"/>
      <c r="F20" s="17" t="s">
        <v>35</v>
      </c>
      <c r="G20" s="62"/>
      <c r="H20" s="11">
        <v>6136902.7541661141</v>
      </c>
      <c r="I20" s="67"/>
      <c r="J20" s="11"/>
      <c r="K20" s="68"/>
      <c r="L20" s="11"/>
      <c r="M20" s="68"/>
      <c r="N20" s="11"/>
      <c r="O20" s="12"/>
      <c r="P20" s="11">
        <v>178569.20391144769</v>
      </c>
      <c r="Q20" s="12"/>
      <c r="R20" s="11">
        <f>T20-P20</f>
        <v>0</v>
      </c>
      <c r="S20" s="68"/>
      <c r="T20" s="68">
        <f>V20*H20/1000</f>
        <v>178569.20391144769</v>
      </c>
      <c r="U20" s="70"/>
      <c r="V20" s="71">
        <v>29.097610156886343</v>
      </c>
      <c r="W20" s="68"/>
      <c r="X20" s="13">
        <f t="shared" ref="X20:X22" si="0">T20/P20</f>
        <v>1</v>
      </c>
      <c r="Y20" s="14"/>
      <c r="Z20" s="15"/>
    </row>
    <row r="21" spans="2:26" x14ac:dyDescent="0.3">
      <c r="B21" s="62">
        <f>MAX(B$19:B20)+1</f>
        <v>3</v>
      </c>
      <c r="C21" s="64"/>
      <c r="D21" s="16" t="s">
        <v>37</v>
      </c>
      <c r="E21" s="62"/>
      <c r="F21" s="17" t="s">
        <v>35</v>
      </c>
      <c r="G21" s="62"/>
      <c r="H21" s="11">
        <v>22677301.206654914</v>
      </c>
      <c r="I21" s="67"/>
      <c r="J21" s="11"/>
      <c r="K21" s="68"/>
      <c r="L21" s="11"/>
      <c r="M21" s="68"/>
      <c r="N21" s="11"/>
      <c r="O21" s="12"/>
      <c r="P21" s="11">
        <v>659855.26992153295</v>
      </c>
      <c r="Q21" s="12"/>
      <c r="R21" s="11">
        <f t="shared" ref="R21:R22" si="1">T21-P21</f>
        <v>0</v>
      </c>
      <c r="S21" s="68"/>
      <c r="T21" s="68">
        <f>V21*H21/1000</f>
        <v>659855.26992153295</v>
      </c>
      <c r="U21" s="70"/>
      <c r="V21" s="71">
        <v>29.097610156886343</v>
      </c>
      <c r="W21" s="68"/>
      <c r="X21" s="13">
        <f t="shared" si="0"/>
        <v>1</v>
      </c>
      <c r="Y21" s="14"/>
      <c r="Z21" s="15"/>
    </row>
    <row r="22" spans="2:26" x14ac:dyDescent="0.3">
      <c r="B22" s="62">
        <f>MAX(B$19:B21)+1</f>
        <v>4</v>
      </c>
      <c r="C22" s="64"/>
      <c r="D22" s="16" t="s">
        <v>38</v>
      </c>
      <c r="E22" s="62"/>
      <c r="F22" s="17" t="s">
        <v>35</v>
      </c>
      <c r="G22" s="62"/>
      <c r="H22" s="11">
        <v>14301994.470976397</v>
      </c>
      <c r="I22" s="67"/>
      <c r="J22" s="11"/>
      <c r="K22" s="68"/>
      <c r="L22" s="11"/>
      <c r="M22" s="68"/>
      <c r="N22" s="11"/>
      <c r="O22" s="12"/>
      <c r="P22" s="11">
        <v>416153.85958241514</v>
      </c>
      <c r="Q22" s="12"/>
      <c r="R22" s="11">
        <f t="shared" si="1"/>
        <v>0</v>
      </c>
      <c r="S22" s="68"/>
      <c r="T22" s="68">
        <f>V22*H22/1000</f>
        <v>416153.85958241514</v>
      </c>
      <c r="U22" s="70"/>
      <c r="V22" s="71">
        <v>29.097610156886343</v>
      </c>
      <c r="W22" s="68"/>
      <c r="X22" s="13">
        <f t="shared" si="0"/>
        <v>1</v>
      </c>
      <c r="Y22" s="14"/>
      <c r="Z22" s="15"/>
    </row>
    <row r="23" spans="2:26" x14ac:dyDescent="0.3">
      <c r="B23" s="62"/>
      <c r="C23" s="64"/>
      <c r="D23" s="10" t="s">
        <v>39</v>
      </c>
      <c r="E23" s="62"/>
      <c r="F23" s="17"/>
      <c r="G23" s="62"/>
      <c r="H23" s="11"/>
      <c r="I23" s="67"/>
      <c r="J23" s="11"/>
      <c r="K23" s="68"/>
      <c r="L23" s="11"/>
      <c r="M23" s="68"/>
      <c r="N23" s="11"/>
      <c r="O23" s="12"/>
      <c r="Q23" s="12"/>
      <c r="R23" s="11"/>
      <c r="S23" s="68"/>
      <c r="T23" s="11"/>
      <c r="U23" s="68"/>
      <c r="V23" s="26"/>
      <c r="W23" s="68"/>
      <c r="X23" s="13"/>
      <c r="Y23" s="14"/>
      <c r="Z23" s="15"/>
    </row>
    <row r="24" spans="2:26" x14ac:dyDescent="0.3">
      <c r="B24" s="62">
        <f>MAX(B$19:B23)+1</f>
        <v>5</v>
      </c>
      <c r="C24" s="64"/>
      <c r="D24" s="16" t="s">
        <v>34</v>
      </c>
      <c r="E24" s="62"/>
      <c r="F24" s="17" t="s">
        <v>40</v>
      </c>
      <c r="G24" s="62"/>
      <c r="H24" s="11">
        <v>611345.59104681411</v>
      </c>
      <c r="I24" s="67"/>
      <c r="J24" s="11"/>
      <c r="K24" s="68"/>
      <c r="L24" s="11"/>
      <c r="M24" s="68"/>
      <c r="N24" s="11"/>
      <c r="O24" s="12"/>
      <c r="P24" s="11">
        <v>408.66189570624948</v>
      </c>
      <c r="Q24" s="12"/>
      <c r="R24" s="11">
        <f t="shared" ref="R24:R27" si="2">T24-P24</f>
        <v>0</v>
      </c>
      <c r="S24" s="68"/>
      <c r="T24" s="11">
        <f>$H24*V24/100</f>
        <v>408.66189570624948</v>
      </c>
      <c r="U24" s="68"/>
      <c r="V24" s="26">
        <v>6.6846298017213632E-2</v>
      </c>
      <c r="W24" s="68"/>
      <c r="X24" s="13">
        <f t="shared" ref="X24:X32" si="3">T24/P24</f>
        <v>1</v>
      </c>
      <c r="Y24" s="14"/>
      <c r="Z24" s="15"/>
    </row>
    <row r="25" spans="2:26" x14ac:dyDescent="0.3">
      <c r="B25" s="62">
        <f>MAX(B$19:B24)+1</f>
        <v>6</v>
      </c>
      <c r="C25" s="64"/>
      <c r="D25" s="16" t="s">
        <v>36</v>
      </c>
      <c r="E25" s="62"/>
      <c r="F25" s="17" t="s">
        <v>40</v>
      </c>
      <c r="G25" s="62"/>
      <c r="H25" s="11">
        <v>1080398.6158537446</v>
      </c>
      <c r="I25" s="67"/>
      <c r="J25" s="11"/>
      <c r="K25" s="68"/>
      <c r="L25" s="11"/>
      <c r="M25" s="68"/>
      <c r="N25" s="11"/>
      <c r="O25" s="12"/>
      <c r="P25" s="11">
        <v>722.20647852744514</v>
      </c>
      <c r="Q25" s="12"/>
      <c r="R25" s="11">
        <f t="shared" si="2"/>
        <v>0</v>
      </c>
      <c r="S25" s="68"/>
      <c r="T25" s="11">
        <f t="shared" ref="T25:T27" si="4">$H25*V25/100</f>
        <v>722.20647852744514</v>
      </c>
      <c r="U25" s="68"/>
      <c r="V25" s="26">
        <v>6.6846298017213632E-2</v>
      </c>
      <c r="W25" s="68"/>
      <c r="X25" s="13">
        <f t="shared" si="3"/>
        <v>1</v>
      </c>
      <c r="Y25" s="14"/>
      <c r="Z25" s="15"/>
    </row>
    <row r="26" spans="2:26" x14ac:dyDescent="0.3">
      <c r="B26" s="62">
        <f>MAX(B$19:B25)+1</f>
        <v>7</v>
      </c>
      <c r="C26" s="64"/>
      <c r="D26" s="16" t="s">
        <v>37</v>
      </c>
      <c r="E26" s="62"/>
      <c r="F26" s="17" t="s">
        <v>40</v>
      </c>
      <c r="G26" s="62"/>
      <c r="H26" s="11">
        <v>4612066.3430704791</v>
      </c>
      <c r="I26" s="67"/>
      <c r="J26" s="11"/>
      <c r="K26" s="68"/>
      <c r="L26" s="11"/>
      <c r="M26" s="68"/>
      <c r="N26" s="11"/>
      <c r="O26" s="12"/>
      <c r="P26" s="11">
        <v>3082.9956124404989</v>
      </c>
      <c r="Q26" s="12"/>
      <c r="R26" s="11">
        <f t="shared" si="2"/>
        <v>0</v>
      </c>
      <c r="S26" s="68"/>
      <c r="T26" s="11">
        <f t="shared" si="4"/>
        <v>3082.9956124404985</v>
      </c>
      <c r="U26" s="68"/>
      <c r="V26" s="26">
        <v>6.6846298017213632E-2</v>
      </c>
      <c r="W26" s="68"/>
      <c r="X26" s="13">
        <f t="shared" si="3"/>
        <v>0.99999999999999989</v>
      </c>
      <c r="Y26" s="14"/>
      <c r="Z26" s="15"/>
    </row>
    <row r="27" spans="2:26" x14ac:dyDescent="0.3">
      <c r="B27" s="62">
        <f>MAX(B$19:B26)+1</f>
        <v>8</v>
      </c>
      <c r="C27" s="64"/>
      <c r="D27" s="16" t="s">
        <v>38</v>
      </c>
      <c r="E27" s="62"/>
      <c r="F27" s="17" t="s">
        <v>40</v>
      </c>
      <c r="G27" s="62"/>
      <c r="H27" s="11">
        <v>2836335.7967348988</v>
      </c>
      <c r="I27" s="67"/>
      <c r="J27" s="11"/>
      <c r="K27" s="68"/>
      <c r="L27" s="11"/>
      <c r="M27" s="68"/>
      <c r="N27" s="11"/>
      <c r="O27" s="12"/>
      <c r="P27" s="11">
        <v>1895.9854794543214</v>
      </c>
      <c r="Q27" s="12"/>
      <c r="R27" s="11">
        <f t="shared" si="2"/>
        <v>0</v>
      </c>
      <c r="S27" s="68"/>
      <c r="T27" s="11">
        <f t="shared" si="4"/>
        <v>1895.985479454321</v>
      </c>
      <c r="U27" s="68"/>
      <c r="V27" s="26">
        <v>6.6846298017213632E-2</v>
      </c>
      <c r="W27" s="68"/>
      <c r="X27" s="13">
        <f t="shared" si="3"/>
        <v>0.99999999999999978</v>
      </c>
      <c r="Y27" s="14"/>
      <c r="Z27" s="15"/>
    </row>
    <row r="28" spans="2:26" x14ac:dyDescent="0.3">
      <c r="B28" s="62"/>
      <c r="C28" s="64"/>
      <c r="D28" s="10" t="s">
        <v>41</v>
      </c>
      <c r="E28" s="62"/>
      <c r="F28" s="17"/>
      <c r="G28" s="62"/>
      <c r="H28" s="11"/>
      <c r="I28" s="67"/>
      <c r="J28" s="11"/>
      <c r="K28" s="68"/>
      <c r="L28" s="11"/>
      <c r="M28" s="68"/>
      <c r="N28" s="11"/>
      <c r="O28" s="12"/>
      <c r="P28" s="11"/>
      <c r="Q28" s="12"/>
      <c r="R28" s="11"/>
      <c r="S28" s="68"/>
      <c r="T28" s="11"/>
      <c r="U28" s="68"/>
      <c r="V28" s="26"/>
      <c r="W28" s="68"/>
      <c r="X28" s="13"/>
      <c r="Y28" s="14"/>
      <c r="Z28" s="15"/>
    </row>
    <row r="29" spans="2:26" x14ac:dyDescent="0.3">
      <c r="B29" s="62">
        <f>MAX(B$19:B28)+1</f>
        <v>9</v>
      </c>
      <c r="C29" s="64"/>
      <c r="D29" s="16" t="s">
        <v>34</v>
      </c>
      <c r="E29" s="62"/>
      <c r="F29" s="17" t="s">
        <v>42</v>
      </c>
      <c r="G29" s="62"/>
      <c r="H29" s="11">
        <v>66271.685933482149</v>
      </c>
      <c r="I29" s="67"/>
      <c r="J29" s="11"/>
      <c r="K29" s="68"/>
      <c r="L29" s="11"/>
      <c r="M29" s="68"/>
      <c r="N29" s="11"/>
      <c r="O29" s="12"/>
      <c r="P29" s="11">
        <v>40573.312343248501</v>
      </c>
      <c r="Q29" s="12"/>
      <c r="R29" s="11">
        <f>T29-P29</f>
        <v>-520.93940294841013</v>
      </c>
      <c r="S29" s="68"/>
      <c r="T29" s="11">
        <f>$H29*V29/100</f>
        <v>40052.372940300091</v>
      </c>
      <c r="U29" s="68"/>
      <c r="V29" s="26">
        <v>60.436628970781335</v>
      </c>
      <c r="W29" s="68"/>
      <c r="X29" s="13">
        <f t="shared" si="3"/>
        <v>0.98716054044241486</v>
      </c>
      <c r="Y29" s="14"/>
      <c r="Z29" s="15"/>
    </row>
    <row r="30" spans="2:26" x14ac:dyDescent="0.3">
      <c r="B30" s="62">
        <f>MAX(B$19:B29)+1</f>
        <v>10</v>
      </c>
      <c r="C30" s="64"/>
      <c r="D30" s="16" t="s">
        <v>36</v>
      </c>
      <c r="E30" s="62"/>
      <c r="F30" s="17" t="s">
        <v>42</v>
      </c>
      <c r="G30" s="62"/>
      <c r="H30" s="11">
        <v>136057.5852384691</v>
      </c>
      <c r="I30" s="67"/>
      <c r="J30" s="11"/>
      <c r="K30" s="68"/>
      <c r="L30" s="11"/>
      <c r="M30" s="68"/>
      <c r="N30" s="11"/>
      <c r="O30" s="12"/>
      <c r="P30" s="11">
        <v>80409.542642206638</v>
      </c>
      <c r="Q30" s="12"/>
      <c r="R30" s="11">
        <f t="shared" ref="R30:R32" si="5">T30-P30</f>
        <v>-1036.2241210401116</v>
      </c>
      <c r="S30" s="68"/>
      <c r="T30" s="11">
        <f t="shared" ref="T30:T32" si="6">$H30*V30/100</f>
        <v>79373.318521166526</v>
      </c>
      <c r="U30" s="68"/>
      <c r="V30" s="26">
        <v>58.338032666130559</v>
      </c>
      <c r="W30" s="68"/>
      <c r="X30" s="13">
        <f t="shared" si="3"/>
        <v>0.98711316981802855</v>
      </c>
      <c r="Y30" s="14"/>
      <c r="Z30" s="15"/>
    </row>
    <row r="31" spans="2:26" x14ac:dyDescent="0.3">
      <c r="B31" s="62">
        <f>MAX(B$19:B30)+1</f>
        <v>11</v>
      </c>
      <c r="C31" s="64"/>
      <c r="D31" s="16" t="s">
        <v>37</v>
      </c>
      <c r="E31" s="62"/>
      <c r="F31" s="17" t="s">
        <v>42</v>
      </c>
      <c r="G31" s="62"/>
      <c r="H31" s="11">
        <v>567525.88571868686</v>
      </c>
      <c r="I31" s="67"/>
      <c r="J31" s="11"/>
      <c r="K31" s="68"/>
      <c r="L31" s="11"/>
      <c r="M31" s="68"/>
      <c r="N31" s="11"/>
      <c r="O31" s="12"/>
      <c r="P31" s="11">
        <v>362722.48330414627</v>
      </c>
      <c r="Q31" s="12"/>
      <c r="R31" s="11">
        <f t="shared" si="5"/>
        <v>-5712.5290700282785</v>
      </c>
      <c r="S31" s="68"/>
      <c r="T31" s="11">
        <f t="shared" si="6"/>
        <v>357009.95423411799</v>
      </c>
      <c r="U31" s="68"/>
      <c r="V31" s="26">
        <v>62.906373650607705</v>
      </c>
      <c r="W31" s="68"/>
      <c r="X31" s="13">
        <f t="shared" si="3"/>
        <v>0.98425096504084564</v>
      </c>
      <c r="Y31" s="14"/>
      <c r="Z31" s="15"/>
    </row>
    <row r="32" spans="2:26" x14ac:dyDescent="0.3">
      <c r="B32" s="62">
        <f>MAX(B$19:B31)+1</f>
        <v>12</v>
      </c>
      <c r="C32" s="64"/>
      <c r="D32" s="16" t="s">
        <v>38</v>
      </c>
      <c r="E32" s="62"/>
      <c r="F32" s="17" t="s">
        <v>42</v>
      </c>
      <c r="G32" s="62"/>
      <c r="H32" s="11">
        <v>317272.31038588245</v>
      </c>
      <c r="I32" s="67"/>
      <c r="J32" s="11"/>
      <c r="K32" s="68"/>
      <c r="L32" s="11"/>
      <c r="M32" s="68"/>
      <c r="N32" s="11"/>
      <c r="O32" s="12"/>
      <c r="P32" s="11">
        <v>193376.7155815603</v>
      </c>
      <c r="Q32" s="12"/>
      <c r="R32" s="11">
        <f t="shared" si="5"/>
        <v>-2235.7119872175099</v>
      </c>
      <c r="S32" s="68"/>
      <c r="T32" s="11">
        <f t="shared" si="6"/>
        <v>191141.00359434279</v>
      </c>
      <c r="U32" s="68"/>
      <c r="V32" s="26">
        <v>60.245094619781838</v>
      </c>
      <c r="W32" s="68"/>
      <c r="X32" s="13">
        <f t="shared" si="3"/>
        <v>0.98843856676077135</v>
      </c>
      <c r="Y32" s="14"/>
      <c r="Z32" s="15"/>
    </row>
    <row r="33" spans="2:26" x14ac:dyDescent="0.3">
      <c r="B33" s="62">
        <f>MAX(B$19:B32)+1</f>
        <v>13</v>
      </c>
      <c r="C33" s="64"/>
      <c r="D33" s="10" t="s">
        <v>43</v>
      </c>
      <c r="E33" s="62"/>
      <c r="F33" s="17"/>
      <c r="G33" s="62"/>
      <c r="H33" s="72">
        <f>SUM(H24:H27)</f>
        <v>9140146.3467059359</v>
      </c>
      <c r="I33" s="67"/>
      <c r="J33" s="18"/>
      <c r="K33" s="68"/>
      <c r="L33" s="67"/>
      <c r="M33" s="68"/>
      <c r="N33" s="19"/>
      <c r="O33" s="12"/>
      <c r="P33" s="72">
        <f>SUM(P19:P22,P24:P27,P29:P32)</f>
        <v>2022719.9081914837</v>
      </c>
      <c r="Q33" s="12"/>
      <c r="R33" s="72">
        <f>SUM(R19:R22,R24:R27,R29:R32)</f>
        <v>-9505.4045812343102</v>
      </c>
      <c r="S33" s="68"/>
      <c r="T33" s="72">
        <f>SUM(T19:T22,T24:T27,T29:T32)</f>
        <v>2013214.5036102494</v>
      </c>
      <c r="U33" s="68"/>
      <c r="V33" s="20">
        <f>T33/$H33*100</f>
        <v>22.026064214341623</v>
      </c>
      <c r="W33" s="68"/>
      <c r="X33" s="73">
        <f>T33/P33</f>
        <v>0.99530068174899555</v>
      </c>
      <c r="Y33" s="14"/>
      <c r="Z33" s="15"/>
    </row>
    <row r="34" spans="2:26" x14ac:dyDescent="0.3">
      <c r="B34" s="62"/>
      <c r="E34" s="62"/>
      <c r="F34" s="17"/>
      <c r="G34" s="62"/>
      <c r="H34" s="11"/>
      <c r="I34" s="67"/>
      <c r="J34" s="18"/>
      <c r="K34" s="68"/>
      <c r="L34" s="67"/>
      <c r="M34" s="68"/>
      <c r="N34" s="19"/>
      <c r="O34" s="12"/>
      <c r="P34" s="11"/>
      <c r="Q34" s="12"/>
      <c r="R34" s="11"/>
      <c r="S34" s="68"/>
      <c r="T34" s="11"/>
      <c r="U34" s="68"/>
      <c r="V34" s="26"/>
      <c r="W34" s="68"/>
      <c r="X34" s="13"/>
      <c r="Y34" s="14"/>
      <c r="Z34" s="15"/>
    </row>
    <row r="35" spans="2:26" x14ac:dyDescent="0.3">
      <c r="B35" s="62"/>
      <c r="C35" s="64"/>
      <c r="D35" s="10" t="s">
        <v>44</v>
      </c>
      <c r="E35" s="62"/>
      <c r="F35" s="70"/>
      <c r="G35" s="62"/>
      <c r="H35" s="11"/>
      <c r="I35" s="67"/>
      <c r="J35" s="18"/>
      <c r="K35" s="68"/>
      <c r="L35" s="67"/>
      <c r="M35" s="68"/>
      <c r="N35" s="19"/>
      <c r="O35" s="12"/>
      <c r="P35" s="11"/>
      <c r="Q35" s="12"/>
      <c r="R35" s="11"/>
      <c r="S35" s="68"/>
      <c r="T35" s="11"/>
      <c r="U35" s="68"/>
      <c r="V35" s="21"/>
      <c r="W35" s="68"/>
      <c r="X35" s="13"/>
      <c r="Y35" s="14"/>
      <c r="Z35" s="15"/>
    </row>
    <row r="36" spans="2:26" x14ac:dyDescent="0.3">
      <c r="B36" s="62"/>
      <c r="C36" s="64"/>
      <c r="D36" s="22" t="s">
        <v>45</v>
      </c>
      <c r="E36" s="62"/>
      <c r="F36" s="70"/>
      <c r="G36" s="62"/>
      <c r="H36" s="11"/>
      <c r="I36" s="67"/>
      <c r="J36" s="11"/>
      <c r="K36" s="68"/>
      <c r="L36" s="11"/>
      <c r="M36" s="68"/>
      <c r="N36" s="11"/>
      <c r="O36" s="68"/>
      <c r="P36" s="11"/>
      <c r="Q36" s="68"/>
      <c r="R36" s="11"/>
      <c r="S36" s="68"/>
      <c r="T36" s="11"/>
      <c r="U36" s="68"/>
      <c r="V36" s="26"/>
      <c r="W36" s="68"/>
      <c r="X36" s="11"/>
      <c r="Y36" s="68"/>
      <c r="Z36" s="11"/>
    </row>
    <row r="37" spans="2:26" x14ac:dyDescent="0.3">
      <c r="B37" s="62">
        <f>MAX(B$19:B36)+1</f>
        <v>14</v>
      </c>
      <c r="C37" s="64"/>
      <c r="D37" s="16" t="s">
        <v>34</v>
      </c>
      <c r="E37" s="62"/>
      <c r="F37" s="70" t="s">
        <v>40</v>
      </c>
      <c r="G37" s="62"/>
      <c r="H37" s="11">
        <v>600070.96565179911</v>
      </c>
      <c r="I37" s="67"/>
      <c r="J37" s="11"/>
      <c r="K37" s="68"/>
      <c r="L37" s="11"/>
      <c r="M37" s="68"/>
      <c r="N37" s="11"/>
      <c r="O37" s="68"/>
      <c r="P37" s="11">
        <v>27359.599125833829</v>
      </c>
      <c r="Q37" s="68"/>
      <c r="R37" s="11">
        <f>T37-P37</f>
        <v>0</v>
      </c>
      <c r="S37" s="68"/>
      <c r="T37" s="11">
        <f>H37*V37/100</f>
        <v>27359.599125833833</v>
      </c>
      <c r="U37" s="68"/>
      <c r="V37" s="26">
        <v>4.5593939203700256</v>
      </c>
      <c r="W37" s="68"/>
      <c r="X37" s="13">
        <f>T37/P37</f>
        <v>1.0000000000000002</v>
      </c>
      <c r="Y37" s="68"/>
      <c r="Z37" s="11"/>
    </row>
    <row r="38" spans="2:26" x14ac:dyDescent="0.3">
      <c r="B38" s="62">
        <f>MAX(B$19:B37)+1</f>
        <v>15</v>
      </c>
      <c r="C38" s="64"/>
      <c r="D38" s="16" t="s">
        <v>36</v>
      </c>
      <c r="E38" s="62"/>
      <c r="F38" s="70" t="s">
        <v>40</v>
      </c>
      <c r="G38" s="62"/>
      <c r="H38" s="11">
        <v>1076263.6298137642</v>
      </c>
      <c r="I38" s="67"/>
      <c r="J38" s="11"/>
      <c r="K38" s="68"/>
      <c r="L38" s="11"/>
      <c r="M38" s="68"/>
      <c r="N38" s="11"/>
      <c r="O38" s="68"/>
      <c r="P38" s="11">
        <v>111723.96832641077</v>
      </c>
      <c r="Q38" s="68"/>
      <c r="R38" s="11">
        <f t="shared" ref="R38:R45" si="7">T38-P38</f>
        <v>0</v>
      </c>
      <c r="S38" s="68"/>
      <c r="T38" s="11">
        <f t="shared" ref="T38:T45" si="8">H38*V38/100</f>
        <v>111723.96832641076</v>
      </c>
      <c r="U38" s="68"/>
      <c r="V38" s="26">
        <v>10.380725059504556</v>
      </c>
      <c r="W38" s="68"/>
      <c r="X38" s="13">
        <f t="shared" ref="X38:X44" si="9">T38/P38</f>
        <v>0.99999999999999989</v>
      </c>
      <c r="Y38" s="68"/>
      <c r="Z38" s="11"/>
    </row>
    <row r="39" spans="2:26" x14ac:dyDescent="0.3">
      <c r="B39" s="62">
        <f>MAX(B$19:B38)+1</f>
        <v>16</v>
      </c>
      <c r="C39" s="64"/>
      <c r="D39" s="16" t="s">
        <v>37</v>
      </c>
      <c r="E39" s="62"/>
      <c r="F39" s="70" t="s">
        <v>40</v>
      </c>
      <c r="G39" s="62"/>
      <c r="H39" s="11">
        <v>4582663.0472013736</v>
      </c>
      <c r="I39" s="67"/>
      <c r="J39" s="11"/>
      <c r="K39" s="68"/>
      <c r="L39" s="11"/>
      <c r="M39" s="68"/>
      <c r="N39" s="11"/>
      <c r="O39" s="68"/>
      <c r="P39" s="11">
        <v>40891.293954326684</v>
      </c>
      <c r="Q39" s="68"/>
      <c r="R39" s="11">
        <f t="shared" si="7"/>
        <v>0</v>
      </c>
      <c r="S39" s="68"/>
      <c r="T39" s="11">
        <f t="shared" si="8"/>
        <v>40891.293954326684</v>
      </c>
      <c r="U39" s="68"/>
      <c r="V39" s="26">
        <v>0.89230418062918548</v>
      </c>
      <c r="W39" s="68"/>
      <c r="X39" s="13">
        <f t="shared" si="9"/>
        <v>1</v>
      </c>
      <c r="Y39" s="68"/>
      <c r="Z39" s="11"/>
    </row>
    <row r="40" spans="2:26" x14ac:dyDescent="0.3">
      <c r="B40" s="62">
        <f>MAX(B$19:B39)+1</f>
        <v>17</v>
      </c>
      <c r="C40" s="64"/>
      <c r="D40" s="16" t="s">
        <v>38</v>
      </c>
      <c r="E40" s="62"/>
      <c r="F40" s="70" t="s">
        <v>40</v>
      </c>
      <c r="G40" s="62"/>
      <c r="H40" s="11">
        <v>2836335.7967348988</v>
      </c>
      <c r="I40" s="67"/>
      <c r="J40" s="11"/>
      <c r="K40" s="68"/>
      <c r="L40" s="11"/>
      <c r="M40" s="68"/>
      <c r="N40" s="11"/>
      <c r="O40" s="68"/>
      <c r="P40" s="11">
        <v>9091.4542866454776</v>
      </c>
      <c r="Q40" s="68"/>
      <c r="R40" s="11">
        <f t="shared" si="7"/>
        <v>0</v>
      </c>
      <c r="S40" s="68"/>
      <c r="T40" s="11">
        <f t="shared" si="8"/>
        <v>9091.4542866454794</v>
      </c>
      <c r="U40" s="68"/>
      <c r="V40" s="26">
        <v>0.32053518829157246</v>
      </c>
      <c r="W40" s="68"/>
      <c r="X40" s="13">
        <f t="shared" si="9"/>
        <v>1.0000000000000002</v>
      </c>
      <c r="Y40" s="68"/>
      <c r="Z40" s="11"/>
    </row>
    <row r="41" spans="2:26" x14ac:dyDescent="0.3">
      <c r="B41" s="62"/>
      <c r="C41" s="64"/>
      <c r="D41" s="22" t="s">
        <v>46</v>
      </c>
      <c r="E41" s="62"/>
      <c r="F41" s="70"/>
      <c r="G41" s="62"/>
      <c r="H41" s="11"/>
      <c r="I41" s="67"/>
      <c r="J41" s="11"/>
      <c r="K41" s="68"/>
      <c r="L41" s="11"/>
      <c r="M41" s="68"/>
      <c r="N41" s="11"/>
      <c r="O41" s="68"/>
      <c r="P41" s="11"/>
      <c r="Q41" s="68"/>
      <c r="R41" s="11"/>
      <c r="S41" s="68"/>
      <c r="T41" s="11"/>
      <c r="U41" s="68"/>
      <c r="V41" s="26"/>
      <c r="W41" s="68"/>
      <c r="X41" s="13"/>
      <c r="Y41" s="68"/>
      <c r="Z41" s="11"/>
    </row>
    <row r="42" spans="2:26" x14ac:dyDescent="0.3">
      <c r="B42" s="62">
        <f>MAX(B$19:B41)+1</f>
        <v>18</v>
      </c>
      <c r="C42" s="64"/>
      <c r="D42" s="16" t="s">
        <v>34</v>
      </c>
      <c r="E42" s="62"/>
      <c r="F42" s="70" t="s">
        <v>40</v>
      </c>
      <c r="G42" s="62"/>
      <c r="H42" s="11">
        <v>11274.625395014986</v>
      </c>
      <c r="I42" s="67"/>
      <c r="J42" s="11"/>
      <c r="K42" s="68"/>
      <c r="L42" s="11"/>
      <c r="M42" s="68"/>
      <c r="N42" s="11"/>
      <c r="O42" s="68"/>
      <c r="P42" s="11">
        <v>806.28221973402833</v>
      </c>
      <c r="Q42" s="68"/>
      <c r="R42" s="11">
        <f t="shared" si="7"/>
        <v>0</v>
      </c>
      <c r="S42" s="68"/>
      <c r="T42" s="11">
        <f t="shared" si="8"/>
        <v>806.28221973402844</v>
      </c>
      <c r="U42" s="68"/>
      <c r="V42" s="26">
        <v>7.151299413375825</v>
      </c>
      <c r="W42" s="68"/>
      <c r="X42" s="13">
        <f t="shared" si="9"/>
        <v>1.0000000000000002</v>
      </c>
      <c r="Y42" s="68"/>
      <c r="Z42" s="11"/>
    </row>
    <row r="43" spans="2:26" x14ac:dyDescent="0.3">
      <c r="B43" s="62">
        <f>MAX(B$19:B42)+1</f>
        <v>19</v>
      </c>
      <c r="C43" s="64"/>
      <c r="D43" s="16" t="s">
        <v>36</v>
      </c>
      <c r="E43" s="62"/>
      <c r="F43" s="70" t="s">
        <v>40</v>
      </c>
      <c r="G43" s="62"/>
      <c r="H43" s="11">
        <v>4134.9860399804847</v>
      </c>
      <c r="I43" s="67"/>
      <c r="J43" s="11"/>
      <c r="K43" s="68"/>
      <c r="L43" s="11"/>
      <c r="M43" s="68"/>
      <c r="N43" s="11"/>
      <c r="O43" s="68"/>
      <c r="P43" s="11">
        <v>536.41646236454653</v>
      </c>
      <c r="Q43" s="68"/>
      <c r="R43" s="11">
        <f t="shared" si="7"/>
        <v>0</v>
      </c>
      <c r="S43" s="68"/>
      <c r="T43" s="11">
        <f t="shared" si="8"/>
        <v>536.41646236454642</v>
      </c>
      <c r="U43" s="68"/>
      <c r="V43" s="26">
        <v>12.972630552510356</v>
      </c>
      <c r="W43" s="68"/>
      <c r="X43" s="13">
        <f t="shared" si="9"/>
        <v>0.99999999999999978</v>
      </c>
      <c r="Y43" s="68"/>
      <c r="Z43" s="11"/>
    </row>
    <row r="44" spans="2:26" x14ac:dyDescent="0.3">
      <c r="B44" s="62">
        <f>MAX(B$19:B43)+1</f>
        <v>20</v>
      </c>
      <c r="C44" s="64"/>
      <c r="D44" s="16" t="s">
        <v>37</v>
      </c>
      <c r="E44" s="62"/>
      <c r="F44" s="70" t="s">
        <v>40</v>
      </c>
      <c r="G44" s="62"/>
      <c r="H44" s="11">
        <v>29403.295869105365</v>
      </c>
      <c r="I44" s="67"/>
      <c r="J44" s="11"/>
      <c r="K44" s="68"/>
      <c r="L44" s="11"/>
      <c r="M44" s="68"/>
      <c r="N44" s="11"/>
      <c r="O44" s="68"/>
      <c r="P44" s="11">
        <v>1024.4724790388852</v>
      </c>
      <c r="Q44" s="68"/>
      <c r="R44" s="11">
        <f t="shared" si="7"/>
        <v>0</v>
      </c>
      <c r="S44" s="68"/>
      <c r="T44" s="11">
        <f t="shared" si="8"/>
        <v>1024.472479038885</v>
      </c>
      <c r="U44" s="68"/>
      <c r="V44" s="26">
        <v>3.4842096736349846</v>
      </c>
      <c r="W44" s="68"/>
      <c r="X44" s="13">
        <f t="shared" si="9"/>
        <v>0.99999999999999978</v>
      </c>
      <c r="Y44" s="68"/>
      <c r="Z44" s="11"/>
    </row>
    <row r="45" spans="2:26" x14ac:dyDescent="0.3">
      <c r="B45" s="62">
        <f>MAX(B$19:B44)+1</f>
        <v>21</v>
      </c>
      <c r="C45" s="64"/>
      <c r="D45" s="16" t="s">
        <v>38</v>
      </c>
      <c r="E45" s="62"/>
      <c r="F45" s="70" t="s">
        <v>40</v>
      </c>
      <c r="G45" s="62"/>
      <c r="H45" s="11">
        <v>0</v>
      </c>
      <c r="I45" s="67"/>
      <c r="J45" s="11"/>
      <c r="K45" s="68"/>
      <c r="L45" s="11"/>
      <c r="M45" s="68"/>
      <c r="N45" s="11"/>
      <c r="O45" s="68"/>
      <c r="P45" s="11">
        <v>0</v>
      </c>
      <c r="Q45" s="68"/>
      <c r="R45" s="11">
        <f t="shared" si="7"/>
        <v>0</v>
      </c>
      <c r="S45" s="68"/>
      <c r="T45" s="11">
        <f t="shared" si="8"/>
        <v>0</v>
      </c>
      <c r="U45" s="68"/>
      <c r="V45" s="26">
        <v>2.912440681297372</v>
      </c>
      <c r="W45" s="68"/>
      <c r="X45" s="13"/>
      <c r="Y45" s="68"/>
      <c r="Z45" s="11"/>
    </row>
    <row r="46" spans="2:26" x14ac:dyDescent="0.3">
      <c r="B46" s="62">
        <f>MAX(B$19:B45)+1</f>
        <v>22</v>
      </c>
      <c r="C46" s="64"/>
      <c r="D46" s="10" t="s">
        <v>44</v>
      </c>
      <c r="E46" s="62"/>
      <c r="F46" s="17" t="s">
        <v>47</v>
      </c>
      <c r="G46" s="62"/>
      <c r="H46" s="72">
        <f>SUM(H37:H45)</f>
        <v>9140146.3467059359</v>
      </c>
      <c r="I46" s="67"/>
      <c r="J46" s="18"/>
      <c r="K46" s="68"/>
      <c r="L46" s="67"/>
      <c r="M46" s="68"/>
      <c r="N46" s="19"/>
      <c r="O46" s="12"/>
      <c r="P46" s="72">
        <f>SUM(P37:P45)</f>
        <v>191433.48685435421</v>
      </c>
      <c r="Q46" s="12"/>
      <c r="R46" s="72">
        <f>SUM(R37:R45)</f>
        <v>0</v>
      </c>
      <c r="S46" s="68"/>
      <c r="T46" s="72">
        <f>SUM(T37:T45)</f>
        <v>191433.48685435421</v>
      </c>
      <c r="U46" s="68"/>
      <c r="V46" s="20">
        <f>T46/$H46*100</f>
        <v>2.0944247454346931</v>
      </c>
      <c r="W46" s="68"/>
      <c r="X46" s="73">
        <f>T46/P46</f>
        <v>1</v>
      </c>
      <c r="Y46" s="14"/>
      <c r="Z46" s="15"/>
    </row>
    <row r="47" spans="2:26" x14ac:dyDescent="0.3">
      <c r="B47" s="62"/>
      <c r="H47" s="14"/>
      <c r="I47" s="14"/>
      <c r="J47" s="18"/>
      <c r="K47" s="14"/>
      <c r="L47" s="67"/>
      <c r="M47" s="14"/>
      <c r="N47" s="19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</row>
    <row r="48" spans="2:26" x14ac:dyDescent="0.3">
      <c r="B48" s="62"/>
      <c r="C48" s="64"/>
      <c r="D48" s="10" t="s">
        <v>48</v>
      </c>
      <c r="E48" s="62"/>
      <c r="F48" s="17"/>
      <c r="G48" s="62"/>
      <c r="H48" s="11"/>
      <c r="I48" s="67"/>
      <c r="J48" s="18"/>
      <c r="K48" s="68"/>
      <c r="L48" s="67"/>
      <c r="M48" s="68"/>
      <c r="N48" s="19"/>
      <c r="O48" s="12"/>
      <c r="P48" s="11"/>
      <c r="Q48" s="12"/>
      <c r="R48" s="11"/>
      <c r="S48" s="68"/>
      <c r="T48" s="11"/>
      <c r="U48" s="68"/>
      <c r="V48" s="26"/>
      <c r="W48" s="68"/>
      <c r="X48" s="13"/>
      <c r="Y48" s="14"/>
      <c r="Z48" s="15"/>
    </row>
    <row r="49" spans="2:29" x14ac:dyDescent="0.3">
      <c r="B49" s="62">
        <f>MAX(B$19:B48)+1</f>
        <v>23</v>
      </c>
      <c r="C49" s="64"/>
      <c r="D49" s="16" t="s">
        <v>34</v>
      </c>
      <c r="E49" s="62"/>
      <c r="F49" s="17" t="s">
        <v>40</v>
      </c>
      <c r="G49" s="62"/>
      <c r="H49" s="11">
        <v>576969.29638504668</v>
      </c>
      <c r="I49" s="67"/>
      <c r="J49" s="18"/>
      <c r="K49" s="68"/>
      <c r="L49" s="67"/>
      <c r="M49" s="68"/>
      <c r="N49" s="19"/>
      <c r="O49" s="12"/>
      <c r="P49" s="11">
        <v>77522.886530851043</v>
      </c>
      <c r="Q49" s="12"/>
      <c r="R49" s="11">
        <f>T49-P49</f>
        <v>-25.16058097271889</v>
      </c>
      <c r="S49" s="68"/>
      <c r="T49" s="11">
        <f>H49*V49/100</f>
        <v>77497.725949878324</v>
      </c>
      <c r="U49" s="68"/>
      <c r="V49" s="26">
        <v>13.431863087937938</v>
      </c>
      <c r="W49" s="68"/>
      <c r="X49" s="13">
        <f>T49/P49</f>
        <v>0.99967544318718438</v>
      </c>
      <c r="Y49" s="14"/>
      <c r="Z49" s="15"/>
    </row>
    <row r="50" spans="2:29" x14ac:dyDescent="0.3">
      <c r="B50" s="62">
        <f>MAX(B$19:B49)+1</f>
        <v>24</v>
      </c>
      <c r="C50" s="64"/>
      <c r="D50" s="16" t="s">
        <v>36</v>
      </c>
      <c r="E50" s="62"/>
      <c r="F50" s="17" t="s">
        <v>40</v>
      </c>
      <c r="G50" s="62"/>
      <c r="H50" s="11">
        <v>1024018.9614492089</v>
      </c>
      <c r="I50" s="67"/>
      <c r="J50" s="18"/>
      <c r="K50" s="68"/>
      <c r="L50" s="67"/>
      <c r="M50" s="68"/>
      <c r="N50" s="19"/>
      <c r="O50" s="12"/>
      <c r="P50" s="11">
        <v>108365.73189370467</v>
      </c>
      <c r="Q50" s="12"/>
      <c r="R50" s="11">
        <f t="shared" ref="R50:R51" si="10">T50-P50</f>
        <v>150.3297353535454</v>
      </c>
      <c r="S50" s="68"/>
      <c r="T50" s="11">
        <f t="shared" ref="T50:T52" si="11">H50*V50/100</f>
        <v>108516.06162905821</v>
      </c>
      <c r="U50" s="68"/>
      <c r="V50" s="26">
        <v>10.59707541699076</v>
      </c>
      <c r="W50" s="68"/>
      <c r="X50" s="13">
        <f t="shared" ref="X50:X52" si="12">T50/P50</f>
        <v>1.0013872442212728</v>
      </c>
      <c r="Y50" s="14"/>
      <c r="Z50" s="15"/>
    </row>
    <row r="51" spans="2:29" x14ac:dyDescent="0.3">
      <c r="B51" s="62">
        <f>MAX(B$19:B50)+1</f>
        <v>25</v>
      </c>
      <c r="C51" s="64"/>
      <c r="D51" s="16" t="s">
        <v>37</v>
      </c>
      <c r="E51" s="62"/>
      <c r="F51" s="17" t="s">
        <v>40</v>
      </c>
      <c r="G51" s="62"/>
      <c r="H51" s="11">
        <v>4375565.7165106088</v>
      </c>
      <c r="I51" s="67"/>
      <c r="J51" s="18"/>
      <c r="K51" s="68"/>
      <c r="L51" s="67"/>
      <c r="M51" s="68"/>
      <c r="N51" s="19"/>
      <c r="O51" s="12"/>
      <c r="P51" s="11">
        <v>642906.96370272327</v>
      </c>
      <c r="Q51" s="12"/>
      <c r="R51" s="11">
        <f t="shared" si="10"/>
        <v>-188.43645111413207</v>
      </c>
      <c r="S51" s="68"/>
      <c r="T51" s="11">
        <f t="shared" si="11"/>
        <v>642718.52725160914</v>
      </c>
      <c r="U51" s="68"/>
      <c r="V51" s="26">
        <v>14.688809833809541</v>
      </c>
      <c r="W51" s="68"/>
      <c r="X51" s="13">
        <f t="shared" si="12"/>
        <v>0.99970689934663504</v>
      </c>
      <c r="Y51" s="14"/>
      <c r="Z51" s="15"/>
    </row>
    <row r="52" spans="2:29" x14ac:dyDescent="0.3">
      <c r="B52" s="62">
        <f>MAX(B$19:B51)+1</f>
        <v>26</v>
      </c>
      <c r="C52" s="64"/>
      <c r="D52" s="16" t="s">
        <v>38</v>
      </c>
      <c r="E52" s="62"/>
      <c r="F52" s="17" t="s">
        <v>40</v>
      </c>
      <c r="G52" s="62"/>
      <c r="H52" s="11">
        <v>2676562.60017044</v>
      </c>
      <c r="I52" s="67"/>
      <c r="J52" s="18"/>
      <c r="K52" s="68"/>
      <c r="L52" s="67"/>
      <c r="M52" s="68"/>
      <c r="N52" s="19"/>
      <c r="O52" s="12"/>
      <c r="P52" s="11">
        <v>420067.83335556521</v>
      </c>
      <c r="Q52" s="12"/>
      <c r="R52" s="11">
        <f>ROUND(T52-P52,0)</f>
        <v>0</v>
      </c>
      <c r="S52" s="68"/>
      <c r="T52" s="11">
        <f t="shared" si="11"/>
        <v>420067.83335624315</v>
      </c>
      <c r="U52" s="68"/>
      <c r="V52" s="26">
        <v>15.694302585319461</v>
      </c>
      <c r="W52" s="68"/>
      <c r="X52" s="13">
        <f t="shared" si="12"/>
        <v>1.0000000000016138</v>
      </c>
      <c r="Y52" s="14"/>
      <c r="Z52" s="15"/>
    </row>
    <row r="53" spans="2:29" x14ac:dyDescent="0.3">
      <c r="B53" s="62"/>
      <c r="C53" s="64"/>
      <c r="D53" s="10"/>
      <c r="E53" s="62"/>
      <c r="F53" s="17"/>
      <c r="G53" s="62"/>
      <c r="H53" s="11"/>
      <c r="I53" s="67"/>
      <c r="J53" s="11"/>
      <c r="K53" s="68"/>
      <c r="L53" s="26"/>
      <c r="M53" s="68"/>
      <c r="N53" s="19"/>
      <c r="O53" s="12"/>
      <c r="P53" s="11"/>
      <c r="Q53" s="12"/>
      <c r="R53" s="11"/>
      <c r="S53" s="68"/>
      <c r="T53" s="11"/>
      <c r="U53" s="68"/>
      <c r="V53" s="26"/>
      <c r="W53" s="68"/>
      <c r="X53" s="13"/>
      <c r="Y53" s="14"/>
      <c r="Z53" s="15"/>
    </row>
    <row r="54" spans="2:29" ht="12.9" thickBot="1" x14ac:dyDescent="0.35">
      <c r="B54" s="62">
        <f>MAX(B$19:B53)+1</f>
        <v>27</v>
      </c>
      <c r="C54" s="64"/>
      <c r="D54" s="24" t="s">
        <v>49</v>
      </c>
      <c r="E54" s="62"/>
      <c r="F54" s="17"/>
      <c r="G54" s="62"/>
      <c r="H54" s="74">
        <f>H33</f>
        <v>9140146.3467059359</v>
      </c>
      <c r="I54" s="67"/>
      <c r="J54" s="74">
        <v>3492378.9351526839</v>
      </c>
      <c r="K54" s="68"/>
      <c r="L54" s="25">
        <f>J54/$H54*100</f>
        <v>38.209223383073294</v>
      </c>
      <c r="M54" s="68"/>
      <c r="N54" s="74">
        <f>J54-P54</f>
        <v>29362.124624001794</v>
      </c>
      <c r="O54" s="12"/>
      <c r="P54" s="74">
        <f>SUM(P33,P46,P49:P52)</f>
        <v>3463016.8105286821</v>
      </c>
      <c r="Q54" s="68"/>
      <c r="R54" s="74">
        <f>SUM(R33,R46,R49:R52)</f>
        <v>-9568.6718779676157</v>
      </c>
      <c r="S54" s="68"/>
      <c r="T54" s="74">
        <f>SUM(T33,T46,T49:T52)</f>
        <v>3453448.1386513924</v>
      </c>
      <c r="U54" s="68"/>
      <c r="V54" s="25">
        <f>T54/$H54*100</f>
        <v>37.783291510381538</v>
      </c>
      <c r="W54" s="68"/>
      <c r="X54" s="75">
        <f>T54/P54</f>
        <v>0.99723689707534835</v>
      </c>
      <c r="Y54" s="14"/>
      <c r="Z54" s="76">
        <f>V54/L54-1</f>
        <v>-1.1147357495898347E-2</v>
      </c>
    </row>
    <row r="55" spans="2:29" ht="12.9" thickTop="1" x14ac:dyDescent="0.3">
      <c r="B55" s="62"/>
      <c r="C55" s="64"/>
      <c r="D55" s="24"/>
      <c r="E55" s="62"/>
      <c r="F55" s="17"/>
      <c r="G55" s="62"/>
      <c r="H55" s="68"/>
      <c r="I55" s="67"/>
      <c r="J55" s="68"/>
      <c r="K55" s="68"/>
      <c r="L55" s="26"/>
      <c r="M55" s="68"/>
      <c r="N55" s="68"/>
      <c r="O55" s="12"/>
      <c r="P55" s="68"/>
      <c r="Q55" s="12"/>
      <c r="R55" s="68"/>
      <c r="S55" s="68"/>
      <c r="T55" s="68"/>
      <c r="U55" s="68"/>
      <c r="V55" s="26"/>
      <c r="W55" s="68"/>
      <c r="X55" s="77"/>
      <c r="Y55" s="14"/>
      <c r="Z55" s="35"/>
    </row>
    <row r="56" spans="2:29" x14ac:dyDescent="0.3">
      <c r="B56" s="62">
        <f>MAX(B$19:B55)+1</f>
        <v>28</v>
      </c>
      <c r="C56" s="64"/>
      <c r="D56" s="2" t="s">
        <v>50</v>
      </c>
      <c r="E56" s="62"/>
      <c r="F56" s="70"/>
      <c r="G56" s="62"/>
      <c r="H56" s="11">
        <f>H24</f>
        <v>611345.59104681411</v>
      </c>
      <c r="I56" s="62"/>
      <c r="J56" s="11">
        <v>263114.2478628275</v>
      </c>
      <c r="K56" s="70"/>
      <c r="L56" s="27">
        <f>J56/$H56*100</f>
        <v>43.038545090722572</v>
      </c>
      <c r="M56" s="70"/>
      <c r="N56" s="68">
        <f>J56-P56</f>
        <v>31493.834308655903</v>
      </c>
      <c r="O56" s="28"/>
      <c r="P56" s="11">
        <f>SUM(P19,P24,P29,P37,P42,P49)</f>
        <v>231620.4135541716</v>
      </c>
      <c r="Q56" s="11"/>
      <c r="R56" s="11">
        <f>SUM(R19,R24,R29,R37,R42,R49)</f>
        <v>-546.09998392112902</v>
      </c>
      <c r="S56" s="11"/>
      <c r="T56" s="11">
        <f>SUM(T19,T24,T29,T37,T42,T49)</f>
        <v>231074.31357025052</v>
      </c>
      <c r="V56" s="27">
        <f>T56/$H56*100</f>
        <v>37.797657651309677</v>
      </c>
      <c r="W56" s="70"/>
      <c r="X56" s="77">
        <f>T56/P56</f>
        <v>0.99764226315141546</v>
      </c>
      <c r="Z56" s="35">
        <f>V56/L56-1</f>
        <v>-0.12177194717817319</v>
      </c>
      <c r="AC56" s="35"/>
    </row>
    <row r="57" spans="2:29" x14ac:dyDescent="0.3">
      <c r="B57" s="62">
        <f>MAX(B$19:B56)+1</f>
        <v>29</v>
      </c>
      <c r="C57" s="64"/>
      <c r="D57" s="64" t="s">
        <v>51</v>
      </c>
      <c r="E57" s="62"/>
      <c r="F57" s="29"/>
      <c r="G57" s="62"/>
      <c r="H57" s="11">
        <f>H25</f>
        <v>1080398.6158537446</v>
      </c>
      <c r="I57" s="62"/>
      <c r="J57" s="11">
        <v>453096.75906359032</v>
      </c>
      <c r="K57" s="70"/>
      <c r="L57" s="27">
        <f t="shared" ref="L57:L59" si="13">J57/$H57*100</f>
        <v>41.937924800611448</v>
      </c>
      <c r="M57" s="70"/>
      <c r="N57" s="68">
        <f t="shared" ref="N57:N59" si="14">J57-P57</f>
        <v>-27230.310651071486</v>
      </c>
      <c r="O57" s="70"/>
      <c r="P57" s="11">
        <f>SUM(P20,P25,P30,P38,P43,P50)</f>
        <v>480327.0697146618</v>
      </c>
      <c r="Q57" s="11"/>
      <c r="R57" s="11">
        <f>SUM(R20,R25,R30,R38,R43,R50)</f>
        <v>-885.89438568656624</v>
      </c>
      <c r="S57" s="11"/>
      <c r="T57" s="11">
        <f>SUM(T20,T25,T30,T38,T43,T50)</f>
        <v>479441.17532897519</v>
      </c>
      <c r="V57" s="27">
        <f t="shared" ref="V57:V59" si="15">T57/$H57*100</f>
        <v>44.376322617751114</v>
      </c>
      <c r="W57" s="70"/>
      <c r="X57" s="77">
        <f t="shared" ref="X57:X59" si="16">T57/P57</f>
        <v>0.99815564343227026</v>
      </c>
      <c r="Y57" s="62"/>
      <c r="Z57" s="35">
        <f t="shared" ref="Z57:Z59" si="17">V57/L57-1</f>
        <v>5.8143025167142204E-2</v>
      </c>
      <c r="AC57" s="35"/>
    </row>
    <row r="58" spans="2:29" x14ac:dyDescent="0.3">
      <c r="B58" s="62">
        <f>MAX(B$19:B57)+1</f>
        <v>30</v>
      </c>
      <c r="C58" s="64"/>
      <c r="D58" s="64" t="s">
        <v>52</v>
      </c>
      <c r="E58" s="62"/>
      <c r="F58" s="29"/>
      <c r="G58" s="62"/>
      <c r="H58" s="11">
        <f>H26</f>
        <v>4612066.3430704791</v>
      </c>
      <c r="I58" s="62"/>
      <c r="J58" s="11">
        <v>1790025.3500009971</v>
      </c>
      <c r="K58" s="70"/>
      <c r="L58" s="27">
        <f t="shared" si="13"/>
        <v>38.811786666739259</v>
      </c>
      <c r="M58" s="70"/>
      <c r="N58" s="68">
        <f t="shared" si="14"/>
        <v>79541.871026788373</v>
      </c>
      <c r="O58" s="70"/>
      <c r="P58" s="11">
        <f>SUM(P21,P26,P31,P39,P44,P51)</f>
        <v>1710483.4789742087</v>
      </c>
      <c r="Q58" s="11"/>
      <c r="R58" s="11">
        <f>SUM(R21,R26,R31,R39,R44,R51)</f>
        <v>-5900.9655211424106</v>
      </c>
      <c r="S58" s="11"/>
      <c r="T58" s="11">
        <f>SUM(T21,T26,T31,T39,T44,T51)</f>
        <v>1704582.5134530661</v>
      </c>
      <c r="V58" s="27">
        <f t="shared" si="15"/>
        <v>36.959193269501881</v>
      </c>
      <c r="W58" s="70"/>
      <c r="X58" s="77">
        <f t="shared" si="16"/>
        <v>0.99655011837665841</v>
      </c>
      <c r="Y58" s="62"/>
      <c r="Z58" s="35">
        <f t="shared" si="17"/>
        <v>-4.773275224727036E-2</v>
      </c>
      <c r="AC58" s="35"/>
    </row>
    <row r="59" spans="2:29" x14ac:dyDescent="0.3">
      <c r="B59" s="62">
        <f>MAX(B$19:B58)+1</f>
        <v>31</v>
      </c>
      <c r="C59" s="64"/>
      <c r="D59" s="64" t="s">
        <v>53</v>
      </c>
      <c r="E59" s="62"/>
      <c r="F59" s="29"/>
      <c r="G59" s="62"/>
      <c r="H59" s="11">
        <f>H27</f>
        <v>2836335.7967348988</v>
      </c>
      <c r="I59" s="62"/>
      <c r="J59" s="11">
        <v>986142.57822526875</v>
      </c>
      <c r="K59" s="70"/>
      <c r="L59" s="27">
        <f t="shared" si="13"/>
        <v>34.768188567816452</v>
      </c>
      <c r="M59" s="70"/>
      <c r="N59" s="68">
        <f t="shared" si="14"/>
        <v>-54443.270060371724</v>
      </c>
      <c r="O59" s="70"/>
      <c r="P59" s="11">
        <f>SUM(P22,P27,P32,P40,P45,P52)</f>
        <v>1040585.8482856405</v>
      </c>
      <c r="Q59" s="11"/>
      <c r="R59" s="11">
        <f>SUM(R22,R27,R32,R40,R45,R52)</f>
        <v>-2235.7119872175099</v>
      </c>
      <c r="S59" s="11"/>
      <c r="T59" s="11">
        <f>SUM(T22,T27,T32,T40,T45,T52)</f>
        <v>1038350.1362991009</v>
      </c>
      <c r="V59" s="27">
        <f t="shared" si="15"/>
        <v>36.608857720387597</v>
      </c>
      <c r="W59" s="70"/>
      <c r="X59" s="77">
        <f t="shared" si="16"/>
        <v>0.99785148722690886</v>
      </c>
      <c r="Y59" s="62"/>
      <c r="Z59" s="35">
        <f t="shared" si="17"/>
        <v>5.2941186423355324E-2</v>
      </c>
      <c r="AC59" s="35"/>
    </row>
    <row r="60" spans="2:29" x14ac:dyDescent="0.3">
      <c r="B60" s="62"/>
      <c r="C60" s="64"/>
      <c r="D60" s="64"/>
      <c r="E60" s="62"/>
      <c r="F60" s="29"/>
      <c r="G60" s="62"/>
      <c r="H60" s="11"/>
      <c r="I60" s="62"/>
      <c r="J60" s="11"/>
      <c r="K60" s="70"/>
      <c r="L60" s="27"/>
      <c r="M60" s="70"/>
      <c r="N60" s="68"/>
      <c r="O60" s="70"/>
      <c r="P60" s="11"/>
      <c r="Q60" s="11"/>
      <c r="R60" s="11"/>
      <c r="S60" s="11"/>
      <c r="T60" s="11"/>
      <c r="V60" s="27"/>
      <c r="W60" s="70"/>
      <c r="X60" s="77"/>
      <c r="Y60" s="62"/>
      <c r="Z60" s="35"/>
      <c r="AC60" s="35"/>
    </row>
    <row r="61" spans="2:29" x14ac:dyDescent="0.3">
      <c r="B61" s="62"/>
      <c r="C61" s="64"/>
      <c r="D61" s="64"/>
      <c r="E61" s="62"/>
      <c r="F61" s="29"/>
      <c r="G61" s="62"/>
      <c r="H61" s="11"/>
      <c r="I61" s="62"/>
      <c r="J61" s="11"/>
      <c r="K61" s="70"/>
      <c r="L61" s="27"/>
      <c r="M61" s="70"/>
      <c r="N61" s="68"/>
      <c r="O61" s="70"/>
      <c r="P61" s="11"/>
      <c r="Q61" s="11"/>
      <c r="R61" s="11"/>
      <c r="S61" s="11"/>
      <c r="T61" s="11"/>
      <c r="V61" s="27"/>
      <c r="W61" s="70"/>
      <c r="X61" s="77"/>
      <c r="Y61" s="62"/>
      <c r="Z61" s="35"/>
      <c r="AC61" s="35"/>
    </row>
    <row r="62" spans="2:29" x14ac:dyDescent="0.3">
      <c r="B62" s="62"/>
      <c r="C62" s="64"/>
      <c r="D62" s="64"/>
      <c r="E62" s="62"/>
      <c r="F62" s="29"/>
      <c r="G62" s="62"/>
      <c r="H62" s="29"/>
      <c r="I62" s="62"/>
      <c r="J62" s="29"/>
      <c r="K62" s="70"/>
      <c r="L62" s="29"/>
      <c r="M62" s="70"/>
      <c r="N62" s="29"/>
      <c r="O62" s="70"/>
      <c r="P62" s="29"/>
      <c r="Q62" s="70"/>
      <c r="R62" s="70"/>
      <c r="S62" s="70"/>
      <c r="T62" s="23"/>
      <c r="U62" s="70"/>
      <c r="V62" s="29"/>
      <c r="W62" s="70"/>
      <c r="X62" s="78"/>
      <c r="Y62" s="62"/>
      <c r="Z62" s="78"/>
    </row>
    <row r="63" spans="2:29" x14ac:dyDescent="0.3">
      <c r="B63" s="62"/>
      <c r="C63" s="64"/>
      <c r="D63" s="7" t="s">
        <v>54</v>
      </c>
      <c r="E63" s="62"/>
      <c r="F63" s="6"/>
      <c r="G63" s="62"/>
      <c r="H63" s="18"/>
      <c r="I63" s="67"/>
      <c r="J63" s="21"/>
      <c r="K63" s="68"/>
      <c r="L63" s="21"/>
      <c r="M63" s="67"/>
      <c r="N63" s="21"/>
      <c r="O63" s="67"/>
      <c r="P63" s="30"/>
      <c r="Q63" s="67"/>
      <c r="R63" s="68"/>
      <c r="S63" s="67"/>
      <c r="T63" s="68"/>
      <c r="U63" s="67"/>
      <c r="V63" s="67"/>
      <c r="W63" s="67"/>
      <c r="X63" s="67"/>
      <c r="Y63" s="67"/>
      <c r="Z63" s="68"/>
    </row>
    <row r="64" spans="2:29" x14ac:dyDescent="0.3">
      <c r="B64" s="62"/>
      <c r="C64" s="64"/>
      <c r="D64" s="10" t="s">
        <v>33</v>
      </c>
      <c r="E64" s="62"/>
      <c r="F64" s="17"/>
      <c r="G64" s="62"/>
      <c r="H64" s="11"/>
      <c r="I64" s="67"/>
      <c r="J64" s="11"/>
      <c r="K64" s="67"/>
      <c r="L64" s="11"/>
      <c r="M64" s="68"/>
      <c r="N64" s="11"/>
      <c r="O64" s="12"/>
      <c r="P64" s="23"/>
      <c r="Q64" s="12"/>
      <c r="R64" s="11"/>
      <c r="S64" s="68"/>
      <c r="T64" s="11"/>
      <c r="U64" s="68"/>
      <c r="V64" s="23"/>
      <c r="W64" s="68"/>
      <c r="X64" s="13"/>
      <c r="Y64" s="14"/>
      <c r="Z64" s="11"/>
    </row>
    <row r="65" spans="2:26" x14ac:dyDescent="0.3">
      <c r="B65" s="62">
        <f>MAX(B$18:B64)+1</f>
        <v>32</v>
      </c>
      <c r="C65" s="64"/>
      <c r="D65" s="16" t="s">
        <v>34</v>
      </c>
      <c r="E65" s="62"/>
      <c r="F65" s="17" t="s">
        <v>35</v>
      </c>
      <c r="G65" s="62"/>
      <c r="H65" s="11">
        <v>62524.542269876947</v>
      </c>
      <c r="I65" s="67"/>
      <c r="J65" s="11"/>
      <c r="K65" s="67"/>
      <c r="L65" s="11"/>
      <c r="M65" s="68"/>
      <c r="N65" s="11"/>
      <c r="O65" s="12"/>
      <c r="P65" s="11">
        <v>6955.4334904133839</v>
      </c>
      <c r="Q65" s="12"/>
      <c r="R65" s="11">
        <f t="shared" ref="R65:R68" si="18">T65-P65</f>
        <v>-5136.1187342067424</v>
      </c>
      <c r="S65" s="68"/>
      <c r="T65" s="11">
        <f>V65*H65/1000</f>
        <v>1819.3147562066411</v>
      </c>
      <c r="U65" s="68"/>
      <c r="V65" s="71">
        <v>29.097610156886343</v>
      </c>
      <c r="W65" s="68"/>
      <c r="X65" s="13">
        <f>T65/P65</f>
        <v>0.26156741470020345</v>
      </c>
      <c r="Y65" s="14"/>
      <c r="Z65" s="11"/>
    </row>
    <row r="66" spans="2:26" x14ac:dyDescent="0.3">
      <c r="B66" s="62">
        <f>MAX(B$18:B65)+1</f>
        <v>33</v>
      </c>
      <c r="C66" s="64"/>
      <c r="D66" s="16" t="s">
        <v>36</v>
      </c>
      <c r="E66" s="62"/>
      <c r="F66" s="17" t="s">
        <v>35</v>
      </c>
      <c r="G66" s="62"/>
      <c r="H66" s="11">
        <v>115468.21387432583</v>
      </c>
      <c r="I66" s="67"/>
      <c r="J66" s="11"/>
      <c r="K66" s="67"/>
      <c r="L66" s="11"/>
      <c r="M66" s="68"/>
      <c r="N66" s="11"/>
      <c r="O66" s="12"/>
      <c r="P66" s="11">
        <v>12845.059758984171</v>
      </c>
      <c r="Q66" s="12"/>
      <c r="R66" s="11">
        <f t="shared" si="18"/>
        <v>-9485.2106861570628</v>
      </c>
      <c r="S66" s="68"/>
      <c r="T66" s="11">
        <f t="shared" ref="T66:T68" si="19">V66*H66/1000</f>
        <v>3359.8490728271076</v>
      </c>
      <c r="U66" s="68"/>
      <c r="V66" s="71">
        <v>29.097610156886343</v>
      </c>
      <c r="W66" s="68"/>
      <c r="X66" s="13">
        <f t="shared" ref="X66:X68" si="20">T66/P66</f>
        <v>0.26156741470020345</v>
      </c>
      <c r="Y66" s="14"/>
      <c r="Z66" s="11"/>
    </row>
    <row r="67" spans="2:26" x14ac:dyDescent="0.3">
      <c r="B67" s="62">
        <f>MAX(B$18:B66)+1</f>
        <v>34</v>
      </c>
      <c r="C67" s="64"/>
      <c r="D67" s="16" t="s">
        <v>37</v>
      </c>
      <c r="E67" s="62"/>
      <c r="F67" s="17" t="s">
        <v>35</v>
      </c>
      <c r="G67" s="62"/>
      <c r="H67" s="11">
        <v>585994.58561362803</v>
      </c>
      <c r="I67" s="67"/>
      <c r="J67" s="11"/>
      <c r="K67" s="67"/>
      <c r="L67" s="11"/>
      <c r="M67" s="68"/>
      <c r="N67" s="11"/>
      <c r="O67" s="12"/>
      <c r="P67" s="11">
        <v>65187.944093780294</v>
      </c>
      <c r="Q67" s="12"/>
      <c r="R67" s="11">
        <f t="shared" si="18"/>
        <v>-48136.902087548791</v>
      </c>
      <c r="S67" s="68"/>
      <c r="T67" s="11">
        <f t="shared" si="19"/>
        <v>17051.042006231506</v>
      </c>
      <c r="U67" s="68"/>
      <c r="V67" s="71">
        <v>29.097610156886343</v>
      </c>
      <c r="W67" s="68"/>
      <c r="X67" s="13">
        <f t="shared" si="20"/>
        <v>0.26156741470020339</v>
      </c>
      <c r="Y67" s="14"/>
      <c r="Z67" s="11"/>
    </row>
    <row r="68" spans="2:26" x14ac:dyDescent="0.3">
      <c r="B68" s="62">
        <f>MAX(B$18:B67)+1</f>
        <v>35</v>
      </c>
      <c r="C68" s="64"/>
      <c r="D68" s="16" t="s">
        <v>38</v>
      </c>
      <c r="E68" s="62"/>
      <c r="F68" s="17" t="s">
        <v>35</v>
      </c>
      <c r="G68" s="62"/>
      <c r="H68" s="11">
        <v>257310.84770759239</v>
      </c>
      <c r="I68" s="67"/>
      <c r="J68" s="11"/>
      <c r="K68" s="67"/>
      <c r="L68" s="11"/>
      <c r="M68" s="68"/>
      <c r="N68" s="11"/>
      <c r="O68" s="12"/>
      <c r="P68" s="11">
        <v>28624.095796928228</v>
      </c>
      <c r="Q68" s="12"/>
      <c r="R68" s="11">
        <f t="shared" si="18"/>
        <v>-21136.965061194751</v>
      </c>
      <c r="S68" s="68"/>
      <c r="T68" s="11">
        <f t="shared" si="19"/>
        <v>7487.1307357334754</v>
      </c>
      <c r="U68" s="68"/>
      <c r="V68" s="71">
        <v>29.097610156886343</v>
      </c>
      <c r="W68" s="68"/>
      <c r="X68" s="13">
        <f t="shared" si="20"/>
        <v>0.26156741470020339</v>
      </c>
      <c r="Y68" s="14"/>
      <c r="Z68" s="11"/>
    </row>
    <row r="69" spans="2:26" x14ac:dyDescent="0.3">
      <c r="B69" s="62"/>
      <c r="C69" s="64"/>
      <c r="D69" s="10" t="s">
        <v>39</v>
      </c>
      <c r="E69" s="62"/>
      <c r="F69" s="17"/>
      <c r="G69" s="62"/>
      <c r="H69" s="11"/>
      <c r="I69" s="67"/>
      <c r="J69" s="11"/>
      <c r="K69" s="67"/>
      <c r="L69" s="11"/>
      <c r="M69" s="68"/>
      <c r="N69" s="11"/>
      <c r="O69" s="12"/>
      <c r="P69" s="11"/>
      <c r="Q69" s="12"/>
      <c r="R69" s="11"/>
      <c r="S69" s="68"/>
      <c r="T69" s="11"/>
      <c r="U69" s="68"/>
      <c r="V69" s="26"/>
      <c r="W69" s="68"/>
      <c r="X69" s="13"/>
      <c r="Y69" s="14"/>
      <c r="Z69" s="11"/>
    </row>
    <row r="70" spans="2:26" x14ac:dyDescent="0.3">
      <c r="B70" s="62">
        <f>MAX(B$18:B69)+1</f>
        <v>36</v>
      </c>
      <c r="C70" s="64"/>
      <c r="D70" s="16" t="s">
        <v>34</v>
      </c>
      <c r="E70" s="62"/>
      <c r="F70" s="17" t="s">
        <v>40</v>
      </c>
      <c r="G70" s="62"/>
      <c r="H70" s="11">
        <v>296688.5868703376</v>
      </c>
      <c r="I70" s="67"/>
      <c r="J70" s="11"/>
      <c r="K70" s="67"/>
      <c r="L70" s="11"/>
      <c r="M70" s="68"/>
      <c r="N70" s="11"/>
      <c r="O70" s="12"/>
      <c r="P70" s="11">
        <v>198.3253369624056</v>
      </c>
      <c r="Q70" s="12"/>
      <c r="R70" s="11">
        <f t="shared" ref="R70:R78" si="21">T70-P70</f>
        <v>0</v>
      </c>
      <c r="S70" s="68"/>
      <c r="T70" s="11">
        <f>H70*V70/100</f>
        <v>198.32533696240563</v>
      </c>
      <c r="U70" s="68"/>
      <c r="V70" s="26">
        <v>6.6846298017213632E-2</v>
      </c>
      <c r="W70" s="68"/>
      <c r="X70" s="13">
        <f t="shared" ref="X70:X78" si="22">T70/P70</f>
        <v>1.0000000000000002</v>
      </c>
      <c r="Y70" s="14"/>
      <c r="Z70" s="11"/>
    </row>
    <row r="71" spans="2:26" x14ac:dyDescent="0.3">
      <c r="B71" s="62">
        <f>MAX(B$18:B70)+1</f>
        <v>37</v>
      </c>
      <c r="C71" s="64"/>
      <c r="D71" s="16" t="s">
        <v>36</v>
      </c>
      <c r="E71" s="62"/>
      <c r="F71" s="17" t="s">
        <v>40</v>
      </c>
      <c r="G71" s="62"/>
      <c r="H71" s="11">
        <v>685374.97181331913</v>
      </c>
      <c r="I71" s="67"/>
      <c r="J71" s="11"/>
      <c r="K71" s="67"/>
      <c r="L71" s="11"/>
      <c r="M71" s="68"/>
      <c r="N71" s="11"/>
      <c r="O71" s="12"/>
      <c r="P71" s="11">
        <v>458.14779619372518</v>
      </c>
      <c r="Q71" s="12"/>
      <c r="R71" s="11">
        <f t="shared" si="21"/>
        <v>0</v>
      </c>
      <c r="S71" s="68"/>
      <c r="T71" s="11">
        <f t="shared" ref="T71:T73" si="23">H71*V71/100</f>
        <v>458.14779619372524</v>
      </c>
      <c r="U71" s="68"/>
      <c r="V71" s="26">
        <v>6.6846298017213632E-2</v>
      </c>
      <c r="W71" s="68"/>
      <c r="X71" s="13">
        <f t="shared" si="22"/>
        <v>1.0000000000000002</v>
      </c>
      <c r="Y71" s="14"/>
      <c r="Z71" s="11"/>
    </row>
    <row r="72" spans="2:26" x14ac:dyDescent="0.3">
      <c r="B72" s="62">
        <f>MAX(B$18:B71)+1</f>
        <v>38</v>
      </c>
      <c r="C72" s="64"/>
      <c r="D72" s="16" t="s">
        <v>37</v>
      </c>
      <c r="E72" s="62"/>
      <c r="F72" s="17" t="s">
        <v>40</v>
      </c>
      <c r="G72" s="62"/>
      <c r="H72" s="11">
        <v>3843716.6173741757</v>
      </c>
      <c r="I72" s="67"/>
      <c r="J72" s="11"/>
      <c r="K72" s="67"/>
      <c r="L72" s="11"/>
      <c r="M72" s="68"/>
      <c r="N72" s="11"/>
      <c r="O72" s="12"/>
      <c r="P72" s="11">
        <v>2569.382264987104</v>
      </c>
      <c r="Q72" s="12"/>
      <c r="R72" s="11">
        <f t="shared" si="21"/>
        <v>0</v>
      </c>
      <c r="S72" s="68"/>
      <c r="T72" s="11">
        <f t="shared" si="23"/>
        <v>2569.3822649871045</v>
      </c>
      <c r="U72" s="68"/>
      <c r="V72" s="26">
        <v>6.6846298017213632E-2</v>
      </c>
      <c r="W72" s="68"/>
      <c r="X72" s="13">
        <f t="shared" si="22"/>
        <v>1.0000000000000002</v>
      </c>
      <c r="Y72" s="14"/>
      <c r="Z72" s="11"/>
    </row>
    <row r="73" spans="2:26" x14ac:dyDescent="0.3">
      <c r="B73" s="62">
        <f>MAX(B$18:B72)+1</f>
        <v>39</v>
      </c>
      <c r="C73" s="64"/>
      <c r="D73" s="16" t="s">
        <v>38</v>
      </c>
      <c r="E73" s="62"/>
      <c r="F73" s="17" t="s">
        <v>40</v>
      </c>
      <c r="G73" s="62"/>
      <c r="H73" s="11">
        <v>1745278.9091024091</v>
      </c>
      <c r="I73" s="67"/>
      <c r="J73" s="11"/>
      <c r="K73" s="67"/>
      <c r="L73" s="11"/>
      <c r="M73" s="68"/>
      <c r="N73" s="11"/>
      <c r="O73" s="12"/>
      <c r="P73" s="11">
        <v>1166.6543408101713</v>
      </c>
      <c r="Q73" s="12"/>
      <c r="R73" s="11">
        <f t="shared" si="21"/>
        <v>0</v>
      </c>
      <c r="S73" s="68"/>
      <c r="T73" s="11">
        <f t="shared" si="23"/>
        <v>1166.6543408101713</v>
      </c>
      <c r="U73" s="68"/>
      <c r="V73" s="26">
        <v>6.6846298017213632E-2</v>
      </c>
      <c r="W73" s="68"/>
      <c r="X73" s="13">
        <f t="shared" si="22"/>
        <v>1</v>
      </c>
      <c r="Y73" s="14"/>
      <c r="Z73" s="11"/>
    </row>
    <row r="74" spans="2:26" x14ac:dyDescent="0.3">
      <c r="B74" s="62"/>
      <c r="C74" s="64"/>
      <c r="D74" s="10" t="s">
        <v>41</v>
      </c>
      <c r="E74" s="62"/>
      <c r="F74" s="17"/>
      <c r="G74" s="62"/>
      <c r="H74" s="11"/>
      <c r="I74" s="67"/>
      <c r="J74" s="11"/>
      <c r="K74" s="67"/>
      <c r="L74" s="11"/>
      <c r="M74" s="68"/>
      <c r="N74" s="11"/>
      <c r="O74" s="12"/>
      <c r="P74" s="11"/>
      <c r="Q74" s="12"/>
      <c r="R74" s="11"/>
      <c r="S74" s="68"/>
      <c r="T74" s="11"/>
      <c r="U74" s="68"/>
      <c r="V74" s="26"/>
      <c r="W74" s="68"/>
      <c r="X74" s="13"/>
      <c r="Y74" s="14"/>
      <c r="Z74" s="11"/>
    </row>
    <row r="75" spans="2:26" x14ac:dyDescent="0.3">
      <c r="B75" s="62">
        <f>MAX(B$18:B74)+1</f>
        <v>40</v>
      </c>
      <c r="C75" s="64"/>
      <c r="D75" s="16" t="s">
        <v>34</v>
      </c>
      <c r="E75" s="62"/>
      <c r="F75" s="17" t="s">
        <v>42</v>
      </c>
      <c r="G75" s="62"/>
      <c r="H75" s="11">
        <v>34892.44991835297</v>
      </c>
      <c r="I75" s="67"/>
      <c r="J75" s="11"/>
      <c r="K75" s="67"/>
      <c r="L75" s="11"/>
      <c r="M75" s="68"/>
      <c r="N75" s="11"/>
      <c r="O75" s="12"/>
      <c r="P75" s="11">
        <v>18465.683684367898</v>
      </c>
      <c r="Q75" s="12"/>
      <c r="R75" s="11">
        <f t="shared" si="21"/>
        <v>4859.9909205114018</v>
      </c>
      <c r="S75" s="68"/>
      <c r="T75" s="11">
        <f>H75*V75/100</f>
        <v>23325.674604879299</v>
      </c>
      <c r="U75" s="68"/>
      <c r="V75" s="26">
        <v>66.850205873936943</v>
      </c>
      <c r="W75" s="68"/>
      <c r="X75" s="13">
        <f t="shared" si="22"/>
        <v>1.2631904132867617</v>
      </c>
      <c r="Y75" s="14"/>
      <c r="Z75" s="11"/>
    </row>
    <row r="76" spans="2:26" x14ac:dyDescent="0.3">
      <c r="B76" s="62">
        <f>MAX(B$18:B75)+1</f>
        <v>41</v>
      </c>
      <c r="C76" s="64"/>
      <c r="D76" s="16" t="s">
        <v>36</v>
      </c>
      <c r="E76" s="62"/>
      <c r="F76" s="17" t="s">
        <v>42</v>
      </c>
      <c r="G76" s="62"/>
      <c r="H76" s="11">
        <v>95904.86715937496</v>
      </c>
      <c r="I76" s="67"/>
      <c r="J76" s="11"/>
      <c r="K76" s="67"/>
      <c r="L76" s="11"/>
      <c r="M76" s="68"/>
      <c r="N76" s="11"/>
      <c r="O76" s="12"/>
      <c r="P76" s="11">
        <v>48797.300531937602</v>
      </c>
      <c r="Q76" s="12"/>
      <c r="R76" s="11">
        <f t="shared" si="21"/>
        <v>8797.9756743753969</v>
      </c>
      <c r="S76" s="68"/>
      <c r="T76" s="11">
        <f t="shared" ref="T76:T78" si="24">H76*V76/100</f>
        <v>57595.276206312999</v>
      </c>
      <c r="U76" s="68"/>
      <c r="V76" s="26">
        <v>60.05459150535188</v>
      </c>
      <c r="W76" s="68"/>
      <c r="X76" s="13">
        <f t="shared" si="22"/>
        <v>1.1802963602180649</v>
      </c>
      <c r="Y76" s="14"/>
      <c r="Z76" s="11"/>
    </row>
    <row r="77" spans="2:26" x14ac:dyDescent="0.3">
      <c r="B77" s="62">
        <f>MAX(B$18:B76)+1</f>
        <v>42</v>
      </c>
      <c r="C77" s="64"/>
      <c r="D77" s="16" t="s">
        <v>37</v>
      </c>
      <c r="E77" s="62"/>
      <c r="F77" s="17" t="s">
        <v>42</v>
      </c>
      <c r="G77" s="62"/>
      <c r="H77" s="11">
        <v>448198.24276356312</v>
      </c>
      <c r="I77" s="67"/>
      <c r="J77" s="11"/>
      <c r="K77" s="67"/>
      <c r="L77" s="11"/>
      <c r="M77" s="68"/>
      <c r="N77" s="11"/>
      <c r="O77" s="12"/>
      <c r="P77" s="11">
        <v>245800.64135200757</v>
      </c>
      <c r="Q77" s="12"/>
      <c r="R77" s="11">
        <f t="shared" si="21"/>
        <v>43580.061562590767</v>
      </c>
      <c r="S77" s="68"/>
      <c r="T77" s="11">
        <f t="shared" si="24"/>
        <v>289380.70291459834</v>
      </c>
      <c r="U77" s="68"/>
      <c r="V77" s="26">
        <v>64.565336340967008</v>
      </c>
      <c r="W77" s="68"/>
      <c r="X77" s="13">
        <f t="shared" si="22"/>
        <v>1.1772984046049757</v>
      </c>
      <c r="Y77" s="14"/>
      <c r="Z77" s="11"/>
    </row>
    <row r="78" spans="2:26" x14ac:dyDescent="0.3">
      <c r="B78" s="62">
        <f>MAX(B$18:B77)+1</f>
        <v>43</v>
      </c>
      <c r="C78" s="64"/>
      <c r="D78" s="16" t="s">
        <v>38</v>
      </c>
      <c r="E78" s="62"/>
      <c r="F78" s="17" t="s">
        <v>42</v>
      </c>
      <c r="G78" s="62"/>
      <c r="H78" s="11">
        <v>193603.44015870907</v>
      </c>
      <c r="I78" s="67"/>
      <c r="J78" s="11"/>
      <c r="K78" s="67"/>
      <c r="L78" s="11"/>
      <c r="M78" s="68"/>
      <c r="N78" s="11"/>
      <c r="O78" s="12"/>
      <c r="P78" s="11">
        <v>100946.5718506386</v>
      </c>
      <c r="Q78" s="12"/>
      <c r="R78" s="11">
        <f t="shared" si="21"/>
        <v>19772.706291308859</v>
      </c>
      <c r="S78" s="68"/>
      <c r="T78" s="11">
        <f t="shared" si="24"/>
        <v>120719.27814194746</v>
      </c>
      <c r="U78" s="68"/>
      <c r="V78" s="26">
        <v>62.353891048106469</v>
      </c>
      <c r="W78" s="68"/>
      <c r="X78" s="13">
        <f t="shared" si="22"/>
        <v>1.1958729843799423</v>
      </c>
      <c r="Y78" s="14"/>
      <c r="Z78" s="11"/>
    </row>
    <row r="79" spans="2:26" x14ac:dyDescent="0.3">
      <c r="B79" s="62">
        <f>MAX(B$18:B78)+1</f>
        <v>44</v>
      </c>
      <c r="C79" s="64"/>
      <c r="D79" s="10" t="s">
        <v>43</v>
      </c>
      <c r="E79" s="62"/>
      <c r="F79" s="17"/>
      <c r="G79" s="62"/>
      <c r="H79" s="72">
        <f>SUM(H70:H73)</f>
        <v>6571059.0851602415</v>
      </c>
      <c r="I79" s="67"/>
      <c r="J79" s="11"/>
      <c r="K79" s="67"/>
      <c r="L79" s="11"/>
      <c r="M79" s="68"/>
      <c r="N79" s="11"/>
      <c r="O79" s="12"/>
      <c r="P79" s="72">
        <f>SUM(P65:P68,P70:P73,P75:P78)</f>
        <v>532015.24029801111</v>
      </c>
      <c r="Q79" s="68"/>
      <c r="R79" s="72">
        <f>SUM(R65:R78)</f>
        <v>-6884.462120320939</v>
      </c>
      <c r="S79" s="68"/>
      <c r="T79" s="72">
        <f>SUM(T65:T68,T70:T73,T75:T78)</f>
        <v>525130.77817769023</v>
      </c>
      <c r="U79" s="68"/>
      <c r="V79" s="20">
        <f>T79/$H79*100</f>
        <v>7.9915698728629598</v>
      </c>
      <c r="W79" s="68"/>
      <c r="X79" s="73">
        <f>T79/P79</f>
        <v>0.98705965243314364</v>
      </c>
      <c r="Y79" s="14"/>
      <c r="Z79" s="11"/>
    </row>
    <row r="80" spans="2:26" x14ac:dyDescent="0.3">
      <c r="E80" s="62"/>
      <c r="F80" s="17"/>
      <c r="G80" s="62"/>
      <c r="H80" s="11"/>
      <c r="I80" s="67"/>
      <c r="J80" s="21"/>
      <c r="K80" s="68"/>
      <c r="L80" s="21"/>
      <c r="M80" s="68"/>
      <c r="N80" s="21"/>
      <c r="O80" s="12"/>
      <c r="P80" s="11"/>
      <c r="Q80" s="12"/>
      <c r="R80" s="11"/>
      <c r="S80" s="68"/>
      <c r="T80" s="11"/>
      <c r="U80" s="68"/>
      <c r="V80" s="26"/>
      <c r="W80" s="68"/>
      <c r="X80" s="13"/>
      <c r="Y80" s="14"/>
      <c r="Z80" s="67"/>
    </row>
    <row r="81" spans="2:26" x14ac:dyDescent="0.3">
      <c r="B81" s="62"/>
      <c r="C81" s="64"/>
      <c r="D81" s="10" t="s">
        <v>44</v>
      </c>
      <c r="E81" s="62"/>
      <c r="F81" s="70"/>
      <c r="G81" s="62"/>
      <c r="H81" s="11"/>
      <c r="I81" s="67"/>
      <c r="J81" s="21"/>
      <c r="K81" s="68"/>
      <c r="L81" s="21"/>
      <c r="M81" s="68"/>
      <c r="N81" s="21"/>
      <c r="O81" s="12"/>
      <c r="P81" s="11"/>
      <c r="Q81" s="12"/>
      <c r="R81" s="11"/>
      <c r="S81" s="68"/>
      <c r="T81" s="11"/>
      <c r="U81" s="68"/>
      <c r="V81" s="21"/>
      <c r="W81" s="68"/>
      <c r="X81" s="13"/>
      <c r="Y81" s="14"/>
      <c r="Z81" s="67"/>
    </row>
    <row r="82" spans="2:26" x14ac:dyDescent="0.3">
      <c r="B82" s="62"/>
      <c r="C82" s="64"/>
      <c r="D82" s="22" t="s">
        <v>45</v>
      </c>
      <c r="E82" s="62"/>
      <c r="F82" s="70"/>
      <c r="G82" s="62"/>
      <c r="H82" s="11"/>
      <c r="I82" s="67"/>
      <c r="J82" s="11"/>
      <c r="K82" s="68"/>
      <c r="L82" s="11"/>
      <c r="M82" s="68"/>
      <c r="N82" s="11"/>
      <c r="O82" s="68"/>
      <c r="P82" s="11"/>
      <c r="Q82" s="68"/>
      <c r="R82" s="11"/>
      <c r="S82" s="68"/>
      <c r="T82" s="11"/>
      <c r="U82" s="68"/>
      <c r="V82" s="26"/>
      <c r="W82" s="68"/>
      <c r="X82" s="11"/>
      <c r="Y82" s="67"/>
      <c r="Z82" s="11"/>
    </row>
    <row r="83" spans="2:26" x14ac:dyDescent="0.3">
      <c r="B83" s="62">
        <f>MAX(B$18:B82)+1</f>
        <v>45</v>
      </c>
      <c r="C83" s="64"/>
      <c r="D83" s="16" t="s">
        <v>34</v>
      </c>
      <c r="E83" s="62"/>
      <c r="F83" s="70" t="s">
        <v>40</v>
      </c>
      <c r="G83" s="62"/>
      <c r="H83" s="11">
        <v>257681.0461722569</v>
      </c>
      <c r="I83" s="67"/>
      <c r="J83" s="11"/>
      <c r="K83" s="68"/>
      <c r="L83" s="11"/>
      <c r="M83" s="68"/>
      <c r="N83" s="11"/>
      <c r="O83" s="68"/>
      <c r="P83" s="11">
        <v>11735.894078907089</v>
      </c>
      <c r="Q83" s="68"/>
      <c r="R83" s="11">
        <f>T83-P83</f>
        <v>0</v>
      </c>
      <c r="S83" s="68"/>
      <c r="T83" s="11">
        <f>H83*V83/100</f>
        <v>11735.894078907086</v>
      </c>
      <c r="U83" s="68"/>
      <c r="V83" s="26">
        <v>4.5544265879228742</v>
      </c>
      <c r="W83" s="68"/>
      <c r="X83" s="13">
        <f>T83/P83</f>
        <v>0.99999999999999967</v>
      </c>
      <c r="Y83" s="67"/>
      <c r="Z83" s="11"/>
    </row>
    <row r="84" spans="2:26" x14ac:dyDescent="0.3">
      <c r="B84" s="62">
        <f>MAX(B$18:B83)+1</f>
        <v>46</v>
      </c>
      <c r="C84" s="64"/>
      <c r="D84" s="16" t="s">
        <v>36</v>
      </c>
      <c r="E84" s="62"/>
      <c r="F84" s="70" t="s">
        <v>40</v>
      </c>
      <c r="G84" s="62"/>
      <c r="H84" s="11">
        <v>668083.0439198527</v>
      </c>
      <c r="I84" s="67"/>
      <c r="J84" s="11"/>
      <c r="K84" s="68"/>
      <c r="L84" s="11"/>
      <c r="M84" s="68"/>
      <c r="N84" s="11"/>
      <c r="O84" s="68"/>
      <c r="P84" s="11">
        <v>74964.151416109875</v>
      </c>
      <c r="Q84" s="68"/>
      <c r="R84" s="11">
        <f t="shared" ref="R84:R91" si="25">T84-P84</f>
        <v>0</v>
      </c>
      <c r="S84" s="68"/>
      <c r="T84" s="11">
        <f t="shared" ref="T84:T91" si="26">H84*V84/100</f>
        <v>74964.15141610986</v>
      </c>
      <c r="U84" s="68"/>
      <c r="V84" s="26">
        <v>11.220783418820462</v>
      </c>
      <c r="W84" s="68"/>
      <c r="X84" s="13">
        <f t="shared" ref="X84:X90" si="27">T84/P84</f>
        <v>0.99999999999999978</v>
      </c>
      <c r="Y84" s="67"/>
      <c r="Z84" s="11"/>
    </row>
    <row r="85" spans="2:26" x14ac:dyDescent="0.3">
      <c r="B85" s="62">
        <f>MAX(B$18:B84)+1</f>
        <v>47</v>
      </c>
      <c r="C85" s="64"/>
      <c r="D85" s="16" t="s">
        <v>37</v>
      </c>
      <c r="E85" s="62"/>
      <c r="F85" s="70" t="s">
        <v>40</v>
      </c>
      <c r="G85" s="62"/>
      <c r="H85" s="11">
        <v>3700513.1930896207</v>
      </c>
      <c r="I85" s="67"/>
      <c r="J85" s="11"/>
      <c r="K85" s="68"/>
      <c r="L85" s="11"/>
      <c r="M85" s="68"/>
      <c r="N85" s="11"/>
      <c r="O85" s="68"/>
      <c r="P85" s="11">
        <v>28205.086461576429</v>
      </c>
      <c r="Q85" s="68"/>
      <c r="R85" s="11">
        <f t="shared" si="25"/>
        <v>0</v>
      </c>
      <c r="S85" s="68"/>
      <c r="T85" s="11">
        <f t="shared" si="26"/>
        <v>28205.086461576433</v>
      </c>
      <c r="U85" s="68"/>
      <c r="V85" s="26">
        <v>0.76219391716389295</v>
      </c>
      <c r="W85" s="68"/>
      <c r="X85" s="13">
        <f t="shared" si="27"/>
        <v>1.0000000000000002</v>
      </c>
      <c r="Y85" s="67"/>
      <c r="Z85" s="11"/>
    </row>
    <row r="86" spans="2:26" x14ac:dyDescent="0.3">
      <c r="B86" s="62">
        <f>MAX(B$18:B85)+1</f>
        <v>48</v>
      </c>
      <c r="C86" s="64"/>
      <c r="D86" s="16" t="s">
        <v>38</v>
      </c>
      <c r="E86" s="62"/>
      <c r="F86" s="70" t="s">
        <v>40</v>
      </c>
      <c r="G86" s="62"/>
      <c r="H86" s="11">
        <v>1745278.9091024091</v>
      </c>
      <c r="I86" s="67"/>
      <c r="J86" s="11"/>
      <c r="K86" s="68"/>
      <c r="L86" s="11"/>
      <c r="M86" s="68"/>
      <c r="N86" s="11"/>
      <c r="O86" s="68"/>
      <c r="P86" s="11">
        <v>5551.7680340623592</v>
      </c>
      <c r="Q86" s="68"/>
      <c r="R86" s="11">
        <f t="shared" si="25"/>
        <v>0</v>
      </c>
      <c r="S86" s="68"/>
      <c r="T86" s="11">
        <f t="shared" si="26"/>
        <v>5551.7680340623592</v>
      </c>
      <c r="U86" s="68"/>
      <c r="V86" s="26">
        <v>0.31810205263510655</v>
      </c>
      <c r="W86" s="68"/>
      <c r="X86" s="13">
        <f t="shared" si="27"/>
        <v>1</v>
      </c>
      <c r="Y86" s="67"/>
      <c r="Z86" s="11"/>
    </row>
    <row r="87" spans="2:26" x14ac:dyDescent="0.3">
      <c r="B87" s="62"/>
      <c r="C87" s="64"/>
      <c r="D87" s="22" t="s">
        <v>46</v>
      </c>
      <c r="E87" s="62"/>
      <c r="F87" s="70"/>
      <c r="G87" s="62"/>
      <c r="H87" s="11"/>
      <c r="I87" s="67"/>
      <c r="J87" s="11"/>
      <c r="K87" s="68"/>
      <c r="L87" s="11"/>
      <c r="M87" s="68"/>
      <c r="N87" s="11"/>
      <c r="O87" s="68"/>
      <c r="P87" s="11"/>
      <c r="Q87" s="68"/>
      <c r="R87" s="11"/>
      <c r="S87" s="68"/>
      <c r="T87" s="11"/>
      <c r="U87" s="68"/>
      <c r="V87" s="26"/>
      <c r="W87" s="68"/>
      <c r="X87" s="13"/>
      <c r="Y87" s="67"/>
      <c r="Z87" s="11"/>
    </row>
    <row r="88" spans="2:26" x14ac:dyDescent="0.3">
      <c r="B88" s="62">
        <f>MAX(B$18:B87)+1</f>
        <v>49</v>
      </c>
      <c r="C88" s="64"/>
      <c r="D88" s="16" t="s">
        <v>34</v>
      </c>
      <c r="E88" s="62"/>
      <c r="F88" s="70" t="s">
        <v>40</v>
      </c>
      <c r="G88" s="62"/>
      <c r="H88" s="11">
        <v>36821.908779888734</v>
      </c>
      <c r="I88" s="67"/>
      <c r="J88" s="11"/>
      <c r="K88" s="68"/>
      <c r="L88" s="11"/>
      <c r="M88" s="68"/>
      <c r="N88" s="11"/>
      <c r="O88" s="68"/>
      <c r="P88" s="11">
        <v>2631.4158799474808</v>
      </c>
      <c r="Q88" s="68"/>
      <c r="R88" s="11">
        <f t="shared" si="25"/>
        <v>0</v>
      </c>
      <c r="S88" s="68"/>
      <c r="T88" s="11">
        <f t="shared" si="26"/>
        <v>2631.4158799474803</v>
      </c>
      <c r="U88" s="68"/>
      <c r="V88" s="26">
        <v>7.1463320809286737</v>
      </c>
      <c r="W88" s="68"/>
      <c r="X88" s="13">
        <f t="shared" si="27"/>
        <v>0.99999999999999978</v>
      </c>
      <c r="Y88" s="67"/>
      <c r="Z88" s="11"/>
    </row>
    <row r="89" spans="2:26" x14ac:dyDescent="0.3">
      <c r="B89" s="62">
        <f>MAX(B$18:B88)+1</f>
        <v>50</v>
      </c>
      <c r="C89" s="64"/>
      <c r="D89" s="16" t="s">
        <v>36</v>
      </c>
      <c r="E89" s="62"/>
      <c r="F89" s="70" t="s">
        <v>40</v>
      </c>
      <c r="G89" s="62"/>
      <c r="H89" s="11">
        <v>15596.550442632813</v>
      </c>
      <c r="I89" s="67"/>
      <c r="J89" s="11"/>
      <c r="K89" s="68"/>
      <c r="L89" s="11"/>
      <c r="M89" s="68"/>
      <c r="N89" s="11"/>
      <c r="O89" s="68"/>
      <c r="P89" s="11">
        <v>2154.3029936169319</v>
      </c>
      <c r="Q89" s="68"/>
      <c r="R89" s="11">
        <f t="shared" si="25"/>
        <v>0</v>
      </c>
      <c r="S89" s="68"/>
      <c r="T89" s="11">
        <f t="shared" si="26"/>
        <v>2154.3029936169319</v>
      </c>
      <c r="U89" s="68"/>
      <c r="V89" s="26">
        <v>13.81268891182626</v>
      </c>
      <c r="W89" s="68"/>
      <c r="X89" s="13">
        <f t="shared" si="27"/>
        <v>1</v>
      </c>
      <c r="Y89" s="67"/>
      <c r="Z89" s="11"/>
    </row>
    <row r="90" spans="2:26" x14ac:dyDescent="0.3">
      <c r="B90" s="62">
        <f>MAX(B$18:B89)+1</f>
        <v>51</v>
      </c>
      <c r="C90" s="64"/>
      <c r="D90" s="16" t="s">
        <v>37</v>
      </c>
      <c r="E90" s="62"/>
      <c r="F90" s="70" t="s">
        <v>40</v>
      </c>
      <c r="G90" s="62"/>
      <c r="H90" s="11">
        <v>143203.42428455449</v>
      </c>
      <c r="I90" s="67"/>
      <c r="J90" s="11"/>
      <c r="K90" s="68"/>
      <c r="L90" s="11"/>
      <c r="M90" s="68"/>
      <c r="N90" s="11"/>
      <c r="O90" s="68"/>
      <c r="P90" s="11">
        <v>4803.1852092710442</v>
      </c>
      <c r="Q90" s="68"/>
      <c r="R90" s="11">
        <f t="shared" si="25"/>
        <v>0</v>
      </c>
      <c r="S90" s="68"/>
      <c r="T90" s="11">
        <f t="shared" si="26"/>
        <v>4803.1852092710442</v>
      </c>
      <c r="U90" s="68"/>
      <c r="V90" s="26">
        <v>3.3540994101696922</v>
      </c>
      <c r="W90" s="68"/>
      <c r="X90" s="13">
        <f t="shared" si="27"/>
        <v>1</v>
      </c>
      <c r="Y90" s="67"/>
      <c r="Z90" s="11"/>
    </row>
    <row r="91" spans="2:26" x14ac:dyDescent="0.3">
      <c r="B91" s="62">
        <f>MAX(B$18:B90)+1</f>
        <v>52</v>
      </c>
      <c r="C91" s="64"/>
      <c r="D91" s="16" t="s">
        <v>38</v>
      </c>
      <c r="E91" s="62"/>
      <c r="F91" s="70" t="s">
        <v>40</v>
      </c>
      <c r="G91" s="62"/>
      <c r="H91" s="11">
        <v>0</v>
      </c>
      <c r="I91" s="67"/>
      <c r="J91" s="11"/>
      <c r="K91" s="68"/>
      <c r="L91" s="11"/>
      <c r="M91" s="68"/>
      <c r="N91" s="11"/>
      <c r="O91" s="68"/>
      <c r="P91" s="11">
        <v>0</v>
      </c>
      <c r="Q91" s="68"/>
      <c r="R91" s="11">
        <f t="shared" si="25"/>
        <v>0</v>
      </c>
      <c r="S91" s="68"/>
      <c r="T91" s="11">
        <f t="shared" si="26"/>
        <v>0</v>
      </c>
      <c r="U91" s="68"/>
      <c r="V91" s="26">
        <v>2.910007545640906</v>
      </c>
      <c r="W91" s="68"/>
      <c r="X91" s="13" t="str">
        <f>IFERROR(T91/P91,"-")</f>
        <v>-</v>
      </c>
      <c r="Y91" s="67"/>
      <c r="Z91" s="11"/>
    </row>
    <row r="92" spans="2:26" x14ac:dyDescent="0.3">
      <c r="B92" s="62">
        <f>MAX(B$18:B91)+1</f>
        <v>53</v>
      </c>
      <c r="C92" s="64"/>
      <c r="D92" s="10" t="s">
        <v>44</v>
      </c>
      <c r="E92" s="62"/>
      <c r="F92" s="17"/>
      <c r="G92" s="62"/>
      <c r="H92" s="72">
        <f>SUM(H83:H91)</f>
        <v>6567178.0757912155</v>
      </c>
      <c r="I92" s="67"/>
      <c r="J92" s="11"/>
      <c r="K92" s="68"/>
      <c r="L92" s="11"/>
      <c r="M92" s="68"/>
      <c r="N92" s="11"/>
      <c r="O92" s="12"/>
      <c r="P92" s="72">
        <f>SUM(P83:P91)</f>
        <v>130045.80407349122</v>
      </c>
      <c r="Q92" s="12"/>
      <c r="R92" s="72">
        <f>SUM(R82:R91)</f>
        <v>0</v>
      </c>
      <c r="S92" s="68"/>
      <c r="T92" s="72">
        <f>SUM(T83:T91)</f>
        <v>130045.80407349121</v>
      </c>
      <c r="U92" s="68"/>
      <c r="V92" s="20">
        <f>T92/$H92*100</f>
        <v>1.9802387353082891</v>
      </c>
      <c r="W92" s="68"/>
      <c r="X92" s="73">
        <f>T92/P92</f>
        <v>0.99999999999999989</v>
      </c>
      <c r="Y92" s="14"/>
      <c r="Z92" s="11"/>
    </row>
    <row r="93" spans="2:26" x14ac:dyDescent="0.3">
      <c r="B93" s="62"/>
      <c r="H93" s="14"/>
      <c r="I93" s="14"/>
      <c r="J93" s="21"/>
      <c r="K93" s="68"/>
      <c r="L93" s="21"/>
      <c r="M93" s="14"/>
      <c r="N93" s="21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67"/>
    </row>
    <row r="94" spans="2:26" x14ac:dyDescent="0.3">
      <c r="B94" s="62"/>
      <c r="C94" s="64"/>
      <c r="D94" s="10" t="s">
        <v>48</v>
      </c>
      <c r="E94" s="62"/>
      <c r="F94" s="17"/>
      <c r="G94" s="62"/>
      <c r="H94" s="11"/>
      <c r="I94" s="67"/>
      <c r="J94" s="11"/>
      <c r="K94" s="68"/>
      <c r="L94" s="11"/>
      <c r="M94" s="68"/>
      <c r="N94" s="11"/>
      <c r="O94" s="12"/>
      <c r="P94" s="11"/>
      <c r="Q94" s="12"/>
      <c r="R94" s="11"/>
      <c r="S94" s="68"/>
      <c r="T94" s="11"/>
      <c r="U94" s="68"/>
      <c r="V94" s="26"/>
      <c r="W94" s="68"/>
      <c r="X94" s="13"/>
      <c r="Y94" s="14"/>
      <c r="Z94" s="11"/>
    </row>
    <row r="95" spans="2:26" x14ac:dyDescent="0.3">
      <c r="B95" s="62">
        <f>MAX(B$18:B94)+1</f>
        <v>54</v>
      </c>
      <c r="C95" s="64"/>
      <c r="D95" s="16" t="s">
        <v>34</v>
      </c>
      <c r="E95" s="62"/>
      <c r="F95" s="17" t="s">
        <v>40</v>
      </c>
      <c r="G95" s="62"/>
      <c r="H95" s="11">
        <v>193327.67925177695</v>
      </c>
      <c r="I95" s="67"/>
      <c r="J95" s="11"/>
      <c r="K95" s="68"/>
      <c r="L95" s="11"/>
      <c r="M95" s="68"/>
      <c r="N95" s="11"/>
      <c r="O95" s="12"/>
      <c r="P95" s="11">
        <v>25975.939856436173</v>
      </c>
      <c r="Q95" s="12"/>
      <c r="R95" s="11">
        <f t="shared" ref="R95:R97" si="28">T95-P95</f>
        <v>-8.4306682496935537</v>
      </c>
      <c r="S95" s="68"/>
      <c r="T95" s="11">
        <f>H95*V95/100</f>
        <v>25967.509188186479</v>
      </c>
      <c r="U95" s="68"/>
      <c r="V95" s="26">
        <v>13.431863087937938</v>
      </c>
      <c r="W95" s="68"/>
      <c r="X95" s="13">
        <f>T95/P95</f>
        <v>0.99967544318718449</v>
      </c>
      <c r="Y95" s="14"/>
      <c r="Z95" s="11"/>
    </row>
    <row r="96" spans="2:26" x14ac:dyDescent="0.3">
      <c r="B96" s="62">
        <f>MAX(B$18:B95)+1</f>
        <v>55</v>
      </c>
      <c r="C96" s="64"/>
      <c r="D96" s="16" t="s">
        <v>36</v>
      </c>
      <c r="E96" s="62"/>
      <c r="F96" s="17" t="s">
        <v>40</v>
      </c>
      <c r="G96" s="62"/>
      <c r="H96" s="11">
        <v>427658.90038139035</v>
      </c>
      <c r="I96" s="67"/>
      <c r="J96" s="11"/>
      <c r="K96" s="68"/>
      <c r="L96" s="11"/>
      <c r="M96" s="68"/>
      <c r="N96" s="11"/>
      <c r="O96" s="12"/>
      <c r="P96" s="11">
        <v>45256.554307451588</v>
      </c>
      <c r="Q96" s="12"/>
      <c r="R96" s="11">
        <f t="shared" si="28"/>
        <v>62.781893437735562</v>
      </c>
      <c r="S96" s="68"/>
      <c r="T96" s="11">
        <f t="shared" ref="T96:T98" si="29">H96*V96/100</f>
        <v>45319.336200889324</v>
      </c>
      <c r="U96" s="68"/>
      <c r="V96" s="26">
        <v>10.59707541699076</v>
      </c>
      <c r="W96" s="68"/>
      <c r="X96" s="13">
        <f t="shared" ref="X96:X97" si="30">T96/P96</f>
        <v>1.001387244221273</v>
      </c>
      <c r="Y96" s="14"/>
      <c r="Z96" s="11"/>
    </row>
    <row r="97" spans="2:26" x14ac:dyDescent="0.3">
      <c r="B97" s="62">
        <f>MAX(B$18:B96)+1</f>
        <v>56</v>
      </c>
      <c r="C97" s="64"/>
      <c r="D97" s="16" t="s">
        <v>37</v>
      </c>
      <c r="E97" s="62"/>
      <c r="F97" s="17" t="s">
        <v>40</v>
      </c>
      <c r="G97" s="62"/>
      <c r="H97" s="11">
        <v>2400792.6091081048</v>
      </c>
      <c r="I97" s="67"/>
      <c r="J97" s="11"/>
      <c r="K97" s="68"/>
      <c r="L97" s="11"/>
      <c r="M97" s="68"/>
      <c r="N97" s="11"/>
      <c r="O97" s="12"/>
      <c r="P97" s="11">
        <v>352751.25247862074</v>
      </c>
      <c r="Q97" s="12"/>
      <c r="R97" s="11">
        <f t="shared" si="28"/>
        <v>-103.39162257674616</v>
      </c>
      <c r="S97" s="68"/>
      <c r="T97" s="11">
        <f t="shared" si="29"/>
        <v>352647.86085604399</v>
      </c>
      <c r="U97" s="68"/>
      <c r="V97" s="26">
        <v>14.688809833809541</v>
      </c>
      <c r="W97" s="68"/>
      <c r="X97" s="13">
        <f t="shared" si="30"/>
        <v>0.99970689934663515</v>
      </c>
      <c r="Y97" s="14"/>
      <c r="Z97" s="11"/>
    </row>
    <row r="98" spans="2:26" x14ac:dyDescent="0.3">
      <c r="B98" s="62">
        <f>MAX(B$18:B97)+1</f>
        <v>57</v>
      </c>
      <c r="C98" s="64"/>
      <c r="D98" s="16" t="s">
        <v>38</v>
      </c>
      <c r="E98" s="62"/>
      <c r="F98" s="17" t="s">
        <v>40</v>
      </c>
      <c r="G98" s="62"/>
      <c r="H98" s="11">
        <v>1092207.2861193479</v>
      </c>
      <c r="I98" s="67"/>
      <c r="J98" s="11"/>
      <c r="K98" s="68"/>
      <c r="L98" s="11"/>
      <c r="M98" s="68"/>
      <c r="N98" s="11"/>
      <c r="O98" s="12"/>
      <c r="P98" s="11">
        <v>171414.31634219966</v>
      </c>
      <c r="Q98" s="12"/>
      <c r="R98" s="11">
        <f>ROUND(T98-P98,0)</f>
        <v>0</v>
      </c>
      <c r="S98" s="68"/>
      <c r="T98" s="11">
        <f t="shared" si="29"/>
        <v>171414.31634247635</v>
      </c>
      <c r="U98" s="68"/>
      <c r="V98" s="26">
        <v>15.694302585319461</v>
      </c>
      <c r="W98" s="68"/>
      <c r="X98" s="13">
        <f>T98/P98</f>
        <v>1.0000000000016143</v>
      </c>
      <c r="Y98" s="14"/>
      <c r="Z98" s="11"/>
    </row>
    <row r="99" spans="2:26" x14ac:dyDescent="0.3">
      <c r="B99" s="62"/>
      <c r="C99" s="64"/>
      <c r="D99" s="10"/>
      <c r="E99" s="62"/>
      <c r="F99" s="17"/>
      <c r="G99" s="62"/>
      <c r="H99" s="11"/>
      <c r="I99" s="67"/>
      <c r="J99" s="11"/>
      <c r="K99" s="68"/>
      <c r="L99" s="26"/>
      <c r="M99" s="68"/>
      <c r="N99" s="11"/>
      <c r="O99" s="12"/>
      <c r="P99" s="11"/>
      <c r="Q99" s="12"/>
      <c r="R99" s="11"/>
      <c r="S99" s="68"/>
      <c r="T99" s="11"/>
      <c r="U99" s="68"/>
      <c r="V99" s="26"/>
      <c r="W99" s="68"/>
      <c r="X99" s="13"/>
      <c r="Y99" s="14"/>
      <c r="Z99" s="15"/>
    </row>
    <row r="100" spans="2:26" ht="12.9" thickBot="1" x14ac:dyDescent="0.35">
      <c r="B100" s="62">
        <f>MAX(B$18:B99)+1</f>
        <v>58</v>
      </c>
      <c r="C100" s="64"/>
      <c r="D100" s="24" t="s">
        <v>55</v>
      </c>
      <c r="E100" s="62"/>
      <c r="F100" s="17"/>
      <c r="G100" s="62"/>
      <c r="H100" s="74">
        <f>H79</f>
        <v>6571059.0851602415</v>
      </c>
      <c r="I100" s="67"/>
      <c r="J100" s="74">
        <v>1227458.9350106881</v>
      </c>
      <c r="K100" s="68"/>
      <c r="L100" s="25">
        <f>J100/$H100*100</f>
        <v>18.679773216203781</v>
      </c>
      <c r="M100" s="68"/>
      <c r="N100" s="74">
        <f>J100-P100</f>
        <v>-30000.172345522558</v>
      </c>
      <c r="O100" s="12"/>
      <c r="P100" s="74">
        <f>SUM(P79,P92,P95:P98)</f>
        <v>1257459.1073562107</v>
      </c>
      <c r="Q100" s="12"/>
      <c r="R100" s="74">
        <f>SUM(R79,R92,R95:R98)</f>
        <v>-6933.5025177096431</v>
      </c>
      <c r="S100" s="68"/>
      <c r="T100" s="74">
        <f>SUM(T79,T92,T95:T98)</f>
        <v>1250525.6048387776</v>
      </c>
      <c r="U100" s="68"/>
      <c r="V100" s="25">
        <f>T100/$H100*100</f>
        <v>19.030807494379459</v>
      </c>
      <c r="W100" s="68"/>
      <c r="X100" s="75">
        <f t="shared" ref="X100" si="31">T100/P100</f>
        <v>0.99448610099774082</v>
      </c>
      <c r="Y100" s="14"/>
      <c r="Z100" s="31">
        <f>V100/L100-1</f>
        <v>1.8792213059159346E-2</v>
      </c>
    </row>
    <row r="101" spans="2:26" ht="12.9" thickTop="1" x14ac:dyDescent="0.3">
      <c r="B101" s="62"/>
      <c r="C101" s="64"/>
      <c r="D101" s="59"/>
      <c r="F101" s="70"/>
      <c r="H101" s="68"/>
      <c r="I101" s="14"/>
      <c r="J101" s="68"/>
      <c r="K101" s="68"/>
      <c r="L101" s="21"/>
      <c r="M101" s="68"/>
      <c r="N101" s="68"/>
      <c r="O101" s="68"/>
      <c r="P101" s="68"/>
      <c r="Q101" s="68"/>
      <c r="R101" s="68"/>
      <c r="S101" s="68"/>
      <c r="T101" s="68"/>
      <c r="U101" s="68"/>
      <c r="V101" s="21"/>
      <c r="W101" s="68"/>
      <c r="X101" s="77"/>
      <c r="Y101" s="67"/>
      <c r="Z101" s="21"/>
    </row>
    <row r="102" spans="2:26" x14ac:dyDescent="0.3">
      <c r="B102" s="62">
        <f>MAX(B$18:B101)+1</f>
        <v>59</v>
      </c>
      <c r="C102" s="64"/>
      <c r="D102" s="2" t="s">
        <v>56</v>
      </c>
      <c r="F102" s="70"/>
      <c r="H102" s="11">
        <f>H70</f>
        <v>296688.5868703376</v>
      </c>
      <c r="I102" s="14"/>
      <c r="J102" s="11">
        <v>70904.83858684919</v>
      </c>
      <c r="K102" s="68"/>
      <c r="L102" s="79">
        <f>J102/$H102*100</f>
        <v>23.898741550795439</v>
      </c>
      <c r="M102" s="68"/>
      <c r="N102" s="68">
        <f>J102-P102</f>
        <v>4942.1462598147627</v>
      </c>
      <c r="O102" s="68"/>
      <c r="P102" s="68">
        <f>SUM(P65,P70,P75,P83,P88,P95)</f>
        <v>65962.692327034427</v>
      </c>
      <c r="Q102" s="68"/>
      <c r="R102" s="68">
        <f>SUM(R65,R70,R75,R83,R88,R95)</f>
        <v>-284.55848194503415</v>
      </c>
      <c r="S102" s="68"/>
      <c r="T102" s="68">
        <f>SUM(T65,T70,T75,T83,T88,T95)</f>
        <v>65678.133845089396</v>
      </c>
      <c r="U102" s="68"/>
      <c r="V102" s="79">
        <f>T102/$H102*100</f>
        <v>22.137061131304264</v>
      </c>
      <c r="W102" s="68"/>
      <c r="X102" s="77">
        <f>T102/P102</f>
        <v>0.9956860693233347</v>
      </c>
      <c r="Y102" s="67"/>
      <c r="Z102" s="35">
        <f>V102/L102-1</f>
        <v>-7.371435921622993E-2</v>
      </c>
    </row>
    <row r="103" spans="2:26" x14ac:dyDescent="0.3">
      <c r="B103" s="62">
        <f>MAX(B$18:B102)+1</f>
        <v>60</v>
      </c>
      <c r="C103" s="64"/>
      <c r="D103" s="64" t="s">
        <v>57</v>
      </c>
      <c r="F103" s="70"/>
      <c r="H103" s="11">
        <f>H71</f>
        <v>685374.97181331913</v>
      </c>
      <c r="I103" s="14"/>
      <c r="J103" s="11">
        <v>141780.7591607724</v>
      </c>
      <c r="K103" s="68"/>
      <c r="L103" s="79">
        <f t="shared" ref="L103:L105" si="32">J103/$H103*100</f>
        <v>20.686597117145723</v>
      </c>
      <c r="M103" s="68"/>
      <c r="N103" s="68">
        <f>J103-P103</f>
        <v>-42694.757643521501</v>
      </c>
      <c r="O103" s="68"/>
      <c r="P103" s="68">
        <f>SUM(P66,P71,P76,P84,P89,P96)</f>
        <v>184475.5168042939</v>
      </c>
      <c r="Q103" s="68"/>
      <c r="R103" s="68">
        <f>SUM(R66,R71,R76,R84,R89,R96)</f>
        <v>-624.45311834393033</v>
      </c>
      <c r="S103" s="68"/>
      <c r="T103" s="68">
        <f>SUM(T66,T71,T76,T84,T89,T96)</f>
        <v>183851.06368594995</v>
      </c>
      <c r="U103" s="68"/>
      <c r="V103" s="79">
        <f>T103/$H103*100</f>
        <v>26.82488728754263</v>
      </c>
      <c r="W103" s="68"/>
      <c r="X103" s="77">
        <f t="shared" ref="X103:X104" si="33">T103/P103</f>
        <v>0.99661498106002644</v>
      </c>
      <c r="Y103" s="67"/>
      <c r="Z103" s="35">
        <f t="shared" ref="Z103:Z105" si="34">V103/L103-1</f>
        <v>0.29672788306537345</v>
      </c>
    </row>
    <row r="104" spans="2:26" x14ac:dyDescent="0.3">
      <c r="B104" s="62">
        <f>MAX(B$18:B103)+1</f>
        <v>61</v>
      </c>
      <c r="C104" s="64"/>
      <c r="D104" s="64" t="s">
        <v>58</v>
      </c>
      <c r="F104" s="70"/>
      <c r="H104" s="11">
        <f>H72</f>
        <v>3843716.6173741757</v>
      </c>
      <c r="I104" s="14"/>
      <c r="J104" s="11">
        <v>718173.82012605993</v>
      </c>
      <c r="K104" s="68"/>
      <c r="L104" s="79">
        <f t="shared" si="32"/>
        <v>18.684359218361898</v>
      </c>
      <c r="M104" s="68"/>
      <c r="N104" s="68">
        <f>J104-P104</f>
        <v>18856.328265816788</v>
      </c>
      <c r="O104" s="68"/>
      <c r="P104" s="68">
        <f>SUM(P67,P72,P77,P85,P90,P97)</f>
        <v>699317.49186024314</v>
      </c>
      <c r="Q104" s="68"/>
      <c r="R104" s="68">
        <f>SUM(R67,R72,R77,R85,R90,R97)</f>
        <v>-4660.2321475347708</v>
      </c>
      <c r="S104" s="68"/>
      <c r="T104" s="68">
        <f>SUM(T67,T72,T77,T85,T90,T97)</f>
        <v>694657.25971270842</v>
      </c>
      <c r="U104" s="68"/>
      <c r="V104" s="79">
        <f>T104/$H104*100</f>
        <v>18.072540950931536</v>
      </c>
      <c r="W104" s="68"/>
      <c r="X104" s="77">
        <f t="shared" si="33"/>
        <v>0.99333602805338372</v>
      </c>
      <c r="Y104" s="67"/>
      <c r="Z104" s="35">
        <f t="shared" si="34"/>
        <v>-3.2744942455885884E-2</v>
      </c>
    </row>
    <row r="105" spans="2:26" ht="13.5" customHeight="1" x14ac:dyDescent="0.3">
      <c r="B105" s="62">
        <f>MAX(B$18:B104)+1</f>
        <v>62</v>
      </c>
      <c r="C105" s="64"/>
      <c r="D105" s="64" t="s">
        <v>59</v>
      </c>
      <c r="F105" s="64"/>
      <c r="H105" s="11">
        <f>H73</f>
        <v>1745278.9091024091</v>
      </c>
      <c r="J105" s="11">
        <v>296599.51713700668</v>
      </c>
      <c r="K105" s="62"/>
      <c r="L105" s="79">
        <f t="shared" si="32"/>
        <v>16.994390729762888</v>
      </c>
      <c r="M105" s="62"/>
      <c r="N105" s="68">
        <f>J105-P105</f>
        <v>-11103.889227632375</v>
      </c>
      <c r="O105" s="62"/>
      <c r="P105" s="68">
        <f>SUM(P68,P73,P78,P86,P91,P98)</f>
        <v>307703.40636463906</v>
      </c>
      <c r="Q105" s="68"/>
      <c r="R105" s="68">
        <f>SUM(R68,R73,R78,R86,R91,R98)</f>
        <v>-1364.2587698858915</v>
      </c>
      <c r="S105" s="68"/>
      <c r="T105" s="68">
        <f>SUM(T68,T73,T78,T86,T91,T98)</f>
        <v>306339.14759502979</v>
      </c>
      <c r="U105" s="62"/>
      <c r="V105" s="79">
        <f>T105/$H105*100</f>
        <v>17.552446545783273</v>
      </c>
      <c r="W105" s="62"/>
      <c r="X105" s="77">
        <f>T105/P105</f>
        <v>0.99556631892468372</v>
      </c>
      <c r="Y105" s="62"/>
      <c r="Z105" s="35">
        <f t="shared" si="34"/>
        <v>3.2837647721200236E-2</v>
      </c>
    </row>
    <row r="106" spans="2:26" x14ac:dyDescent="0.3">
      <c r="B106" s="24"/>
      <c r="C106" s="64"/>
      <c r="D106" s="64"/>
      <c r="F106" s="64"/>
      <c r="H106" s="80"/>
      <c r="J106" s="81"/>
      <c r="K106" s="64"/>
      <c r="L106" s="32"/>
      <c r="M106" s="64"/>
      <c r="N106" s="81"/>
      <c r="O106" s="64"/>
      <c r="P106" s="81"/>
      <c r="Q106" s="64"/>
      <c r="R106" s="81"/>
      <c r="S106" s="64"/>
      <c r="T106" s="81"/>
      <c r="U106" s="64"/>
      <c r="V106" s="32"/>
      <c r="W106" s="62"/>
      <c r="X106" s="62"/>
      <c r="Y106" s="62"/>
      <c r="Z106" s="29"/>
    </row>
    <row r="107" spans="2:26" x14ac:dyDescent="0.3">
      <c r="B107" s="62"/>
      <c r="C107" s="64"/>
      <c r="D107" s="64"/>
      <c r="E107" s="62"/>
      <c r="F107" s="82"/>
      <c r="G107" s="62"/>
      <c r="H107" s="82"/>
      <c r="I107" s="62"/>
      <c r="J107" s="82"/>
      <c r="K107" s="62"/>
      <c r="L107" s="29"/>
      <c r="M107" s="62"/>
      <c r="N107" s="62"/>
      <c r="O107" s="62"/>
      <c r="P107" s="62"/>
      <c r="Q107" s="62"/>
      <c r="R107" s="62"/>
      <c r="S107" s="62"/>
      <c r="T107" s="70"/>
      <c r="U107" s="62"/>
      <c r="V107" s="62"/>
      <c r="W107" s="62"/>
      <c r="X107" s="62"/>
      <c r="Y107" s="62"/>
      <c r="Z107" s="62"/>
    </row>
    <row r="108" spans="2:26" x14ac:dyDescent="0.3">
      <c r="B108" s="62"/>
      <c r="C108" s="64"/>
      <c r="D108" s="7" t="s">
        <v>60</v>
      </c>
      <c r="E108" s="62"/>
      <c r="F108" s="6"/>
      <c r="G108" s="62"/>
      <c r="H108" s="18"/>
      <c r="I108" s="67"/>
      <c r="J108" s="18"/>
      <c r="K108" s="67"/>
      <c r="L108" s="67"/>
      <c r="M108" s="67"/>
      <c r="N108" s="19"/>
      <c r="O108" s="67"/>
      <c r="P108" s="30"/>
      <c r="Q108" s="67"/>
      <c r="R108" s="68"/>
      <c r="S108" s="67"/>
      <c r="T108" s="68"/>
      <c r="U108" s="67"/>
      <c r="V108" s="67"/>
      <c r="W108" s="67"/>
      <c r="X108" s="67"/>
      <c r="Y108" s="67"/>
      <c r="Z108" s="67"/>
    </row>
    <row r="109" spans="2:26" x14ac:dyDescent="0.3">
      <c r="B109" s="62"/>
      <c r="C109" s="64"/>
      <c r="D109" s="10" t="s">
        <v>33</v>
      </c>
      <c r="E109" s="62"/>
      <c r="F109" s="17"/>
      <c r="G109" s="62"/>
      <c r="H109" s="11"/>
      <c r="I109" s="67"/>
      <c r="J109" s="11"/>
      <c r="K109" s="67"/>
      <c r="L109" s="11"/>
      <c r="M109" s="68"/>
      <c r="N109" s="11"/>
      <c r="O109" s="12"/>
      <c r="P109" s="11"/>
      <c r="Q109" s="12"/>
      <c r="R109" s="11"/>
      <c r="S109" s="68"/>
      <c r="T109" s="11"/>
      <c r="U109" s="68"/>
      <c r="V109" s="71"/>
      <c r="W109" s="68"/>
      <c r="X109" s="13"/>
      <c r="Y109" s="14"/>
      <c r="Z109" s="11"/>
    </row>
    <row r="110" spans="2:26" x14ac:dyDescent="0.3">
      <c r="B110" s="62">
        <f>MAX(B$18:B109)+1</f>
        <v>63</v>
      </c>
      <c r="C110" s="64"/>
      <c r="D110" s="16" t="s">
        <v>34</v>
      </c>
      <c r="E110" s="62"/>
      <c r="F110" s="17" t="s">
        <v>35</v>
      </c>
      <c r="G110" s="62"/>
      <c r="H110" s="11">
        <v>144</v>
      </c>
      <c r="I110" s="67"/>
      <c r="J110" s="11"/>
      <c r="K110" s="67"/>
      <c r="L110" s="11"/>
      <c r="M110" s="68"/>
      <c r="N110" s="11"/>
      <c r="O110" s="12"/>
      <c r="P110" s="11">
        <v>359.96010283764519</v>
      </c>
      <c r="Q110" s="12"/>
      <c r="R110" s="11">
        <f>T110-P110</f>
        <v>-287.96010283764519</v>
      </c>
      <c r="S110" s="68"/>
      <c r="T110" s="11">
        <f>H110*V110/1000</f>
        <v>72</v>
      </c>
      <c r="U110" s="68"/>
      <c r="V110" s="71">
        <v>500</v>
      </c>
      <c r="W110" s="68"/>
      <c r="X110" s="13">
        <f>T110/P110</f>
        <v>0.20002216754692551</v>
      </c>
      <c r="Y110" s="14"/>
      <c r="Z110" s="11"/>
    </row>
    <row r="111" spans="2:26" x14ac:dyDescent="0.3">
      <c r="B111" s="62">
        <f>MAX(B$18:B110)+1</f>
        <v>64</v>
      </c>
      <c r="C111" s="64"/>
      <c r="D111" s="16" t="s">
        <v>36</v>
      </c>
      <c r="E111" s="62"/>
      <c r="F111" s="17" t="s">
        <v>35</v>
      </c>
      <c r="G111" s="62"/>
      <c r="H111" s="11">
        <v>792</v>
      </c>
      <c r="I111" s="67"/>
      <c r="J111" s="11"/>
      <c r="K111" s="67"/>
      <c r="L111" s="11"/>
      <c r="M111" s="68"/>
      <c r="N111" s="11"/>
      <c r="O111" s="12"/>
      <c r="P111" s="11">
        <v>1979.7805656070486</v>
      </c>
      <c r="Q111" s="12"/>
      <c r="R111" s="11">
        <f>T111-P111 -0.5</f>
        <v>-1584.2805656070486</v>
      </c>
      <c r="S111" s="68"/>
      <c r="T111" s="11">
        <f t="shared" ref="T111:T113" si="35">H111*V111/1000</f>
        <v>396</v>
      </c>
      <c r="U111" s="68"/>
      <c r="V111" s="71">
        <v>500</v>
      </c>
      <c r="W111" s="68"/>
      <c r="X111" s="13">
        <f t="shared" ref="X111:X113" si="36">T111/P111</f>
        <v>0.20002216754692551</v>
      </c>
      <c r="Y111" s="14"/>
      <c r="Z111" s="11"/>
    </row>
    <row r="112" spans="2:26" x14ac:dyDescent="0.3">
      <c r="B112" s="62">
        <f>MAX(B$18:B111)+1</f>
        <v>65</v>
      </c>
      <c r="C112" s="64"/>
      <c r="D112" s="16" t="s">
        <v>37</v>
      </c>
      <c r="E112" s="62"/>
      <c r="F112" s="17" t="s">
        <v>35</v>
      </c>
      <c r="G112" s="62"/>
      <c r="H112" s="11">
        <v>4800</v>
      </c>
      <c r="I112" s="67"/>
      <c r="J112" s="11"/>
      <c r="K112" s="67"/>
      <c r="L112" s="11"/>
      <c r="M112" s="68"/>
      <c r="N112" s="11"/>
      <c r="O112" s="12"/>
      <c r="P112" s="11">
        <v>11998.670094588175</v>
      </c>
      <c r="Q112" s="12"/>
      <c r="R112" s="11">
        <f t="shared" ref="R112:R113" si="37">T112-P112</f>
        <v>-9598.6700945881748</v>
      </c>
      <c r="S112" s="68"/>
      <c r="T112" s="11">
        <f t="shared" si="35"/>
        <v>2400</v>
      </c>
      <c r="U112" s="68"/>
      <c r="V112" s="71">
        <v>500</v>
      </c>
      <c r="W112" s="68"/>
      <c r="X112" s="13">
        <f t="shared" si="36"/>
        <v>0.20002216754692548</v>
      </c>
      <c r="Y112" s="14"/>
      <c r="Z112" s="11"/>
    </row>
    <row r="113" spans="2:26" x14ac:dyDescent="0.3">
      <c r="B113" s="62">
        <f>MAX(B$18:B112)+1</f>
        <v>66</v>
      </c>
      <c r="C113" s="64"/>
      <c r="D113" s="16" t="s">
        <v>38</v>
      </c>
      <c r="E113" s="62"/>
      <c r="F113" s="17" t="s">
        <v>35</v>
      </c>
      <c r="G113" s="62"/>
      <c r="H113" s="11">
        <v>3444</v>
      </c>
      <c r="I113" s="67"/>
      <c r="J113" s="11"/>
      <c r="K113" s="67"/>
      <c r="L113" s="11"/>
      <c r="M113" s="68"/>
      <c r="N113" s="11"/>
      <c r="O113" s="12"/>
      <c r="P113" s="11">
        <v>8609.0457928670166</v>
      </c>
      <c r="Q113" s="12"/>
      <c r="R113" s="11">
        <f t="shared" si="37"/>
        <v>-6887.0457928670166</v>
      </c>
      <c r="S113" s="68"/>
      <c r="T113" s="11">
        <f t="shared" si="35"/>
        <v>1722</v>
      </c>
      <c r="U113" s="68"/>
      <c r="V113" s="71">
        <v>500</v>
      </c>
      <c r="W113" s="68"/>
      <c r="X113" s="13">
        <f t="shared" si="36"/>
        <v>0.20002216754692545</v>
      </c>
      <c r="Y113" s="14"/>
      <c r="Z113" s="11"/>
    </row>
    <row r="114" spans="2:26" x14ac:dyDescent="0.3">
      <c r="B114" s="62"/>
      <c r="C114" s="64"/>
      <c r="D114" s="10" t="s">
        <v>39</v>
      </c>
      <c r="E114" s="62"/>
      <c r="F114" s="17"/>
      <c r="G114" s="62"/>
      <c r="H114" s="11"/>
      <c r="I114" s="67"/>
      <c r="J114" s="11"/>
      <c r="K114" s="67"/>
      <c r="L114" s="11"/>
      <c r="M114" s="68"/>
      <c r="N114" s="11"/>
      <c r="O114" s="12"/>
      <c r="P114" s="11"/>
      <c r="Q114" s="12"/>
      <c r="R114" s="11"/>
      <c r="S114" s="68"/>
      <c r="T114" s="11"/>
      <c r="U114" s="68"/>
      <c r="V114" s="26"/>
      <c r="W114" s="68"/>
      <c r="X114" s="13"/>
      <c r="Y114" s="14"/>
      <c r="Z114" s="11"/>
    </row>
    <row r="115" spans="2:26" x14ac:dyDescent="0.3">
      <c r="B115" s="62">
        <f>MAX(B$18:B114)+1</f>
        <v>67</v>
      </c>
      <c r="C115" s="64"/>
      <c r="D115" s="16" t="s">
        <v>34</v>
      </c>
      <c r="E115" s="62"/>
      <c r="F115" s="17" t="s">
        <v>40</v>
      </c>
      <c r="G115" s="62"/>
      <c r="H115" s="11">
        <v>52930.864001904993</v>
      </c>
      <c r="I115" s="67"/>
      <c r="J115" s="11"/>
      <c r="K115" s="67"/>
      <c r="L115" s="11"/>
      <c r="M115" s="68"/>
      <c r="N115" s="11"/>
      <c r="O115" s="12"/>
      <c r="P115" s="11">
        <v>35.382323093799464</v>
      </c>
      <c r="Q115" s="12"/>
      <c r="R115" s="11">
        <f>T115-P115</f>
        <v>0</v>
      </c>
      <c r="S115" s="68"/>
      <c r="T115" s="11">
        <f>$H115*V115/100</f>
        <v>35.382323093799457</v>
      </c>
      <c r="U115" s="68"/>
      <c r="V115" s="26">
        <v>6.6846298017213632E-2</v>
      </c>
      <c r="W115" s="68"/>
      <c r="X115" s="13">
        <f t="shared" ref="X115:X118" si="38">T115/P115</f>
        <v>0.99999999999999978</v>
      </c>
      <c r="Y115" s="14"/>
      <c r="Z115" s="11"/>
    </row>
    <row r="116" spans="2:26" x14ac:dyDescent="0.3">
      <c r="B116" s="62">
        <f>MAX(B$18:B115)+1</f>
        <v>68</v>
      </c>
      <c r="C116" s="64"/>
      <c r="D116" s="16" t="s">
        <v>36</v>
      </c>
      <c r="E116" s="62"/>
      <c r="F116" s="17" t="s">
        <v>40</v>
      </c>
      <c r="G116" s="62"/>
      <c r="H116" s="11">
        <v>265468.53311349562</v>
      </c>
      <c r="I116" s="67"/>
      <c r="J116" s="11"/>
      <c r="K116" s="67"/>
      <c r="L116" s="11"/>
      <c r="M116" s="68"/>
      <c r="N116" s="11"/>
      <c r="O116" s="12"/>
      <c r="P116" s="11">
        <v>177.45588678697277</v>
      </c>
      <c r="Q116" s="12"/>
      <c r="R116" s="11">
        <f t="shared" ref="R116:R118" si="39">T116-P116</f>
        <v>0</v>
      </c>
      <c r="S116" s="68"/>
      <c r="T116" s="11">
        <f t="shared" ref="T116:T118" si="40">$H116*V116/100</f>
        <v>177.45588678697274</v>
      </c>
      <c r="U116" s="68"/>
      <c r="V116" s="26">
        <v>6.6846298017213632E-2</v>
      </c>
      <c r="W116" s="68"/>
      <c r="X116" s="13">
        <f>T116/P116</f>
        <v>0.99999999999999989</v>
      </c>
      <c r="Y116" s="14"/>
      <c r="Z116" s="11"/>
    </row>
    <row r="117" spans="2:26" x14ac:dyDescent="0.3">
      <c r="B117" s="62">
        <f>MAX(B$18:B116)+1</f>
        <v>69</v>
      </c>
      <c r="C117" s="64"/>
      <c r="D117" s="16" t="s">
        <v>37</v>
      </c>
      <c r="E117" s="62"/>
      <c r="F117" s="17" t="s">
        <v>40</v>
      </c>
      <c r="G117" s="62"/>
      <c r="H117" s="11">
        <v>1294508.7462179943</v>
      </c>
      <c r="I117" s="67"/>
      <c r="J117" s="11"/>
      <c r="K117" s="67"/>
      <c r="L117" s="11"/>
      <c r="M117" s="68"/>
      <c r="N117" s="11"/>
      <c r="O117" s="12"/>
      <c r="P117" s="11">
        <v>865.33117435577628</v>
      </c>
      <c r="Q117" s="12"/>
      <c r="R117" s="11">
        <f t="shared" si="39"/>
        <v>0</v>
      </c>
      <c r="S117" s="68"/>
      <c r="T117" s="11">
        <f t="shared" si="40"/>
        <v>865.33117435577617</v>
      </c>
      <c r="U117" s="68"/>
      <c r="V117" s="26">
        <v>6.6846298017213632E-2</v>
      </c>
      <c r="W117" s="68"/>
      <c r="X117" s="13">
        <f t="shared" si="38"/>
        <v>0.99999999999999989</v>
      </c>
      <c r="Y117" s="14"/>
      <c r="Z117" s="11"/>
    </row>
    <row r="118" spans="2:26" x14ac:dyDescent="0.3">
      <c r="B118" s="62">
        <f>MAX(B$18:B117)+1</f>
        <v>70</v>
      </c>
      <c r="C118" s="64"/>
      <c r="D118" s="16" t="s">
        <v>38</v>
      </c>
      <c r="E118" s="62"/>
      <c r="F118" s="17" t="s">
        <v>40</v>
      </c>
      <c r="G118" s="62"/>
      <c r="H118" s="11">
        <v>1311595.0693400002</v>
      </c>
      <c r="I118" s="67"/>
      <c r="J118" s="11"/>
      <c r="K118" s="67"/>
      <c r="L118" s="11"/>
      <c r="M118" s="68"/>
      <c r="N118" s="11"/>
      <c r="O118" s="12"/>
      <c r="P118" s="11">
        <v>876.75274883009627</v>
      </c>
      <c r="Q118" s="12"/>
      <c r="R118" s="11">
        <f t="shared" si="39"/>
        <v>0</v>
      </c>
      <c r="S118" s="68"/>
      <c r="T118" s="11">
        <f t="shared" si="40"/>
        <v>876.75274883009627</v>
      </c>
      <c r="U118" s="68"/>
      <c r="V118" s="26">
        <v>6.6846298017213632E-2</v>
      </c>
      <c r="W118" s="68"/>
      <c r="X118" s="13">
        <f t="shared" si="38"/>
        <v>1</v>
      </c>
      <c r="Y118" s="14"/>
      <c r="Z118" s="11"/>
    </row>
    <row r="119" spans="2:26" x14ac:dyDescent="0.3">
      <c r="B119" s="62"/>
      <c r="C119" s="64"/>
      <c r="D119" s="10" t="s">
        <v>61</v>
      </c>
      <c r="E119" s="62"/>
      <c r="F119" s="17"/>
      <c r="G119" s="62"/>
      <c r="H119" s="11"/>
      <c r="I119" s="67"/>
      <c r="J119" s="18"/>
      <c r="K119" s="67"/>
      <c r="L119" s="67"/>
      <c r="M119" s="68"/>
      <c r="N119" s="19"/>
      <c r="O119" s="12"/>
      <c r="P119" s="11"/>
      <c r="Q119" s="12"/>
      <c r="R119" s="11"/>
      <c r="S119" s="68"/>
      <c r="T119" s="11"/>
      <c r="U119" s="68"/>
      <c r="V119" s="26"/>
      <c r="W119" s="68"/>
      <c r="X119" s="13"/>
      <c r="Y119" s="14"/>
      <c r="Z119" s="19"/>
    </row>
    <row r="120" spans="2:26" ht="14.15" x14ac:dyDescent="0.3">
      <c r="B120" s="62">
        <f>MAX(B$18:B119)+1</f>
        <v>71</v>
      </c>
      <c r="C120" s="64"/>
      <c r="D120" s="22" t="s">
        <v>62</v>
      </c>
      <c r="E120" s="62"/>
      <c r="F120" s="17" t="s">
        <v>42</v>
      </c>
      <c r="G120" s="62"/>
      <c r="H120" s="11">
        <v>2592</v>
      </c>
      <c r="I120" s="67"/>
      <c r="J120" s="11"/>
      <c r="K120" s="67"/>
      <c r="L120" s="11"/>
      <c r="M120" s="68"/>
      <c r="N120" s="11"/>
      <c r="O120" s="12"/>
      <c r="P120" s="11">
        <v>1066.2995849030906</v>
      </c>
      <c r="Q120" s="12"/>
      <c r="R120" s="11">
        <f>T120-P120</f>
        <v>153.23290901017685</v>
      </c>
      <c r="S120" s="68"/>
      <c r="T120" s="11">
        <f>$H120*V120/100</f>
        <v>1219.5324939132674</v>
      </c>
      <c r="U120" s="68"/>
      <c r="V120" s="26">
        <v>47.049864734308159</v>
      </c>
      <c r="W120" s="68"/>
      <c r="X120" s="13"/>
      <c r="Y120" s="14"/>
      <c r="Z120" s="11"/>
    </row>
    <row r="121" spans="2:26" ht="14.15" x14ac:dyDescent="0.3">
      <c r="B121" s="62">
        <f>MAX(B$18:B120)+1</f>
        <v>72</v>
      </c>
      <c r="C121" s="64"/>
      <c r="D121" s="22" t="s">
        <v>63</v>
      </c>
      <c r="E121" s="62"/>
      <c r="F121" s="17" t="s">
        <v>42</v>
      </c>
      <c r="G121" s="62"/>
      <c r="H121" s="11">
        <v>1710</v>
      </c>
      <c r="I121" s="67"/>
      <c r="J121" s="11"/>
      <c r="K121" s="67"/>
      <c r="L121" s="11"/>
      <c r="M121" s="68"/>
      <c r="N121" s="11"/>
      <c r="O121" s="12"/>
      <c r="P121" s="11">
        <v>710.72188304409542</v>
      </c>
      <c r="Q121" s="12"/>
      <c r="R121" s="11">
        <f t="shared" ref="R121" si="41">T121-P121</f>
        <v>102.15527267345146</v>
      </c>
      <c r="S121" s="68"/>
      <c r="T121" s="11">
        <f>$H121*V121/100</f>
        <v>812.87715571754688</v>
      </c>
      <c r="U121" s="68"/>
      <c r="V121" s="26">
        <v>47.536675772955952</v>
      </c>
      <c r="W121" s="68"/>
      <c r="X121" s="13"/>
      <c r="Y121" s="14"/>
      <c r="Z121" s="11"/>
    </row>
    <row r="122" spans="2:26" x14ac:dyDescent="0.3">
      <c r="B122" s="62">
        <f>MAX(B$18:B121)+1</f>
        <v>73</v>
      </c>
      <c r="C122" s="64"/>
      <c r="D122" s="10" t="s">
        <v>61</v>
      </c>
      <c r="E122" s="62"/>
      <c r="F122" s="17"/>
      <c r="G122" s="62"/>
      <c r="H122" s="72">
        <f>SUM(H120:H121)</f>
        <v>4302</v>
      </c>
      <c r="I122" s="67"/>
      <c r="J122" s="11"/>
      <c r="K122" s="67"/>
      <c r="L122" s="11"/>
      <c r="M122" s="68"/>
      <c r="N122" s="11"/>
      <c r="O122" s="12"/>
      <c r="P122" s="72">
        <f>SUM(P120:P121)</f>
        <v>1777.021467947186</v>
      </c>
      <c r="Q122" s="12"/>
      <c r="R122" s="72">
        <f>SUM(R120:R121)</f>
        <v>255.38818168362832</v>
      </c>
      <c r="S122" s="68"/>
      <c r="T122" s="72">
        <f>SUM(T120:T121)</f>
        <v>2032.4096496308143</v>
      </c>
      <c r="U122" s="68"/>
      <c r="V122" s="20">
        <f>T122/$H122*100</f>
        <v>47.243367030004983</v>
      </c>
      <c r="W122" s="68"/>
      <c r="X122" s="73">
        <f>T122/P122</f>
        <v>1.1437169928952251</v>
      </c>
      <c r="Y122" s="14"/>
      <c r="Z122" s="11"/>
    </row>
    <row r="123" spans="2:26" x14ac:dyDescent="0.3">
      <c r="B123" s="62"/>
      <c r="C123" s="64"/>
      <c r="D123" s="10"/>
      <c r="E123" s="62"/>
      <c r="F123" s="17"/>
      <c r="G123" s="62"/>
      <c r="H123" s="68"/>
      <c r="I123" s="67"/>
      <c r="J123" s="11"/>
      <c r="K123" s="67"/>
      <c r="L123" s="11"/>
      <c r="M123" s="68"/>
      <c r="N123" s="11"/>
      <c r="O123" s="12"/>
      <c r="P123" s="68"/>
      <c r="Q123" s="12"/>
      <c r="R123" s="68"/>
      <c r="S123" s="68"/>
      <c r="T123" s="68"/>
      <c r="U123" s="68"/>
      <c r="V123" s="26"/>
      <c r="W123" s="68"/>
      <c r="X123" s="77"/>
      <c r="Y123" s="14"/>
      <c r="Z123" s="11"/>
    </row>
    <row r="124" spans="2:26" x14ac:dyDescent="0.3">
      <c r="B124" s="62"/>
      <c r="C124" s="64"/>
      <c r="D124" s="10" t="s">
        <v>64</v>
      </c>
      <c r="E124" s="62"/>
      <c r="F124" s="17"/>
      <c r="G124" s="62"/>
      <c r="H124" s="68"/>
      <c r="I124" s="67"/>
      <c r="J124" s="11"/>
      <c r="K124" s="67"/>
      <c r="L124" s="11"/>
      <c r="M124" s="68"/>
      <c r="N124" s="11"/>
      <c r="O124" s="12"/>
      <c r="Y124" s="14"/>
      <c r="Z124" s="11"/>
    </row>
    <row r="125" spans="2:26" ht="14.15" x14ac:dyDescent="0.3">
      <c r="B125" s="62">
        <f>MAX(B$18:B124)+1</f>
        <v>74</v>
      </c>
      <c r="C125" s="64"/>
      <c r="D125" s="22" t="s">
        <v>62</v>
      </c>
      <c r="E125" s="62"/>
      <c r="F125" s="17" t="s">
        <v>42</v>
      </c>
      <c r="G125" s="62"/>
      <c r="H125" s="11">
        <v>9212.3940000000002</v>
      </c>
      <c r="I125" s="67"/>
      <c r="J125" s="11"/>
      <c r="K125" s="67"/>
      <c r="L125" s="11"/>
      <c r="M125" s="68"/>
      <c r="N125" s="11"/>
      <c r="O125" s="12"/>
      <c r="P125" s="11">
        <v>3913.6505205415356</v>
      </c>
      <c r="Q125" s="12"/>
      <c r="R125" s="68">
        <f>T125-P125</f>
        <v>888.16754806380823</v>
      </c>
      <c r="S125" s="68"/>
      <c r="T125" s="68">
        <f>$H125*V125/100</f>
        <v>4801.8180686053438</v>
      </c>
      <c r="U125" s="68"/>
      <c r="V125" s="26">
        <v>52.123455299516536</v>
      </c>
      <c r="W125" s="68"/>
      <c r="X125" s="77"/>
      <c r="Y125" s="14"/>
      <c r="Z125" s="11"/>
    </row>
    <row r="126" spans="2:26" ht="14.15" x14ac:dyDescent="0.3">
      <c r="B126" s="62">
        <f>MAX(B$18:B125)+1</f>
        <v>75</v>
      </c>
      <c r="C126" s="64"/>
      <c r="D126" s="22" t="s">
        <v>63</v>
      </c>
      <c r="E126" s="62"/>
      <c r="F126" s="17" t="s">
        <v>42</v>
      </c>
      <c r="G126" s="62"/>
      <c r="H126" s="11">
        <v>8131.3739999999998</v>
      </c>
      <c r="I126" s="67"/>
      <c r="J126" s="11"/>
      <c r="K126" s="67"/>
      <c r="L126" s="11"/>
      <c r="M126" s="68"/>
      <c r="N126" s="11"/>
      <c r="O126" s="12"/>
      <c r="P126" s="11">
        <v>2623.0478045248192</v>
      </c>
      <c r="Q126" s="12"/>
      <c r="R126" s="68">
        <f>T126-P126</f>
        <v>591.11169870920548</v>
      </c>
      <c r="S126" s="68"/>
      <c r="T126" s="68">
        <f>$H126*V126/100</f>
        <v>3214.1595032340247</v>
      </c>
      <c r="U126" s="68"/>
      <c r="V126" s="26">
        <v>39.527876878299104</v>
      </c>
      <c r="W126" s="68"/>
      <c r="X126" s="77"/>
      <c r="Y126" s="14"/>
      <c r="Z126" s="11"/>
    </row>
    <row r="127" spans="2:26" x14ac:dyDescent="0.3">
      <c r="B127" s="62">
        <f>MAX(B$18:B126)+1</f>
        <v>76</v>
      </c>
      <c r="C127" s="64"/>
      <c r="D127" s="10" t="s">
        <v>64</v>
      </c>
      <c r="E127" s="62"/>
      <c r="F127" s="17"/>
      <c r="G127" s="62"/>
      <c r="H127" s="72">
        <f>SUM(H125:H126)</f>
        <v>17343.768</v>
      </c>
      <c r="I127" s="67"/>
      <c r="J127" s="11"/>
      <c r="K127" s="67"/>
      <c r="L127" s="11"/>
      <c r="M127" s="68"/>
      <c r="N127" s="11"/>
      <c r="O127" s="12"/>
      <c r="P127" s="72">
        <f>SUM(P125:P126)</f>
        <v>6536.6983250663543</v>
      </c>
      <c r="Q127" s="12"/>
      <c r="R127" s="72">
        <f>SUM(R125:R126) -0.5</f>
        <v>1478.7792467730137</v>
      </c>
      <c r="S127" s="68"/>
      <c r="T127" s="72">
        <f>SUM(T125:T126)</f>
        <v>8015.9775718393685</v>
      </c>
      <c r="U127" s="68"/>
      <c r="V127" s="20">
        <f>T127/$H127*100</f>
        <v>46.218201095859726</v>
      </c>
      <c r="W127" s="68"/>
      <c r="X127" s="73">
        <f>T127/P127</f>
        <v>1.226303735190043</v>
      </c>
      <c r="Y127" s="14"/>
      <c r="Z127" s="11"/>
    </row>
    <row r="128" spans="2:26" x14ac:dyDescent="0.3">
      <c r="B128" s="62"/>
      <c r="C128" s="64"/>
      <c r="D128" s="10"/>
      <c r="E128" s="62"/>
      <c r="F128" s="17"/>
      <c r="G128" s="62"/>
      <c r="H128" s="68"/>
      <c r="I128" s="67"/>
      <c r="J128" s="11"/>
      <c r="K128" s="67"/>
      <c r="L128" s="11"/>
      <c r="M128" s="68"/>
      <c r="N128" s="11"/>
      <c r="O128" s="12"/>
      <c r="P128" s="68"/>
      <c r="Q128" s="12"/>
      <c r="R128" s="68"/>
      <c r="S128" s="68"/>
      <c r="T128" s="68"/>
      <c r="U128" s="68"/>
      <c r="V128" s="26"/>
      <c r="W128" s="68"/>
      <c r="X128" s="77"/>
      <c r="Y128" s="14"/>
      <c r="Z128" s="11"/>
    </row>
    <row r="129" spans="2:26" x14ac:dyDescent="0.3">
      <c r="B129" s="62"/>
      <c r="C129" s="64"/>
      <c r="D129" s="10" t="s">
        <v>65</v>
      </c>
      <c r="E129" s="62"/>
      <c r="F129" s="17"/>
      <c r="G129" s="62"/>
      <c r="H129" s="68"/>
      <c r="I129" s="67"/>
      <c r="J129" s="11"/>
      <c r="K129" s="67"/>
      <c r="L129" s="11"/>
      <c r="M129" s="68"/>
      <c r="N129" s="11"/>
      <c r="O129" s="12"/>
      <c r="P129" s="68"/>
      <c r="Q129" s="12"/>
      <c r="R129" s="68"/>
      <c r="S129" s="68"/>
      <c r="T129" s="68"/>
      <c r="U129" s="68"/>
      <c r="V129" s="26"/>
      <c r="W129" s="68"/>
      <c r="X129" s="77"/>
      <c r="Y129" s="14"/>
      <c r="Z129" s="11"/>
    </row>
    <row r="130" spans="2:26" ht="14.15" x14ac:dyDescent="0.3">
      <c r="B130" s="62">
        <f>MAX(B$18:B129)+1</f>
        <v>77</v>
      </c>
      <c r="C130" s="64"/>
      <c r="D130" s="22" t="s">
        <v>62</v>
      </c>
      <c r="E130" s="62"/>
      <c r="F130" s="17" t="s">
        <v>42</v>
      </c>
      <c r="G130" s="62"/>
      <c r="H130" s="11">
        <v>45374.381999999991</v>
      </c>
      <c r="I130" s="67"/>
      <c r="J130" s="11"/>
      <c r="K130" s="67"/>
      <c r="L130" s="11"/>
      <c r="M130" s="68"/>
      <c r="N130" s="11"/>
      <c r="O130" s="12"/>
      <c r="P130" s="11">
        <v>19955.178526280477</v>
      </c>
      <c r="Q130" s="12"/>
      <c r="R130" s="68">
        <f>T130-P130</f>
        <v>5329.9337979830052</v>
      </c>
      <c r="S130" s="68"/>
      <c r="T130" s="68">
        <f>$H130*V130/100</f>
        <v>25285.112324263482</v>
      </c>
      <c r="U130" s="68"/>
      <c r="V130" s="26">
        <v>55.725524425354131</v>
      </c>
      <c r="W130" s="68"/>
      <c r="X130" s="77"/>
      <c r="Y130" s="14"/>
      <c r="Z130" s="11"/>
    </row>
    <row r="131" spans="2:26" ht="14.15" x14ac:dyDescent="0.3">
      <c r="B131" s="62">
        <f>MAX(B$18:B130)+1</f>
        <v>78</v>
      </c>
      <c r="C131" s="64"/>
      <c r="D131" s="22" t="s">
        <v>63</v>
      </c>
      <c r="E131" s="62"/>
      <c r="F131" s="17" t="s">
        <v>42</v>
      </c>
      <c r="G131" s="62"/>
      <c r="H131" s="11">
        <v>36173.502</v>
      </c>
      <c r="I131" s="67"/>
      <c r="J131" s="11"/>
      <c r="K131" s="67"/>
      <c r="L131" s="11"/>
      <c r="M131" s="68"/>
      <c r="N131" s="11"/>
      <c r="O131" s="12"/>
      <c r="P131" s="11">
        <v>13342.460999238227</v>
      </c>
      <c r="Q131" s="12"/>
      <c r="R131" s="68">
        <f>T131-P131</f>
        <v>3552.9558653220029</v>
      </c>
      <c r="S131" s="68"/>
      <c r="T131" s="68">
        <f>$H131*V131/100</f>
        <v>16895.416864560229</v>
      </c>
      <c r="U131" s="68"/>
      <c r="V131" s="26">
        <v>46.706611000948236</v>
      </c>
      <c r="W131" s="68"/>
      <c r="X131" s="77"/>
      <c r="Y131" s="14"/>
      <c r="Z131" s="11"/>
    </row>
    <row r="132" spans="2:26" x14ac:dyDescent="0.3">
      <c r="B132" s="62">
        <f>MAX(B$18:B131)+1</f>
        <v>79</v>
      </c>
      <c r="C132" s="64"/>
      <c r="D132" s="10" t="s">
        <v>65</v>
      </c>
      <c r="E132" s="62"/>
      <c r="F132" s="17"/>
      <c r="G132" s="62"/>
      <c r="H132" s="72">
        <f>SUM(H130:H131)</f>
        <v>81547.883999999991</v>
      </c>
      <c r="I132" s="67"/>
      <c r="J132" s="11"/>
      <c r="K132" s="67"/>
      <c r="L132" s="11"/>
      <c r="M132" s="68"/>
      <c r="N132" s="11"/>
      <c r="O132" s="12"/>
      <c r="P132" s="72">
        <f>SUM(P130:P131)</f>
        <v>33297.639525518702</v>
      </c>
      <c r="Q132" s="12"/>
      <c r="R132" s="72">
        <f>SUM(R130:R131)</f>
        <v>8882.8896633050081</v>
      </c>
      <c r="S132" s="68"/>
      <c r="T132" s="72">
        <f>SUM(T130:T131)</f>
        <v>42180.529188823712</v>
      </c>
      <c r="U132" s="68"/>
      <c r="V132" s="20">
        <f>T132/$H132*100</f>
        <v>51.724860437609536</v>
      </c>
      <c r="W132" s="68"/>
      <c r="X132" s="73">
        <f>T132/P132</f>
        <v>1.2667723535326678</v>
      </c>
      <c r="Y132" s="14"/>
      <c r="Z132" s="11"/>
    </row>
    <row r="133" spans="2:26" x14ac:dyDescent="0.3">
      <c r="B133" s="62"/>
      <c r="C133" s="64"/>
      <c r="D133" s="10"/>
      <c r="E133" s="62"/>
      <c r="F133" s="17"/>
      <c r="G133" s="62"/>
      <c r="H133" s="68"/>
      <c r="I133" s="67"/>
      <c r="J133" s="11"/>
      <c r="K133" s="67"/>
      <c r="L133" s="11"/>
      <c r="M133" s="68"/>
      <c r="N133" s="11"/>
      <c r="O133" s="12"/>
      <c r="P133" s="68"/>
      <c r="Q133" s="12"/>
      <c r="R133" s="68"/>
      <c r="S133" s="68"/>
      <c r="T133" s="68"/>
      <c r="U133" s="68"/>
      <c r="V133" s="26"/>
      <c r="W133" s="68"/>
      <c r="X133" s="77"/>
      <c r="Y133" s="14"/>
      <c r="Z133" s="11"/>
    </row>
    <row r="134" spans="2:26" x14ac:dyDescent="0.3">
      <c r="B134" s="62"/>
      <c r="C134" s="64"/>
      <c r="D134" s="10" t="s">
        <v>66</v>
      </c>
      <c r="E134" s="62"/>
      <c r="F134" s="17"/>
      <c r="G134" s="62"/>
      <c r="H134" s="68"/>
      <c r="I134" s="67"/>
      <c r="J134" s="11"/>
      <c r="K134" s="67"/>
      <c r="L134" s="11"/>
      <c r="M134" s="68"/>
      <c r="N134" s="11"/>
      <c r="O134" s="12"/>
      <c r="P134" s="68"/>
      <c r="Q134" s="12"/>
      <c r="R134" s="68"/>
      <c r="S134" s="68"/>
      <c r="T134" s="68"/>
      <c r="U134" s="68"/>
      <c r="V134" s="26"/>
      <c r="W134" s="68"/>
      <c r="X134" s="77"/>
      <c r="Y134" s="14"/>
      <c r="Z134" s="11"/>
    </row>
    <row r="135" spans="2:26" ht="14.15" x14ac:dyDescent="0.3">
      <c r="B135" s="62">
        <f>MAX(B$18:B134)+1</f>
        <v>80</v>
      </c>
      <c r="C135" s="64"/>
      <c r="D135" s="22" t="s">
        <v>62</v>
      </c>
      <c r="E135" s="62"/>
      <c r="F135" s="17" t="s">
        <v>42</v>
      </c>
      <c r="G135" s="62"/>
      <c r="H135" s="11">
        <v>54695.851800000004</v>
      </c>
      <c r="I135" s="67"/>
      <c r="J135" s="11"/>
      <c r="K135" s="67"/>
      <c r="L135" s="11"/>
      <c r="M135" s="68"/>
      <c r="N135" s="11"/>
      <c r="O135" s="12"/>
      <c r="P135" s="11">
        <v>31105.557667976271</v>
      </c>
      <c r="Q135" s="12"/>
      <c r="R135" s="68">
        <f>T135-P135</f>
        <v>3895.0390953486531</v>
      </c>
      <c r="S135" s="68"/>
      <c r="T135" s="68">
        <f>$H135*V135/100</f>
        <v>35000.596763324924</v>
      </c>
      <c r="U135" s="68"/>
      <c r="V135" s="26">
        <v>63.991318557954919</v>
      </c>
      <c r="W135" s="68"/>
      <c r="X135" s="77"/>
      <c r="Y135" s="14"/>
      <c r="Z135" s="11"/>
    </row>
    <row r="136" spans="2:26" ht="14.15" x14ac:dyDescent="0.3">
      <c r="B136" s="62">
        <f>MAX(B$18:B135)+1</f>
        <v>81</v>
      </c>
      <c r="C136" s="64"/>
      <c r="D136" s="22" t="s">
        <v>63</v>
      </c>
      <c r="E136" s="62"/>
      <c r="F136" s="17" t="s">
        <v>42</v>
      </c>
      <c r="G136" s="62"/>
      <c r="H136" s="11">
        <v>64413.464199999988</v>
      </c>
      <c r="I136" s="67"/>
      <c r="J136" s="11"/>
      <c r="K136" s="67"/>
      <c r="L136" s="11"/>
      <c r="M136" s="68"/>
      <c r="N136" s="11"/>
      <c r="O136" s="12"/>
      <c r="P136" s="11">
        <v>21038.930430181455</v>
      </c>
      <c r="Q136" s="12"/>
      <c r="R136" s="68">
        <f>T136-P136</f>
        <v>2596.6927302324402</v>
      </c>
      <c r="S136" s="68"/>
      <c r="T136" s="68">
        <f>$H136*V136/100</f>
        <v>23635.623160413896</v>
      </c>
      <c r="U136" s="68"/>
      <c r="V136" s="26">
        <v>36.6936066146461</v>
      </c>
      <c r="W136" s="68"/>
      <c r="X136" s="77"/>
      <c r="Y136" s="14"/>
      <c r="Z136" s="11"/>
    </row>
    <row r="137" spans="2:26" x14ac:dyDescent="0.3">
      <c r="B137" s="62">
        <f>MAX(B$18:B136)+1</f>
        <v>82</v>
      </c>
      <c r="C137" s="64"/>
      <c r="D137" s="10" t="s">
        <v>66</v>
      </c>
      <c r="E137" s="62"/>
      <c r="F137" s="17"/>
      <c r="G137" s="62"/>
      <c r="H137" s="72">
        <f>SUM(H135:H136)</f>
        <v>119109.31599999999</v>
      </c>
      <c r="I137" s="67"/>
      <c r="J137" s="11"/>
      <c r="K137" s="67"/>
      <c r="L137" s="11"/>
      <c r="M137" s="68"/>
      <c r="N137" s="11"/>
      <c r="O137" s="12"/>
      <c r="P137" s="72">
        <f>SUM(P135:P136)</f>
        <v>52144.48809815773</v>
      </c>
      <c r="Q137" s="12"/>
      <c r="R137" s="72">
        <f>SUM(R135:R136)</f>
        <v>6491.7318255810933</v>
      </c>
      <c r="S137" s="68"/>
      <c r="T137" s="72">
        <f>SUM(T135:T136)</f>
        <v>58636.219923738819</v>
      </c>
      <c r="U137" s="68"/>
      <c r="V137" s="20">
        <f>T137/$H137*100</f>
        <v>49.228911635878106</v>
      </c>
      <c r="W137" s="68"/>
      <c r="X137" s="73">
        <f>T137/P137</f>
        <v>1.1244950724870659</v>
      </c>
      <c r="Y137" s="14"/>
      <c r="Z137" s="11"/>
    </row>
    <row r="138" spans="2:26" x14ac:dyDescent="0.3">
      <c r="B138" s="62"/>
      <c r="C138" s="64"/>
      <c r="D138" s="10"/>
      <c r="E138" s="62"/>
      <c r="F138" s="17"/>
      <c r="G138" s="62"/>
      <c r="H138" s="11"/>
      <c r="I138" s="67"/>
      <c r="J138" s="18"/>
      <c r="K138" s="67"/>
      <c r="L138" s="67"/>
      <c r="M138" s="68"/>
      <c r="N138" s="19"/>
      <c r="O138" s="12"/>
      <c r="P138" s="11"/>
      <c r="Q138" s="12"/>
      <c r="R138" s="11"/>
      <c r="S138" s="68"/>
      <c r="T138" s="11"/>
      <c r="U138" s="68"/>
      <c r="V138" s="26"/>
      <c r="W138" s="68"/>
      <c r="X138" s="13"/>
      <c r="Y138" s="14"/>
      <c r="Z138" s="19"/>
    </row>
    <row r="139" spans="2:26" x14ac:dyDescent="0.3">
      <c r="B139" s="62">
        <f>MAX(B$18:B138)+1</f>
        <v>83</v>
      </c>
      <c r="C139" s="64"/>
      <c r="D139" s="10" t="s">
        <v>43</v>
      </c>
      <c r="E139" s="62"/>
      <c r="F139" s="17"/>
      <c r="G139" s="62"/>
      <c r="H139" s="72">
        <f>SUM(H115:H118)</f>
        <v>2924503.2126733949</v>
      </c>
      <c r="I139" s="67"/>
      <c r="J139" s="11"/>
      <c r="K139" s="67"/>
      <c r="L139" s="11"/>
      <c r="M139" s="68"/>
      <c r="N139" s="11"/>
      <c r="O139" s="12"/>
      <c r="P139" s="72">
        <f>SUM(P110:P113,P115:P118,P122,P127,P132,P137)</f>
        <v>118658.22610565649</v>
      </c>
      <c r="Q139" s="12"/>
      <c r="R139" s="72">
        <f>SUM(R110:R113,R115:R118,R122,R127,R132,R137)</f>
        <v>-1249.1676385571427</v>
      </c>
      <c r="S139" s="68"/>
      <c r="T139" s="72">
        <f>SUM(T110:T113,T115:T118,T122,T127,T132,T137)</f>
        <v>117410.05846709936</v>
      </c>
      <c r="U139" s="68"/>
      <c r="V139" s="20">
        <f>T139/$H139*100</f>
        <v>4.0147009570138428</v>
      </c>
      <c r="W139" s="68"/>
      <c r="X139" s="73">
        <f>T139/P139</f>
        <v>0.98948098518306071</v>
      </c>
      <c r="Y139" s="14"/>
      <c r="Z139" s="11"/>
    </row>
    <row r="140" spans="2:26" x14ac:dyDescent="0.3">
      <c r="E140" s="62"/>
      <c r="F140" s="17"/>
      <c r="G140" s="62"/>
      <c r="H140" s="11"/>
      <c r="I140" s="67"/>
      <c r="J140" s="18"/>
      <c r="K140" s="67"/>
      <c r="L140" s="67"/>
      <c r="M140" s="68"/>
      <c r="N140" s="19"/>
      <c r="O140" s="12"/>
      <c r="P140" s="11"/>
      <c r="Q140" s="12"/>
      <c r="R140" s="11"/>
      <c r="S140" s="68"/>
      <c r="T140" s="11"/>
      <c r="U140" s="68"/>
      <c r="V140" s="26"/>
      <c r="W140" s="68"/>
      <c r="X140" s="13"/>
      <c r="Y140" s="14"/>
      <c r="Z140" s="19"/>
    </row>
    <row r="141" spans="2:26" x14ac:dyDescent="0.3">
      <c r="B141" s="62"/>
      <c r="C141" s="64"/>
      <c r="D141" s="10" t="s">
        <v>44</v>
      </c>
      <c r="E141" s="62"/>
      <c r="F141" s="70"/>
      <c r="G141" s="62"/>
      <c r="H141" s="11"/>
      <c r="I141" s="67"/>
      <c r="J141" s="18"/>
      <c r="K141" s="67"/>
      <c r="L141" s="67"/>
      <c r="M141" s="68"/>
      <c r="N141" s="19"/>
      <c r="O141" s="12"/>
      <c r="P141" s="11"/>
      <c r="Q141" s="12"/>
      <c r="R141" s="11"/>
      <c r="S141" s="68"/>
      <c r="T141" s="11"/>
      <c r="U141" s="68"/>
      <c r="V141" s="21"/>
      <c r="W141" s="68"/>
      <c r="X141" s="13"/>
      <c r="Y141" s="14"/>
      <c r="Z141" s="19"/>
    </row>
    <row r="142" spans="2:26" x14ac:dyDescent="0.3">
      <c r="B142" s="62"/>
      <c r="C142" s="64"/>
      <c r="D142" s="22" t="s">
        <v>45</v>
      </c>
      <c r="E142" s="62"/>
      <c r="F142" s="70"/>
      <c r="G142" s="62"/>
      <c r="H142" s="11"/>
      <c r="I142" s="67"/>
      <c r="J142" s="11"/>
      <c r="K142" s="67"/>
      <c r="L142" s="11"/>
      <c r="M142" s="68"/>
      <c r="N142" s="11"/>
      <c r="O142" s="68"/>
      <c r="P142" s="11"/>
      <c r="Q142" s="68"/>
      <c r="R142" s="11"/>
      <c r="S142" s="68"/>
      <c r="T142" s="11"/>
      <c r="U142" s="68"/>
      <c r="V142" s="26"/>
      <c r="W142" s="68"/>
      <c r="X142" s="77"/>
      <c r="Y142" s="67"/>
      <c r="Z142" s="11"/>
    </row>
    <row r="143" spans="2:26" x14ac:dyDescent="0.3">
      <c r="B143" s="62">
        <f>MAX(B$18:B142)+1</f>
        <v>84</v>
      </c>
      <c r="C143" s="64"/>
      <c r="D143" s="16" t="s">
        <v>34</v>
      </c>
      <c r="E143" s="62"/>
      <c r="F143" s="70" t="s">
        <v>40</v>
      </c>
      <c r="G143" s="62"/>
      <c r="H143" s="11">
        <v>23703.877875550999</v>
      </c>
      <c r="I143" s="67"/>
      <c r="J143" s="11"/>
      <c r="K143" s="67"/>
      <c r="L143" s="11"/>
      <c r="M143" s="68"/>
      <c r="N143" s="11"/>
      <c r="O143" s="68"/>
      <c r="P143" s="11">
        <v>766.90426462010794</v>
      </c>
      <c r="Q143" s="68"/>
      <c r="R143" s="11">
        <f>T143-P143</f>
        <v>0</v>
      </c>
      <c r="S143" s="68"/>
      <c r="T143" s="11">
        <f>$H143*V143/100</f>
        <v>766.90426462010782</v>
      </c>
      <c r="U143" s="68"/>
      <c r="V143" s="26">
        <v>3.2353535933929169</v>
      </c>
      <c r="W143" s="68"/>
      <c r="X143" s="77">
        <f>T143/P143</f>
        <v>0.99999999999999989</v>
      </c>
      <c r="Y143" s="67"/>
      <c r="Z143" s="11"/>
    </row>
    <row r="144" spans="2:26" x14ac:dyDescent="0.3">
      <c r="B144" s="62">
        <f>MAX(B$18:B143)+1</f>
        <v>85</v>
      </c>
      <c r="C144" s="64"/>
      <c r="D144" s="16" t="s">
        <v>36</v>
      </c>
      <c r="E144" s="62"/>
      <c r="F144" s="70" t="s">
        <v>40</v>
      </c>
      <c r="G144" s="62"/>
      <c r="H144" s="11">
        <v>264479.8332034956</v>
      </c>
      <c r="I144" s="67"/>
      <c r="J144" s="11"/>
      <c r="K144" s="67"/>
      <c r="L144" s="11"/>
      <c r="M144" s="68"/>
      <c r="N144" s="11"/>
      <c r="O144" s="68"/>
      <c r="P144" s="11">
        <v>16022.679227725977</v>
      </c>
      <c r="Q144" s="68"/>
      <c r="R144" s="11">
        <f t="shared" ref="R144:R151" si="42">T144-P144</f>
        <v>0</v>
      </c>
      <c r="S144" s="68"/>
      <c r="T144" s="11">
        <f t="shared" ref="T144:T151" si="43">$H144*V144/100</f>
        <v>16022.67922772597</v>
      </c>
      <c r="U144" s="68"/>
      <c r="V144" s="26">
        <v>6.0581856218117887</v>
      </c>
      <c r="W144" s="68"/>
      <c r="X144" s="77">
        <f>T144/P144</f>
        <v>0.99999999999999956</v>
      </c>
      <c r="Y144" s="67"/>
      <c r="Z144" s="11"/>
    </row>
    <row r="145" spans="2:26" x14ac:dyDescent="0.3">
      <c r="B145" s="62">
        <f>MAX(B$18:B144)+1</f>
        <v>86</v>
      </c>
      <c r="C145" s="64"/>
      <c r="D145" s="16" t="s">
        <v>37</v>
      </c>
      <c r="E145" s="62"/>
      <c r="F145" s="70" t="s">
        <v>40</v>
      </c>
      <c r="G145" s="62"/>
      <c r="H145" s="11">
        <v>1284318.0954779943</v>
      </c>
      <c r="I145" s="67"/>
      <c r="J145" s="11"/>
      <c r="K145" s="67"/>
      <c r="L145" s="11"/>
      <c r="M145" s="68"/>
      <c r="N145" s="11"/>
      <c r="O145" s="68"/>
      <c r="P145" s="11">
        <v>6895.0497615749682</v>
      </c>
      <c r="Q145" s="68"/>
      <c r="R145" s="11">
        <f t="shared" si="42"/>
        <v>0</v>
      </c>
      <c r="S145" s="68"/>
      <c r="T145" s="11">
        <f t="shared" si="43"/>
        <v>6895.0497615749664</v>
      </c>
      <c r="U145" s="68"/>
      <c r="V145" s="26">
        <v>0.53686464325715078</v>
      </c>
      <c r="W145" s="68"/>
      <c r="X145" s="77">
        <f t="shared" ref="X145:X150" si="44">T145/P145</f>
        <v>0.99999999999999978</v>
      </c>
      <c r="Y145" s="67"/>
      <c r="Z145" s="11"/>
    </row>
    <row r="146" spans="2:26" x14ac:dyDescent="0.3">
      <c r="B146" s="62">
        <f>MAX(B$18:B145)+1</f>
        <v>87</v>
      </c>
      <c r="C146" s="64"/>
      <c r="D146" s="16" t="s">
        <v>38</v>
      </c>
      <c r="E146" s="62"/>
      <c r="F146" s="70" t="s">
        <v>40</v>
      </c>
      <c r="G146" s="62"/>
      <c r="H146" s="11">
        <v>1311595.0693399999</v>
      </c>
      <c r="I146" s="67"/>
      <c r="J146" s="11"/>
      <c r="K146" s="67"/>
      <c r="L146" s="11"/>
      <c r="M146" s="68"/>
      <c r="N146" s="11"/>
      <c r="O146" s="68"/>
      <c r="P146" s="11">
        <v>3575.6533704187191</v>
      </c>
      <c r="Q146" s="68"/>
      <c r="R146" s="11">
        <f t="shared" si="42"/>
        <v>0</v>
      </c>
      <c r="S146" s="68"/>
      <c r="T146" s="11">
        <f t="shared" si="43"/>
        <v>3575.6533704187195</v>
      </c>
      <c r="U146" s="68"/>
      <c r="V146" s="26">
        <v>0.27261869566328906</v>
      </c>
      <c r="W146" s="68"/>
      <c r="X146" s="77">
        <f t="shared" si="44"/>
        <v>1.0000000000000002</v>
      </c>
      <c r="Y146" s="67"/>
      <c r="Z146" s="11"/>
    </row>
    <row r="147" spans="2:26" x14ac:dyDescent="0.3">
      <c r="B147" s="62"/>
      <c r="C147" s="64"/>
      <c r="D147" s="22" t="s">
        <v>46</v>
      </c>
      <c r="E147" s="62"/>
      <c r="F147" s="70"/>
      <c r="G147" s="62"/>
      <c r="H147" s="11"/>
      <c r="I147" s="67"/>
      <c r="J147" s="11"/>
      <c r="K147" s="67"/>
      <c r="L147" s="11"/>
      <c r="M147" s="68"/>
      <c r="N147" s="11"/>
      <c r="O147" s="68"/>
      <c r="P147" s="11"/>
      <c r="Q147" s="68"/>
      <c r="R147" s="11"/>
      <c r="S147" s="68"/>
      <c r="T147" s="11"/>
      <c r="U147" s="68"/>
      <c r="V147" s="26"/>
      <c r="W147" s="68"/>
      <c r="X147" s="77"/>
      <c r="Y147" s="67"/>
      <c r="Z147" s="11"/>
    </row>
    <row r="148" spans="2:26" x14ac:dyDescent="0.3">
      <c r="B148" s="62">
        <f>MAX(B$18:B147)+1</f>
        <v>88</v>
      </c>
      <c r="C148" s="64"/>
      <c r="D148" s="16" t="s">
        <v>34</v>
      </c>
      <c r="E148" s="62"/>
      <c r="F148" s="70" t="s">
        <v>40</v>
      </c>
      <c r="G148" s="62"/>
      <c r="H148" s="11">
        <v>29226.986126353993</v>
      </c>
      <c r="I148" s="67"/>
      <c r="J148" s="11"/>
      <c r="K148" s="67"/>
      <c r="L148" s="11"/>
      <c r="M148" s="68"/>
      <c r="N148" s="11"/>
      <c r="O148" s="68"/>
      <c r="P148" s="11">
        <v>1703.1322047284552</v>
      </c>
      <c r="Q148" s="68"/>
      <c r="R148" s="11">
        <f t="shared" si="42"/>
        <v>0</v>
      </c>
      <c r="S148" s="68"/>
      <c r="T148" s="11">
        <f t="shared" si="43"/>
        <v>1703.1322047284555</v>
      </c>
      <c r="U148" s="68"/>
      <c r="V148" s="26">
        <v>5.8272590863987164</v>
      </c>
      <c r="W148" s="68"/>
      <c r="X148" s="77">
        <f t="shared" si="44"/>
        <v>1.0000000000000002</v>
      </c>
      <c r="Y148" s="67"/>
      <c r="Z148" s="11"/>
    </row>
    <row r="149" spans="2:26" x14ac:dyDescent="0.3">
      <c r="B149" s="62">
        <f>MAX(B$18:B148)+1</f>
        <v>89</v>
      </c>
      <c r="C149" s="64"/>
      <c r="D149" s="16" t="s">
        <v>36</v>
      </c>
      <c r="E149" s="62"/>
      <c r="F149" s="70" t="s">
        <v>40</v>
      </c>
      <c r="G149" s="62"/>
      <c r="H149" s="11">
        <v>988.69991000000005</v>
      </c>
      <c r="I149" s="67"/>
      <c r="J149" s="11"/>
      <c r="K149" s="67"/>
      <c r="L149" s="11"/>
      <c r="M149" s="68"/>
      <c r="N149" s="11"/>
      <c r="O149" s="68"/>
      <c r="P149" s="11">
        <v>85.523443067119501</v>
      </c>
      <c r="Q149" s="68"/>
      <c r="R149" s="11">
        <f t="shared" si="42"/>
        <v>0</v>
      </c>
      <c r="S149" s="68"/>
      <c r="T149" s="11">
        <f t="shared" si="43"/>
        <v>85.523443067119501</v>
      </c>
      <c r="U149" s="68"/>
      <c r="V149" s="26">
        <v>8.6500911148175881</v>
      </c>
      <c r="W149" s="68"/>
      <c r="X149" s="77">
        <f t="shared" si="44"/>
        <v>1</v>
      </c>
      <c r="Y149" s="67"/>
      <c r="Z149" s="11"/>
    </row>
    <row r="150" spans="2:26" x14ac:dyDescent="0.3">
      <c r="B150" s="62">
        <f>MAX(B$18:B149)+1</f>
        <v>90</v>
      </c>
      <c r="C150" s="64"/>
      <c r="D150" s="16" t="s">
        <v>37</v>
      </c>
      <c r="E150" s="62"/>
      <c r="F150" s="70" t="s">
        <v>40</v>
      </c>
      <c r="G150" s="62"/>
      <c r="H150" s="11">
        <v>10190.650740000001</v>
      </c>
      <c r="I150" s="67"/>
      <c r="J150" s="11"/>
      <c r="K150" s="67"/>
      <c r="L150" s="11"/>
      <c r="M150" s="68"/>
      <c r="N150" s="11"/>
      <c r="O150" s="68"/>
      <c r="P150" s="11">
        <v>318.84203704397936</v>
      </c>
      <c r="Q150" s="68"/>
      <c r="R150" s="11">
        <f t="shared" si="42"/>
        <v>0</v>
      </c>
      <c r="S150" s="68"/>
      <c r="T150" s="11">
        <f t="shared" si="43"/>
        <v>318.84203704397936</v>
      </c>
      <c r="U150" s="68"/>
      <c r="V150" s="26">
        <v>3.1287701362629501</v>
      </c>
      <c r="W150" s="68"/>
      <c r="X150" s="77">
        <f t="shared" si="44"/>
        <v>1</v>
      </c>
      <c r="Y150" s="67"/>
      <c r="Z150" s="11"/>
    </row>
    <row r="151" spans="2:26" x14ac:dyDescent="0.3">
      <c r="B151" s="62">
        <f>MAX(B$18:B150)+1</f>
        <v>91</v>
      </c>
      <c r="C151" s="64"/>
      <c r="D151" s="16" t="s">
        <v>38</v>
      </c>
      <c r="E151" s="62"/>
      <c r="F151" s="70" t="s">
        <v>40</v>
      </c>
      <c r="G151" s="62"/>
      <c r="H151" s="11">
        <v>0</v>
      </c>
      <c r="I151" s="67"/>
      <c r="J151" s="11"/>
      <c r="K151" s="67"/>
      <c r="L151" s="11"/>
      <c r="M151" s="68"/>
      <c r="N151" s="11"/>
      <c r="O151" s="68"/>
      <c r="P151" s="11">
        <v>0</v>
      </c>
      <c r="Q151" s="68"/>
      <c r="R151" s="11">
        <f t="shared" si="42"/>
        <v>0</v>
      </c>
      <c r="S151" s="68"/>
      <c r="T151" s="11">
        <f t="shared" si="43"/>
        <v>0</v>
      </c>
      <c r="U151" s="68"/>
      <c r="V151" s="26">
        <v>2.8645241886690886</v>
      </c>
      <c r="W151" s="68"/>
      <c r="X151" s="77" t="str">
        <f>IFERROR(T151/P151,"-")</f>
        <v>-</v>
      </c>
      <c r="Y151" s="67"/>
      <c r="Z151" s="11"/>
    </row>
    <row r="152" spans="2:26" x14ac:dyDescent="0.3">
      <c r="B152" s="62">
        <f>MAX(B$18:B151)+1</f>
        <v>92</v>
      </c>
      <c r="C152" s="64"/>
      <c r="D152" s="10" t="s">
        <v>44</v>
      </c>
      <c r="E152" s="62"/>
      <c r="F152" s="17"/>
      <c r="G152" s="62"/>
      <c r="H152" s="72">
        <f>SUM(H143:H151)</f>
        <v>2924503.2126733945</v>
      </c>
      <c r="I152" s="67"/>
      <c r="J152" s="11"/>
      <c r="K152" s="67"/>
      <c r="L152" s="11"/>
      <c r="M152" s="68"/>
      <c r="N152" s="11"/>
      <c r="O152" s="12"/>
      <c r="P152" s="72">
        <f>SUM(P143:P151)</f>
        <v>29367.784309179329</v>
      </c>
      <c r="Q152" s="12"/>
      <c r="R152" s="72">
        <f>SUM(R143:R151)</f>
        <v>0</v>
      </c>
      <c r="S152" s="68"/>
      <c r="T152" s="72">
        <f>SUM(T143:T151)</f>
        <v>29367.784309179318</v>
      </c>
      <c r="U152" s="68"/>
      <c r="V152" s="20">
        <f>T152/$H152*100</f>
        <v>1.0041973686988417</v>
      </c>
      <c r="W152" s="68"/>
      <c r="X152" s="73">
        <f>T152/P152</f>
        <v>0.99999999999999967</v>
      </c>
      <c r="Y152" s="14"/>
      <c r="Z152" s="11"/>
    </row>
    <row r="153" spans="2:26" x14ac:dyDescent="0.3">
      <c r="H153" s="14"/>
      <c r="I153" s="14"/>
      <c r="J153" s="18"/>
      <c r="K153" s="67"/>
      <c r="L153" s="67"/>
      <c r="M153" s="14"/>
      <c r="N153" s="19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5"/>
    </row>
    <row r="154" spans="2:26" x14ac:dyDescent="0.3">
      <c r="B154" s="62"/>
      <c r="C154" s="64"/>
      <c r="D154" s="10" t="s">
        <v>48</v>
      </c>
      <c r="E154" s="62"/>
      <c r="F154" s="17"/>
      <c r="G154" s="62"/>
      <c r="H154" s="11"/>
      <c r="I154" s="67"/>
      <c r="J154" s="11"/>
      <c r="K154" s="67"/>
      <c r="L154" s="11"/>
      <c r="M154" s="68"/>
      <c r="N154" s="11"/>
      <c r="O154" s="12"/>
      <c r="P154" s="11"/>
      <c r="Q154" s="12"/>
      <c r="R154" s="11"/>
      <c r="S154" s="68"/>
      <c r="T154" s="11"/>
      <c r="U154" s="68"/>
      <c r="V154" s="26"/>
      <c r="W154" s="68"/>
      <c r="X154" s="13"/>
      <c r="Y154" s="14"/>
      <c r="Z154" s="11"/>
    </row>
    <row r="155" spans="2:26" x14ac:dyDescent="0.3">
      <c r="B155" s="62">
        <f>MAX(B$18:B154)+1</f>
        <v>93</v>
      </c>
      <c r="C155" s="64"/>
      <c r="D155" s="16" t="s">
        <v>34</v>
      </c>
      <c r="E155" s="62"/>
      <c r="F155" s="17" t="s">
        <v>40</v>
      </c>
      <c r="G155" s="62"/>
      <c r="H155" s="11">
        <v>11031.058960020002</v>
      </c>
      <c r="I155" s="67"/>
      <c r="J155" s="11"/>
      <c r="K155" s="67"/>
      <c r="L155" s="11"/>
      <c r="M155" s="68"/>
      <c r="N155" s="11"/>
      <c r="O155" s="12"/>
      <c r="P155" s="11">
        <v>1482.1577810651092</v>
      </c>
      <c r="Q155" s="12"/>
      <c r="R155" s="11">
        <f>ROUND(T155-P155, 0)</f>
        <v>0</v>
      </c>
      <c r="S155" s="68"/>
      <c r="T155" s="11">
        <f>$H155*V155/100</f>
        <v>1481.6767366595971</v>
      </c>
      <c r="U155" s="68"/>
      <c r="V155" s="26">
        <v>13.431863087937938</v>
      </c>
      <c r="W155" s="68"/>
      <c r="X155" s="13">
        <f>T155/P155</f>
        <v>0.99967544318718449</v>
      </c>
      <c r="Y155" s="14"/>
      <c r="Z155" s="11"/>
    </row>
    <row r="156" spans="2:26" x14ac:dyDescent="0.3">
      <c r="B156" s="62">
        <f>MAX(B$18:B155)+1</f>
        <v>94</v>
      </c>
      <c r="C156" s="64"/>
      <c r="D156" s="16" t="s">
        <v>36</v>
      </c>
      <c r="E156" s="62"/>
      <c r="F156" s="17" t="s">
        <v>40</v>
      </c>
      <c r="G156" s="62"/>
      <c r="H156" s="11">
        <v>45329.738669999999</v>
      </c>
      <c r="I156" s="67"/>
      <c r="J156" s="11"/>
      <c r="K156" s="67"/>
      <c r="L156" s="11"/>
      <c r="M156" s="68"/>
      <c r="N156" s="11"/>
      <c r="O156" s="12"/>
      <c r="P156" s="11">
        <v>4796.9720214683348</v>
      </c>
      <c r="Q156" s="12"/>
      <c r="R156" s="11">
        <f t="shared" ref="R156:R158" si="45">ROUND(T156-P156, 0)</f>
        <v>7</v>
      </c>
      <c r="S156" s="68"/>
      <c r="T156" s="11">
        <f t="shared" ref="T156:T158" si="46">$H156*V156/100</f>
        <v>4803.6265931847247</v>
      </c>
      <c r="U156" s="68"/>
      <c r="V156" s="26">
        <v>10.59707541699076</v>
      </c>
      <c r="W156" s="68"/>
      <c r="X156" s="13">
        <f t="shared" ref="X156:X158" si="47">T156/P156</f>
        <v>1.001387244221273</v>
      </c>
      <c r="Y156" s="14"/>
      <c r="Z156" s="11"/>
    </row>
    <row r="157" spans="2:26" x14ac:dyDescent="0.3">
      <c r="B157" s="62">
        <f>MAX(B$18:B156)+1</f>
        <v>95</v>
      </c>
      <c r="C157" s="64"/>
      <c r="D157" s="16" t="s">
        <v>37</v>
      </c>
      <c r="E157" s="62"/>
      <c r="F157" s="17" t="s">
        <v>40</v>
      </c>
      <c r="G157" s="62"/>
      <c r="H157" s="11">
        <v>77874.956330000001</v>
      </c>
      <c r="I157" s="67"/>
      <c r="J157" s="11"/>
      <c r="K157" s="67"/>
      <c r="L157" s="11"/>
      <c r="M157" s="68"/>
      <c r="N157" s="11"/>
      <c r="O157" s="12"/>
      <c r="P157" s="11">
        <v>11442.257976764886</v>
      </c>
      <c r="Q157" s="12"/>
      <c r="R157" s="11">
        <f t="shared" si="45"/>
        <v>-3</v>
      </c>
      <c r="S157" s="68"/>
      <c r="T157" s="11">
        <f>$H157*V157/100</f>
        <v>11438.904243475925</v>
      </c>
      <c r="U157" s="68"/>
      <c r="V157" s="26">
        <v>14.688809833809541</v>
      </c>
      <c r="W157" s="68"/>
      <c r="X157" s="13">
        <f t="shared" si="47"/>
        <v>0.99970689934663493</v>
      </c>
      <c r="Y157" s="14"/>
      <c r="Z157" s="11"/>
    </row>
    <row r="158" spans="2:26" x14ac:dyDescent="0.3">
      <c r="B158" s="62">
        <f>MAX(B$18:B157)+1</f>
        <v>96</v>
      </c>
      <c r="C158" s="64"/>
      <c r="D158" s="16" t="s">
        <v>38</v>
      </c>
      <c r="E158" s="62"/>
      <c r="F158" s="17" t="s">
        <v>40</v>
      </c>
      <c r="G158" s="62"/>
      <c r="H158" s="11">
        <v>93109.967639999988</v>
      </c>
      <c r="I158" s="67"/>
      <c r="J158" s="11"/>
      <c r="K158" s="67"/>
      <c r="L158" s="11"/>
      <c r="M158" s="68"/>
      <c r="N158" s="11"/>
      <c r="O158" s="12"/>
      <c r="P158" s="11">
        <v>14612.960058491046</v>
      </c>
      <c r="Q158" s="12"/>
      <c r="R158" s="11">
        <f t="shared" si="45"/>
        <v>0</v>
      </c>
      <c r="S158" s="68"/>
      <c r="T158" s="11">
        <f t="shared" si="46"/>
        <v>14612.960058514633</v>
      </c>
      <c r="U158" s="68"/>
      <c r="V158" s="26">
        <v>15.694302585319461</v>
      </c>
      <c r="W158" s="68"/>
      <c r="X158" s="13">
        <f t="shared" si="47"/>
        <v>1.000000000001614</v>
      </c>
      <c r="Y158" s="14"/>
      <c r="Z158" s="11"/>
    </row>
    <row r="159" spans="2:26" x14ac:dyDescent="0.3">
      <c r="B159" s="62"/>
      <c r="C159" s="64"/>
      <c r="D159" s="10"/>
      <c r="E159" s="62"/>
      <c r="F159" s="17"/>
      <c r="G159" s="62"/>
      <c r="H159" s="11"/>
      <c r="I159" s="67"/>
      <c r="J159" s="11"/>
      <c r="K159" s="68"/>
      <c r="L159" s="26"/>
      <c r="M159" s="68"/>
      <c r="N159" s="19"/>
      <c r="O159" s="12"/>
      <c r="P159" s="11"/>
      <c r="Q159" s="12"/>
      <c r="R159" s="11"/>
      <c r="S159" s="68"/>
      <c r="T159" s="11"/>
      <c r="U159" s="68"/>
      <c r="V159" s="26"/>
      <c r="W159" s="68"/>
      <c r="X159" s="13"/>
      <c r="Y159" s="14"/>
      <c r="Z159" s="15"/>
    </row>
    <row r="160" spans="2:26" ht="12.9" thickBot="1" x14ac:dyDescent="0.35">
      <c r="B160" s="62">
        <f>MAX(B$18:B159)+1</f>
        <v>97</v>
      </c>
      <c r="C160" s="64"/>
      <c r="D160" s="24" t="s">
        <v>67</v>
      </c>
      <c r="E160" s="62"/>
      <c r="F160" s="17"/>
      <c r="G160" s="62"/>
      <c r="H160" s="74">
        <f>H139</f>
        <v>2924503.2126733949</v>
      </c>
      <c r="I160" s="67"/>
      <c r="J160" s="74">
        <v>167443.08358699328</v>
      </c>
      <c r="K160" s="68"/>
      <c r="L160" s="25">
        <f>J160/$H160*100</f>
        <v>5.7255222993558439</v>
      </c>
      <c r="M160" s="68"/>
      <c r="N160" s="74">
        <f>J160-P160</f>
        <v>-12917.274665631936</v>
      </c>
      <c r="O160" s="12"/>
      <c r="P160" s="74">
        <f>SUM(P139,P152,P155:P158)</f>
        <v>180360.35825262521</v>
      </c>
      <c r="Q160" s="12"/>
      <c r="R160" s="74">
        <f>R139+SUM(R155:R158)</f>
        <v>-1245.1676385571427</v>
      </c>
      <c r="S160" s="68"/>
      <c r="T160" s="74">
        <f>SUM(T139,T152,T155:T158)</f>
        <v>179115.01040811357</v>
      </c>
      <c r="U160" s="68"/>
      <c r="V160" s="25">
        <f>T160/$H160*100</f>
        <v>6.1246303177891885</v>
      </c>
      <c r="W160" s="68"/>
      <c r="X160" s="75">
        <f>T160/P160</f>
        <v>0.99309522415803075</v>
      </c>
      <c r="Y160" s="14"/>
      <c r="Z160" s="31">
        <f>V160/L160-1</f>
        <v>6.9706831545874204E-2</v>
      </c>
    </row>
    <row r="161" spans="2:26" ht="12.9" thickTop="1" x14ac:dyDescent="0.3">
      <c r="B161" s="62"/>
    </row>
    <row r="162" spans="2:26" x14ac:dyDescent="0.3">
      <c r="B162" s="62">
        <f>MAX(B$18:B161)+1</f>
        <v>98</v>
      </c>
      <c r="D162" s="2" t="s">
        <v>68</v>
      </c>
      <c r="H162" s="11">
        <f>H115</f>
        <v>52930.864001904993</v>
      </c>
      <c r="J162" s="11">
        <v>5598.5196354394011</v>
      </c>
      <c r="L162" s="27">
        <f>J162/$H162*100</f>
        <v>10.5770418469608</v>
      </c>
      <c r="N162" s="23">
        <f>J162-P162</f>
        <v>-526.03850885290194</v>
      </c>
      <c r="P162" s="23">
        <f>P110+P115+P122+P143+P148+P155</f>
        <v>6124.558144292303</v>
      </c>
      <c r="Q162" s="23"/>
      <c r="R162" s="23">
        <f>R110+R115+R122+R143+R148+R155</f>
        <v>-32.571921154016877</v>
      </c>
      <c r="S162" s="23"/>
      <c r="T162" s="23">
        <f>T110+T115+T122+T143+T148+T155</f>
        <v>6091.5051787327739</v>
      </c>
      <c r="V162" s="27">
        <f>T162/$H162*100</f>
        <v>11.508418185868909</v>
      </c>
      <c r="X162" s="33">
        <f>T162/P162</f>
        <v>0.9946032081366829</v>
      </c>
      <c r="Z162" s="35">
        <f>V162/L162-1</f>
        <v>8.8056410514791628E-2</v>
      </c>
    </row>
    <row r="163" spans="2:26" x14ac:dyDescent="0.3">
      <c r="B163" s="62">
        <f>MAX(B$18:B162)+1</f>
        <v>99</v>
      </c>
      <c r="D163" s="64" t="s">
        <v>69</v>
      </c>
      <c r="H163" s="11">
        <f>H116</f>
        <v>265468.53311349562</v>
      </c>
      <c r="J163" s="11">
        <v>19372.921156067237</v>
      </c>
      <c r="L163" s="27">
        <f t="shared" ref="L163:L165" si="48">J163/$H163*100</f>
        <v>7.297633707790423</v>
      </c>
      <c r="N163" s="23">
        <f>J163-P163</f>
        <v>-10226.188313654569</v>
      </c>
      <c r="P163" s="23">
        <f>P111+P116+P127+P144+P149+P156</f>
        <v>29599.109469721807</v>
      </c>
      <c r="Q163" s="23"/>
      <c r="R163" s="23">
        <f>R111+R116+R127+R144+R149+R156</f>
        <v>-98.501318834034919</v>
      </c>
      <c r="S163" s="23"/>
      <c r="T163" s="23">
        <f>T111+T116+T127+T144+T149+T156</f>
        <v>29501.262722604151</v>
      </c>
      <c r="V163" s="27">
        <f t="shared" ref="V163:V165" si="49">T163/$H163*100</f>
        <v>11.112903806942533</v>
      </c>
      <c r="X163" s="33">
        <f>T163/P163</f>
        <v>0.9966942671968646</v>
      </c>
      <c r="Z163" s="35">
        <f t="shared" ref="Z163:Z165" si="50">V163/L163-1</f>
        <v>0.52280920801481257</v>
      </c>
    </row>
    <row r="164" spans="2:26" x14ac:dyDescent="0.3">
      <c r="B164" s="62">
        <f>MAX(B$18:B163)+1</f>
        <v>100</v>
      </c>
      <c r="D164" s="64" t="s">
        <v>70</v>
      </c>
      <c r="H164" s="11">
        <f>H117</f>
        <v>1294508.7462179943</v>
      </c>
      <c r="J164" s="11">
        <v>60790.925294396264</v>
      </c>
      <c r="L164" s="27">
        <f t="shared" si="48"/>
        <v>4.6960613801955047</v>
      </c>
      <c r="N164" s="23">
        <f>J164-P164</f>
        <v>-4026.8652754502255</v>
      </c>
      <c r="P164" s="23">
        <f>P112+P117+P132+P145+P150+P157</f>
        <v>64817.790569846489</v>
      </c>
      <c r="Q164" s="23"/>
      <c r="R164" s="23">
        <f>R112+R117+R132+R145+R150+R157</f>
        <v>-718.78043128316676</v>
      </c>
      <c r="S164" s="23"/>
      <c r="T164" s="23">
        <f>T112+T117+T132+T145+T150+T157</f>
        <v>64098.656405274363</v>
      </c>
      <c r="V164" s="27">
        <f t="shared" si="49"/>
        <v>4.9515815627004036</v>
      </c>
      <c r="X164" s="33">
        <f>T164/P164</f>
        <v>0.9889052965513041</v>
      </c>
      <c r="Z164" s="35">
        <f t="shared" si="50"/>
        <v>5.4411593422201143E-2</v>
      </c>
    </row>
    <row r="165" spans="2:26" x14ac:dyDescent="0.3">
      <c r="B165" s="62">
        <f>MAX(B$18:B164)+1</f>
        <v>101</v>
      </c>
      <c r="D165" s="64" t="s">
        <v>71</v>
      </c>
      <c r="H165" s="11">
        <f>H118</f>
        <v>1311595.0693400002</v>
      </c>
      <c r="J165" s="11">
        <v>81680.717501090228</v>
      </c>
      <c r="L165" s="27">
        <f t="shared" si="48"/>
        <v>6.2275865021505679</v>
      </c>
      <c r="N165" s="23">
        <f>J165-P165</f>
        <v>1861.8174323256244</v>
      </c>
      <c r="P165" s="23">
        <f>P113+P118+P137+P146+P151+P158</f>
        <v>79818.900068764604</v>
      </c>
      <c r="Q165" s="23"/>
      <c r="R165" s="23">
        <f>R113+R118+R137+R146+R151+R158</f>
        <v>-395.31396728592335</v>
      </c>
      <c r="S165" s="23"/>
      <c r="T165" s="23">
        <f>T113+T118+T137+T146+T151+T158</f>
        <v>79423.586101502267</v>
      </c>
      <c r="V165" s="27">
        <f t="shared" si="49"/>
        <v>6.0554959345393486</v>
      </c>
      <c r="X165" s="33">
        <f>T165/P165</f>
        <v>0.99504736388346904</v>
      </c>
      <c r="Z165" s="35">
        <f t="shared" si="50"/>
        <v>-2.7633589280821935E-2</v>
      </c>
    </row>
    <row r="169" spans="2:26" x14ac:dyDescent="0.3">
      <c r="B169" s="62"/>
      <c r="C169" s="64"/>
      <c r="D169" s="7" t="s">
        <v>72</v>
      </c>
      <c r="E169" s="62"/>
      <c r="F169" s="6"/>
      <c r="G169" s="62"/>
      <c r="H169" s="18"/>
      <c r="I169" s="67"/>
      <c r="J169" s="14"/>
      <c r="K169" s="14"/>
      <c r="L169" s="14"/>
      <c r="M169" s="14"/>
      <c r="N169" s="14"/>
      <c r="O169" s="67"/>
      <c r="P169" s="30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2:26" x14ac:dyDescent="0.3">
      <c r="D170" s="34" t="s">
        <v>45</v>
      </c>
      <c r="F170" s="48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2:26" x14ac:dyDescent="0.3">
      <c r="B171" s="62">
        <f>MAX(B$18:B169)+1</f>
        <v>102</v>
      </c>
      <c r="C171" s="64"/>
      <c r="D171" s="10" t="s">
        <v>33</v>
      </c>
      <c r="E171" s="62"/>
      <c r="F171" s="17" t="s">
        <v>35</v>
      </c>
      <c r="G171" s="62"/>
      <c r="H171" s="11">
        <v>960</v>
      </c>
      <c r="I171" s="67"/>
      <c r="J171" s="11"/>
      <c r="K171" s="14"/>
      <c r="L171" s="11"/>
      <c r="M171" s="14"/>
      <c r="N171" s="11"/>
      <c r="O171" s="12"/>
      <c r="P171" s="11">
        <v>5701.9434817514421</v>
      </c>
      <c r="Q171" s="12"/>
      <c r="R171" s="11">
        <f>T171-P171</f>
        <v>-2821.9434817514421</v>
      </c>
      <c r="S171" s="68"/>
      <c r="T171" s="11">
        <f>$H171*V171/1000</f>
        <v>2880</v>
      </c>
      <c r="U171" s="68"/>
      <c r="V171" s="71">
        <v>3000</v>
      </c>
      <c r="W171" s="68"/>
      <c r="X171" s="13">
        <f>T171/P171</f>
        <v>0.50509094122331821</v>
      </c>
      <c r="Y171" s="14"/>
      <c r="Z171" s="11"/>
    </row>
    <row r="172" spans="2:26" x14ac:dyDescent="0.3">
      <c r="B172" s="62">
        <f>MAX(B$18:B171)+1</f>
        <v>103</v>
      </c>
      <c r="C172" s="64"/>
      <c r="D172" s="10" t="s">
        <v>73</v>
      </c>
      <c r="E172" s="62"/>
      <c r="F172" s="17" t="s">
        <v>40</v>
      </c>
      <c r="G172" s="62"/>
      <c r="H172" s="11">
        <v>3996534.1677636793</v>
      </c>
      <c r="I172" s="67"/>
      <c r="J172" s="11"/>
      <c r="K172" s="14"/>
      <c r="L172" s="11"/>
      <c r="M172" s="14"/>
      <c r="N172" s="11"/>
      <c r="O172" s="12"/>
      <c r="P172" s="11">
        <v>0</v>
      </c>
      <c r="Q172" s="12"/>
      <c r="R172" s="11">
        <f t="shared" ref="R172:R177" si="51">T172-P172</f>
        <v>0</v>
      </c>
      <c r="S172" s="68"/>
      <c r="T172" s="11">
        <f t="shared" ref="T172" si="52">$H172*V172/1000</f>
        <v>0</v>
      </c>
      <c r="U172" s="68"/>
      <c r="V172" s="26">
        <v>0</v>
      </c>
      <c r="W172" s="68"/>
      <c r="X172" s="11">
        <v>0</v>
      </c>
      <c r="Y172" s="14"/>
      <c r="Z172" s="11"/>
    </row>
    <row r="173" spans="2:26" x14ac:dyDescent="0.3">
      <c r="B173" s="62">
        <f>MAX(B$18:B172)+1</f>
        <v>104</v>
      </c>
      <c r="C173" s="64"/>
      <c r="D173" s="10" t="s">
        <v>74</v>
      </c>
      <c r="E173" s="62"/>
      <c r="F173" s="17"/>
      <c r="G173" s="62"/>
      <c r="H173" s="11"/>
      <c r="I173" s="67"/>
      <c r="J173" s="11"/>
      <c r="K173" s="14"/>
      <c r="L173" s="11"/>
      <c r="M173" s="14"/>
      <c r="N173" s="11"/>
      <c r="O173" s="12"/>
      <c r="P173" s="11">
        <v>4311.8980291868338</v>
      </c>
      <c r="Q173" s="12"/>
      <c r="R173" s="11">
        <f t="shared" si="51"/>
        <v>0</v>
      </c>
      <c r="S173" s="68"/>
      <c r="T173" s="11">
        <v>4311.8980291868338</v>
      </c>
      <c r="U173" s="68"/>
      <c r="V173" s="83">
        <v>7.5405425408122837E-3</v>
      </c>
      <c r="W173" s="68"/>
      <c r="X173" s="13"/>
      <c r="Y173" s="35"/>
      <c r="Z173" s="11"/>
    </row>
    <row r="174" spans="2:26" x14ac:dyDescent="0.3">
      <c r="B174" s="62"/>
      <c r="C174" s="64"/>
      <c r="D174" s="10" t="s">
        <v>75</v>
      </c>
      <c r="E174" s="62"/>
      <c r="F174" s="17"/>
      <c r="G174" s="62"/>
      <c r="H174" s="11"/>
      <c r="I174" s="67"/>
      <c r="J174" s="11"/>
      <c r="K174" s="14"/>
      <c r="L174" s="11"/>
      <c r="M174" s="14"/>
      <c r="N174" s="11"/>
      <c r="O174" s="12"/>
      <c r="P174" s="11"/>
      <c r="Q174" s="12"/>
      <c r="R174" s="11"/>
      <c r="S174" s="68"/>
      <c r="T174" s="11"/>
      <c r="U174" s="68"/>
      <c r="V174" s="26"/>
      <c r="W174" s="68"/>
      <c r="X174" s="13"/>
      <c r="Y174" s="14"/>
      <c r="Z174" s="11"/>
    </row>
    <row r="175" spans="2:26" ht="14.15" x14ac:dyDescent="0.3">
      <c r="B175" s="62">
        <f>MAX(B$18:B174)+1</f>
        <v>105</v>
      </c>
      <c r="C175" s="64"/>
      <c r="D175" s="22" t="s">
        <v>76</v>
      </c>
      <c r="E175" s="62"/>
      <c r="F175" s="17" t="s">
        <v>42</v>
      </c>
      <c r="G175" s="62"/>
      <c r="H175" s="11">
        <v>26927.364000000001</v>
      </c>
      <c r="I175" s="67"/>
      <c r="J175" s="11"/>
      <c r="K175" s="14"/>
      <c r="L175" s="11"/>
      <c r="M175" s="14"/>
      <c r="N175" s="11"/>
      <c r="O175" s="12"/>
      <c r="P175" s="11">
        <v>11390.991774570912</v>
      </c>
      <c r="Q175" s="12"/>
      <c r="R175" s="11">
        <f t="shared" si="51"/>
        <v>-52.493566062201353</v>
      </c>
      <c r="S175" s="68"/>
      <c r="T175" s="11">
        <v>11338.49820850871</v>
      </c>
      <c r="U175" s="68"/>
      <c r="V175" s="26">
        <v>42.10771692509045</v>
      </c>
      <c r="W175" s="68"/>
      <c r="X175" s="13"/>
      <c r="Y175" s="14"/>
      <c r="Z175" s="11"/>
    </row>
    <row r="176" spans="2:26" ht="14.15" x14ac:dyDescent="0.3">
      <c r="B176" s="62">
        <f>MAX(B$18:B175)+1</f>
        <v>106</v>
      </c>
      <c r="C176" s="64"/>
      <c r="D176" s="22" t="s">
        <v>77</v>
      </c>
      <c r="E176" s="62"/>
      <c r="F176" s="17" t="s">
        <v>42</v>
      </c>
      <c r="G176" s="62"/>
      <c r="H176" s="11">
        <v>50942.423999999999</v>
      </c>
      <c r="I176" s="67"/>
      <c r="J176" s="11"/>
      <c r="K176" s="14"/>
      <c r="L176" s="11"/>
      <c r="M176" s="14"/>
      <c r="N176" s="11"/>
      <c r="O176" s="12"/>
      <c r="P176" s="11">
        <v>14379.609296471195</v>
      </c>
      <c r="Q176" s="12"/>
      <c r="R176" s="11">
        <f t="shared" si="51"/>
        <v>-135.40152121104438</v>
      </c>
      <c r="S176" s="68"/>
      <c r="T176" s="11">
        <v>14244.207775260151</v>
      </c>
      <c r="U176" s="68"/>
      <c r="V176" s="26">
        <v>27.961385927101055</v>
      </c>
      <c r="W176" s="68"/>
      <c r="X176" s="13"/>
      <c r="Y176" s="14"/>
      <c r="Z176" s="11"/>
    </row>
    <row r="177" spans="2:26" ht="14.15" x14ac:dyDescent="0.3">
      <c r="B177" s="62">
        <f>MAX(B$18:B176)+1</f>
        <v>107</v>
      </c>
      <c r="C177" s="64"/>
      <c r="D177" s="22" t="s">
        <v>78</v>
      </c>
      <c r="E177" s="62"/>
      <c r="F177" s="17" t="s">
        <v>42</v>
      </c>
      <c r="G177" s="62"/>
      <c r="H177" s="11">
        <v>136172.00399999999</v>
      </c>
      <c r="I177" s="67"/>
      <c r="J177" s="11"/>
      <c r="K177" s="14"/>
      <c r="L177" s="11"/>
      <c r="M177" s="14"/>
      <c r="N177" s="11"/>
      <c r="O177" s="12"/>
      <c r="P177" s="11">
        <v>31831.560439075402</v>
      </c>
      <c r="Q177" s="12"/>
      <c r="R177" s="11">
        <f t="shared" si="51"/>
        <v>-395.18670513208781</v>
      </c>
      <c r="S177" s="68"/>
      <c r="T177" s="11">
        <v>31436.373733943314</v>
      </c>
      <c r="U177" s="68"/>
      <c r="V177" s="26">
        <v>23.085783281814166</v>
      </c>
      <c r="W177" s="68"/>
      <c r="X177" s="13"/>
      <c r="Y177" s="14"/>
      <c r="Z177" s="11"/>
    </row>
    <row r="178" spans="2:26" x14ac:dyDescent="0.3">
      <c r="B178" s="62">
        <f>MAX(B$18:B177)+1</f>
        <v>108</v>
      </c>
      <c r="C178" s="64"/>
      <c r="D178" s="10" t="s">
        <v>75</v>
      </c>
      <c r="E178" s="62"/>
      <c r="F178" s="17"/>
      <c r="G178" s="62"/>
      <c r="H178" s="72">
        <f>SUM(H175:H177)</f>
        <v>214041.79199999999</v>
      </c>
      <c r="I178" s="67"/>
      <c r="J178" s="14"/>
      <c r="K178" s="14"/>
      <c r="L178" s="14"/>
      <c r="M178" s="14"/>
      <c r="N178" s="14"/>
      <c r="O178" s="12"/>
      <c r="P178" s="72">
        <f>SUM(P175:P177)</f>
        <v>57602.161510117512</v>
      </c>
      <c r="Q178" s="12"/>
      <c r="R178" s="72">
        <f>SUM(R175:R177)</f>
        <v>-583.08179240533354</v>
      </c>
      <c r="S178" s="68"/>
      <c r="T178" s="72">
        <f>SUM(T175:T177)</f>
        <v>57019.079717712171</v>
      </c>
      <c r="U178" s="68"/>
      <c r="V178" s="20">
        <f>T178/$H178*100</f>
        <v>26.63922740738041</v>
      </c>
      <c r="W178" s="68"/>
      <c r="X178" s="73">
        <f t="shared" ref="X178" si="53">T178/P178</f>
        <v>0.98987743207686874</v>
      </c>
      <c r="Y178" s="14"/>
      <c r="Z178" s="67"/>
    </row>
    <row r="179" spans="2:26" x14ac:dyDescent="0.3">
      <c r="B179" s="62"/>
      <c r="C179" s="64"/>
      <c r="D179" s="10"/>
      <c r="E179" s="62"/>
      <c r="F179" s="17"/>
      <c r="G179" s="62"/>
      <c r="H179" s="11"/>
      <c r="I179" s="67"/>
      <c r="J179" s="14"/>
      <c r="K179" s="14"/>
      <c r="L179" s="14"/>
      <c r="M179" s="14"/>
      <c r="N179" s="14"/>
      <c r="O179" s="12"/>
      <c r="P179" s="11"/>
      <c r="Q179" s="12"/>
      <c r="R179" s="11"/>
      <c r="S179" s="68"/>
      <c r="T179" s="11"/>
      <c r="U179" s="68"/>
      <c r="V179" s="26"/>
      <c r="W179" s="68"/>
      <c r="X179" s="13"/>
      <c r="Y179" s="14"/>
      <c r="Z179" s="67"/>
    </row>
    <row r="180" spans="2:26" x14ac:dyDescent="0.3">
      <c r="B180" s="62">
        <f>MAX(B$18:B179)+1</f>
        <v>109</v>
      </c>
      <c r="C180" s="64"/>
      <c r="D180" s="10" t="s">
        <v>79</v>
      </c>
      <c r="E180" s="62"/>
      <c r="F180" s="17" t="s">
        <v>42</v>
      </c>
      <c r="G180" s="62"/>
      <c r="H180" s="11">
        <v>34996.836000000003</v>
      </c>
      <c r="I180" s="67"/>
      <c r="J180" s="11"/>
      <c r="K180" s="14"/>
      <c r="L180" s="11"/>
      <c r="M180" s="14"/>
      <c r="N180" s="11"/>
      <c r="O180" s="12"/>
      <c r="P180" s="11">
        <v>334.46041354909948</v>
      </c>
      <c r="Q180" s="12"/>
      <c r="R180" s="11">
        <f>T180-P180</f>
        <v>0</v>
      </c>
      <c r="S180" s="68"/>
      <c r="T180" s="11">
        <f>$H180*V180/100</f>
        <v>334.46041354909954</v>
      </c>
      <c r="U180" s="68"/>
      <c r="V180" s="26">
        <v>0.95568757572570129</v>
      </c>
      <c r="W180" s="68"/>
      <c r="X180" s="13">
        <f>T180/P180</f>
        <v>1.0000000000000002</v>
      </c>
      <c r="Y180" s="14"/>
      <c r="Z180" s="67"/>
    </row>
    <row r="181" spans="2:26" x14ac:dyDescent="0.3">
      <c r="B181" s="62">
        <f>MAX(B$18:B180)+1</f>
        <v>110</v>
      </c>
      <c r="C181" s="64"/>
      <c r="D181" s="10" t="s">
        <v>80</v>
      </c>
      <c r="E181" s="62"/>
      <c r="F181" s="70" t="s">
        <v>40</v>
      </c>
      <c r="G181" s="62"/>
      <c r="H181" s="11">
        <v>13096.011469999999</v>
      </c>
      <c r="I181" s="67"/>
      <c r="J181" s="11"/>
      <c r="K181" s="14"/>
      <c r="L181" s="11"/>
      <c r="M181" s="14"/>
      <c r="N181" s="11"/>
      <c r="O181" s="12"/>
      <c r="P181" s="11">
        <v>0</v>
      </c>
      <c r="Q181" s="12"/>
      <c r="R181" s="11">
        <f>T181-P181</f>
        <v>4.1147491901721454</v>
      </c>
      <c r="S181" s="68"/>
      <c r="T181" s="11">
        <f>$H181*V181/100</f>
        <v>4.1147491901721454</v>
      </c>
      <c r="U181" s="68"/>
      <c r="V181" s="26">
        <v>3.1419865503310725E-2</v>
      </c>
      <c r="W181" s="68"/>
      <c r="X181" s="13"/>
      <c r="Y181" s="14"/>
      <c r="Z181" s="67"/>
    </row>
    <row r="182" spans="2:26" x14ac:dyDescent="0.3">
      <c r="B182" s="62">
        <f>MAX(B$18:B181)+1</f>
        <v>111</v>
      </c>
      <c r="C182" s="64"/>
      <c r="D182" s="10" t="s">
        <v>81</v>
      </c>
      <c r="E182" s="62"/>
      <c r="F182" s="70" t="s">
        <v>40</v>
      </c>
      <c r="G182" s="62"/>
      <c r="H182" s="11">
        <v>0</v>
      </c>
      <c r="I182" s="67"/>
      <c r="J182" s="11"/>
      <c r="K182" s="14"/>
      <c r="L182" s="11"/>
      <c r="M182" s="14"/>
      <c r="N182" s="11"/>
      <c r="O182" s="12"/>
      <c r="P182" s="11"/>
      <c r="Q182" s="12"/>
      <c r="R182" s="11"/>
      <c r="S182" s="68"/>
      <c r="T182" s="11"/>
      <c r="U182" s="68"/>
      <c r="V182" s="26"/>
      <c r="W182" s="68"/>
      <c r="X182" s="13"/>
      <c r="Y182" s="14"/>
      <c r="Z182" s="67"/>
    </row>
    <row r="183" spans="2:26" x14ac:dyDescent="0.3">
      <c r="B183" s="62"/>
      <c r="C183" s="64"/>
      <c r="D183" s="10"/>
      <c r="E183" s="62"/>
      <c r="F183" s="17"/>
      <c r="G183" s="62"/>
      <c r="H183" s="11"/>
      <c r="I183" s="67"/>
      <c r="J183" s="14"/>
      <c r="K183" s="14"/>
      <c r="L183" s="14"/>
      <c r="M183" s="14"/>
      <c r="N183" s="14"/>
      <c r="O183" s="12"/>
      <c r="P183" s="11"/>
      <c r="Q183" s="12"/>
      <c r="R183" s="11"/>
      <c r="S183" s="68"/>
      <c r="T183" s="11"/>
      <c r="U183" s="68"/>
      <c r="V183" s="26"/>
      <c r="W183" s="68"/>
      <c r="X183" s="13"/>
      <c r="Y183" s="14"/>
      <c r="Z183" s="67"/>
    </row>
    <row r="184" spans="2:26" x14ac:dyDescent="0.3">
      <c r="B184" s="62">
        <f>MAX(B$18:B183)+1</f>
        <v>112</v>
      </c>
      <c r="C184" s="64"/>
      <c r="D184" s="10" t="s">
        <v>82</v>
      </c>
      <c r="E184" s="62"/>
      <c r="F184" s="17"/>
      <c r="G184" s="62"/>
      <c r="H184" s="72">
        <f>H172+H181</f>
        <v>4009630.1792336791</v>
      </c>
      <c r="I184" s="67"/>
      <c r="J184" s="14"/>
      <c r="K184" s="14"/>
      <c r="L184" s="14"/>
      <c r="M184" s="14"/>
      <c r="N184" s="14"/>
      <c r="O184" s="12"/>
      <c r="P184" s="72">
        <f>SUM(P171,P172:P173,P178,P180,P181)</f>
        <v>67950.463434604884</v>
      </c>
      <c r="Q184" s="12"/>
      <c r="R184" s="72">
        <f>SUM(R171,R172:R173,R178,R180,R181)</f>
        <v>-3400.9105249666036</v>
      </c>
      <c r="S184" s="68"/>
      <c r="T184" s="72">
        <f>SUM(T171,T172:T173,T178,T180,T181)</f>
        <v>64549.552909638282</v>
      </c>
      <c r="U184" s="68"/>
      <c r="V184" s="20">
        <f>T184/$H184*100</f>
        <v>1.6098630054199912</v>
      </c>
      <c r="W184" s="68"/>
      <c r="X184" s="73">
        <f t="shared" ref="X184" si="54">T184/P184</f>
        <v>0.94995014966690228</v>
      </c>
      <c r="Y184" s="14"/>
      <c r="Z184" s="67"/>
    </row>
    <row r="185" spans="2:26" x14ac:dyDescent="0.3">
      <c r="E185" s="62"/>
      <c r="F185" s="17"/>
      <c r="G185" s="62"/>
      <c r="H185" s="11"/>
      <c r="I185" s="67"/>
      <c r="J185" s="14"/>
      <c r="K185" s="14"/>
      <c r="L185" s="14"/>
      <c r="M185" s="14"/>
      <c r="N185" s="14"/>
      <c r="O185" s="12"/>
      <c r="P185" s="11"/>
      <c r="Q185" s="12"/>
      <c r="R185" s="11"/>
      <c r="S185" s="68"/>
      <c r="T185" s="11"/>
      <c r="U185" s="68"/>
      <c r="V185" s="26"/>
      <c r="W185" s="68"/>
      <c r="X185" s="13"/>
      <c r="Y185" s="14"/>
      <c r="Z185" s="67"/>
    </row>
    <row r="186" spans="2:26" x14ac:dyDescent="0.3">
      <c r="B186" s="62"/>
      <c r="C186" s="64"/>
      <c r="D186" s="34" t="s">
        <v>83</v>
      </c>
      <c r="E186" s="62"/>
      <c r="F186" s="70"/>
      <c r="G186" s="62"/>
      <c r="H186" s="11"/>
      <c r="I186" s="67"/>
      <c r="J186" s="14"/>
      <c r="K186" s="14"/>
      <c r="L186" s="14"/>
      <c r="M186" s="14"/>
      <c r="N186" s="14"/>
      <c r="O186" s="12"/>
      <c r="P186" s="11"/>
      <c r="Q186" s="12"/>
      <c r="R186" s="11"/>
      <c r="S186" s="68"/>
      <c r="T186" s="11"/>
      <c r="U186" s="68"/>
      <c r="V186" s="21"/>
      <c r="W186" s="68"/>
      <c r="X186" s="13"/>
      <c r="Y186" s="14"/>
      <c r="Z186" s="67"/>
    </row>
    <row r="187" spans="2:26" x14ac:dyDescent="0.3">
      <c r="B187" s="62">
        <f>MAX(B$18:B186)+1</f>
        <v>113</v>
      </c>
      <c r="C187" s="64"/>
      <c r="D187" s="22" t="s">
        <v>84</v>
      </c>
      <c r="E187" s="62"/>
      <c r="F187" s="70" t="s">
        <v>214</v>
      </c>
      <c r="G187" s="62"/>
      <c r="H187" s="11">
        <v>102195366</v>
      </c>
      <c r="I187" s="67"/>
      <c r="J187" s="11"/>
      <c r="K187" s="14"/>
      <c r="L187" s="11"/>
      <c r="M187" s="14"/>
      <c r="N187" s="11"/>
      <c r="O187" s="12"/>
      <c r="P187" s="11">
        <v>1748.5512861102029</v>
      </c>
      <c r="Q187" s="12"/>
      <c r="R187" s="11">
        <f>T187-P187</f>
        <v>-220.8627776686676</v>
      </c>
      <c r="S187" s="68"/>
      <c r="T187" s="11">
        <f>$H187*V187/1000</f>
        <v>1527.6885084415353</v>
      </c>
      <c r="U187" s="68"/>
      <c r="V187" s="42">
        <v>1.4948706269534132E-2</v>
      </c>
      <c r="W187" s="68"/>
      <c r="X187" s="13">
        <f>T187/P187</f>
        <v>0.87368813290001057</v>
      </c>
      <c r="Y187" s="14"/>
      <c r="Z187" s="11"/>
    </row>
    <row r="188" spans="2:26" x14ac:dyDescent="0.3">
      <c r="B188" s="62"/>
      <c r="C188" s="64"/>
      <c r="D188" s="22" t="s">
        <v>85</v>
      </c>
      <c r="E188" s="62"/>
      <c r="F188" s="70"/>
      <c r="G188" s="62"/>
      <c r="H188" s="11"/>
      <c r="I188" s="67"/>
      <c r="J188" s="14"/>
      <c r="K188" s="14"/>
      <c r="L188" s="14"/>
      <c r="M188" s="14"/>
      <c r="N188" s="14"/>
      <c r="O188" s="12"/>
      <c r="P188" s="11"/>
      <c r="Q188" s="12"/>
      <c r="R188" s="11">
        <f t="shared" ref="R188:R193" si="55">T188-P188</f>
        <v>0</v>
      </c>
      <c r="S188" s="68"/>
      <c r="T188" s="11">
        <f t="shared" ref="T188:T192" si="56">$H188*V188/1000</f>
        <v>0</v>
      </c>
      <c r="U188" s="68"/>
      <c r="V188" s="21"/>
      <c r="W188" s="68"/>
      <c r="X188" s="13"/>
      <c r="Y188" s="14"/>
      <c r="Z188" s="14"/>
    </row>
    <row r="189" spans="2:26" x14ac:dyDescent="0.3">
      <c r="B189" s="62">
        <f>MAX(B$18:B188)+1</f>
        <v>114</v>
      </c>
      <c r="C189" s="64"/>
      <c r="D189" s="16" t="s">
        <v>86</v>
      </c>
      <c r="E189" s="62"/>
      <c r="F189" s="70" t="s">
        <v>214</v>
      </c>
      <c r="G189" s="62"/>
      <c r="H189" s="11">
        <v>2690346</v>
      </c>
      <c r="I189" s="67"/>
      <c r="J189" s="11"/>
      <c r="K189" s="14"/>
      <c r="L189" s="11"/>
      <c r="M189" s="14"/>
      <c r="N189" s="11"/>
      <c r="O189" s="12"/>
      <c r="P189" s="11">
        <v>4556.6278712980456</v>
      </c>
      <c r="Q189" s="12"/>
      <c r="R189" s="11">
        <f t="shared" si="55"/>
        <v>2366.3989732167493</v>
      </c>
      <c r="S189" s="68"/>
      <c r="T189" s="11">
        <f t="shared" si="56"/>
        <v>6923.0268445147949</v>
      </c>
      <c r="U189" s="68"/>
      <c r="V189" s="42">
        <v>2.5732849397493092</v>
      </c>
      <c r="W189" s="68"/>
      <c r="X189" s="13">
        <f>T189/P189</f>
        <v>1.519331189655089</v>
      </c>
      <c r="Y189" s="14"/>
      <c r="Z189" s="11"/>
    </row>
    <row r="190" spans="2:26" x14ac:dyDescent="0.3">
      <c r="B190" s="62">
        <f>MAX(B$18:B189)+1</f>
        <v>115</v>
      </c>
      <c r="C190" s="64"/>
      <c r="D190" s="16" t="s">
        <v>87</v>
      </c>
      <c r="E190" s="62"/>
      <c r="F190" s="70" t="s">
        <v>214</v>
      </c>
      <c r="G190" s="62"/>
      <c r="H190" s="11">
        <v>910476</v>
      </c>
      <c r="I190" s="67"/>
      <c r="J190" s="11"/>
      <c r="K190" s="14"/>
      <c r="L190" s="11"/>
      <c r="M190" s="14"/>
      <c r="N190" s="11"/>
      <c r="O190" s="12"/>
      <c r="P190" s="11">
        <v>1542.0694281508622</v>
      </c>
      <c r="Q190" s="12"/>
      <c r="R190" s="11">
        <f t="shared" si="55"/>
        <v>638.51939133765745</v>
      </c>
      <c r="S190" s="68"/>
      <c r="T190" s="11">
        <f t="shared" si="56"/>
        <v>2180.5888194885197</v>
      </c>
      <c r="U190" s="68"/>
      <c r="V190" s="42">
        <v>2.39499868144632</v>
      </c>
      <c r="W190" s="68"/>
      <c r="X190" s="13">
        <f t="shared" ref="X190:X191" si="57">T190/P190</f>
        <v>1.4140665651502629</v>
      </c>
      <c r="Y190" s="14"/>
      <c r="Z190" s="11"/>
    </row>
    <row r="191" spans="2:26" ht="13.95" customHeight="1" x14ac:dyDescent="0.3">
      <c r="B191" s="62">
        <f>MAX(B$18:B190)+1</f>
        <v>116</v>
      </c>
      <c r="C191" s="64"/>
      <c r="D191" s="16" t="s">
        <v>88</v>
      </c>
      <c r="E191" s="62"/>
      <c r="F191" s="70" t="s">
        <v>214</v>
      </c>
      <c r="G191" s="62"/>
      <c r="H191" s="11">
        <v>12000</v>
      </c>
      <c r="I191" s="67"/>
      <c r="J191" s="11"/>
      <c r="K191" s="14"/>
      <c r="L191" s="11"/>
      <c r="M191" s="14"/>
      <c r="N191" s="11"/>
      <c r="O191" s="12"/>
      <c r="P191" s="11">
        <v>20.324350271517698</v>
      </c>
      <c r="Q191" s="12"/>
      <c r="R191" s="11">
        <f t="shared" si="55"/>
        <v>8.415633905838142</v>
      </c>
      <c r="S191" s="68"/>
      <c r="T191" s="11">
        <f t="shared" si="56"/>
        <v>28.73998417735584</v>
      </c>
      <c r="U191" s="68"/>
      <c r="V191" s="42">
        <v>2.39499868144632</v>
      </c>
      <c r="W191" s="68"/>
      <c r="X191" s="13">
        <f t="shared" si="57"/>
        <v>1.4140665651502626</v>
      </c>
      <c r="Y191" s="14"/>
      <c r="Z191" s="11"/>
    </row>
    <row r="192" spans="2:26" ht="13.95" customHeight="1" x14ac:dyDescent="0.3">
      <c r="B192" s="62">
        <f>MAX(B$18:B191)+1</f>
        <v>117</v>
      </c>
      <c r="D192" s="22" t="s">
        <v>89</v>
      </c>
      <c r="F192" s="1" t="s">
        <v>90</v>
      </c>
      <c r="H192" s="11">
        <v>22553384.649308</v>
      </c>
      <c r="I192" s="67"/>
      <c r="J192" s="11"/>
      <c r="K192" s="14"/>
      <c r="L192" s="11"/>
      <c r="M192" s="14"/>
      <c r="N192" s="11"/>
      <c r="O192" s="12"/>
      <c r="P192" s="11">
        <v>0</v>
      </c>
      <c r="Q192" s="12"/>
      <c r="R192" s="11">
        <f t="shared" si="55"/>
        <v>0</v>
      </c>
      <c r="S192" s="68"/>
      <c r="T192" s="11">
        <f t="shared" si="56"/>
        <v>0</v>
      </c>
      <c r="U192" s="68"/>
      <c r="V192" s="42">
        <v>0</v>
      </c>
      <c r="W192" s="68"/>
      <c r="X192" s="11">
        <v>0</v>
      </c>
      <c r="Y192" s="14"/>
      <c r="Z192" s="11"/>
    </row>
    <row r="193" spans="2:26" ht="13.95" customHeight="1" x14ac:dyDescent="0.3">
      <c r="B193" s="62">
        <f>MAX(B$18:B192)+1</f>
        <v>118</v>
      </c>
      <c r="C193" s="64"/>
      <c r="D193" s="22" t="s">
        <v>91</v>
      </c>
      <c r="E193" s="62"/>
      <c r="F193" s="17"/>
      <c r="G193" s="62"/>
      <c r="H193" s="11"/>
      <c r="I193" s="67"/>
      <c r="J193" s="11"/>
      <c r="K193" s="14"/>
      <c r="L193" s="11"/>
      <c r="M193" s="14"/>
      <c r="N193" s="11"/>
      <c r="O193" s="12"/>
      <c r="P193" s="11">
        <v>657.93716940511911</v>
      </c>
      <c r="Q193" s="12"/>
      <c r="R193" s="11">
        <f t="shared" si="55"/>
        <v>-0.26312649931719534</v>
      </c>
      <c r="S193" s="68"/>
      <c r="T193" s="11">
        <v>657.67404290580191</v>
      </c>
      <c r="U193" s="68"/>
      <c r="V193" s="83">
        <v>7.9936318892803778E-3</v>
      </c>
      <c r="W193" s="68"/>
      <c r="X193" s="11"/>
      <c r="Y193" s="14"/>
      <c r="Z193" s="11"/>
    </row>
    <row r="194" spans="2:26" ht="13.95" customHeight="1" x14ac:dyDescent="0.3">
      <c r="B194" s="62"/>
      <c r="C194" s="64"/>
      <c r="D194" s="10"/>
      <c r="E194" s="62"/>
      <c r="F194" s="17"/>
      <c r="G194" s="62"/>
      <c r="H194" s="11"/>
      <c r="I194" s="67"/>
      <c r="J194" s="14"/>
      <c r="K194" s="14"/>
      <c r="L194" s="14"/>
      <c r="M194" s="14"/>
      <c r="N194" s="14"/>
      <c r="O194" s="12"/>
      <c r="P194" s="11"/>
      <c r="Q194" s="12"/>
      <c r="R194" s="11"/>
      <c r="S194" s="68"/>
      <c r="T194" s="11"/>
      <c r="U194" s="68"/>
      <c r="V194" s="26"/>
      <c r="W194" s="68"/>
      <c r="X194" s="13"/>
      <c r="Y194" s="14"/>
      <c r="Z194" s="67"/>
    </row>
    <row r="195" spans="2:26" ht="13.95" customHeight="1" x14ac:dyDescent="0.3">
      <c r="B195" s="62">
        <f>MAX(B$18:B194)+1</f>
        <v>119</v>
      </c>
      <c r="C195" s="64"/>
      <c r="D195" s="10" t="s">
        <v>92</v>
      </c>
      <c r="E195" s="62"/>
      <c r="F195" s="17"/>
      <c r="G195" s="62"/>
      <c r="H195" s="72">
        <f>H184</f>
        <v>4009630.1792336791</v>
      </c>
      <c r="I195" s="67"/>
      <c r="J195" s="11"/>
      <c r="K195" s="14"/>
      <c r="L195" s="11"/>
      <c r="M195" s="14"/>
      <c r="N195" s="11"/>
      <c r="O195" s="12"/>
      <c r="P195" s="72">
        <f>SUM(P187:P193)</f>
        <v>8525.5101052357477</v>
      </c>
      <c r="Q195" s="12"/>
      <c r="R195" s="72">
        <f>SUM(R187:R193)</f>
        <v>2792.2080942922603</v>
      </c>
      <c r="S195" s="68"/>
      <c r="T195" s="72">
        <f>SUM(T187:T193)</f>
        <v>11317.718199528008</v>
      </c>
      <c r="U195" s="68"/>
      <c r="V195" s="20">
        <f>T195/$H195*100</f>
        <v>0.28226339322124344</v>
      </c>
      <c r="W195" s="68"/>
      <c r="X195" s="73">
        <f t="shared" ref="X195" si="58">T195/P195</f>
        <v>1.3275121441211464</v>
      </c>
      <c r="Y195" s="14"/>
      <c r="Z195" s="67"/>
    </row>
    <row r="196" spans="2:26" ht="13.95" customHeight="1" x14ac:dyDescent="0.3">
      <c r="E196" s="62"/>
      <c r="F196" s="17"/>
      <c r="G196" s="62"/>
      <c r="H196" s="11"/>
      <c r="I196" s="67"/>
      <c r="J196" s="11"/>
      <c r="K196" s="68"/>
      <c r="L196" s="26"/>
      <c r="M196" s="68"/>
      <c r="N196" s="11"/>
      <c r="O196" s="12"/>
      <c r="P196" s="11"/>
      <c r="Q196" s="12"/>
      <c r="R196" s="11"/>
      <c r="S196" s="68"/>
      <c r="T196" s="11"/>
      <c r="U196" s="68"/>
      <c r="V196" s="26"/>
      <c r="W196" s="68"/>
      <c r="X196" s="13"/>
      <c r="Y196" s="14"/>
      <c r="Z196" s="15"/>
    </row>
    <row r="197" spans="2:26" ht="13.95" customHeight="1" thickBot="1" x14ac:dyDescent="0.35">
      <c r="B197" s="62">
        <f>MAX(B$18:B196)+1</f>
        <v>120</v>
      </c>
      <c r="C197" s="64"/>
      <c r="D197" s="24" t="s">
        <v>93</v>
      </c>
      <c r="E197" s="62"/>
      <c r="F197" s="17"/>
      <c r="G197" s="62"/>
      <c r="H197" s="74">
        <f>H184</f>
        <v>4009630.1792336791</v>
      </c>
      <c r="I197" s="67"/>
      <c r="J197" s="74">
        <v>70374.889700499247</v>
      </c>
      <c r="K197" s="68"/>
      <c r="L197" s="25">
        <f>J197/$H197*100</f>
        <v>1.7551466483113238</v>
      </c>
      <c r="M197" s="68"/>
      <c r="N197" s="74">
        <f>J197-P197</f>
        <v>-6101.0838393413869</v>
      </c>
      <c r="O197" s="12"/>
      <c r="P197" s="74">
        <f>P184+P195</f>
        <v>76475.973539840634</v>
      </c>
      <c r="Q197" s="12"/>
      <c r="R197" s="74">
        <f>R184+R195</f>
        <v>-608.7024306743433</v>
      </c>
      <c r="S197" s="68"/>
      <c r="T197" s="74">
        <f>T184+T195</f>
        <v>75867.271109166293</v>
      </c>
      <c r="U197" s="68"/>
      <c r="V197" s="25">
        <f>T197/$H197*100</f>
        <v>1.8921263986412344</v>
      </c>
      <c r="W197" s="68"/>
      <c r="X197" s="75">
        <f>T197/P197</f>
        <v>0.99204060566346064</v>
      </c>
      <c r="Y197" s="14"/>
      <c r="Z197" s="31">
        <f>V197/L197-1</f>
        <v>7.8044618358074302E-2</v>
      </c>
    </row>
    <row r="198" spans="2:26" ht="13.95" customHeight="1" thickTop="1" x14ac:dyDescent="0.3">
      <c r="B198" s="62"/>
    </row>
    <row r="199" spans="2:26" ht="13.95" customHeight="1" x14ac:dyDescent="0.3"/>
    <row r="200" spans="2:26" ht="13.95" customHeight="1" x14ac:dyDescent="0.3">
      <c r="B200" s="84"/>
      <c r="C200" s="24"/>
      <c r="D200" s="7" t="s">
        <v>94</v>
      </c>
      <c r="E200" s="24"/>
      <c r="G200" s="2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2:26" ht="13.95" customHeight="1" x14ac:dyDescent="0.3">
      <c r="B201" s="62"/>
      <c r="C201" s="24"/>
      <c r="D201" s="10" t="s">
        <v>33</v>
      </c>
      <c r="F201" s="48"/>
      <c r="H201" s="11"/>
      <c r="I201" s="14"/>
      <c r="J201" s="11"/>
      <c r="K201" s="14"/>
      <c r="L201" s="11"/>
      <c r="M201" s="14"/>
      <c r="N201" s="11"/>
      <c r="O201" s="14"/>
      <c r="P201" s="11"/>
      <c r="Q201" s="14"/>
      <c r="R201" s="11"/>
      <c r="S201" s="68"/>
      <c r="T201" s="11"/>
      <c r="U201" s="14"/>
      <c r="V201" s="71"/>
      <c r="W201" s="14"/>
      <c r="X201" s="13"/>
      <c r="Y201" s="14"/>
      <c r="Z201" s="11"/>
    </row>
    <row r="202" spans="2:26" ht="13.95" customHeight="1" x14ac:dyDescent="0.3">
      <c r="B202" s="62">
        <f>MAX(B$18:B201)+1</f>
        <v>121</v>
      </c>
      <c r="C202" s="24"/>
      <c r="D202" s="16" t="s">
        <v>34</v>
      </c>
      <c r="F202" s="48" t="s">
        <v>35</v>
      </c>
      <c r="H202" s="11">
        <v>456</v>
      </c>
      <c r="I202" s="14"/>
      <c r="J202" s="11"/>
      <c r="K202" s="14"/>
      <c r="L202" s="11"/>
      <c r="M202" s="14"/>
      <c r="N202" s="11"/>
      <c r="O202" s="14"/>
      <c r="P202" s="11">
        <v>1350.6101559202798</v>
      </c>
      <c r="Q202" s="14"/>
      <c r="R202" s="11">
        <f>T202-P202</f>
        <v>-666.61015592027979</v>
      </c>
      <c r="S202" s="68"/>
      <c r="T202" s="11">
        <f>$H202*V202/1000</f>
        <v>684</v>
      </c>
      <c r="U202" s="14"/>
      <c r="V202" s="71">
        <v>1500</v>
      </c>
      <c r="W202" s="14"/>
      <c r="X202" s="13">
        <f>T202/P202</f>
        <v>0.50643777332914808</v>
      </c>
      <c r="Y202" s="14"/>
      <c r="Z202" s="11"/>
    </row>
    <row r="203" spans="2:26" ht="13.95" customHeight="1" x14ac:dyDescent="0.3">
      <c r="B203" s="62">
        <f>MAX(B$18:B202)+1</f>
        <v>122</v>
      </c>
      <c r="C203" s="24"/>
      <c r="D203" s="16" t="s">
        <v>36</v>
      </c>
      <c r="F203" s="48" t="s">
        <v>35</v>
      </c>
      <c r="H203" s="11">
        <v>132</v>
      </c>
      <c r="I203" s="14"/>
      <c r="J203" s="11"/>
      <c r="K203" s="14"/>
      <c r="L203" s="11"/>
      <c r="M203" s="14"/>
      <c r="N203" s="11"/>
      <c r="O203" s="14"/>
      <c r="P203" s="11">
        <v>390.96609776639673</v>
      </c>
      <c r="Q203" s="14"/>
      <c r="R203" s="11">
        <f t="shared" ref="R203:R206" si="59">T203-P203</f>
        <v>-192.96609776639673</v>
      </c>
      <c r="S203" s="68"/>
      <c r="T203" s="11">
        <f t="shared" ref="T203" si="60">$H203*V203/1000</f>
        <v>198</v>
      </c>
      <c r="U203" s="14"/>
      <c r="V203" s="71">
        <v>1500</v>
      </c>
      <c r="W203" s="14"/>
      <c r="X203" s="13">
        <f t="shared" ref="X203:X206" si="61">T203/P203</f>
        <v>0.50643777332914819</v>
      </c>
      <c r="Y203" s="14"/>
      <c r="Z203" s="11"/>
    </row>
    <row r="204" spans="2:26" ht="13.95" customHeight="1" x14ac:dyDescent="0.3">
      <c r="B204" s="62"/>
      <c r="D204" s="10" t="s">
        <v>73</v>
      </c>
      <c r="F204" s="48"/>
      <c r="H204" s="11"/>
      <c r="I204" s="14"/>
      <c r="J204" s="11"/>
      <c r="K204" s="14"/>
      <c r="L204" s="11"/>
      <c r="M204" s="14"/>
      <c r="N204" s="11"/>
      <c r="O204" s="14"/>
      <c r="P204" s="11"/>
      <c r="Q204" s="14"/>
      <c r="R204" s="11"/>
      <c r="S204" s="68"/>
      <c r="T204" s="11"/>
      <c r="U204" s="14"/>
      <c r="V204" s="83"/>
      <c r="W204" s="14"/>
      <c r="X204" s="13"/>
      <c r="Y204" s="14"/>
      <c r="Z204" s="11"/>
    </row>
    <row r="205" spans="2:26" ht="13.95" customHeight="1" x14ac:dyDescent="0.3">
      <c r="B205" s="62">
        <f>MAX(B$18:B204)+1</f>
        <v>123</v>
      </c>
      <c r="D205" s="16" t="s">
        <v>34</v>
      </c>
      <c r="F205" s="48" t="s">
        <v>40</v>
      </c>
      <c r="H205" s="11">
        <v>673313.53929143061</v>
      </c>
      <c r="I205" s="14"/>
      <c r="J205" s="11"/>
      <c r="K205" s="14"/>
      <c r="L205" s="11"/>
      <c r="M205" s="14"/>
      <c r="N205" s="11"/>
      <c r="O205" s="14"/>
      <c r="P205" s="11">
        <v>450.08517506499857</v>
      </c>
      <c r="Q205" s="14"/>
      <c r="R205" s="11">
        <f t="shared" si="59"/>
        <v>0</v>
      </c>
      <c r="S205" s="68"/>
      <c r="T205" s="11">
        <f>$H205*V205/100</f>
        <v>450.08517506499845</v>
      </c>
      <c r="U205" s="14"/>
      <c r="V205" s="26">
        <v>6.6846298017213632E-2</v>
      </c>
      <c r="W205" s="14"/>
      <c r="X205" s="13">
        <f t="shared" si="61"/>
        <v>0.99999999999999978</v>
      </c>
      <c r="Y205" s="14"/>
      <c r="Z205" s="11"/>
    </row>
    <row r="206" spans="2:26" ht="13.95" customHeight="1" x14ac:dyDescent="0.3">
      <c r="B206" s="62">
        <f>MAX(B$18:B205)+1</f>
        <v>124</v>
      </c>
      <c r="D206" s="16" t="s">
        <v>36</v>
      </c>
      <c r="F206" s="48" t="s">
        <v>40</v>
      </c>
      <c r="H206" s="11">
        <v>308238.5006979811</v>
      </c>
      <c r="I206" s="14"/>
      <c r="J206" s="11"/>
      <c r="K206" s="14"/>
      <c r="L206" s="11"/>
      <c r="M206" s="14"/>
      <c r="N206" s="11"/>
      <c r="O206" s="14"/>
      <c r="P206" s="11">
        <v>206.0460267803636</v>
      </c>
      <c r="Q206" s="14"/>
      <c r="R206" s="11">
        <f t="shared" si="59"/>
        <v>0</v>
      </c>
      <c r="S206" s="68"/>
      <c r="T206" s="11">
        <f>$H206*V206/100</f>
        <v>206.04602678036358</v>
      </c>
      <c r="U206" s="14"/>
      <c r="V206" s="26">
        <v>6.6846298017213632E-2</v>
      </c>
      <c r="W206" s="14"/>
      <c r="X206" s="13">
        <f t="shared" si="61"/>
        <v>0.99999999999999989</v>
      </c>
      <c r="Y206" s="14"/>
      <c r="Z206" s="11"/>
    </row>
    <row r="207" spans="2:26" ht="13.95" customHeight="1" x14ac:dyDescent="0.3">
      <c r="D207" s="10" t="s">
        <v>95</v>
      </c>
      <c r="F207" s="55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36"/>
      <c r="W207" s="14"/>
      <c r="X207" s="14"/>
      <c r="Y207" s="14"/>
      <c r="Z207" s="14"/>
    </row>
    <row r="208" spans="2:26" ht="14.15" x14ac:dyDescent="0.3">
      <c r="B208" s="62">
        <f>MAX(B$18:B207)+1</f>
        <v>125</v>
      </c>
      <c r="D208" s="22" t="s">
        <v>76</v>
      </c>
      <c r="F208" s="48" t="s">
        <v>42</v>
      </c>
      <c r="H208" s="11">
        <v>10254</v>
      </c>
      <c r="I208" s="14"/>
      <c r="J208" s="11"/>
      <c r="K208" s="14"/>
      <c r="L208" s="11"/>
      <c r="M208" s="14"/>
      <c r="N208" s="11"/>
      <c r="O208" s="14"/>
      <c r="P208" s="11">
        <v>2415.5922272959251</v>
      </c>
      <c r="Q208" s="14"/>
      <c r="R208" s="11">
        <f>T208-P208</f>
        <v>246.04827886773592</v>
      </c>
      <c r="S208" s="68"/>
      <c r="T208" s="11">
        <f>$H208*V208/100</f>
        <v>2661.640506163661</v>
      </c>
      <c r="U208" s="14"/>
      <c r="V208" s="26">
        <v>25.957094852386003</v>
      </c>
      <c r="W208" s="14"/>
      <c r="X208" s="11"/>
      <c r="Y208" s="14"/>
      <c r="Z208" s="11"/>
    </row>
    <row r="209" spans="2:26" ht="14.15" x14ac:dyDescent="0.3">
      <c r="B209" s="62">
        <f>MAX(B$18:B208)+1</f>
        <v>126</v>
      </c>
      <c r="D209" s="22" t="s">
        <v>96</v>
      </c>
      <c r="F209" s="48" t="s">
        <v>42</v>
      </c>
      <c r="H209" s="11">
        <v>32681</v>
      </c>
      <c r="I209" s="14"/>
      <c r="J209" s="11"/>
      <c r="K209" s="14"/>
      <c r="L209" s="11"/>
      <c r="M209" s="14"/>
      <c r="N209" s="11"/>
      <c r="O209" s="14"/>
      <c r="P209" s="11">
        <v>3917.4016619261402</v>
      </c>
      <c r="Q209" s="14"/>
      <c r="R209" s="11">
        <f>T209-P209</f>
        <v>392.52437176572857</v>
      </c>
      <c r="S209" s="68"/>
      <c r="T209" s="11">
        <f>$H209*V209/100</f>
        <v>4309.9260336918687</v>
      </c>
      <c r="U209" s="14"/>
      <c r="V209" s="26">
        <v>13.187864611523112</v>
      </c>
      <c r="W209" s="14"/>
      <c r="X209" s="11"/>
      <c r="Y209" s="14"/>
      <c r="Z209" s="11"/>
    </row>
    <row r="210" spans="2:26" x14ac:dyDescent="0.3">
      <c r="B210" s="62">
        <f>MAX(B$18:B209)+1</f>
        <v>127</v>
      </c>
      <c r="D210" s="10" t="s">
        <v>95</v>
      </c>
      <c r="H210" s="72">
        <f>SUM(H208:H209)</f>
        <v>42935</v>
      </c>
      <c r="I210" s="67"/>
      <c r="J210" s="14"/>
      <c r="K210" s="14"/>
      <c r="L210" s="14"/>
      <c r="M210" s="14"/>
      <c r="N210" s="14"/>
      <c r="O210" s="12"/>
      <c r="P210" s="72">
        <f>SUM(P208:P209)</f>
        <v>6332.9938892220653</v>
      </c>
      <c r="Q210" s="12"/>
      <c r="R210" s="72">
        <f>SUM(R208:R209)</f>
        <v>638.57265063346449</v>
      </c>
      <c r="S210" s="68"/>
      <c r="T210" s="72">
        <f>SUM(T208:T209)</f>
        <v>6971.5665398555302</v>
      </c>
      <c r="U210" s="68"/>
      <c r="V210" s="20">
        <f>T210/$H210*100</f>
        <v>16.23749048528131</v>
      </c>
      <c r="W210" s="68"/>
      <c r="X210" s="73">
        <f>T210/P210</f>
        <v>1.1008326648980717</v>
      </c>
      <c r="Y210" s="14"/>
      <c r="Z210" s="14"/>
    </row>
    <row r="211" spans="2:26" x14ac:dyDescent="0.3">
      <c r="B211" s="62"/>
      <c r="D211" s="10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2:26" x14ac:dyDescent="0.3">
      <c r="B212" s="62"/>
      <c r="D212" s="10" t="s">
        <v>97</v>
      </c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2:26" ht="14.15" x14ac:dyDescent="0.3">
      <c r="B213" s="62">
        <f>MAX(B$18:B212)+1</f>
        <v>128</v>
      </c>
      <c r="D213" s="22" t="s">
        <v>76</v>
      </c>
      <c r="F213" s="48" t="s">
        <v>42</v>
      </c>
      <c r="H213" s="11">
        <v>3059</v>
      </c>
      <c r="I213" s="14"/>
      <c r="J213" s="14"/>
      <c r="K213" s="14"/>
      <c r="L213" s="14"/>
      <c r="M213" s="14"/>
      <c r="N213" s="14"/>
      <c r="O213" s="14"/>
      <c r="P213" s="11">
        <v>772.13009639210122</v>
      </c>
      <c r="Q213" s="14"/>
      <c r="R213" s="12">
        <f>T213-P213</f>
        <v>21.897435142386598</v>
      </c>
      <c r="S213" s="14"/>
      <c r="T213" s="11">
        <f>$H213*V213/100</f>
        <v>794.02753153448782</v>
      </c>
      <c r="U213" s="14"/>
      <c r="V213" s="26">
        <v>25.957094852386003</v>
      </c>
      <c r="W213" s="14"/>
      <c r="X213" s="14"/>
      <c r="Y213" s="14"/>
      <c r="Z213" s="14"/>
    </row>
    <row r="214" spans="2:26" ht="14.15" x14ac:dyDescent="0.3">
      <c r="B214" s="62">
        <f>MAX(B$18:B213)+1</f>
        <v>129</v>
      </c>
      <c r="D214" s="22" t="s">
        <v>96</v>
      </c>
      <c r="F214" s="48" t="s">
        <v>42</v>
      </c>
      <c r="H214" s="11">
        <v>16712</v>
      </c>
      <c r="I214" s="14"/>
      <c r="J214" s="14"/>
      <c r="K214" s="14"/>
      <c r="L214" s="14"/>
      <c r="M214" s="14"/>
      <c r="N214" s="14"/>
      <c r="O214" s="14"/>
      <c r="P214" s="11">
        <v>2144.0752887556978</v>
      </c>
      <c r="Q214" s="14"/>
      <c r="R214" s="12">
        <f>T214-P214</f>
        <v>59.880645122044825</v>
      </c>
      <c r="S214" s="14"/>
      <c r="T214" s="11">
        <f>$H214*V214/100</f>
        <v>2203.9559338777426</v>
      </c>
      <c r="U214" s="14"/>
      <c r="V214" s="26">
        <v>13.187864611523112</v>
      </c>
      <c r="W214" s="14"/>
      <c r="X214" s="14"/>
      <c r="Y214" s="14"/>
      <c r="Z214" s="14"/>
    </row>
    <row r="215" spans="2:26" x14ac:dyDescent="0.3">
      <c r="B215" s="62">
        <f>MAX(B$18:B214)+1</f>
        <v>130</v>
      </c>
      <c r="D215" s="10" t="s">
        <v>97</v>
      </c>
      <c r="H215" s="72">
        <f>SUM(H213:H214)</f>
        <v>19771</v>
      </c>
      <c r="I215" s="14"/>
      <c r="J215" s="14"/>
      <c r="K215" s="14"/>
      <c r="L215" s="14"/>
      <c r="M215" s="14"/>
      <c r="N215" s="14"/>
      <c r="O215" s="14"/>
      <c r="P215" s="72">
        <f>SUM(P213:P214)</f>
        <v>2916.205385147799</v>
      </c>
      <c r="Q215" s="14"/>
      <c r="R215" s="72">
        <f>SUM(R213:R214)</f>
        <v>81.778080264431424</v>
      </c>
      <c r="S215" s="14"/>
      <c r="T215" s="72">
        <f>SUM(T213:T214)</f>
        <v>2997.9834654122305</v>
      </c>
      <c r="U215" s="14"/>
      <c r="V215" s="20">
        <f>T215/$H215*100</f>
        <v>15.163539858440295</v>
      </c>
      <c r="W215" s="14"/>
      <c r="X215" s="73">
        <f>T215/P215</f>
        <v>1.0280426339931084</v>
      </c>
      <c r="Y215" s="14"/>
      <c r="Z215" s="14"/>
    </row>
    <row r="216" spans="2:26" x14ac:dyDescent="0.3">
      <c r="B216" s="62"/>
      <c r="D216" s="10"/>
      <c r="H216" s="68"/>
      <c r="I216" s="14"/>
      <c r="J216" s="14"/>
      <c r="K216" s="14"/>
      <c r="L216" s="14"/>
      <c r="M216" s="14"/>
      <c r="N216" s="14"/>
      <c r="O216" s="14"/>
      <c r="P216" s="68"/>
      <c r="Q216" s="14"/>
      <c r="R216" s="68"/>
      <c r="S216" s="14"/>
      <c r="T216" s="68"/>
      <c r="U216" s="14"/>
      <c r="V216" s="68"/>
      <c r="W216" s="14"/>
      <c r="X216" s="68"/>
      <c r="Y216" s="14"/>
      <c r="Z216" s="14"/>
    </row>
    <row r="217" spans="2:26" x14ac:dyDescent="0.3">
      <c r="B217" s="62"/>
      <c r="D217" s="10" t="s">
        <v>79</v>
      </c>
      <c r="F217" s="48"/>
      <c r="H217" s="11"/>
      <c r="I217" s="14"/>
      <c r="J217" s="11"/>
      <c r="K217" s="14"/>
      <c r="L217" s="11"/>
      <c r="M217" s="14"/>
      <c r="N217" s="11"/>
      <c r="O217" s="14"/>
      <c r="P217" s="11"/>
      <c r="Q217" s="14"/>
      <c r="R217" s="11"/>
      <c r="S217" s="68"/>
      <c r="T217" s="11"/>
      <c r="U217" s="14"/>
      <c r="V217" s="26"/>
      <c r="W217" s="14"/>
      <c r="X217" s="13"/>
      <c r="Y217" s="14"/>
      <c r="Z217" s="11"/>
    </row>
    <row r="218" spans="2:26" x14ac:dyDescent="0.3">
      <c r="B218" s="62">
        <f>MAX(B$18:B217)+1</f>
        <v>131</v>
      </c>
      <c r="D218" s="16" t="s">
        <v>34</v>
      </c>
      <c r="F218" s="48" t="s">
        <v>42</v>
      </c>
      <c r="H218" s="11">
        <v>37578.828000000001</v>
      </c>
      <c r="I218" s="14"/>
      <c r="J218" s="11"/>
      <c r="K218" s="14"/>
      <c r="L218" s="11"/>
      <c r="M218" s="14"/>
      <c r="N218" s="11"/>
      <c r="O218" s="14"/>
      <c r="P218" s="11">
        <v>330.45323932844525</v>
      </c>
      <c r="Q218" s="14"/>
      <c r="R218" s="11">
        <f t="shared" ref="R218:R219" si="62">T218-P218</f>
        <v>0</v>
      </c>
      <c r="S218" s="68"/>
      <c r="T218" s="11">
        <f>$H218*V218/100</f>
        <v>330.45323932844525</v>
      </c>
      <c r="U218" s="14"/>
      <c r="V218" s="26">
        <v>0.87936015281914925</v>
      </c>
      <c r="W218" s="14"/>
      <c r="X218" s="13">
        <f t="shared" ref="X218:X219" si="63">T218/P218</f>
        <v>1</v>
      </c>
      <c r="Y218" s="14"/>
      <c r="Z218" s="11"/>
    </row>
    <row r="219" spans="2:26" x14ac:dyDescent="0.3">
      <c r="B219" s="62">
        <f>MAX(B$18:B218)+1</f>
        <v>132</v>
      </c>
      <c r="D219" s="16" t="s">
        <v>36</v>
      </c>
      <c r="F219" s="48" t="s">
        <v>42</v>
      </c>
      <c r="H219" s="11">
        <v>30357.563999999998</v>
      </c>
      <c r="I219" s="14"/>
      <c r="J219" s="11"/>
      <c r="K219" s="14"/>
      <c r="L219" s="11"/>
      <c r="M219" s="14"/>
      <c r="N219" s="11"/>
      <c r="O219" s="14"/>
      <c r="P219" s="11">
        <v>266.95232118257104</v>
      </c>
      <c r="Q219" s="14"/>
      <c r="R219" s="11">
        <f t="shared" si="62"/>
        <v>0</v>
      </c>
      <c r="S219" s="68"/>
      <c r="T219" s="11">
        <f>$H219*V219/100</f>
        <v>266.95232118257104</v>
      </c>
      <c r="U219" s="14"/>
      <c r="V219" s="26">
        <v>0.87936015281914925</v>
      </c>
      <c r="W219" s="14"/>
      <c r="X219" s="13">
        <f t="shared" si="63"/>
        <v>1</v>
      </c>
      <c r="Y219" s="14"/>
      <c r="Z219" s="11"/>
    </row>
    <row r="220" spans="2:26" x14ac:dyDescent="0.3">
      <c r="B220" s="62"/>
      <c r="D220" s="10"/>
      <c r="F220" s="48"/>
      <c r="H220" s="72">
        <f>SUM(H218:H219)</f>
        <v>67936.391999999993</v>
      </c>
      <c r="I220" s="14"/>
      <c r="J220" s="11"/>
      <c r="K220" s="14"/>
      <c r="L220" s="11"/>
      <c r="M220" s="14"/>
      <c r="N220" s="11"/>
      <c r="O220" s="14"/>
      <c r="P220" s="11"/>
      <c r="Q220" s="14"/>
      <c r="R220" s="11"/>
      <c r="S220" s="68"/>
      <c r="T220" s="11"/>
      <c r="U220" s="14"/>
      <c r="V220" s="26"/>
      <c r="W220" s="14"/>
      <c r="X220" s="13"/>
      <c r="Y220" s="14"/>
      <c r="Z220" s="11"/>
    </row>
    <row r="221" spans="2:26" x14ac:dyDescent="0.3">
      <c r="B221" s="62"/>
      <c r="D221" s="10"/>
      <c r="F221" s="48"/>
      <c r="H221" s="11"/>
      <c r="I221" s="14"/>
      <c r="J221" s="11"/>
      <c r="K221" s="14"/>
      <c r="L221" s="11"/>
      <c r="M221" s="14"/>
      <c r="N221" s="11"/>
      <c r="O221" s="14"/>
      <c r="P221" s="11"/>
      <c r="Q221" s="14"/>
      <c r="R221" s="11"/>
      <c r="S221" s="68"/>
      <c r="T221" s="11"/>
      <c r="U221" s="14"/>
      <c r="V221" s="26"/>
      <c r="W221" s="14"/>
      <c r="X221" s="13"/>
      <c r="Y221" s="14"/>
      <c r="Z221" s="11"/>
    </row>
    <row r="222" spans="2:26" x14ac:dyDescent="0.3">
      <c r="B222" s="62">
        <f>MAX(B$18:B221)+1</f>
        <v>133</v>
      </c>
      <c r="D222" s="10" t="s">
        <v>80</v>
      </c>
      <c r="F222" s="48" t="s">
        <v>40</v>
      </c>
      <c r="H222" s="11">
        <v>0</v>
      </c>
      <c r="I222" s="14"/>
      <c r="J222" s="11"/>
      <c r="K222" s="14"/>
      <c r="L222" s="11"/>
      <c r="M222" s="14"/>
      <c r="N222" s="11"/>
      <c r="O222" s="14"/>
      <c r="P222" s="11">
        <v>0</v>
      </c>
      <c r="Q222" s="14"/>
      <c r="R222" s="11">
        <v>0</v>
      </c>
      <c r="S222" s="14"/>
      <c r="T222" s="11">
        <f t="shared" ref="T222" si="64">$H222*V222/100</f>
        <v>0</v>
      </c>
      <c r="U222" s="14"/>
      <c r="V222" s="26">
        <v>9.57567687948295E-2</v>
      </c>
      <c r="W222" s="14"/>
      <c r="X222" s="11"/>
      <c r="Y222" s="14"/>
      <c r="Z222" s="11"/>
    </row>
    <row r="223" spans="2:26" x14ac:dyDescent="0.3">
      <c r="B223" s="62"/>
      <c r="D223" s="10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2:26" ht="12.9" thickBot="1" x14ac:dyDescent="0.35">
      <c r="B224" s="62">
        <f>MAX(B$18:B223)+1</f>
        <v>134</v>
      </c>
      <c r="D224" s="24" t="s">
        <v>98</v>
      </c>
      <c r="H224" s="74">
        <f>H205+H206</f>
        <v>981552.03998941171</v>
      </c>
      <c r="I224" s="67"/>
      <c r="J224" s="74">
        <v>22727.163198775026</v>
      </c>
      <c r="K224" s="68"/>
      <c r="L224" s="25">
        <f>J224/$H224*100</f>
        <v>2.3154313039806014</v>
      </c>
      <c r="M224" s="68"/>
      <c r="N224" s="74">
        <f>J224-P224</f>
        <v>10482.850908362108</v>
      </c>
      <c r="O224" s="12"/>
      <c r="P224" s="74">
        <f>SUM(P202:P203,P205:P206,P210,P215,P218:P219)</f>
        <v>12244.312290412918</v>
      </c>
      <c r="Q224" s="68"/>
      <c r="R224" s="74">
        <f>SUM(R202:R203,R205:R206,R210,R215,R218:R219)</f>
        <v>-139.22552278878061</v>
      </c>
      <c r="S224" s="68"/>
      <c r="T224" s="74">
        <f>SUM(T202:T203,T205:T206,T210,T215,T218:T219)</f>
        <v>12105.08676762414</v>
      </c>
      <c r="U224" s="68"/>
      <c r="V224" s="25">
        <f>T224/$H224*100</f>
        <v>1.2332598043150846</v>
      </c>
      <c r="W224" s="68"/>
      <c r="X224" s="75">
        <f>T224/P224</f>
        <v>0.98862937178613219</v>
      </c>
      <c r="Y224" s="14"/>
      <c r="Z224" s="76">
        <f>V224/L224-1</f>
        <v>-0.46737361536275712</v>
      </c>
    </row>
    <row r="225" spans="2:26" ht="12.9" thickTop="1" x14ac:dyDescent="0.3">
      <c r="B225" s="62"/>
      <c r="D225" s="10"/>
    </row>
    <row r="226" spans="2:26" x14ac:dyDescent="0.3">
      <c r="B226" s="62">
        <f>MAX(B$18:B225)+1</f>
        <v>135</v>
      </c>
      <c r="D226" s="2" t="s">
        <v>99</v>
      </c>
      <c r="H226" s="11">
        <f>H205</f>
        <v>673313.53929143061</v>
      </c>
      <c r="J226" s="11">
        <v>16242.90396236271</v>
      </c>
      <c r="L226" s="27">
        <f>J226/$H226*100</f>
        <v>2.4123833867140294</v>
      </c>
      <c r="N226" s="23">
        <f>J226-P226</f>
        <v>7778.7615028269229</v>
      </c>
      <c r="P226" s="23">
        <f>P202+P205+P210+P218</f>
        <v>8464.1424595357876</v>
      </c>
      <c r="Q226" s="23"/>
      <c r="R226" s="23">
        <f>R202+R205+R210+R218</f>
        <v>-28.037505286815303</v>
      </c>
      <c r="S226" s="23"/>
      <c r="T226" s="23">
        <f>T202+T205+T210+T218</f>
        <v>8436.1049542489727</v>
      </c>
      <c r="U226" s="23"/>
      <c r="V226" s="37">
        <f>T226/$H226*100</f>
        <v>1.2529237067068051</v>
      </c>
      <c r="W226" s="23"/>
      <c r="X226" s="27">
        <f>T226/P226</f>
        <v>0.99668749605517004</v>
      </c>
      <c r="Z226" s="35">
        <f>V226/L226-1</f>
        <v>-0.48062828089135312</v>
      </c>
    </row>
    <row r="227" spans="2:26" x14ac:dyDescent="0.3">
      <c r="B227" s="62">
        <f>MAX(B$18:B226)+1</f>
        <v>136</v>
      </c>
      <c r="D227" s="64" t="s">
        <v>100</v>
      </c>
      <c r="H227" s="11">
        <f>H206</f>
        <v>308238.5006979811</v>
      </c>
      <c r="J227" s="11">
        <v>6484.2592364123047</v>
      </c>
      <c r="L227" s="27">
        <f>J227/$H227*100</f>
        <v>2.1036500053462577</v>
      </c>
      <c r="N227" s="23">
        <f>J227-P227</f>
        <v>2704.0894055351746</v>
      </c>
      <c r="P227" s="23">
        <f>P203+P206+P215+P219</f>
        <v>3780.1698308771302</v>
      </c>
      <c r="Q227" s="23"/>
      <c r="R227" s="23">
        <f>R203+R206+R215+R219</f>
        <v>-111.18801750196531</v>
      </c>
      <c r="S227" s="23"/>
      <c r="T227" s="23">
        <f>T203+T206+T215+T219</f>
        <v>3668.9818133751651</v>
      </c>
      <c r="U227" s="23"/>
      <c r="V227" s="37">
        <f>T227/$H227*100</f>
        <v>1.1903061444521217</v>
      </c>
      <c r="W227" s="23"/>
      <c r="X227" s="27">
        <f>T227/P227</f>
        <v>0.97058650206830377</v>
      </c>
      <c r="Z227" s="35">
        <f>V227/L227-1</f>
        <v>-0.4341710163634378</v>
      </c>
    </row>
    <row r="228" spans="2:26" x14ac:dyDescent="0.3">
      <c r="D228" s="10"/>
      <c r="V228" s="27"/>
    </row>
    <row r="230" spans="2:26" x14ac:dyDescent="0.3">
      <c r="D230" s="38" t="s">
        <v>101</v>
      </c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2:26" x14ac:dyDescent="0.3">
      <c r="B231" s="62"/>
      <c r="D231" s="10" t="s">
        <v>33</v>
      </c>
      <c r="F231" s="48"/>
      <c r="H231" s="11"/>
      <c r="I231" s="14"/>
      <c r="J231" s="11"/>
      <c r="K231" s="14"/>
      <c r="L231" s="11"/>
      <c r="M231" s="14"/>
      <c r="N231" s="11"/>
      <c r="O231" s="14"/>
      <c r="P231" s="11"/>
      <c r="Q231" s="14"/>
      <c r="R231" s="11"/>
      <c r="S231" s="68"/>
      <c r="T231" s="11"/>
      <c r="U231" s="14"/>
      <c r="V231" s="71"/>
      <c r="W231" s="14"/>
      <c r="X231" s="13"/>
      <c r="Y231" s="14"/>
      <c r="Z231" s="11"/>
    </row>
    <row r="232" spans="2:26" x14ac:dyDescent="0.3">
      <c r="B232" s="62">
        <f>MAX(B$18:B231)+1</f>
        <v>137</v>
      </c>
      <c r="D232" s="16" t="s">
        <v>34</v>
      </c>
      <c r="F232" s="48" t="s">
        <v>35</v>
      </c>
      <c r="H232" s="11">
        <v>12</v>
      </c>
      <c r="I232" s="14"/>
      <c r="J232" s="11"/>
      <c r="K232" s="14"/>
      <c r="L232" s="11"/>
      <c r="M232" s="14"/>
      <c r="N232" s="11"/>
      <c r="O232" s="14"/>
      <c r="P232" s="11">
        <v>166.54175106298317</v>
      </c>
      <c r="Q232" s="14"/>
      <c r="R232" s="11">
        <f t="shared" ref="R232:R235" si="65">T232-P232</f>
        <v>0</v>
      </c>
      <c r="S232" s="68"/>
      <c r="T232" s="11">
        <f t="shared" ref="T232:T235" si="66">$H232*V232/1000</f>
        <v>166.5417510629832</v>
      </c>
      <c r="U232" s="14"/>
      <c r="V232" s="71">
        <v>13878.479255248598</v>
      </c>
      <c r="W232" s="14"/>
      <c r="X232" s="13">
        <f t="shared" ref="X232:X235" si="67">T232/P232</f>
        <v>1.0000000000000002</v>
      </c>
      <c r="Y232" s="14"/>
      <c r="Z232" s="11"/>
    </row>
    <row r="233" spans="2:26" x14ac:dyDescent="0.3">
      <c r="B233" s="62">
        <f>MAX(B$18:B232)+1</f>
        <v>138</v>
      </c>
      <c r="D233" s="16" t="s">
        <v>36</v>
      </c>
      <c r="F233" s="48" t="s">
        <v>35</v>
      </c>
      <c r="H233" s="11">
        <v>24</v>
      </c>
      <c r="I233" s="14"/>
      <c r="J233" s="11"/>
      <c r="K233" s="14"/>
      <c r="L233" s="11"/>
      <c r="M233" s="14"/>
      <c r="N233" s="11"/>
      <c r="O233" s="14"/>
      <c r="P233" s="11">
        <v>333.08350212596633</v>
      </c>
      <c r="Q233" s="14"/>
      <c r="R233" s="11">
        <f t="shared" si="65"/>
        <v>0</v>
      </c>
      <c r="S233" s="68"/>
      <c r="T233" s="11">
        <f t="shared" si="66"/>
        <v>333.08350212596639</v>
      </c>
      <c r="U233" s="14"/>
      <c r="V233" s="71">
        <v>13878.479255248598</v>
      </c>
      <c r="W233" s="14"/>
      <c r="X233" s="13">
        <f t="shared" si="67"/>
        <v>1.0000000000000002</v>
      </c>
      <c r="Y233" s="14"/>
      <c r="Z233" s="11"/>
    </row>
    <row r="234" spans="2:26" x14ac:dyDescent="0.3">
      <c r="B234" s="62">
        <f>MAX(B$18:B233)+1</f>
        <v>139</v>
      </c>
      <c r="D234" s="16" t="s">
        <v>37</v>
      </c>
      <c r="F234" s="48" t="s">
        <v>35</v>
      </c>
      <c r="H234" s="11">
        <v>48</v>
      </c>
      <c r="I234" s="14"/>
      <c r="J234" s="11"/>
      <c r="K234" s="14"/>
      <c r="L234" s="11"/>
      <c r="M234" s="14"/>
      <c r="N234" s="11"/>
      <c r="O234" s="14"/>
      <c r="P234" s="11">
        <v>666.16700425193267</v>
      </c>
      <c r="Q234" s="14"/>
      <c r="R234" s="11">
        <f t="shared" si="65"/>
        <v>0</v>
      </c>
      <c r="S234" s="68"/>
      <c r="T234" s="11">
        <f t="shared" si="66"/>
        <v>666.16700425193278</v>
      </c>
      <c r="U234" s="14"/>
      <c r="V234" s="71">
        <v>13878.479255248598</v>
      </c>
      <c r="W234" s="14"/>
      <c r="X234" s="13">
        <f t="shared" si="67"/>
        <v>1.0000000000000002</v>
      </c>
      <c r="Y234" s="14"/>
      <c r="Z234" s="11"/>
    </row>
    <row r="235" spans="2:26" x14ac:dyDescent="0.3">
      <c r="B235" s="62">
        <f>MAX(B$18:B234)+1</f>
        <v>140</v>
      </c>
      <c r="D235" s="16" t="s">
        <v>38</v>
      </c>
      <c r="F235" s="48" t="s">
        <v>35</v>
      </c>
      <c r="H235" s="11">
        <v>84</v>
      </c>
      <c r="I235" s="14"/>
      <c r="J235" s="11"/>
      <c r="K235" s="14"/>
      <c r="L235" s="11"/>
      <c r="M235" s="14"/>
      <c r="N235" s="11"/>
      <c r="O235" s="14"/>
      <c r="P235" s="11">
        <v>1165.7922574408822</v>
      </c>
      <c r="Q235" s="14"/>
      <c r="R235" s="11">
        <f t="shared" si="65"/>
        <v>0</v>
      </c>
      <c r="S235" s="68"/>
      <c r="T235" s="11">
        <f t="shared" si="66"/>
        <v>1165.7922574408822</v>
      </c>
      <c r="U235" s="14"/>
      <c r="V235" s="71">
        <v>13878.479255248598</v>
      </c>
      <c r="W235" s="14"/>
      <c r="X235" s="13">
        <f t="shared" si="67"/>
        <v>1</v>
      </c>
      <c r="Y235" s="14"/>
      <c r="Z235" s="11"/>
    </row>
    <row r="236" spans="2:26" x14ac:dyDescent="0.3">
      <c r="B236" s="62"/>
      <c r="D236" s="16"/>
      <c r="F236" s="48"/>
      <c r="H236" s="11"/>
      <c r="I236" s="14"/>
      <c r="J236" s="11"/>
      <c r="K236" s="14"/>
      <c r="L236" s="11"/>
      <c r="M236" s="14"/>
      <c r="N236" s="11"/>
      <c r="O236" s="14"/>
      <c r="P236" s="11"/>
      <c r="Q236" s="14"/>
      <c r="R236" s="11"/>
      <c r="S236" s="68"/>
      <c r="T236" s="11"/>
      <c r="U236" s="14"/>
      <c r="V236" s="71"/>
      <c r="W236" s="14"/>
      <c r="X236" s="13"/>
      <c r="Y236" s="14"/>
      <c r="Z236" s="11"/>
    </row>
    <row r="237" spans="2:26" x14ac:dyDescent="0.3">
      <c r="B237" s="62"/>
      <c r="D237" s="10" t="s">
        <v>73</v>
      </c>
      <c r="F237" s="48"/>
      <c r="H237" s="11"/>
      <c r="I237" s="14"/>
      <c r="J237" s="11"/>
      <c r="K237" s="14"/>
      <c r="L237" s="11"/>
      <c r="M237" s="14"/>
      <c r="N237" s="11"/>
      <c r="O237" s="14"/>
      <c r="P237" s="11"/>
      <c r="Q237" s="14"/>
      <c r="R237" s="11"/>
      <c r="S237" s="68"/>
      <c r="T237" s="11"/>
      <c r="U237" s="14"/>
      <c r="V237" s="26"/>
      <c r="W237" s="14"/>
      <c r="X237" s="13"/>
      <c r="Y237" s="14"/>
      <c r="Z237" s="11"/>
    </row>
    <row r="238" spans="2:26" x14ac:dyDescent="0.3">
      <c r="B238" s="62">
        <f>MAX(B$18:B237)+1</f>
        <v>141</v>
      </c>
      <c r="D238" s="16" t="s">
        <v>34</v>
      </c>
      <c r="F238" s="48" t="s">
        <v>40</v>
      </c>
      <c r="H238" s="11">
        <v>545674.99976899999</v>
      </c>
      <c r="I238" s="14"/>
      <c r="J238" s="11"/>
      <c r="K238" s="14"/>
      <c r="L238" s="11"/>
      <c r="M238" s="14"/>
      <c r="N238" s="11"/>
      <c r="O238" s="14"/>
      <c r="P238" s="11">
        <v>28.949971315358628</v>
      </c>
      <c r="Q238" s="14"/>
      <c r="R238" s="11">
        <f t="shared" ref="R238:R247" si="68">T238-P238</f>
        <v>0</v>
      </c>
      <c r="S238" s="68"/>
      <c r="T238" s="11">
        <f t="shared" ref="T238:T241" si="69">$H238*V238/100</f>
        <v>28.949971315358624</v>
      </c>
      <c r="U238" s="14"/>
      <c r="V238" s="26">
        <v>5.3053504975697965E-3</v>
      </c>
      <c r="W238" s="14"/>
      <c r="X238" s="13">
        <f t="shared" ref="X238:X241" si="70">T238/P238</f>
        <v>0.99999999999999989</v>
      </c>
      <c r="Y238" s="14"/>
      <c r="Z238" s="11"/>
    </row>
    <row r="239" spans="2:26" x14ac:dyDescent="0.3">
      <c r="B239" s="62">
        <f>MAX(B$18:B238)+1</f>
        <v>142</v>
      </c>
      <c r="D239" s="16" t="s">
        <v>36</v>
      </c>
      <c r="F239" s="48" t="s">
        <v>40</v>
      </c>
      <c r="H239" s="11">
        <v>464055.1451744099</v>
      </c>
      <c r="I239" s="14"/>
      <c r="J239" s="11"/>
      <c r="K239" s="14"/>
      <c r="L239" s="11"/>
      <c r="M239" s="14"/>
      <c r="N239" s="11"/>
      <c r="O239" s="14"/>
      <c r="P239" s="11">
        <v>24.619751953508796</v>
      </c>
      <c r="Q239" s="14"/>
      <c r="R239" s="11">
        <f t="shared" si="68"/>
        <v>0</v>
      </c>
      <c r="S239" s="68"/>
      <c r="T239" s="11">
        <f t="shared" si="69"/>
        <v>24.6197519535088</v>
      </c>
      <c r="U239" s="14"/>
      <c r="V239" s="26">
        <v>5.3053504975697965E-3</v>
      </c>
      <c r="W239" s="14"/>
      <c r="X239" s="13">
        <f t="shared" si="70"/>
        <v>1.0000000000000002</v>
      </c>
      <c r="Y239" s="14"/>
      <c r="Z239" s="11"/>
    </row>
    <row r="240" spans="2:26" x14ac:dyDescent="0.3">
      <c r="B240" s="62">
        <f>MAX(B$18:B239)+1</f>
        <v>143</v>
      </c>
      <c r="D240" s="16" t="s">
        <v>37</v>
      </c>
      <c r="F240" s="48" t="s">
        <v>40</v>
      </c>
      <c r="H240" s="11">
        <v>824970.71412000014</v>
      </c>
      <c r="I240" s="14"/>
      <c r="J240" s="11"/>
      <c r="K240" s="14"/>
      <c r="L240" s="11"/>
      <c r="M240" s="14"/>
      <c r="N240" s="11"/>
      <c r="O240" s="14"/>
      <c r="P240" s="11">
        <v>43.767587886370535</v>
      </c>
      <c r="Q240" s="14"/>
      <c r="R240" s="11">
        <f t="shared" si="68"/>
        <v>0</v>
      </c>
      <c r="S240" s="68"/>
      <c r="T240" s="11">
        <f t="shared" si="69"/>
        <v>43.767587886370528</v>
      </c>
      <c r="U240" s="14"/>
      <c r="V240" s="26">
        <v>5.3053504975697965E-3</v>
      </c>
      <c r="W240" s="14"/>
      <c r="X240" s="13">
        <f t="shared" si="70"/>
        <v>0.99999999999999989</v>
      </c>
      <c r="Y240" s="14"/>
      <c r="Z240" s="11"/>
    </row>
    <row r="241" spans="2:26" x14ac:dyDescent="0.3">
      <c r="B241" s="62">
        <f>MAX(B$18:B240)+1</f>
        <v>144</v>
      </c>
      <c r="D241" s="16" t="s">
        <v>38</v>
      </c>
      <c r="F241" s="48" t="s">
        <v>40</v>
      </c>
      <c r="H241" s="11">
        <v>1427302.6369889998</v>
      </c>
      <c r="I241" s="14"/>
      <c r="J241" s="11"/>
      <c r="K241" s="14"/>
      <c r="L241" s="11"/>
      <c r="M241" s="14"/>
      <c r="N241" s="11"/>
      <c r="O241" s="14"/>
      <c r="P241" s="11">
        <v>75.72340755332273</v>
      </c>
      <c r="Q241" s="14"/>
      <c r="R241" s="11">
        <f t="shared" si="68"/>
        <v>0</v>
      </c>
      <c r="S241" s="68"/>
      <c r="T241" s="11">
        <f t="shared" si="69"/>
        <v>75.723407553322716</v>
      </c>
      <c r="U241" s="14"/>
      <c r="V241" s="26">
        <v>5.3053504975697965E-3</v>
      </c>
      <c r="W241" s="14"/>
      <c r="X241" s="13">
        <f t="shared" si="70"/>
        <v>0.99999999999999978</v>
      </c>
      <c r="Y241" s="14"/>
      <c r="Z241" s="11"/>
    </row>
    <row r="242" spans="2:26" x14ac:dyDescent="0.3">
      <c r="B242" s="62"/>
      <c r="D242" s="16"/>
      <c r="F242" s="48"/>
      <c r="H242" s="11"/>
      <c r="I242" s="14"/>
      <c r="J242" s="11"/>
      <c r="K242" s="14"/>
      <c r="L242" s="11"/>
      <c r="M242" s="14"/>
      <c r="N242" s="11"/>
      <c r="O242" s="14"/>
      <c r="P242" s="11"/>
      <c r="Q242" s="14"/>
      <c r="R242" s="11"/>
      <c r="S242" s="68"/>
      <c r="T242" s="11"/>
      <c r="U242" s="14"/>
      <c r="V242" s="26"/>
      <c r="W242" s="14"/>
      <c r="X242" s="13"/>
      <c r="Y242" s="14"/>
      <c r="Z242" s="11"/>
    </row>
    <row r="243" spans="2:26" x14ac:dyDescent="0.3">
      <c r="B243" s="62"/>
      <c r="D243" s="10" t="s">
        <v>74</v>
      </c>
      <c r="F243" s="48"/>
      <c r="H243" s="11"/>
      <c r="I243" s="14"/>
      <c r="J243" s="14"/>
      <c r="K243" s="14"/>
      <c r="L243" s="14"/>
      <c r="M243" s="14"/>
      <c r="N243" s="14"/>
      <c r="O243" s="14"/>
      <c r="P243" s="11"/>
      <c r="Q243" s="14"/>
      <c r="R243" s="11"/>
      <c r="S243" s="14"/>
      <c r="T243" s="11"/>
      <c r="U243" s="14"/>
      <c r="V243" s="83"/>
      <c r="W243" s="68"/>
      <c r="X243" s="13"/>
      <c r="Y243" s="14"/>
      <c r="Z243" s="14"/>
    </row>
    <row r="244" spans="2:26" x14ac:dyDescent="0.3">
      <c r="B244" s="62">
        <f>MAX(B$18:B243)+1</f>
        <v>145</v>
      </c>
      <c r="D244" s="16" t="s">
        <v>34</v>
      </c>
      <c r="F244" s="48"/>
      <c r="H244" s="11"/>
      <c r="I244" s="14"/>
      <c r="J244" s="14"/>
      <c r="K244" s="14"/>
      <c r="L244" s="14"/>
      <c r="M244" s="14"/>
      <c r="N244" s="14"/>
      <c r="O244" s="14"/>
      <c r="P244" s="11">
        <f>T244</f>
        <v>330.44893526413011</v>
      </c>
      <c r="Q244" s="14"/>
      <c r="R244" s="11">
        <f t="shared" si="68"/>
        <v>0</v>
      </c>
      <c r="S244" s="14"/>
      <c r="T244" s="11">
        <v>330.44893526413011</v>
      </c>
      <c r="U244" s="14"/>
      <c r="V244" s="83">
        <v>4.2462810021565781E-3</v>
      </c>
      <c r="W244" s="68"/>
      <c r="Y244" s="14"/>
      <c r="Z244" s="14"/>
    </row>
    <row r="245" spans="2:26" x14ac:dyDescent="0.3">
      <c r="B245" s="62">
        <f>MAX(B$18:B244)+1</f>
        <v>146</v>
      </c>
      <c r="D245" s="16" t="s">
        <v>36</v>
      </c>
      <c r="F245" s="48"/>
      <c r="H245" s="11"/>
      <c r="I245" s="14"/>
      <c r="J245" s="14"/>
      <c r="K245" s="14"/>
      <c r="L245" s="14"/>
      <c r="M245" s="14"/>
      <c r="N245" s="14"/>
      <c r="O245" s="14"/>
      <c r="P245" s="11">
        <f t="shared" ref="P245:P247" si="71">T245</f>
        <v>281.02172298830089</v>
      </c>
      <c r="Q245" s="14"/>
      <c r="R245" s="11">
        <f t="shared" si="68"/>
        <v>0</v>
      </c>
      <c r="S245" s="14"/>
      <c r="T245" s="11">
        <v>281.02172298830089</v>
      </c>
      <c r="U245" s="14"/>
      <c r="V245" s="83">
        <v>4.2462810021565781E-3</v>
      </c>
      <c r="W245" s="68"/>
      <c r="Y245" s="14"/>
      <c r="Z245" s="14"/>
    </row>
    <row r="246" spans="2:26" x14ac:dyDescent="0.3">
      <c r="B246" s="62">
        <f>MAX(B$18:B245)+1</f>
        <v>147</v>
      </c>
      <c r="D246" s="16" t="s">
        <v>37</v>
      </c>
      <c r="F246" s="48"/>
      <c r="H246" s="11"/>
      <c r="I246" s="14"/>
      <c r="J246" s="14"/>
      <c r="K246" s="14"/>
      <c r="L246" s="14"/>
      <c r="M246" s="14"/>
      <c r="N246" s="14"/>
      <c r="O246" s="14"/>
      <c r="P246" s="11">
        <f t="shared" si="71"/>
        <v>190.75716250930668</v>
      </c>
      <c r="Q246" s="14"/>
      <c r="R246" s="11">
        <f t="shared" si="68"/>
        <v>0</v>
      </c>
      <c r="S246" s="14"/>
      <c r="T246" s="11">
        <v>190.75716250930668</v>
      </c>
      <c r="U246" s="14"/>
      <c r="V246" s="83">
        <v>4.2462810021565781E-3</v>
      </c>
      <c r="W246" s="68"/>
      <c r="Y246" s="14"/>
      <c r="Z246" s="14"/>
    </row>
    <row r="247" spans="2:26" x14ac:dyDescent="0.3">
      <c r="B247" s="62">
        <f>MAX(B$18:B246)+1</f>
        <v>148</v>
      </c>
      <c r="D247" s="16" t="s">
        <v>38</v>
      </c>
      <c r="F247" s="48"/>
      <c r="H247" s="11"/>
      <c r="I247" s="14"/>
      <c r="J247" s="14"/>
      <c r="K247" s="14"/>
      <c r="L247" s="14"/>
      <c r="M247" s="14"/>
      <c r="N247" s="14"/>
      <c r="O247" s="14"/>
      <c r="P247" s="11">
        <f t="shared" si="71"/>
        <v>864.34349547324609</v>
      </c>
      <c r="Q247" s="14"/>
      <c r="R247" s="11">
        <f t="shared" si="68"/>
        <v>0</v>
      </c>
      <c r="S247" s="14"/>
      <c r="T247" s="11">
        <v>864.34349547324609</v>
      </c>
      <c r="U247" s="14"/>
      <c r="V247" s="83">
        <v>4.2462810021565781E-3</v>
      </c>
      <c r="W247" s="68"/>
      <c r="Y247" s="14"/>
      <c r="Z247" s="14"/>
    </row>
    <row r="248" spans="2:26" x14ac:dyDescent="0.3">
      <c r="B248" s="62"/>
      <c r="D248" s="10" t="s">
        <v>102</v>
      </c>
      <c r="F248" s="48"/>
      <c r="H248" s="11"/>
      <c r="I248" s="14"/>
      <c r="J248" s="11"/>
      <c r="K248" s="14"/>
      <c r="L248" s="11"/>
      <c r="M248" s="14"/>
      <c r="N248" s="11"/>
      <c r="O248" s="14"/>
      <c r="P248" s="11"/>
      <c r="Q248" s="14"/>
      <c r="R248" s="11"/>
      <c r="S248" s="68"/>
      <c r="T248" s="11"/>
      <c r="U248" s="14"/>
      <c r="V248" s="26"/>
      <c r="W248" s="14"/>
      <c r="X248" s="13"/>
      <c r="Y248" s="14"/>
      <c r="Z248" s="11"/>
    </row>
    <row r="249" spans="2:26" x14ac:dyDescent="0.3">
      <c r="B249" s="62">
        <f>MAX(B$18:B248)+1</f>
        <v>149</v>
      </c>
      <c r="D249" s="16" t="s">
        <v>34</v>
      </c>
      <c r="F249" s="48" t="s">
        <v>42</v>
      </c>
      <c r="H249" s="11">
        <v>16800</v>
      </c>
      <c r="I249" s="14"/>
      <c r="J249" s="11"/>
      <c r="K249" s="14"/>
      <c r="L249" s="11"/>
      <c r="M249" s="14"/>
      <c r="N249" s="11"/>
      <c r="O249" s="14"/>
      <c r="P249" s="11">
        <v>1954.8487438900524</v>
      </c>
      <c r="Q249" s="14"/>
      <c r="R249" s="11">
        <f>T249-P249</f>
        <v>-22.278955770393168</v>
      </c>
      <c r="S249" s="68"/>
      <c r="T249" s="11">
        <f t="shared" ref="T249:T252" si="72">$H249*V249/100</f>
        <v>1932.5697881196593</v>
      </c>
      <c r="U249" s="14"/>
      <c r="V249" s="26">
        <v>11.503391595950353</v>
      </c>
      <c r="W249" s="14"/>
      <c r="X249" s="13">
        <f t="shared" ref="X249:X260" si="73">T249/P249</f>
        <v>0.98860323294064223</v>
      </c>
      <c r="Y249" s="14"/>
      <c r="Z249" s="11"/>
    </row>
    <row r="250" spans="2:26" x14ac:dyDescent="0.3">
      <c r="B250" s="62">
        <f>MAX(B$18:B249)+1</f>
        <v>150</v>
      </c>
      <c r="D250" s="16" t="s">
        <v>36</v>
      </c>
      <c r="F250" s="48" t="s">
        <v>42</v>
      </c>
      <c r="H250" s="11">
        <v>45720</v>
      </c>
      <c r="I250" s="14"/>
      <c r="J250" s="11"/>
      <c r="K250" s="14"/>
      <c r="L250" s="11"/>
      <c r="M250" s="14"/>
      <c r="N250" s="11"/>
      <c r="O250" s="14"/>
      <c r="P250" s="11">
        <v>5319.9812244436425</v>
      </c>
      <c r="Q250" s="14"/>
      <c r="R250" s="11">
        <f>T250-P250</f>
        <v>-60.630586775140728</v>
      </c>
      <c r="S250" s="68"/>
      <c r="T250" s="11">
        <f t="shared" si="72"/>
        <v>5259.3506376685018</v>
      </c>
      <c r="U250" s="14"/>
      <c r="V250" s="26">
        <v>11.503391595950353</v>
      </c>
      <c r="W250" s="14"/>
      <c r="X250" s="13">
        <f t="shared" si="73"/>
        <v>0.98860323294064234</v>
      </c>
      <c r="Y250" s="14"/>
      <c r="Z250" s="11"/>
    </row>
    <row r="251" spans="2:26" x14ac:dyDescent="0.3">
      <c r="B251" s="62">
        <f>MAX(B$18:B250)+1</f>
        <v>151</v>
      </c>
      <c r="D251" s="16" t="s">
        <v>37</v>
      </c>
      <c r="F251" s="48" t="s">
        <v>42</v>
      </c>
      <c r="H251" s="11">
        <v>111124.284</v>
      </c>
      <c r="I251" s="14"/>
      <c r="J251" s="11"/>
      <c r="K251" s="14"/>
      <c r="L251" s="11"/>
      <c r="M251" s="14"/>
      <c r="N251" s="11"/>
      <c r="O251" s="14"/>
      <c r="P251" s="11">
        <v>12930.42660673104</v>
      </c>
      <c r="Q251" s="14"/>
      <c r="R251" s="11">
        <f t="shared" ref="R251:R252" si="74">T251-P251</f>
        <v>-147.36506001503767</v>
      </c>
      <c r="S251" s="68"/>
      <c r="T251" s="11">
        <f t="shared" si="72"/>
        <v>12783.061546716002</v>
      </c>
      <c r="U251" s="14"/>
      <c r="V251" s="26">
        <v>11.503391595950353</v>
      </c>
      <c r="W251" s="14"/>
      <c r="X251" s="13">
        <f t="shared" si="73"/>
        <v>0.98860323294064212</v>
      </c>
      <c r="Y251" s="14"/>
      <c r="Z251" s="11"/>
    </row>
    <row r="252" spans="2:26" x14ac:dyDescent="0.3">
      <c r="B252" s="62">
        <f>MAX(B$18:B251)+1</f>
        <v>152</v>
      </c>
      <c r="D252" s="16" t="s">
        <v>38</v>
      </c>
      <c r="F252" s="48" t="s">
        <v>42</v>
      </c>
      <c r="H252" s="11">
        <v>121211.48000000001</v>
      </c>
      <c r="I252" s="14"/>
      <c r="J252" s="11"/>
      <c r="K252" s="14"/>
      <c r="L252" s="11"/>
      <c r="M252" s="14"/>
      <c r="N252" s="11"/>
      <c r="O252" s="14"/>
      <c r="P252" s="11">
        <v>14104.173179943704</v>
      </c>
      <c r="Q252" s="14"/>
      <c r="R252" s="11">
        <f t="shared" si="74"/>
        <v>-160.74197629666014</v>
      </c>
      <c r="S252" s="68"/>
      <c r="T252" s="11">
        <f t="shared" si="72"/>
        <v>13943.431203647044</v>
      </c>
      <c r="U252" s="14"/>
      <c r="V252" s="26">
        <v>11.503391595950353</v>
      </c>
      <c r="W252" s="14"/>
      <c r="X252" s="13">
        <f t="shared" si="73"/>
        <v>0.98860323294064223</v>
      </c>
      <c r="Y252" s="14"/>
      <c r="Z252" s="11"/>
    </row>
    <row r="253" spans="2:26" x14ac:dyDescent="0.3">
      <c r="B253" s="62"/>
      <c r="D253" s="10" t="s">
        <v>103</v>
      </c>
      <c r="F253" s="48"/>
      <c r="H253" s="11"/>
      <c r="I253" s="14"/>
      <c r="J253" s="11"/>
      <c r="K253" s="14"/>
      <c r="L253" s="11"/>
      <c r="M253" s="14"/>
      <c r="N253" s="11"/>
      <c r="O253" s="14"/>
      <c r="P253" s="11"/>
      <c r="Q253" s="14"/>
      <c r="R253" s="11"/>
      <c r="S253" s="68"/>
      <c r="T253" s="11"/>
      <c r="U253" s="14"/>
      <c r="V253" s="26"/>
      <c r="W253" s="14"/>
      <c r="X253" s="13"/>
      <c r="Y253" s="14"/>
      <c r="Z253" s="11"/>
    </row>
    <row r="254" spans="2:26" x14ac:dyDescent="0.3">
      <c r="B254" s="62">
        <f>MAX(B$18:B253)+1</f>
        <v>153</v>
      </c>
      <c r="D254" s="16" t="s">
        <v>34</v>
      </c>
      <c r="F254" s="48" t="s">
        <v>42</v>
      </c>
      <c r="H254" s="11">
        <v>31704</v>
      </c>
      <c r="I254" s="14"/>
      <c r="J254" s="11"/>
      <c r="K254" s="14"/>
      <c r="L254" s="11"/>
      <c r="M254" s="14"/>
      <c r="N254" s="11"/>
      <c r="O254" s="14"/>
      <c r="P254" s="11">
        <v>230.49828757372026</v>
      </c>
      <c r="Q254" s="14"/>
      <c r="R254" s="11">
        <f t="shared" ref="R254:R257" si="75">T254-P254</f>
        <v>0</v>
      </c>
      <c r="S254" s="68"/>
      <c r="T254" s="11">
        <f t="shared" ref="T254:T257" si="76">$H254*V254/100</f>
        <v>230.49828757372029</v>
      </c>
      <c r="U254" s="14"/>
      <c r="V254" s="26">
        <v>0.72703219648536554</v>
      </c>
      <c r="W254" s="14"/>
      <c r="X254" s="13">
        <f t="shared" si="73"/>
        <v>1.0000000000000002</v>
      </c>
      <c r="Y254" s="14"/>
      <c r="Z254" s="11"/>
    </row>
    <row r="255" spans="2:26" x14ac:dyDescent="0.3">
      <c r="B255" s="62">
        <f>MAX(B$18:B254)+1</f>
        <v>154</v>
      </c>
      <c r="D255" s="16" t="s">
        <v>36</v>
      </c>
      <c r="F255" s="48" t="s">
        <v>42</v>
      </c>
      <c r="H255" s="11">
        <v>109998.81600000001</v>
      </c>
      <c r="I255" s="14"/>
      <c r="J255" s="11"/>
      <c r="K255" s="14"/>
      <c r="L255" s="11"/>
      <c r="M255" s="14"/>
      <c r="N255" s="11"/>
      <c r="O255" s="14"/>
      <c r="P255" s="11">
        <v>799.72680807269569</v>
      </c>
      <c r="Q255" s="14"/>
      <c r="R255" s="11">
        <f t="shared" si="75"/>
        <v>0</v>
      </c>
      <c r="S255" s="68"/>
      <c r="T255" s="11">
        <f t="shared" si="76"/>
        <v>799.72680807269569</v>
      </c>
      <c r="U255" s="14"/>
      <c r="V255" s="26">
        <v>0.72703219648536554</v>
      </c>
      <c r="W255" s="14"/>
      <c r="X255" s="13">
        <f t="shared" si="73"/>
        <v>1</v>
      </c>
      <c r="Y255" s="14"/>
      <c r="Z255" s="11"/>
    </row>
    <row r="256" spans="2:26" x14ac:dyDescent="0.3">
      <c r="B256" s="62">
        <f>MAX(B$18:B255)+1</f>
        <v>155</v>
      </c>
      <c r="D256" s="16" t="s">
        <v>37</v>
      </c>
      <c r="F256" s="48" t="s">
        <v>42</v>
      </c>
      <c r="H256" s="11">
        <v>0</v>
      </c>
      <c r="I256" s="14"/>
      <c r="J256" s="11"/>
      <c r="K256" s="14"/>
      <c r="L256" s="11"/>
      <c r="M256" s="14"/>
      <c r="N256" s="11"/>
      <c r="O256" s="14"/>
      <c r="P256" s="11">
        <v>0</v>
      </c>
      <c r="Q256" s="14"/>
      <c r="R256" s="11">
        <f t="shared" si="75"/>
        <v>0</v>
      </c>
      <c r="S256" s="68"/>
      <c r="T256" s="11">
        <f t="shared" si="76"/>
        <v>0</v>
      </c>
      <c r="U256" s="14"/>
      <c r="V256" s="26">
        <v>0.72703219648536554</v>
      </c>
      <c r="W256" s="14"/>
      <c r="X256" s="13" t="str">
        <f>IFERROR(T256/P256,"-")</f>
        <v>-</v>
      </c>
      <c r="Y256" s="14"/>
      <c r="Z256" s="11"/>
    </row>
    <row r="257" spans="2:26" x14ac:dyDescent="0.3">
      <c r="B257" s="62">
        <f>MAX(B$18:B256)+1</f>
        <v>156</v>
      </c>
      <c r="D257" s="16" t="s">
        <v>38</v>
      </c>
      <c r="F257" s="48" t="s">
        <v>42</v>
      </c>
      <c r="H257" s="11">
        <v>21953.835999999999</v>
      </c>
      <c r="I257" s="14"/>
      <c r="J257" s="11"/>
      <c r="K257" s="14"/>
      <c r="L257" s="11"/>
      <c r="M257" s="14"/>
      <c r="N257" s="11"/>
      <c r="O257" s="14"/>
      <c r="P257" s="11">
        <v>159.61145608359487</v>
      </c>
      <c r="Q257" s="14"/>
      <c r="R257" s="11">
        <f t="shared" si="75"/>
        <v>0</v>
      </c>
      <c r="S257" s="68"/>
      <c r="T257" s="11">
        <f t="shared" si="76"/>
        <v>159.6114560835949</v>
      </c>
      <c r="U257" s="14"/>
      <c r="V257" s="26">
        <v>0.72703219648536554</v>
      </c>
      <c r="W257" s="14"/>
      <c r="X257" s="13">
        <f t="shared" si="73"/>
        <v>1.0000000000000002</v>
      </c>
      <c r="Y257" s="14"/>
      <c r="Z257" s="11"/>
    </row>
    <row r="258" spans="2:26" x14ac:dyDescent="0.3">
      <c r="B258" s="62"/>
      <c r="D258" s="16"/>
      <c r="F258" s="48"/>
      <c r="H258" s="11"/>
      <c r="I258" s="14"/>
      <c r="J258" s="11"/>
      <c r="K258" s="14"/>
      <c r="L258" s="11"/>
      <c r="M258" s="14"/>
      <c r="N258" s="11"/>
      <c r="O258" s="14"/>
      <c r="P258" s="11"/>
      <c r="Q258" s="14"/>
      <c r="R258" s="11"/>
      <c r="S258" s="68"/>
      <c r="T258" s="11"/>
      <c r="U258" s="14"/>
      <c r="V258" s="26"/>
      <c r="W258" s="14"/>
      <c r="X258" s="13"/>
      <c r="Y258" s="14"/>
      <c r="Z258" s="11"/>
    </row>
    <row r="259" spans="2:26" x14ac:dyDescent="0.3">
      <c r="B259" s="62">
        <f>MAX(B$18:B258)+1</f>
        <v>157</v>
      </c>
      <c r="D259" s="10" t="s">
        <v>80</v>
      </c>
      <c r="F259" s="48" t="s">
        <v>40</v>
      </c>
      <c r="H259" s="11">
        <v>0</v>
      </c>
      <c r="I259" s="14"/>
      <c r="J259" s="11"/>
      <c r="K259" s="14"/>
      <c r="L259" s="11"/>
      <c r="M259" s="14"/>
      <c r="N259" s="11"/>
      <c r="O259" s="14"/>
      <c r="P259" s="11">
        <v>0</v>
      </c>
      <c r="Q259" s="14"/>
      <c r="R259" s="11">
        <f>T259-P259</f>
        <v>0</v>
      </c>
      <c r="S259" s="14"/>
      <c r="T259" s="11">
        <f>$H259*V259/100</f>
        <v>0</v>
      </c>
      <c r="U259" s="14"/>
      <c r="V259" s="26">
        <v>2.9207778875170856E-2</v>
      </c>
      <c r="W259" s="14"/>
      <c r="X259" s="13"/>
      <c r="Y259" s="14"/>
      <c r="Z259" s="11"/>
    </row>
    <row r="260" spans="2:26" x14ac:dyDescent="0.3">
      <c r="B260" s="62">
        <f>MAX(B$18:B259)+1</f>
        <v>158</v>
      </c>
      <c r="D260" s="10" t="s">
        <v>104</v>
      </c>
      <c r="F260" s="48" t="s">
        <v>42</v>
      </c>
      <c r="H260" s="11">
        <v>121211.48000000001</v>
      </c>
      <c r="I260" s="14"/>
      <c r="J260" s="11"/>
      <c r="K260" s="14"/>
      <c r="L260" s="11"/>
      <c r="M260" s="14"/>
      <c r="N260" s="11"/>
      <c r="O260" s="14"/>
      <c r="P260" s="11">
        <v>13364.548628598144</v>
      </c>
      <c r="Q260" s="14"/>
      <c r="R260" s="11">
        <f>T260-P260</f>
        <v>0</v>
      </c>
      <c r="S260" s="68"/>
      <c r="T260" s="11">
        <f>$H260*V260/100</f>
        <v>13364.548628598144</v>
      </c>
      <c r="U260" s="14"/>
      <c r="V260" s="26">
        <v>11.025810945133369</v>
      </c>
      <c r="W260" s="14"/>
      <c r="X260" s="13">
        <f t="shared" si="73"/>
        <v>1</v>
      </c>
      <c r="Y260" s="14"/>
      <c r="Z260" s="11"/>
    </row>
    <row r="261" spans="2:26" x14ac:dyDescent="0.3">
      <c r="B261" s="62">
        <f>MAX(B$18:B260)+1</f>
        <v>159</v>
      </c>
      <c r="D261" s="10" t="s">
        <v>105</v>
      </c>
      <c r="H261" s="11">
        <v>1427302.6369889998</v>
      </c>
      <c r="I261" s="14"/>
      <c r="J261" s="11"/>
      <c r="K261" s="14"/>
      <c r="L261" s="11"/>
      <c r="M261" s="14"/>
      <c r="N261" s="11"/>
      <c r="O261" s="14"/>
      <c r="P261" s="11">
        <v>580.80154077110421</v>
      </c>
      <c r="Q261" s="14"/>
      <c r="R261" s="11">
        <f>T261-P261</f>
        <v>0</v>
      </c>
      <c r="S261" s="68"/>
      <c r="T261" s="11">
        <v>580.80154077110421</v>
      </c>
      <c r="U261" s="14"/>
      <c r="V261" s="83">
        <v>2.8533176468798294E-3</v>
      </c>
      <c r="W261" s="14"/>
      <c r="X261" s="13">
        <f>T261/P261</f>
        <v>1</v>
      </c>
      <c r="Y261" s="14"/>
      <c r="Z261" s="11"/>
    </row>
    <row r="262" spans="2:26" x14ac:dyDescent="0.3">
      <c r="B262" s="62"/>
      <c r="D262" s="10"/>
      <c r="F262" s="48"/>
      <c r="H262" s="11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2:26" ht="12.9" thickBot="1" x14ac:dyDescent="0.35">
      <c r="B263" s="62">
        <f>MAX(B$18:B262)+1</f>
        <v>160</v>
      </c>
      <c r="D263" s="24" t="s">
        <v>106</v>
      </c>
      <c r="H263" s="74">
        <f>SUM(H238:H241)</f>
        <v>3262003.4960524095</v>
      </c>
      <c r="I263" s="67"/>
      <c r="J263" s="74">
        <v>58361.839199119662</v>
      </c>
      <c r="K263" s="68"/>
      <c r="L263" s="25">
        <f>J263/$H263*100</f>
        <v>1.789140915077118</v>
      </c>
      <c r="M263" s="68"/>
      <c r="N263" s="74">
        <f>J263-P263</f>
        <v>4746.006173186659</v>
      </c>
      <c r="O263" s="12"/>
      <c r="P263" s="74">
        <f>SUM(P231:P261)</f>
        <v>53615.833025933003</v>
      </c>
      <c r="Q263" s="12"/>
      <c r="R263" s="74">
        <f>SUM(R231:R261)</f>
        <v>-391.01657885723171</v>
      </c>
      <c r="S263" s="68"/>
      <c r="T263" s="74">
        <f>SUM(T231:T261)</f>
        <v>53224.816447075769</v>
      </c>
      <c r="U263" s="68"/>
      <c r="V263" s="25">
        <f>T263/$H263*100</f>
        <v>1.6316603127950979</v>
      </c>
      <c r="W263" s="68"/>
      <c r="X263" s="75">
        <f t="shared" ref="X263" si="77">T263/P263</f>
        <v>0.99270706884908222</v>
      </c>
      <c r="Y263" s="14"/>
      <c r="Z263" s="76">
        <f>V263/L263-1</f>
        <v>-8.8020234155358423E-2</v>
      </c>
    </row>
    <row r="264" spans="2:26" ht="12.9" thickTop="1" x14ac:dyDescent="0.3">
      <c r="B264" s="62"/>
      <c r="D264" s="10"/>
    </row>
    <row r="265" spans="2:26" x14ac:dyDescent="0.3">
      <c r="B265" s="62">
        <f>MAX(B$18:B264)+1</f>
        <v>161</v>
      </c>
      <c r="D265" s="2" t="s">
        <v>107</v>
      </c>
      <c r="H265" s="11">
        <f>H238</f>
        <v>545674.99976899999</v>
      </c>
      <c r="J265" s="11">
        <v>6322.6027855970324</v>
      </c>
      <c r="L265" s="37">
        <f>J265/$H265*100</f>
        <v>1.1586755464834513</v>
      </c>
      <c r="N265" s="23">
        <f>J265-P265</f>
        <v>3611.3150964907877</v>
      </c>
      <c r="P265" s="23">
        <f>P232+P238+P244+P249+P254</f>
        <v>2711.2876891062447</v>
      </c>
      <c r="Q265" s="23"/>
      <c r="R265" s="23">
        <f>R232+R238+R244+R249+R254</f>
        <v>-22.278955770393168</v>
      </c>
      <c r="S265" s="23"/>
      <c r="T265" s="23">
        <f>T232+T238+T244+T249+T254</f>
        <v>2689.0087333358515</v>
      </c>
      <c r="V265" s="37">
        <f>T265/$H265*100</f>
        <v>0.4927857670727423</v>
      </c>
      <c r="X265" s="13">
        <f>T265/P265</f>
        <v>0.99178288757039379</v>
      </c>
      <c r="Z265" s="35">
        <f>V265/L265-1</f>
        <v>-0.57469908761919275</v>
      </c>
    </row>
    <row r="266" spans="2:26" x14ac:dyDescent="0.3">
      <c r="B266" s="62">
        <f>MAX(B$18:B265)+1</f>
        <v>162</v>
      </c>
      <c r="D266" s="64" t="s">
        <v>108</v>
      </c>
      <c r="H266" s="11">
        <f t="shared" ref="H266:H268" si="78">H239</f>
        <v>464055.1451744099</v>
      </c>
      <c r="J266" s="11">
        <v>12534.212286914002</v>
      </c>
      <c r="L266" s="37">
        <f t="shared" ref="L266:L268" si="79">J266/$H266*100</f>
        <v>2.7010178461017085</v>
      </c>
      <c r="N266" s="23">
        <f t="shared" ref="N266:N268" si="80">J266-P266</f>
        <v>5775.7792773298879</v>
      </c>
      <c r="P266" s="23">
        <f>P233+P239+P245+P250+P255</f>
        <v>6758.4330095841142</v>
      </c>
      <c r="Q266" s="23"/>
      <c r="R266" s="23">
        <f>R233+R239+R245+R250+R255</f>
        <v>-60.630586775140728</v>
      </c>
      <c r="S266" s="23"/>
      <c r="T266" s="23">
        <f>T233+T239+T245+T250+T255</f>
        <v>6697.8024228089735</v>
      </c>
      <c r="V266" s="37">
        <f t="shared" ref="V266:V268" si="81">T266/$H266*100</f>
        <v>1.4433203666542</v>
      </c>
      <c r="X266" s="13">
        <f t="shared" ref="X266:X268" si="82">T266/P266</f>
        <v>0.99102889875668509</v>
      </c>
      <c r="Z266" s="35">
        <f t="shared" ref="Z266:Z268" si="83">V266/L266-1</f>
        <v>-0.46563834491604805</v>
      </c>
    </row>
    <row r="267" spans="2:26" x14ac:dyDescent="0.3">
      <c r="B267" s="62">
        <f>MAX(B$18:B266)+1</f>
        <v>163</v>
      </c>
      <c r="D267" s="64" t="s">
        <v>109</v>
      </c>
      <c r="H267" s="11">
        <f t="shared" si="78"/>
        <v>824970.71412000014</v>
      </c>
      <c r="J267" s="11">
        <v>13319.912708256001</v>
      </c>
      <c r="L267" s="37">
        <f t="shared" si="79"/>
        <v>1.6145921885802224</v>
      </c>
      <c r="N267" s="23">
        <f t="shared" si="80"/>
        <v>-511.20565312264989</v>
      </c>
      <c r="P267" s="23">
        <f>P234+P240+P246+P251+P256</f>
        <v>13831.118361378651</v>
      </c>
      <c r="Q267" s="23"/>
      <c r="R267" s="23">
        <f>R234+R240+R246+R251+R256</f>
        <v>-147.36506001503767</v>
      </c>
      <c r="S267" s="23"/>
      <c r="T267" s="23">
        <f>T234+T240+T246+T251+T256</f>
        <v>13683.753301363613</v>
      </c>
      <c r="V267" s="37">
        <f t="shared" si="81"/>
        <v>1.6586956442399454</v>
      </c>
      <c r="X267" s="13">
        <f t="shared" si="82"/>
        <v>0.9893453980969078</v>
      </c>
      <c r="Z267" s="35">
        <f t="shared" si="83"/>
        <v>2.7315538853501575E-2</v>
      </c>
    </row>
    <row r="268" spans="2:26" x14ac:dyDescent="0.3">
      <c r="B268" s="62">
        <f>MAX(B$18:B267)+1</f>
        <v>164</v>
      </c>
      <c r="D268" s="64" t="s">
        <v>110</v>
      </c>
      <c r="H268" s="11">
        <f t="shared" si="78"/>
        <v>1427302.6369889998</v>
      </c>
      <c r="J268" s="11">
        <v>26185.11141835263</v>
      </c>
      <c r="L268" s="37">
        <f t="shared" si="79"/>
        <v>1.8345871954382464</v>
      </c>
      <c r="N268" s="23">
        <f t="shared" si="80"/>
        <v>-4129.8825475113663</v>
      </c>
      <c r="P268" s="23">
        <f>P235+P241+P247+P252+P257+P260+P261</f>
        <v>30314.993965863996</v>
      </c>
      <c r="Q268" s="23"/>
      <c r="R268" s="23">
        <f>R235+R241+R247+R252+R257+R260+R261</f>
        <v>-160.74197629666014</v>
      </c>
      <c r="S268" s="23"/>
      <c r="T268" s="23">
        <f>T235+T241+T247+T252+T257+T260+T261</f>
        <v>30154.251989567336</v>
      </c>
      <c r="V268" s="37">
        <f t="shared" si="81"/>
        <v>2.1126740193782556</v>
      </c>
      <c r="X268" s="13">
        <f t="shared" si="82"/>
        <v>0.99469760817113595</v>
      </c>
      <c r="Z268" s="35">
        <f t="shared" si="83"/>
        <v>0.15158005279415443</v>
      </c>
    </row>
    <row r="269" spans="2:26" x14ac:dyDescent="0.3">
      <c r="D269" s="10"/>
    </row>
    <row r="270" spans="2:26" x14ac:dyDescent="0.3">
      <c r="D270" s="10"/>
    </row>
    <row r="271" spans="2:26" x14ac:dyDescent="0.3">
      <c r="D271" s="38" t="s">
        <v>111</v>
      </c>
    </row>
    <row r="272" spans="2:26" x14ac:dyDescent="0.3">
      <c r="B272" s="62"/>
      <c r="D272" s="10" t="s">
        <v>33</v>
      </c>
      <c r="F272" s="48"/>
      <c r="H272" s="11"/>
      <c r="I272" s="14"/>
      <c r="J272" s="11"/>
      <c r="K272" s="14"/>
      <c r="L272" s="11"/>
      <c r="M272" s="14"/>
      <c r="N272" s="11"/>
      <c r="O272" s="14"/>
      <c r="P272" s="11"/>
      <c r="Q272" s="14"/>
      <c r="R272" s="11"/>
      <c r="S272" s="14"/>
      <c r="T272" s="11"/>
      <c r="U272" s="14"/>
      <c r="V272" s="71"/>
      <c r="W272" s="14"/>
      <c r="X272" s="13"/>
      <c r="Y272" s="14"/>
      <c r="Z272" s="11"/>
    </row>
    <row r="273" spans="2:26" x14ac:dyDescent="0.3">
      <c r="B273" s="62">
        <f>MAX(B$18:B272)+1</f>
        <v>165</v>
      </c>
      <c r="D273" s="16" t="s">
        <v>34</v>
      </c>
      <c r="F273" s="48" t="s">
        <v>35</v>
      </c>
      <c r="H273" s="11">
        <v>0</v>
      </c>
      <c r="I273" s="14"/>
      <c r="J273" s="11"/>
      <c r="K273" s="14"/>
      <c r="L273" s="11"/>
      <c r="M273" s="14"/>
      <c r="N273" s="11"/>
      <c r="O273" s="14"/>
      <c r="P273" s="11">
        <v>0</v>
      </c>
      <c r="Q273" s="14"/>
      <c r="R273" s="11">
        <f t="shared" ref="R273:R276" si="84">T273-P273</f>
        <v>0</v>
      </c>
      <c r="S273" s="14"/>
      <c r="T273" s="11">
        <f t="shared" ref="T273:T276" si="85">$H273*V273/1000</f>
        <v>0</v>
      </c>
      <c r="U273" s="14"/>
      <c r="V273" s="71">
        <v>500</v>
      </c>
      <c r="W273" s="14"/>
      <c r="X273" s="13" t="str">
        <f>IFERROR(T273/P273,"-")</f>
        <v>-</v>
      </c>
      <c r="Y273" s="14"/>
      <c r="Z273" s="11"/>
    </row>
    <row r="274" spans="2:26" x14ac:dyDescent="0.3">
      <c r="B274" s="62">
        <f>MAX(B$18:B273)+1</f>
        <v>166</v>
      </c>
      <c r="D274" s="16" t="s">
        <v>36</v>
      </c>
      <c r="F274" s="48" t="s">
        <v>35</v>
      </c>
      <c r="H274" s="11">
        <v>48</v>
      </c>
      <c r="I274" s="14"/>
      <c r="J274" s="11"/>
      <c r="K274" s="14"/>
      <c r="L274" s="11"/>
      <c r="M274" s="14"/>
      <c r="N274" s="11"/>
      <c r="O274" s="14"/>
      <c r="P274" s="11">
        <v>144.55373542708779</v>
      </c>
      <c r="Q274" s="14"/>
      <c r="R274" s="11">
        <f t="shared" si="84"/>
        <v>-120.55373542708779</v>
      </c>
      <c r="S274" s="14"/>
      <c r="T274" s="11">
        <f t="shared" si="85"/>
        <v>24</v>
      </c>
      <c r="U274" s="14"/>
      <c r="V274" s="71">
        <v>500</v>
      </c>
      <c r="W274" s="14"/>
      <c r="X274" s="13">
        <f t="shared" ref="X274:X286" si="86">T274/P274</f>
        <v>0.16602822423849078</v>
      </c>
      <c r="Y274" s="14"/>
      <c r="Z274" s="11"/>
    </row>
    <row r="275" spans="2:26" x14ac:dyDescent="0.3">
      <c r="B275" s="62">
        <f>MAX(B$18:B274)+1</f>
        <v>167</v>
      </c>
      <c r="D275" s="16" t="s">
        <v>37</v>
      </c>
      <c r="F275" s="48" t="s">
        <v>35</v>
      </c>
      <c r="H275" s="11">
        <v>144</v>
      </c>
      <c r="I275" s="14"/>
      <c r="J275" s="11"/>
      <c r="K275" s="14"/>
      <c r="L275" s="11"/>
      <c r="M275" s="14"/>
      <c r="N275" s="11"/>
      <c r="O275" s="14"/>
      <c r="P275" s="11">
        <v>433.66120628126333</v>
      </c>
      <c r="Q275" s="14"/>
      <c r="R275" s="11">
        <f t="shared" si="84"/>
        <v>-361.66120628126333</v>
      </c>
      <c r="S275" s="14"/>
      <c r="T275" s="11">
        <f t="shared" si="85"/>
        <v>72</v>
      </c>
      <c r="U275" s="14"/>
      <c r="V275" s="71">
        <v>500</v>
      </c>
      <c r="W275" s="14"/>
      <c r="X275" s="13">
        <f t="shared" si="86"/>
        <v>0.16602822423849078</v>
      </c>
      <c r="Y275" s="14"/>
      <c r="Z275" s="11"/>
    </row>
    <row r="276" spans="2:26" x14ac:dyDescent="0.3">
      <c r="B276" s="62">
        <f>MAX(B$18:B275)+1</f>
        <v>168</v>
      </c>
      <c r="D276" s="16" t="s">
        <v>38</v>
      </c>
      <c r="F276" s="48" t="s">
        <v>35</v>
      </c>
      <c r="H276" s="11">
        <v>432</v>
      </c>
      <c r="I276" s="14"/>
      <c r="J276" s="11"/>
      <c r="K276" s="14"/>
      <c r="L276" s="11"/>
      <c r="M276" s="14"/>
      <c r="N276" s="11"/>
      <c r="O276" s="14"/>
      <c r="P276" s="11">
        <v>1300.9836188437901</v>
      </c>
      <c r="Q276" s="14"/>
      <c r="R276" s="11">
        <f t="shared" si="84"/>
        <v>-1084.9836188437901</v>
      </c>
      <c r="S276" s="14"/>
      <c r="T276" s="11">
        <f t="shared" si="85"/>
        <v>216</v>
      </c>
      <c r="U276" s="14"/>
      <c r="V276" s="71">
        <v>500</v>
      </c>
      <c r="W276" s="14"/>
      <c r="X276" s="13">
        <f t="shared" si="86"/>
        <v>0.16602822423849078</v>
      </c>
      <c r="Y276" s="14"/>
      <c r="Z276" s="11"/>
    </row>
    <row r="277" spans="2:26" x14ac:dyDescent="0.3">
      <c r="B277" s="62"/>
      <c r="D277" s="10" t="s">
        <v>112</v>
      </c>
      <c r="F277" s="48"/>
      <c r="H277" s="11"/>
      <c r="I277" s="14"/>
      <c r="J277" s="11"/>
      <c r="K277" s="14"/>
      <c r="L277" s="11"/>
      <c r="M277" s="14"/>
      <c r="N277" s="11"/>
      <c r="O277" s="14"/>
      <c r="P277" s="11"/>
      <c r="Q277" s="14"/>
      <c r="R277" s="11"/>
      <c r="S277" s="14"/>
      <c r="T277" s="11"/>
      <c r="U277" s="14"/>
      <c r="V277" s="26"/>
      <c r="W277" s="14"/>
      <c r="X277" s="13"/>
      <c r="Y277" s="14"/>
      <c r="Z277" s="11"/>
    </row>
    <row r="278" spans="2:26" x14ac:dyDescent="0.3">
      <c r="B278" s="62">
        <f>MAX(B$18:B277)+1</f>
        <v>169</v>
      </c>
      <c r="D278" s="16" t="s">
        <v>34</v>
      </c>
      <c r="F278" s="48" t="s">
        <v>40</v>
      </c>
      <c r="H278" s="11">
        <v>5488.3135403600008</v>
      </c>
      <c r="I278" s="14"/>
      <c r="J278" s="11"/>
      <c r="K278" s="14"/>
      <c r="L278" s="11"/>
      <c r="M278" s="14"/>
      <c r="N278" s="11"/>
      <c r="O278" s="14"/>
      <c r="P278" s="11">
        <v>3.6687344253081351</v>
      </c>
      <c r="Q278" s="14"/>
      <c r="R278" s="11">
        <f t="shared" ref="R278:R291" si="87">T278-P278</f>
        <v>0</v>
      </c>
      <c r="S278" s="14"/>
      <c r="T278" s="11">
        <f t="shared" ref="T278:T291" si="88">$H278*V278/100</f>
        <v>3.6687344253081351</v>
      </c>
      <c r="U278" s="14"/>
      <c r="V278" s="26">
        <v>6.6846298017213646E-2</v>
      </c>
      <c r="W278" s="14"/>
      <c r="X278" s="13">
        <f t="shared" si="86"/>
        <v>1</v>
      </c>
      <c r="Y278" s="14"/>
      <c r="Z278" s="11"/>
    </row>
    <row r="279" spans="2:26" x14ac:dyDescent="0.3">
      <c r="B279" s="62">
        <f>MAX(B$18:B278)+1</f>
        <v>170</v>
      </c>
      <c r="D279" s="16" t="s">
        <v>36</v>
      </c>
      <c r="F279" s="48" t="s">
        <v>40</v>
      </c>
      <c r="H279" s="11">
        <v>38111.583660000004</v>
      </c>
      <c r="I279" s="14"/>
      <c r="J279" s="11"/>
      <c r="K279" s="14"/>
      <c r="L279" s="11"/>
      <c r="M279" s="14"/>
      <c r="N279" s="11"/>
      <c r="O279" s="14"/>
      <c r="P279" s="11">
        <v>25.476182792443304</v>
      </c>
      <c r="Q279" s="14"/>
      <c r="R279" s="11">
        <f t="shared" si="87"/>
        <v>0</v>
      </c>
      <c r="S279" s="14"/>
      <c r="T279" s="11">
        <f t="shared" si="88"/>
        <v>25.4761827924433</v>
      </c>
      <c r="U279" s="14"/>
      <c r="V279" s="26">
        <v>6.6846298017213646E-2</v>
      </c>
      <c r="W279" s="14"/>
      <c r="X279" s="13">
        <f t="shared" si="86"/>
        <v>0.99999999999999989</v>
      </c>
      <c r="Y279" s="14"/>
      <c r="Z279" s="11"/>
    </row>
    <row r="280" spans="2:26" x14ac:dyDescent="0.3">
      <c r="B280" s="62">
        <f>MAX(B$18:B279)+1</f>
        <v>171</v>
      </c>
      <c r="D280" s="16" t="s">
        <v>37</v>
      </c>
      <c r="F280" s="48" t="s">
        <v>40</v>
      </c>
      <c r="H280" s="11">
        <v>301070.25951</v>
      </c>
      <c r="I280" s="14"/>
      <c r="J280" s="11"/>
      <c r="K280" s="14"/>
      <c r="L280" s="11"/>
      <c r="M280" s="14"/>
      <c r="N280" s="11"/>
      <c r="O280" s="14"/>
      <c r="P280" s="11">
        <v>201.25432291325311</v>
      </c>
      <c r="Q280" s="14"/>
      <c r="R280" s="11">
        <f t="shared" si="87"/>
        <v>0</v>
      </c>
      <c r="S280" s="14"/>
      <c r="T280" s="11">
        <f t="shared" si="88"/>
        <v>201.25432291325313</v>
      </c>
      <c r="U280" s="14"/>
      <c r="V280" s="26">
        <v>6.6846298017213646E-2</v>
      </c>
      <c r="W280" s="14"/>
      <c r="X280" s="13">
        <f t="shared" si="86"/>
        <v>1.0000000000000002</v>
      </c>
      <c r="Y280" s="14"/>
      <c r="Z280" s="11"/>
    </row>
    <row r="281" spans="2:26" x14ac:dyDescent="0.3">
      <c r="B281" s="62">
        <f>MAX(B$18:B280)+1</f>
        <v>172</v>
      </c>
      <c r="D281" s="16" t="s">
        <v>38</v>
      </c>
      <c r="F281" s="48" t="s">
        <v>40</v>
      </c>
      <c r="H281" s="11">
        <v>129359.87338000002</v>
      </c>
      <c r="I281" s="14"/>
      <c r="J281" s="11"/>
      <c r="K281" s="14"/>
      <c r="L281" s="11"/>
      <c r="M281" s="14"/>
      <c r="N281" s="11"/>
      <c r="O281" s="14"/>
      <c r="P281" s="11">
        <v>86.472286474285042</v>
      </c>
      <c r="Q281" s="14"/>
      <c r="R281" s="11">
        <f t="shared" si="87"/>
        <v>0</v>
      </c>
      <c r="S281" s="14"/>
      <c r="T281" s="11">
        <f t="shared" si="88"/>
        <v>86.472286474285028</v>
      </c>
      <c r="U281" s="14"/>
      <c r="V281" s="26">
        <v>6.6846298017213646E-2</v>
      </c>
      <c r="W281" s="14"/>
      <c r="X281" s="13">
        <f t="shared" si="86"/>
        <v>0.99999999999999989</v>
      </c>
      <c r="Y281" s="14"/>
      <c r="Z281" s="11"/>
    </row>
    <row r="282" spans="2:26" x14ac:dyDescent="0.3">
      <c r="B282" s="62"/>
      <c r="D282" s="10" t="s">
        <v>113</v>
      </c>
      <c r="F282" s="48"/>
      <c r="H282" s="11"/>
      <c r="I282" s="14"/>
      <c r="J282" s="11"/>
      <c r="K282" s="14"/>
      <c r="L282" s="11"/>
      <c r="M282" s="14"/>
      <c r="N282" s="11"/>
      <c r="O282" s="14"/>
      <c r="P282" s="11"/>
      <c r="Q282" s="14"/>
      <c r="R282" s="11"/>
      <c r="S282" s="14"/>
      <c r="T282" s="11"/>
      <c r="U282" s="14"/>
      <c r="V282" s="26"/>
      <c r="W282" s="14"/>
      <c r="X282" s="13"/>
      <c r="Y282" s="14"/>
      <c r="Z282" s="11"/>
    </row>
    <row r="283" spans="2:26" x14ac:dyDescent="0.3">
      <c r="B283" s="62">
        <f>MAX(B$18:B282)+1</f>
        <v>173</v>
      </c>
      <c r="D283" s="16" t="s">
        <v>34</v>
      </c>
      <c r="F283" s="48" t="s">
        <v>42</v>
      </c>
      <c r="H283" s="11">
        <v>1630.6559999999999</v>
      </c>
      <c r="I283" s="14"/>
      <c r="J283" s="11"/>
      <c r="K283" s="14"/>
      <c r="L283" s="11"/>
      <c r="M283" s="14"/>
      <c r="N283" s="11"/>
      <c r="O283" s="14"/>
      <c r="P283" s="11">
        <v>53.506468543298539</v>
      </c>
      <c r="Q283" s="14"/>
      <c r="R283" s="11">
        <f t="shared" si="87"/>
        <v>0</v>
      </c>
      <c r="S283" s="14"/>
      <c r="T283" s="11">
        <f t="shared" si="88"/>
        <v>53.506468543298546</v>
      </c>
      <c r="U283" s="14"/>
      <c r="V283" s="26">
        <v>3.2812848659250351</v>
      </c>
      <c r="W283" s="14"/>
      <c r="X283" s="13">
        <f t="shared" si="86"/>
        <v>1.0000000000000002</v>
      </c>
      <c r="Y283" s="14"/>
      <c r="Z283" s="11"/>
    </row>
    <row r="284" spans="2:26" x14ac:dyDescent="0.3">
      <c r="B284" s="62">
        <f>MAX(B$18:B283)+1</f>
        <v>174</v>
      </c>
      <c r="D284" s="16" t="s">
        <v>36</v>
      </c>
      <c r="F284" s="48" t="s">
        <v>42</v>
      </c>
      <c r="H284" s="11">
        <v>6968.4</v>
      </c>
      <c r="I284" s="14"/>
      <c r="J284" s="11"/>
      <c r="K284" s="14"/>
      <c r="L284" s="11"/>
      <c r="M284" s="14"/>
      <c r="N284" s="11"/>
      <c r="O284" s="14"/>
      <c r="P284" s="11">
        <v>277.56999603407155</v>
      </c>
      <c r="Q284" s="14"/>
      <c r="R284" s="11">
        <f t="shared" si="87"/>
        <v>316.55373542708776</v>
      </c>
      <c r="S284" s="14"/>
      <c r="T284" s="11">
        <f t="shared" si="88"/>
        <v>594.12373146115931</v>
      </c>
      <c r="U284" s="14"/>
      <c r="V284" s="26">
        <v>8.5259705450484944</v>
      </c>
      <c r="W284" s="14"/>
      <c r="X284" s="13">
        <f t="shared" si="86"/>
        <v>2.1404465178153873</v>
      </c>
      <c r="Y284" s="14"/>
      <c r="Z284" s="11"/>
    </row>
    <row r="285" spans="2:26" x14ac:dyDescent="0.3">
      <c r="B285" s="62">
        <f>MAX(B$18:B284)+1</f>
        <v>175</v>
      </c>
      <c r="D285" s="16" t="s">
        <v>37</v>
      </c>
      <c r="F285" s="48" t="s">
        <v>42</v>
      </c>
      <c r="H285" s="11">
        <v>30649.848000000002</v>
      </c>
      <c r="I285" s="14"/>
      <c r="J285" s="11"/>
      <c r="K285" s="14"/>
      <c r="L285" s="11"/>
      <c r="M285" s="14"/>
      <c r="N285" s="11"/>
      <c r="O285" s="14"/>
      <c r="P285" s="11">
        <v>1139.2674105558979</v>
      </c>
      <c r="Q285" s="14"/>
      <c r="R285" s="11">
        <f t="shared" si="87"/>
        <v>1257.0612062812631</v>
      </c>
      <c r="S285" s="14"/>
      <c r="T285" s="11">
        <f>$H285*V285/100 +0.4</f>
        <v>2396.328616837161</v>
      </c>
      <c r="U285" s="14"/>
      <c r="V285" s="26">
        <v>7.8170978754516529</v>
      </c>
      <c r="W285" s="14"/>
      <c r="X285" s="13">
        <f t="shared" si="86"/>
        <v>2.1033943344942068</v>
      </c>
      <c r="Y285" s="14"/>
      <c r="Z285" s="11"/>
    </row>
    <row r="286" spans="2:26" x14ac:dyDescent="0.3">
      <c r="B286" s="62">
        <f>MAX(B$18:B285)+1</f>
        <v>176</v>
      </c>
      <c r="D286" s="16" t="s">
        <v>38</v>
      </c>
      <c r="F286" s="48" t="s">
        <v>42</v>
      </c>
      <c r="H286" s="11">
        <v>21710.376</v>
      </c>
      <c r="I286" s="14"/>
      <c r="J286" s="11"/>
      <c r="K286" s="14"/>
      <c r="L286" s="11"/>
      <c r="M286" s="14"/>
      <c r="N286" s="11"/>
      <c r="O286" s="14"/>
      <c r="P286" s="11">
        <v>848.13490065706412</v>
      </c>
      <c r="Q286" s="14"/>
      <c r="R286" s="11">
        <f t="shared" si="87"/>
        <v>1080.4500171119175</v>
      </c>
      <c r="S286" s="14"/>
      <c r="T286" s="11">
        <f>$H286*V286/100 - 0.4</f>
        <v>1928.5849177689815</v>
      </c>
      <c r="U286" s="14"/>
      <c r="V286" s="26">
        <v>8.8850829565042151</v>
      </c>
      <c r="W286" s="14"/>
      <c r="X286" s="13">
        <f t="shared" si="86"/>
        <v>2.2739129309203938</v>
      </c>
      <c r="Y286" s="14"/>
      <c r="Z286" s="11"/>
    </row>
    <row r="287" spans="2:26" x14ac:dyDescent="0.3">
      <c r="B287" s="62"/>
      <c r="D287" s="10" t="s">
        <v>114</v>
      </c>
      <c r="F287" s="48"/>
      <c r="H287" s="11"/>
      <c r="I287" s="14"/>
      <c r="J287" s="11"/>
      <c r="K287" s="14"/>
      <c r="L287" s="11"/>
      <c r="M287" s="14"/>
      <c r="N287" s="11"/>
      <c r="O287" s="14"/>
      <c r="P287" s="11"/>
      <c r="Q287" s="14"/>
      <c r="R287" s="11"/>
      <c r="S287" s="14"/>
      <c r="T287" s="11"/>
      <c r="U287" s="14"/>
      <c r="V287" s="26"/>
      <c r="W287" s="14"/>
      <c r="X287" s="13"/>
      <c r="Y287" s="14"/>
      <c r="Z287" s="11"/>
    </row>
    <row r="288" spans="2:26" x14ac:dyDescent="0.3">
      <c r="B288" s="62">
        <f>MAX(B$18:B287)+1</f>
        <v>177</v>
      </c>
      <c r="D288" s="16" t="s">
        <v>34</v>
      </c>
      <c r="F288" s="48" t="s">
        <v>42</v>
      </c>
      <c r="H288" s="11">
        <v>0</v>
      </c>
      <c r="I288" s="14"/>
      <c r="J288" s="11"/>
      <c r="K288" s="14"/>
      <c r="L288" s="11"/>
      <c r="M288" s="14"/>
      <c r="N288" s="11"/>
      <c r="O288" s="14"/>
      <c r="P288" s="11">
        <v>0</v>
      </c>
      <c r="Q288" s="14"/>
      <c r="R288" s="11">
        <f t="shared" si="87"/>
        <v>0</v>
      </c>
      <c r="S288" s="14"/>
      <c r="T288" s="11">
        <f t="shared" si="88"/>
        <v>0</v>
      </c>
      <c r="U288" s="14"/>
      <c r="V288" s="26">
        <v>66.850205873936943</v>
      </c>
      <c r="W288" s="14"/>
      <c r="X288" s="13" t="str">
        <f>IFERROR(T288/P288,"-")</f>
        <v>-</v>
      </c>
      <c r="Y288" s="14"/>
      <c r="Z288" s="11"/>
    </row>
    <row r="289" spans="2:26" x14ac:dyDescent="0.3">
      <c r="B289" s="62">
        <f>MAX(B$18:B288)+1</f>
        <v>178</v>
      </c>
      <c r="D289" s="16" t="s">
        <v>36</v>
      </c>
      <c r="F289" s="48" t="s">
        <v>42</v>
      </c>
      <c r="H289" s="11">
        <v>0</v>
      </c>
      <c r="I289" s="14"/>
      <c r="J289" s="11"/>
      <c r="K289" s="14"/>
      <c r="L289" s="11"/>
      <c r="M289" s="14"/>
      <c r="N289" s="11"/>
      <c r="O289" s="14"/>
      <c r="P289" s="11">
        <v>0</v>
      </c>
      <c r="Q289" s="14"/>
      <c r="R289" s="11">
        <f t="shared" si="87"/>
        <v>0</v>
      </c>
      <c r="S289" s="14"/>
      <c r="T289" s="11">
        <f t="shared" si="88"/>
        <v>0</v>
      </c>
      <c r="U289" s="14"/>
      <c r="V289" s="26">
        <v>60.05459150535188</v>
      </c>
      <c r="W289" s="14"/>
      <c r="X289" s="13" t="str">
        <f t="shared" ref="X289:X290" si="89">IFERROR(T289/P289,"-")</f>
        <v>-</v>
      </c>
      <c r="Y289" s="14"/>
      <c r="Z289" s="11"/>
    </row>
    <row r="290" spans="2:26" x14ac:dyDescent="0.3">
      <c r="B290" s="62">
        <f>MAX(B$18:B289)+1</f>
        <v>179</v>
      </c>
      <c r="D290" s="16" t="s">
        <v>37</v>
      </c>
      <c r="F290" s="48" t="s">
        <v>42</v>
      </c>
      <c r="H290" s="11">
        <v>0</v>
      </c>
      <c r="I290" s="14"/>
      <c r="J290" s="11"/>
      <c r="K290" s="14"/>
      <c r="L290" s="11"/>
      <c r="M290" s="14"/>
      <c r="N290" s="11"/>
      <c r="O290" s="14"/>
      <c r="P290" s="11">
        <v>0</v>
      </c>
      <c r="Q290" s="14"/>
      <c r="R290" s="11">
        <f t="shared" si="87"/>
        <v>0</v>
      </c>
      <c r="S290" s="14"/>
      <c r="T290" s="11">
        <f t="shared" si="88"/>
        <v>0</v>
      </c>
      <c r="U290" s="14"/>
      <c r="V290" s="26">
        <v>64.565336340967008</v>
      </c>
      <c r="W290" s="14"/>
      <c r="X290" s="13" t="str">
        <f t="shared" si="89"/>
        <v>-</v>
      </c>
      <c r="Y290" s="14"/>
      <c r="Z290" s="11"/>
    </row>
    <row r="291" spans="2:26" x14ac:dyDescent="0.3">
      <c r="B291" s="62">
        <f>MAX(B$18:B290)+1</f>
        <v>180</v>
      </c>
      <c r="D291" s="16" t="s">
        <v>38</v>
      </c>
      <c r="F291" s="48" t="s">
        <v>42</v>
      </c>
      <c r="H291" s="11">
        <v>16.8</v>
      </c>
      <c r="I291" s="14"/>
      <c r="J291" s="11"/>
      <c r="K291" s="14"/>
      <c r="L291" s="11"/>
      <c r="M291" s="14"/>
      <c r="N291" s="11"/>
      <c r="O291" s="14"/>
      <c r="P291" s="11">
        <v>23.619599832331232</v>
      </c>
      <c r="Q291" s="14"/>
      <c r="R291" s="11">
        <f t="shared" si="87"/>
        <v>-13.144146136249343</v>
      </c>
      <c r="S291" s="14"/>
      <c r="T291" s="11">
        <f t="shared" si="88"/>
        <v>10.475453696081889</v>
      </c>
      <c r="U291" s="14"/>
      <c r="V291" s="26">
        <v>62.353891048106469</v>
      </c>
      <c r="W291" s="14"/>
      <c r="X291" s="13">
        <f>T291/P291</f>
        <v>0.44350682358905874</v>
      </c>
      <c r="Y291" s="14"/>
      <c r="Z291" s="11"/>
    </row>
    <row r="292" spans="2:26" x14ac:dyDescent="0.3">
      <c r="B292" s="62">
        <f>MAX(B$18:B291)+1</f>
        <v>181</v>
      </c>
      <c r="C292" s="64"/>
      <c r="D292" s="10" t="s">
        <v>43</v>
      </c>
      <c r="E292" s="62"/>
      <c r="F292" s="17"/>
      <c r="G292" s="62"/>
      <c r="H292" s="72">
        <f>SUM(H278:H281)</f>
        <v>474030.03009036003</v>
      </c>
      <c r="I292" s="67"/>
      <c r="J292" s="11"/>
      <c r="K292" s="67"/>
      <c r="L292" s="11"/>
      <c r="M292" s="68"/>
      <c r="N292" s="11"/>
      <c r="O292" s="12"/>
      <c r="P292" s="72">
        <f>SUM(P273:P291)</f>
        <v>4538.1684627800942</v>
      </c>
      <c r="Q292" s="12"/>
      <c r="R292" s="72">
        <f>SUM(R273:R291)</f>
        <v>1073.7222521318777</v>
      </c>
      <c r="S292" s="68"/>
      <c r="T292" s="72">
        <f>SUM(T273:T291)</f>
        <v>5611.8907149119723</v>
      </c>
      <c r="U292" s="68"/>
      <c r="V292" s="20">
        <f>T292/$H292*100</f>
        <v>1.1838681852797868</v>
      </c>
      <c r="W292" s="68"/>
      <c r="X292" s="73">
        <f t="shared" ref="X292" si="90">T292/P292</f>
        <v>1.2365981476752217</v>
      </c>
      <c r="Y292" s="14"/>
      <c r="Z292" s="11"/>
    </row>
    <row r="293" spans="2:26" x14ac:dyDescent="0.3">
      <c r="B293" s="62"/>
      <c r="C293" s="64"/>
      <c r="D293" s="10"/>
      <c r="E293" s="62"/>
      <c r="F293" s="17"/>
      <c r="G293" s="62"/>
      <c r="H293" s="68"/>
      <c r="I293" s="67"/>
      <c r="J293" s="11"/>
      <c r="K293" s="67"/>
      <c r="L293" s="11"/>
      <c r="M293" s="68"/>
      <c r="N293" s="11"/>
      <c r="O293" s="12"/>
      <c r="P293" s="68"/>
      <c r="Q293" s="12"/>
      <c r="R293" s="68"/>
      <c r="S293" s="68"/>
      <c r="T293" s="68"/>
      <c r="U293" s="68"/>
      <c r="V293" s="26"/>
      <c r="W293" s="68"/>
      <c r="X293" s="77"/>
      <c r="Y293" s="14"/>
      <c r="Z293" s="11"/>
    </row>
    <row r="294" spans="2:26" x14ac:dyDescent="0.3">
      <c r="B294" s="62"/>
      <c r="C294" s="64"/>
      <c r="D294" s="10" t="s">
        <v>44</v>
      </c>
      <c r="E294" s="62"/>
      <c r="F294" s="70"/>
      <c r="G294" s="62"/>
      <c r="H294" s="11"/>
      <c r="I294" s="67"/>
      <c r="J294" s="18"/>
      <c r="K294" s="67"/>
      <c r="L294" s="67"/>
      <c r="M294" s="68"/>
      <c r="N294" s="19"/>
      <c r="O294" s="12"/>
      <c r="P294" s="11"/>
      <c r="Q294" s="12"/>
      <c r="R294" s="11"/>
      <c r="S294" s="68"/>
      <c r="T294" s="11"/>
      <c r="U294" s="68"/>
      <c r="V294" s="21"/>
      <c r="W294" s="68"/>
      <c r="X294" s="13"/>
      <c r="Y294" s="14"/>
      <c r="Z294" s="19"/>
    </row>
    <row r="295" spans="2:26" x14ac:dyDescent="0.3">
      <c r="B295" s="62">
        <f>MAX(B$18:B294)+1</f>
        <v>182</v>
      </c>
      <c r="D295" s="22" t="s">
        <v>45</v>
      </c>
      <c r="E295" s="62"/>
      <c r="F295" s="70"/>
      <c r="H295" s="11"/>
      <c r="I295" s="14"/>
      <c r="J295" s="11"/>
      <c r="K295" s="14"/>
      <c r="L295" s="11"/>
      <c r="M295" s="14"/>
      <c r="N295" s="11"/>
      <c r="O295" s="14"/>
      <c r="Y295" s="14"/>
      <c r="Z295" s="11"/>
    </row>
    <row r="296" spans="2:26" x14ac:dyDescent="0.3">
      <c r="B296" s="62">
        <f>MAX(B$18:B295)+1</f>
        <v>183</v>
      </c>
      <c r="D296" s="16" t="s">
        <v>34</v>
      </c>
      <c r="E296" s="62"/>
      <c r="F296" s="70" t="s">
        <v>40</v>
      </c>
      <c r="H296" s="11">
        <v>5488.3135403600008</v>
      </c>
      <c r="I296" s="14"/>
      <c r="J296" s="11"/>
      <c r="K296" s="14"/>
      <c r="L296" s="11"/>
      <c r="M296" s="14"/>
      <c r="N296" s="11"/>
      <c r="O296" s="14"/>
      <c r="P296" s="11">
        <v>94.456575798620193</v>
      </c>
      <c r="Q296" s="14"/>
      <c r="R296" s="11">
        <f>T296-P296</f>
        <v>0</v>
      </c>
      <c r="S296" s="14"/>
      <c r="T296" s="11">
        <f>$H296*V296/100</f>
        <v>94.456575798620179</v>
      </c>
      <c r="U296" s="14"/>
      <c r="V296" s="26">
        <v>1.7210491912315999</v>
      </c>
      <c r="W296" s="14"/>
      <c r="X296" s="13">
        <f>T296/P296</f>
        <v>0.99999999999999989</v>
      </c>
      <c r="Y296" s="14"/>
      <c r="Z296" s="11"/>
    </row>
    <row r="297" spans="2:26" x14ac:dyDescent="0.3">
      <c r="B297" s="62">
        <f>MAX(B$18:B296)+1</f>
        <v>184</v>
      </c>
      <c r="D297" s="16" t="s">
        <v>36</v>
      </c>
      <c r="E297" s="62"/>
      <c r="F297" s="70" t="s">
        <v>40</v>
      </c>
      <c r="H297" s="11">
        <v>38111.583660000004</v>
      </c>
      <c r="I297" s="14"/>
      <c r="J297" s="11"/>
      <c r="K297" s="14"/>
      <c r="L297" s="11"/>
      <c r="M297" s="14"/>
      <c r="N297" s="11"/>
      <c r="O297" s="14"/>
      <c r="P297" s="11">
        <v>1736.7640244522481</v>
      </c>
      <c r="Q297" s="14"/>
      <c r="R297" s="11">
        <f>T297-P297</f>
        <v>0</v>
      </c>
      <c r="S297" s="14"/>
      <c r="T297" s="11">
        <f t="shared" ref="T297:T299" si="91">$H297*V297/100</f>
        <v>1736.7640244522481</v>
      </c>
      <c r="U297" s="14"/>
      <c r="V297" s="26">
        <v>4.5570502657308047</v>
      </c>
      <c r="W297" s="14"/>
      <c r="X297" s="13">
        <f>T297/P297</f>
        <v>1</v>
      </c>
      <c r="Y297" s="14"/>
      <c r="Z297" s="11"/>
    </row>
    <row r="298" spans="2:26" x14ac:dyDescent="0.3">
      <c r="B298" s="62">
        <f>MAX(B$18:B297)+1</f>
        <v>185</v>
      </c>
      <c r="D298" s="16" t="s">
        <v>37</v>
      </c>
      <c r="E298" s="62"/>
      <c r="F298" s="70" t="s">
        <v>40</v>
      </c>
      <c r="H298" s="11">
        <v>301070.25951</v>
      </c>
      <c r="I298" s="14"/>
      <c r="J298" s="11"/>
      <c r="K298" s="14"/>
      <c r="L298" s="11"/>
      <c r="M298" s="14"/>
      <c r="N298" s="11"/>
      <c r="O298" s="14"/>
      <c r="P298" s="11">
        <v>1340.5954728132183</v>
      </c>
      <c r="Q298" s="14"/>
      <c r="R298" s="11">
        <f>T298-P298</f>
        <v>0</v>
      </c>
      <c r="S298" s="14"/>
      <c r="T298" s="11">
        <f t="shared" si="91"/>
        <v>1340.5954728132181</v>
      </c>
      <c r="U298" s="14"/>
      <c r="V298" s="26">
        <v>0.44527661915031846</v>
      </c>
      <c r="W298" s="14"/>
      <c r="X298" s="13">
        <f>T298/P298</f>
        <v>0.99999999999999978</v>
      </c>
      <c r="Y298" s="14"/>
      <c r="Z298" s="11"/>
    </row>
    <row r="299" spans="2:26" x14ac:dyDescent="0.3">
      <c r="B299" s="62">
        <f>MAX(B$18:B298)+1</f>
        <v>186</v>
      </c>
      <c r="D299" s="16" t="s">
        <v>38</v>
      </c>
      <c r="E299" s="62"/>
      <c r="F299" s="70" t="s">
        <v>40</v>
      </c>
      <c r="H299" s="11">
        <v>129359.87338000002</v>
      </c>
      <c r="I299" s="14"/>
      <c r="J299" s="11"/>
      <c r="K299" s="14"/>
      <c r="L299" s="11"/>
      <c r="M299" s="14"/>
      <c r="N299" s="11"/>
      <c r="O299" s="14"/>
      <c r="P299" s="11">
        <v>151.65902813673586</v>
      </c>
      <c r="Q299" s="14"/>
      <c r="R299" s="11">
        <f>T299-P299</f>
        <v>0</v>
      </c>
      <c r="S299" s="14"/>
      <c r="T299" s="11">
        <f t="shared" si="91"/>
        <v>151.65902813673586</v>
      </c>
      <c r="U299" s="14"/>
      <c r="V299" s="26">
        <v>0.11723807713635523</v>
      </c>
      <c r="W299" s="14"/>
      <c r="X299" s="13">
        <f>T299/P299</f>
        <v>1</v>
      </c>
      <c r="Y299" s="14"/>
      <c r="Z299" s="11"/>
    </row>
    <row r="300" spans="2:26" x14ac:dyDescent="0.3">
      <c r="B300" s="62"/>
      <c r="D300" s="22" t="s">
        <v>46</v>
      </c>
      <c r="E300" s="62"/>
      <c r="F300" s="70"/>
      <c r="H300" s="11"/>
      <c r="I300" s="14"/>
      <c r="J300" s="11"/>
      <c r="K300" s="14"/>
      <c r="L300" s="11"/>
      <c r="M300" s="14"/>
      <c r="N300" s="11"/>
      <c r="O300" s="14"/>
      <c r="P300" s="11"/>
      <c r="Q300" s="14"/>
      <c r="R300" s="11"/>
      <c r="S300" s="14"/>
      <c r="T300" s="11"/>
      <c r="U300" s="14"/>
      <c r="V300" s="26"/>
      <c r="W300" s="14"/>
      <c r="X300" s="11"/>
      <c r="Y300" s="14"/>
      <c r="Z300" s="11"/>
    </row>
    <row r="301" spans="2:26" x14ac:dyDescent="0.3">
      <c r="B301" s="62">
        <f>MAX(B$18:B300)+1</f>
        <v>187</v>
      </c>
      <c r="D301" s="16" t="s">
        <v>34</v>
      </c>
      <c r="E301" s="62"/>
      <c r="F301" s="70" t="s">
        <v>40</v>
      </c>
      <c r="H301" s="11">
        <v>0</v>
      </c>
      <c r="I301" s="14"/>
      <c r="J301" s="11"/>
      <c r="K301" s="14"/>
      <c r="L301" s="11"/>
      <c r="M301" s="14"/>
      <c r="N301" s="11"/>
      <c r="O301" s="14"/>
      <c r="P301" s="11">
        <v>0</v>
      </c>
      <c r="Q301" s="14"/>
      <c r="R301" s="11">
        <f t="shared" ref="R301:R304" si="92">T301-P301</f>
        <v>0</v>
      </c>
      <c r="S301" s="14"/>
      <c r="T301" s="11">
        <f t="shared" ref="T301:T304" si="93">$H301*V301/100</f>
        <v>0</v>
      </c>
      <c r="U301" s="14"/>
      <c r="V301" s="26">
        <v>4.3129546842373987</v>
      </c>
      <c r="W301" s="14"/>
      <c r="X301" s="11" t="str">
        <f>IFERROR(T301/P301,"-")</f>
        <v>-</v>
      </c>
      <c r="Y301" s="14"/>
      <c r="Z301" s="11"/>
    </row>
    <row r="302" spans="2:26" x14ac:dyDescent="0.3">
      <c r="B302" s="62">
        <f>MAX(B$18:B301)+1</f>
        <v>188</v>
      </c>
      <c r="D302" s="16" t="s">
        <v>36</v>
      </c>
      <c r="E302" s="62"/>
      <c r="F302" s="70" t="s">
        <v>40</v>
      </c>
      <c r="H302" s="11">
        <v>0</v>
      </c>
      <c r="I302" s="14"/>
      <c r="J302" s="11"/>
      <c r="K302" s="14"/>
      <c r="L302" s="11"/>
      <c r="M302" s="14"/>
      <c r="N302" s="11"/>
      <c r="O302" s="14"/>
      <c r="P302" s="11">
        <v>0</v>
      </c>
      <c r="Q302" s="14"/>
      <c r="R302" s="11">
        <f t="shared" si="92"/>
        <v>0</v>
      </c>
      <c r="S302" s="14"/>
      <c r="T302" s="11">
        <f t="shared" si="93"/>
        <v>0</v>
      </c>
      <c r="U302" s="14"/>
      <c r="V302" s="26">
        <v>7.1489557587366042</v>
      </c>
      <c r="W302" s="14"/>
      <c r="X302" s="11" t="str">
        <f t="shared" ref="X302:X304" si="94">IFERROR(T302/P302,"-")</f>
        <v>-</v>
      </c>
      <c r="Y302" s="14"/>
      <c r="Z302" s="11"/>
    </row>
    <row r="303" spans="2:26" x14ac:dyDescent="0.3">
      <c r="B303" s="62">
        <f>MAX(B$18:B302)+1</f>
        <v>189</v>
      </c>
      <c r="D303" s="16" t="s">
        <v>37</v>
      </c>
      <c r="E303" s="62"/>
      <c r="F303" s="70" t="s">
        <v>40</v>
      </c>
      <c r="H303" s="11">
        <v>0</v>
      </c>
      <c r="I303" s="14"/>
      <c r="J303" s="11"/>
      <c r="K303" s="14"/>
      <c r="L303" s="11"/>
      <c r="M303" s="14"/>
      <c r="N303" s="11"/>
      <c r="O303" s="14"/>
      <c r="P303" s="11">
        <v>0</v>
      </c>
      <c r="Q303" s="14"/>
      <c r="R303" s="11">
        <f t="shared" si="92"/>
        <v>0</v>
      </c>
      <c r="S303" s="14"/>
      <c r="T303" s="11">
        <f t="shared" si="93"/>
        <v>0</v>
      </c>
      <c r="U303" s="14"/>
      <c r="V303" s="26">
        <v>3.0371821121561178</v>
      </c>
      <c r="W303" s="14"/>
      <c r="X303" s="11" t="str">
        <f t="shared" si="94"/>
        <v>-</v>
      </c>
      <c r="Y303" s="14"/>
      <c r="Z303" s="11"/>
    </row>
    <row r="304" spans="2:26" x14ac:dyDescent="0.3">
      <c r="B304" s="62">
        <f>MAX(B$18:B303)+1</f>
        <v>190</v>
      </c>
      <c r="D304" s="16" t="s">
        <v>38</v>
      </c>
      <c r="E304" s="62"/>
      <c r="F304" s="70" t="s">
        <v>40</v>
      </c>
      <c r="H304" s="11">
        <v>0</v>
      </c>
      <c r="I304" s="14"/>
      <c r="J304" s="11"/>
      <c r="K304" s="14"/>
      <c r="L304" s="11"/>
      <c r="M304" s="14"/>
      <c r="N304" s="11"/>
      <c r="O304" s="14"/>
      <c r="P304" s="11">
        <v>0</v>
      </c>
      <c r="Q304" s="14"/>
      <c r="R304" s="11">
        <f t="shared" si="92"/>
        <v>0</v>
      </c>
      <c r="S304" s="14"/>
      <c r="T304" s="11">
        <f t="shared" si="93"/>
        <v>0</v>
      </c>
      <c r="U304" s="14"/>
      <c r="V304" s="26">
        <v>2.7091435701421545</v>
      </c>
      <c r="W304" s="14"/>
      <c r="X304" s="11" t="str">
        <f t="shared" si="94"/>
        <v>-</v>
      </c>
      <c r="Y304" s="14"/>
      <c r="Z304" s="11"/>
    </row>
    <row r="305" spans="2:26" x14ac:dyDescent="0.3">
      <c r="B305" s="62">
        <f>MAX(B$18:B304)+1</f>
        <v>191</v>
      </c>
      <c r="C305" s="64"/>
      <c r="D305" s="10" t="s">
        <v>44</v>
      </c>
      <c r="E305" s="62"/>
      <c r="F305" s="17"/>
      <c r="G305" s="62"/>
      <c r="H305" s="72">
        <f>SUM(H296:H299)</f>
        <v>474030.03009036003</v>
      </c>
      <c r="I305" s="67"/>
      <c r="J305" s="11"/>
      <c r="K305" s="67"/>
      <c r="L305" s="11"/>
      <c r="M305" s="68"/>
      <c r="N305" s="11"/>
      <c r="O305" s="12"/>
      <c r="P305" s="72">
        <f>SUM(P296:P304)</f>
        <v>3323.4751012008223</v>
      </c>
      <c r="Q305" s="12"/>
      <c r="R305" s="72">
        <f>SUM(R296:R304)</f>
        <v>0</v>
      </c>
      <c r="S305" s="68"/>
      <c r="T305" s="72">
        <f>SUM(T296:T304)</f>
        <v>3323.4751012008223</v>
      </c>
      <c r="U305" s="68"/>
      <c r="V305" s="20">
        <f>T305/$H305*100</f>
        <v>0.70111066604098871</v>
      </c>
      <c r="W305" s="68"/>
      <c r="X305" s="73">
        <f t="shared" ref="X305" si="95">T305/P305</f>
        <v>1</v>
      </c>
      <c r="Y305" s="14"/>
      <c r="Z305" s="11"/>
    </row>
    <row r="306" spans="2:26" x14ac:dyDescent="0.3">
      <c r="B306" s="62"/>
      <c r="D306" s="39"/>
      <c r="F306" s="48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36"/>
      <c r="W306" s="14"/>
      <c r="X306" s="14"/>
      <c r="Y306" s="14"/>
      <c r="Z306" s="14"/>
    </row>
    <row r="307" spans="2:26" x14ac:dyDescent="0.3">
      <c r="B307" s="62"/>
      <c r="D307" s="10" t="s">
        <v>48</v>
      </c>
      <c r="F307" s="48"/>
      <c r="H307" s="11"/>
      <c r="I307" s="14"/>
      <c r="J307" s="11"/>
      <c r="K307" s="14"/>
      <c r="L307" s="11"/>
      <c r="M307" s="14"/>
      <c r="N307" s="11"/>
      <c r="O307" s="14"/>
      <c r="P307" s="11"/>
      <c r="Q307" s="14"/>
      <c r="R307" s="11"/>
      <c r="S307" s="14"/>
      <c r="T307" s="11"/>
      <c r="U307" s="14"/>
      <c r="V307" s="26"/>
      <c r="W307" s="14"/>
      <c r="X307" s="13"/>
      <c r="Y307" s="14"/>
      <c r="Z307" s="11"/>
    </row>
    <row r="308" spans="2:26" x14ac:dyDescent="0.3">
      <c r="B308" s="62">
        <f>MAX(B$18:B307)+1</f>
        <v>192</v>
      </c>
      <c r="D308" s="16" t="s">
        <v>34</v>
      </c>
      <c r="F308" s="48" t="s">
        <v>40</v>
      </c>
      <c r="H308" s="11">
        <v>5488.3135403600008</v>
      </c>
      <c r="I308" s="14"/>
      <c r="J308" s="11"/>
      <c r="K308" s="14"/>
      <c r="L308" s="11"/>
      <c r="M308" s="14"/>
      <c r="N308" s="11"/>
      <c r="O308" s="14"/>
      <c r="P308" s="11">
        <v>737.42209594307383</v>
      </c>
      <c r="Q308" s="14"/>
      <c r="R308" s="11">
        <f>ROUND(T308,0)-ROUND(P308,0)</f>
        <v>0</v>
      </c>
      <c r="S308" s="14"/>
      <c r="T308" s="11">
        <f>$H308*V308/100</f>
        <v>737.18276057791479</v>
      </c>
      <c r="U308" s="14"/>
      <c r="V308" s="26">
        <v>13.431863087937938</v>
      </c>
      <c r="W308" s="14"/>
      <c r="X308" s="13">
        <f t="shared" ref="X308:X311" si="96">T308/P308</f>
        <v>0.99967544318718449</v>
      </c>
      <c r="Y308" s="14"/>
      <c r="Z308" s="11"/>
    </row>
    <row r="309" spans="2:26" x14ac:dyDescent="0.3">
      <c r="B309" s="62">
        <f>MAX(B$18:B308)+1</f>
        <v>193</v>
      </c>
      <c r="D309" s="16" t="s">
        <v>36</v>
      </c>
      <c r="F309" s="48" t="s">
        <v>40</v>
      </c>
      <c r="H309" s="11">
        <v>214.44340000000003</v>
      </c>
      <c r="I309" s="14"/>
      <c r="J309" s="11"/>
      <c r="K309" s="14"/>
      <c r="L309" s="11"/>
      <c r="M309" s="14"/>
      <c r="N309" s="11"/>
      <c r="O309" s="14"/>
      <c r="P309" s="11">
        <v>22.693247747958896</v>
      </c>
      <c r="Q309" s="14"/>
      <c r="R309" s="11">
        <f t="shared" ref="R309:R311" si="97">ROUND(T309,0)-ROUND(P309,0)</f>
        <v>0</v>
      </c>
      <c r="S309" s="14"/>
      <c r="T309" s="11">
        <f t="shared" ref="T309:T311" si="98">$H309*V309/100</f>
        <v>22.724728824759168</v>
      </c>
      <c r="U309" s="14"/>
      <c r="V309" s="26">
        <v>10.59707541699076</v>
      </c>
      <c r="W309" s="14"/>
      <c r="X309" s="13">
        <f>T309/P309</f>
        <v>1.001387244221273</v>
      </c>
      <c r="Y309" s="14"/>
      <c r="Z309" s="11"/>
    </row>
    <row r="310" spans="2:26" x14ac:dyDescent="0.3">
      <c r="B310" s="62">
        <f>MAX(B$18:B309)+1</f>
        <v>194</v>
      </c>
      <c r="D310" s="16" t="s">
        <v>37</v>
      </c>
      <c r="F310" s="48" t="s">
        <v>40</v>
      </c>
      <c r="H310" s="11">
        <v>5933.8281999999999</v>
      </c>
      <c r="I310" s="14"/>
      <c r="J310" s="11"/>
      <c r="K310" s="14"/>
      <c r="L310" s="11"/>
      <c r="M310" s="14"/>
      <c r="N310" s="11"/>
      <c r="O310" s="14"/>
      <c r="P310" s="11">
        <v>871.86428415429486</v>
      </c>
      <c r="Q310" s="14"/>
      <c r="R310" s="11">
        <f t="shared" si="97"/>
        <v>0</v>
      </c>
      <c r="S310" s="14"/>
      <c r="T310" s="11">
        <f t="shared" si="98"/>
        <v>871.60874016296361</v>
      </c>
      <c r="U310" s="14"/>
      <c r="V310" s="26">
        <v>14.688809833809541</v>
      </c>
      <c r="W310" s="14"/>
      <c r="X310" s="13">
        <f t="shared" si="96"/>
        <v>0.99970689934663493</v>
      </c>
      <c r="Y310" s="14"/>
      <c r="Z310" s="11"/>
    </row>
    <row r="311" spans="2:26" x14ac:dyDescent="0.3">
      <c r="B311" s="62">
        <f>MAX(B$18:B310)+1</f>
        <v>195</v>
      </c>
      <c r="D311" s="16" t="s">
        <v>38</v>
      </c>
      <c r="F311" s="48" t="s">
        <v>40</v>
      </c>
      <c r="H311" s="11">
        <v>1860.2217000000003</v>
      </c>
      <c r="I311" s="14"/>
      <c r="J311" s="11"/>
      <c r="K311" s="14"/>
      <c r="L311" s="11"/>
      <c r="M311" s="14"/>
      <c r="N311" s="11"/>
      <c r="O311" s="14"/>
      <c r="P311" s="11">
        <v>291.94882235530247</v>
      </c>
      <c r="Q311" s="14"/>
      <c r="R311" s="11">
        <f t="shared" si="97"/>
        <v>0</v>
      </c>
      <c r="S311" s="14"/>
      <c r="T311" s="11">
        <f t="shared" si="98"/>
        <v>291.94882235577364</v>
      </c>
      <c r="U311" s="14"/>
      <c r="V311" s="26">
        <v>15.694302585319461</v>
      </c>
      <c r="W311" s="14"/>
      <c r="X311" s="13">
        <f t="shared" si="96"/>
        <v>1.0000000000016138</v>
      </c>
      <c r="Y311" s="14"/>
      <c r="Z311" s="11"/>
    </row>
    <row r="312" spans="2:26" x14ac:dyDescent="0.3">
      <c r="B312" s="62"/>
      <c r="D312" s="39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2:26" ht="12.9" thickBot="1" x14ac:dyDescent="0.35">
      <c r="B313" s="62">
        <f>MAX(B$18:B312)+1</f>
        <v>196</v>
      </c>
      <c r="D313" s="24" t="s">
        <v>115</v>
      </c>
      <c r="H313" s="74">
        <f>H292</f>
        <v>474030.03009036003</v>
      </c>
      <c r="I313" s="67"/>
      <c r="J313" s="74">
        <v>8682.7110475291411</v>
      </c>
      <c r="K313" s="68"/>
      <c r="L313" s="25">
        <f>J313/$H313*100</f>
        <v>1.8316795342847869</v>
      </c>
      <c r="M313" s="68"/>
      <c r="N313" s="74">
        <f>J313-P313</f>
        <v>-1102.8609666524044</v>
      </c>
      <c r="O313" s="12"/>
      <c r="P313" s="74">
        <f>SUM(P292,P305,P308:P311)</f>
        <v>9785.5720141815455</v>
      </c>
      <c r="Q313" s="12"/>
      <c r="R313" s="74">
        <f>SUM(R292,R305,R308:R311)</f>
        <v>1073.7222521318777</v>
      </c>
      <c r="S313" s="68"/>
      <c r="T313" s="74">
        <f>SUM(T292,T305,T308:T311)</f>
        <v>10858.830868034205</v>
      </c>
      <c r="U313" s="68"/>
      <c r="V313" s="25">
        <f>T313/$H313*100</f>
        <v>2.290747458755785</v>
      </c>
      <c r="W313" s="68"/>
      <c r="X313" s="75">
        <f t="shared" ref="X313" si="99">T313/P313</f>
        <v>1.1096776818255756</v>
      </c>
      <c r="Y313" s="14"/>
      <c r="Z313" s="31">
        <f>V313/L313-1</f>
        <v>0.25062676951852803</v>
      </c>
    </row>
    <row r="314" spans="2:26" ht="12.9" thickTop="1" x14ac:dyDescent="0.3">
      <c r="B314" s="62"/>
    </row>
    <row r="315" spans="2:26" x14ac:dyDescent="0.3">
      <c r="B315" s="62">
        <f>MAX(B$18:B314)+1</f>
        <v>197</v>
      </c>
      <c r="D315" s="2" t="s">
        <v>116</v>
      </c>
      <c r="H315" s="11">
        <f>H278</f>
        <v>5488.3135403600008</v>
      </c>
      <c r="J315" s="11">
        <v>818.32821437862526</v>
      </c>
      <c r="L315" s="27">
        <f>J315/$H315*100</f>
        <v>14.91037653663183</v>
      </c>
      <c r="N315" s="23">
        <f>J315-P315</f>
        <v>-70.725660331675499</v>
      </c>
      <c r="P315" s="23">
        <f>P273+P278+P283+P288+P296+P301+P308</f>
        <v>889.05387471030076</v>
      </c>
      <c r="Q315" s="23"/>
      <c r="R315" s="23">
        <f>R273+R278+R283+R288+R296+R301+R308</f>
        <v>0</v>
      </c>
      <c r="S315" s="23"/>
      <c r="T315" s="23">
        <f>T273+T278+T283+T288+T296+T301+T308</f>
        <v>888.81453934514161</v>
      </c>
      <c r="U315" s="23"/>
      <c r="V315" s="27">
        <f>T315/$H315*100</f>
        <v>16.194674972721049</v>
      </c>
      <c r="X315" s="13">
        <f>T315/P315</f>
        <v>0.99973079768058248</v>
      </c>
      <c r="Z315" s="35">
        <f>V315/L315-1</f>
        <v>8.6134540796736658E-2</v>
      </c>
    </row>
    <row r="316" spans="2:26" x14ac:dyDescent="0.3">
      <c r="B316" s="62">
        <f>MAX(B$18:B315)+1</f>
        <v>198</v>
      </c>
      <c r="D316" s="64" t="s">
        <v>117</v>
      </c>
      <c r="H316" s="11">
        <f>H279</f>
        <v>38111.583660000004</v>
      </c>
      <c r="J316" s="11">
        <v>602.54667405626219</v>
      </c>
      <c r="L316" s="27">
        <f t="shared" ref="L316:L318" si="100">J316/$H316*100</f>
        <v>1.5810066551725712</v>
      </c>
      <c r="N316" s="23">
        <f t="shared" ref="N316:N318" si="101">J316-P316</f>
        <v>-1604.5105123975475</v>
      </c>
      <c r="P316" s="23">
        <f>P274+P279+P284+P289+P297+P302+P309</f>
        <v>2207.0571864538097</v>
      </c>
      <c r="Q316" s="23"/>
      <c r="R316" s="23">
        <f>R274+R279+R284+R289+R297+R302+R309</f>
        <v>195.99999999999997</v>
      </c>
      <c r="S316" s="23"/>
      <c r="T316" s="23">
        <f>T274+T279+T284+T289+T297+T302+T309</f>
        <v>2403.0886675306097</v>
      </c>
      <c r="V316" s="27">
        <f>T316/$H316*100</f>
        <v>6.3054022865304606</v>
      </c>
      <c r="X316" s="13">
        <f t="shared" ref="X316:X318" si="102">T316/P316</f>
        <v>1.0888202998454126</v>
      </c>
      <c r="Z316" s="35">
        <f t="shared" ref="Z316:Z318" si="103">V316/L316-1</f>
        <v>2.9882199520799668</v>
      </c>
    </row>
    <row r="317" spans="2:26" x14ac:dyDescent="0.3">
      <c r="B317" s="62">
        <f>MAX(B$18:B316)+1</f>
        <v>199</v>
      </c>
      <c r="D317" s="64" t="s">
        <v>118</v>
      </c>
      <c r="H317" s="11">
        <f>H280</f>
        <v>301070.25951</v>
      </c>
      <c r="J317" s="11">
        <v>2189.1370718790631</v>
      </c>
      <c r="L317" s="27">
        <f t="shared" si="100"/>
        <v>0.72711833956696448</v>
      </c>
      <c r="N317" s="23">
        <f t="shared" si="101"/>
        <v>-1797.5056248388646</v>
      </c>
      <c r="P317" s="23">
        <f>P275+P280+P285+P290+P298+P303+P310</f>
        <v>3986.6426967179277</v>
      </c>
      <c r="Q317" s="23"/>
      <c r="R317" s="23">
        <f>R275+R280+R285+R290+R298+R303+R310</f>
        <v>895.39999999999986</v>
      </c>
      <c r="S317" s="23"/>
      <c r="T317" s="23">
        <f>T275+T280+T285+T290+T298+T303+T310</f>
        <v>4881.7871527265961</v>
      </c>
      <c r="V317" s="27">
        <f t="shared" ref="V317:V318" si="104">T317/$H317*100</f>
        <v>1.6214777111069809</v>
      </c>
      <c r="X317" s="13">
        <f t="shared" si="102"/>
        <v>1.2245359125726545</v>
      </c>
      <c r="Z317" s="35">
        <f t="shared" si="103"/>
        <v>1.2300052451883587</v>
      </c>
    </row>
    <row r="318" spans="2:26" x14ac:dyDescent="0.3">
      <c r="B318" s="62">
        <f>MAX(B$18:B317)+1</f>
        <v>200</v>
      </c>
      <c r="D318" s="64" t="s">
        <v>119</v>
      </c>
      <c r="H318" s="11">
        <f>H281</f>
        <v>129359.87338000002</v>
      </c>
      <c r="J318" s="11">
        <v>5072.699087215191</v>
      </c>
      <c r="L318" s="27">
        <f t="shared" si="100"/>
        <v>3.9213853219490455</v>
      </c>
      <c r="N318" s="23">
        <f t="shared" si="101"/>
        <v>2369.8808309156825</v>
      </c>
      <c r="P318" s="23">
        <f>P276+P281+P286+P291+P299+P304+P311</f>
        <v>2702.8182562995084</v>
      </c>
      <c r="Q318" s="23"/>
      <c r="R318" s="23">
        <f>R276+R281+R286+R291+R299+R304+R311</f>
        <v>-17.677747868121866</v>
      </c>
      <c r="S318" s="23"/>
      <c r="T318" s="23">
        <f>T276+T281+T286+T291+T299+T304+T311</f>
        <v>2685.1405084318581</v>
      </c>
      <c r="V318" s="27">
        <f t="shared" si="104"/>
        <v>2.0757136183522271</v>
      </c>
      <c r="X318" s="13">
        <f t="shared" si="102"/>
        <v>0.99345951292638768</v>
      </c>
      <c r="Z318" s="35">
        <f t="shared" si="103"/>
        <v>-0.47066828481916811</v>
      </c>
    </row>
    <row r="319" spans="2:26" x14ac:dyDescent="0.3">
      <c r="D319" s="64"/>
    </row>
    <row r="320" spans="2:26" x14ac:dyDescent="0.3">
      <c r="D320" s="10"/>
    </row>
    <row r="321" spans="2:26" x14ac:dyDescent="0.3">
      <c r="D321" s="38" t="s">
        <v>120</v>
      </c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2:26" x14ac:dyDescent="0.3">
      <c r="B322" s="62"/>
      <c r="D322" s="10" t="s">
        <v>33</v>
      </c>
      <c r="F322" s="48"/>
      <c r="H322" s="11"/>
      <c r="I322" s="14"/>
      <c r="J322" s="11"/>
      <c r="K322" s="14"/>
      <c r="L322" s="11"/>
      <c r="M322" s="14"/>
      <c r="N322" s="11"/>
      <c r="O322" s="14"/>
      <c r="P322" s="11"/>
      <c r="Q322" s="14"/>
      <c r="R322" s="11"/>
      <c r="S322" s="14"/>
      <c r="T322" s="11"/>
      <c r="U322" s="14"/>
      <c r="V322" s="71"/>
      <c r="W322" s="14"/>
      <c r="X322" s="13"/>
      <c r="Y322" s="14"/>
      <c r="Z322" s="11"/>
    </row>
    <row r="323" spans="2:26" x14ac:dyDescent="0.3">
      <c r="B323" s="62">
        <f>MAX(B$18:B322)+1</f>
        <v>201</v>
      </c>
      <c r="D323" s="16" t="s">
        <v>34</v>
      </c>
      <c r="F323" s="48" t="s">
        <v>35</v>
      </c>
      <c r="H323" s="11">
        <v>0</v>
      </c>
      <c r="I323" s="14"/>
      <c r="J323" s="11"/>
      <c r="K323" s="14"/>
      <c r="L323" s="11"/>
      <c r="M323" s="14"/>
      <c r="N323" s="11"/>
      <c r="O323" s="14"/>
      <c r="P323" s="11">
        <v>0</v>
      </c>
      <c r="Q323" s="14"/>
      <c r="R323" s="11">
        <f t="shared" ref="R323:R326" si="105">T323-P323</f>
        <v>0</v>
      </c>
      <c r="S323" s="14"/>
      <c r="T323" s="11">
        <f t="shared" ref="T323:T326" si="106">$H323*V323/1000</f>
        <v>0</v>
      </c>
      <c r="U323" s="14"/>
      <c r="V323" s="71">
        <v>500</v>
      </c>
      <c r="W323" s="14"/>
      <c r="X323" s="13" t="str">
        <f>IFERROR(T323/P323,"-")</f>
        <v>-</v>
      </c>
      <c r="Y323" s="14"/>
      <c r="Z323" s="11"/>
    </row>
    <row r="324" spans="2:26" x14ac:dyDescent="0.3">
      <c r="B324" s="62">
        <f>MAX(B$18:B323)+1</f>
        <v>202</v>
      </c>
      <c r="D324" s="16" t="s">
        <v>36</v>
      </c>
      <c r="F324" s="48" t="s">
        <v>35</v>
      </c>
      <c r="H324" s="11">
        <v>96</v>
      </c>
      <c r="I324" s="14"/>
      <c r="J324" s="11"/>
      <c r="K324" s="14"/>
      <c r="L324" s="11"/>
      <c r="M324" s="14"/>
      <c r="N324" s="11"/>
      <c r="O324" s="14"/>
      <c r="P324" s="11">
        <v>261.24404239764539</v>
      </c>
      <c r="Q324" s="14"/>
      <c r="R324" s="11">
        <f t="shared" si="105"/>
        <v>-213.24404239764539</v>
      </c>
      <c r="S324" s="14"/>
      <c r="T324" s="11">
        <f t="shared" si="106"/>
        <v>48</v>
      </c>
      <c r="U324" s="14"/>
      <c r="V324" s="71">
        <v>500</v>
      </c>
      <c r="W324" s="14"/>
      <c r="X324" s="13">
        <f t="shared" ref="X324:X336" si="107">IFERROR(T324/P324,"-")</f>
        <v>0.18373624737799046</v>
      </c>
      <c r="Y324" s="14"/>
      <c r="Z324" s="11"/>
    </row>
    <row r="325" spans="2:26" x14ac:dyDescent="0.3">
      <c r="B325" s="62">
        <f>MAX(B$18:B324)+1</f>
        <v>203</v>
      </c>
      <c r="D325" s="16" t="s">
        <v>37</v>
      </c>
      <c r="F325" s="48" t="s">
        <v>35</v>
      </c>
      <c r="H325" s="11">
        <v>396</v>
      </c>
      <c r="I325" s="14"/>
      <c r="J325" s="11"/>
      <c r="K325" s="14"/>
      <c r="L325" s="11"/>
      <c r="M325" s="14"/>
      <c r="N325" s="11"/>
      <c r="O325" s="14"/>
      <c r="P325" s="11">
        <v>1077.6316748902875</v>
      </c>
      <c r="Q325" s="14"/>
      <c r="R325" s="11">
        <f t="shared" si="105"/>
        <v>-879.63167489028751</v>
      </c>
      <c r="S325" s="14"/>
      <c r="T325" s="11">
        <f t="shared" si="106"/>
        <v>198</v>
      </c>
      <c r="U325" s="14"/>
      <c r="V325" s="71">
        <v>500</v>
      </c>
      <c r="W325" s="14"/>
      <c r="X325" s="13">
        <f t="shared" si="107"/>
        <v>0.18373624737799041</v>
      </c>
      <c r="Y325" s="14"/>
      <c r="Z325" s="11"/>
    </row>
    <row r="326" spans="2:26" x14ac:dyDescent="0.3">
      <c r="B326" s="62">
        <f>MAX(B$18:B325)+1</f>
        <v>204</v>
      </c>
      <c r="D326" s="16" t="s">
        <v>38</v>
      </c>
      <c r="F326" s="48" t="s">
        <v>35</v>
      </c>
      <c r="H326" s="11">
        <v>0</v>
      </c>
      <c r="I326" s="14"/>
      <c r="J326" s="11"/>
      <c r="K326" s="14"/>
      <c r="L326" s="11"/>
      <c r="M326" s="14"/>
      <c r="N326" s="11"/>
      <c r="O326" s="14"/>
      <c r="P326" s="11">
        <v>0</v>
      </c>
      <c r="Q326" s="14"/>
      <c r="R326" s="11">
        <f t="shared" si="105"/>
        <v>0</v>
      </c>
      <c r="S326" s="14"/>
      <c r="T326" s="11">
        <f t="shared" si="106"/>
        <v>0</v>
      </c>
      <c r="U326" s="14"/>
      <c r="V326" s="71">
        <v>500</v>
      </c>
      <c r="W326" s="14"/>
      <c r="X326" s="13" t="str">
        <f t="shared" si="107"/>
        <v>-</v>
      </c>
      <c r="Y326" s="14"/>
      <c r="Z326" s="11"/>
    </row>
    <row r="327" spans="2:26" x14ac:dyDescent="0.3">
      <c r="B327" s="62"/>
      <c r="D327" s="10" t="s">
        <v>112</v>
      </c>
      <c r="F327" s="48"/>
      <c r="H327" s="11"/>
      <c r="I327" s="14"/>
      <c r="J327" s="11"/>
      <c r="K327" s="14"/>
      <c r="L327" s="11"/>
      <c r="M327" s="14"/>
      <c r="N327" s="11"/>
      <c r="O327" s="14"/>
      <c r="P327" s="11"/>
      <c r="Q327" s="14"/>
      <c r="R327" s="11"/>
      <c r="S327" s="14"/>
      <c r="T327" s="11"/>
      <c r="U327" s="14"/>
      <c r="V327" s="26"/>
      <c r="W327" s="14"/>
      <c r="X327" s="13"/>
      <c r="Y327" s="14"/>
      <c r="Z327" s="11"/>
    </row>
    <row r="328" spans="2:26" x14ac:dyDescent="0.3">
      <c r="B328" s="62">
        <f>MAX(B$18:B327)+1</f>
        <v>205</v>
      </c>
      <c r="D328" s="16" t="s">
        <v>34</v>
      </c>
      <c r="F328" s="48" t="s">
        <v>40</v>
      </c>
      <c r="H328" s="11">
        <v>0</v>
      </c>
      <c r="I328" s="14"/>
      <c r="J328" s="11"/>
      <c r="K328" s="14"/>
      <c r="L328" s="11"/>
      <c r="M328" s="14"/>
      <c r="N328" s="11"/>
      <c r="O328" s="14"/>
      <c r="P328" s="11">
        <v>0</v>
      </c>
      <c r="Q328" s="14"/>
      <c r="R328" s="11">
        <f t="shared" ref="R328:R331" si="108">T328-P328</f>
        <v>0</v>
      </c>
      <c r="S328" s="14"/>
      <c r="T328" s="11">
        <f t="shared" ref="T328:T331" si="109">$H328*V328/100</f>
        <v>0</v>
      </c>
      <c r="U328" s="14"/>
      <c r="V328" s="26">
        <v>6.6846298017213632E-2</v>
      </c>
      <c r="W328" s="14"/>
      <c r="X328" s="13" t="str">
        <f t="shared" si="107"/>
        <v>-</v>
      </c>
      <c r="Y328" s="14"/>
      <c r="Z328" s="11"/>
    </row>
    <row r="329" spans="2:26" x14ac:dyDescent="0.3">
      <c r="B329" s="62">
        <f>MAX(B$18:B328)+1</f>
        <v>206</v>
      </c>
      <c r="D329" s="16" t="s">
        <v>36</v>
      </c>
      <c r="F329" s="48" t="s">
        <v>40</v>
      </c>
      <c r="H329" s="11">
        <v>8461.6675999999989</v>
      </c>
      <c r="I329" s="14"/>
      <c r="J329" s="11"/>
      <c r="K329" s="14"/>
      <c r="L329" s="11"/>
      <c r="M329" s="14"/>
      <c r="N329" s="11"/>
      <c r="O329" s="14"/>
      <c r="P329" s="11">
        <v>5.6563115411220082</v>
      </c>
      <c r="Q329" s="14"/>
      <c r="R329" s="11">
        <f t="shared" si="108"/>
        <v>0</v>
      </c>
      <c r="S329" s="14"/>
      <c r="T329" s="11">
        <f t="shared" si="109"/>
        <v>5.6563115411220073</v>
      </c>
      <c r="U329" s="14"/>
      <c r="V329" s="26">
        <v>6.6846298017213632E-2</v>
      </c>
      <c r="W329" s="14"/>
      <c r="X329" s="13">
        <f t="shared" si="107"/>
        <v>0.99999999999999989</v>
      </c>
      <c r="Y329" s="14"/>
      <c r="Z329" s="11"/>
    </row>
    <row r="330" spans="2:26" x14ac:dyDescent="0.3">
      <c r="B330" s="62">
        <f>MAX(B$18:B329)+1</f>
        <v>207</v>
      </c>
      <c r="D330" s="16" t="s">
        <v>37</v>
      </c>
      <c r="F330" s="48" t="s">
        <v>40</v>
      </c>
      <c r="H330" s="11">
        <v>44184.829520000007</v>
      </c>
      <c r="I330" s="14"/>
      <c r="J330" s="11"/>
      <c r="K330" s="14"/>
      <c r="L330" s="11"/>
      <c r="M330" s="14"/>
      <c r="N330" s="11"/>
      <c r="O330" s="14"/>
      <c r="P330" s="11">
        <v>29.535922819336989</v>
      </c>
      <c r="Q330" s="14"/>
      <c r="R330" s="11">
        <f t="shared" si="108"/>
        <v>0</v>
      </c>
      <c r="S330" s="14"/>
      <c r="T330" s="11">
        <f t="shared" si="109"/>
        <v>29.535922819336989</v>
      </c>
      <c r="U330" s="14"/>
      <c r="V330" s="26">
        <v>6.6846298017213632E-2</v>
      </c>
      <c r="W330" s="14"/>
      <c r="X330" s="13">
        <f t="shared" si="107"/>
        <v>1</v>
      </c>
      <c r="Y330" s="14"/>
      <c r="Z330" s="11"/>
    </row>
    <row r="331" spans="2:26" x14ac:dyDescent="0.3">
      <c r="B331" s="62">
        <f>MAX(B$18:B330)+1</f>
        <v>208</v>
      </c>
      <c r="D331" s="16" t="s">
        <v>38</v>
      </c>
      <c r="F331" s="48" t="s">
        <v>40</v>
      </c>
      <c r="H331" s="11">
        <v>2174.0189</v>
      </c>
      <c r="I331" s="14"/>
      <c r="J331" s="11"/>
      <c r="K331" s="14"/>
      <c r="L331" s="11"/>
      <c r="M331" s="14"/>
      <c r="N331" s="11"/>
      <c r="O331" s="14"/>
      <c r="P331" s="11">
        <v>1.4532511528445498</v>
      </c>
      <c r="Q331" s="14"/>
      <c r="R331" s="11">
        <f t="shared" si="108"/>
        <v>0</v>
      </c>
      <c r="S331" s="14"/>
      <c r="T331" s="11">
        <f t="shared" si="109"/>
        <v>1.4532511528445498</v>
      </c>
      <c r="U331" s="14"/>
      <c r="V331" s="26">
        <v>6.6846298017213632E-2</v>
      </c>
      <c r="W331" s="14"/>
      <c r="X331" s="13">
        <f t="shared" si="107"/>
        <v>1</v>
      </c>
      <c r="Y331" s="14"/>
      <c r="Z331" s="11"/>
    </row>
    <row r="332" spans="2:26" x14ac:dyDescent="0.3">
      <c r="B332" s="62"/>
      <c r="D332" s="10" t="s">
        <v>121</v>
      </c>
      <c r="F332" s="48"/>
      <c r="H332" s="11"/>
      <c r="I332" s="14"/>
      <c r="J332" s="11"/>
      <c r="K332" s="14"/>
      <c r="L332" s="11"/>
      <c r="M332" s="14"/>
      <c r="N332" s="11"/>
      <c r="O332" s="14"/>
      <c r="P332" s="11"/>
      <c r="Q332" s="14"/>
      <c r="R332" s="11"/>
      <c r="S332" s="14"/>
      <c r="T332" s="11"/>
      <c r="U332" s="14"/>
      <c r="V332" s="26"/>
      <c r="W332" s="14"/>
      <c r="X332" s="13"/>
      <c r="Y332" s="14"/>
      <c r="Z332" s="11"/>
    </row>
    <row r="333" spans="2:26" x14ac:dyDescent="0.3">
      <c r="B333" s="62">
        <f>MAX(B$18:B332)+1</f>
        <v>209</v>
      </c>
      <c r="D333" s="16" t="s">
        <v>34</v>
      </c>
      <c r="F333" s="48" t="s">
        <v>42</v>
      </c>
      <c r="H333" s="11">
        <v>0</v>
      </c>
      <c r="I333" s="14"/>
      <c r="J333" s="11"/>
      <c r="K333" s="14"/>
      <c r="L333" s="11"/>
      <c r="M333" s="14"/>
      <c r="N333" s="11"/>
      <c r="O333" s="14"/>
      <c r="P333" s="11">
        <v>0</v>
      </c>
      <c r="Q333" s="14"/>
      <c r="R333" s="11">
        <f t="shared" ref="R333:R336" si="110">T333-P333</f>
        <v>0</v>
      </c>
      <c r="S333" s="14"/>
      <c r="T333" s="11">
        <f t="shared" ref="T333:T336" si="111">$H333*V333/100</f>
        <v>0</v>
      </c>
      <c r="U333" s="14"/>
      <c r="V333" s="26">
        <v>4.6875498084643361</v>
      </c>
      <c r="W333" s="14"/>
      <c r="X333" s="13" t="str">
        <f t="shared" si="107"/>
        <v>-</v>
      </c>
      <c r="Y333" s="14"/>
      <c r="Z333" s="11"/>
    </row>
    <row r="334" spans="2:26" x14ac:dyDescent="0.3">
      <c r="B334" s="62">
        <f>MAX(B$18:B333)+1</f>
        <v>210</v>
      </c>
      <c r="D334" s="16" t="s">
        <v>36</v>
      </c>
      <c r="F334" s="48" t="s">
        <v>42</v>
      </c>
      <c r="H334" s="11">
        <v>1600.2</v>
      </c>
      <c r="I334" s="14"/>
      <c r="J334" s="11"/>
      <c r="K334" s="14"/>
      <c r="L334" s="11"/>
      <c r="M334" s="14"/>
      <c r="N334" s="11"/>
      <c r="O334" s="14"/>
      <c r="P334" s="11">
        <v>177.37440020433675</v>
      </c>
      <c r="Q334" s="14"/>
      <c r="R334" s="11">
        <f t="shared" si="110"/>
        <v>17.203662056071749</v>
      </c>
      <c r="S334" s="14"/>
      <c r="T334" s="11">
        <f t="shared" si="111"/>
        <v>194.5780622604085</v>
      </c>
      <c r="U334" s="14"/>
      <c r="V334" s="26">
        <v>12.159608940158012</v>
      </c>
      <c r="W334" s="14"/>
      <c r="X334" s="13">
        <f t="shared" si="107"/>
        <v>1.0969906707859363</v>
      </c>
      <c r="Y334" s="14"/>
      <c r="Z334" s="11"/>
    </row>
    <row r="335" spans="2:26" x14ac:dyDescent="0.3">
      <c r="B335" s="62">
        <f>MAX(B$18:B334)+1</f>
        <v>211</v>
      </c>
      <c r="D335" s="16" t="s">
        <v>37</v>
      </c>
      <c r="F335" s="48" t="s">
        <v>42</v>
      </c>
      <c r="H335" s="11">
        <v>9453.9228000000003</v>
      </c>
      <c r="I335" s="14"/>
      <c r="J335" s="11"/>
      <c r="K335" s="14"/>
      <c r="L335" s="11"/>
      <c r="M335" s="14"/>
      <c r="N335" s="11"/>
      <c r="O335" s="14"/>
      <c r="P335" s="11">
        <v>1071.3010066430481</v>
      </c>
      <c r="Q335" s="14"/>
      <c r="R335" s="11">
        <f t="shared" si="110"/>
        <v>-17.651635676973683</v>
      </c>
      <c r="S335" s="14"/>
      <c r="T335" s="11">
        <f t="shared" si="111"/>
        <v>1053.6493709660745</v>
      </c>
      <c r="U335" s="14"/>
      <c r="V335" s="26">
        <v>11.145102337477034</v>
      </c>
      <c r="W335" s="14"/>
      <c r="X335" s="13">
        <f t="shared" si="107"/>
        <v>0.98352317829674629</v>
      </c>
      <c r="Y335" s="14"/>
      <c r="Z335" s="11"/>
    </row>
    <row r="336" spans="2:26" x14ac:dyDescent="0.3">
      <c r="B336" s="62">
        <f>MAX(B$18:B335)+1</f>
        <v>212</v>
      </c>
      <c r="D336" s="16" t="s">
        <v>38</v>
      </c>
      <c r="F336" s="48" t="s">
        <v>42</v>
      </c>
      <c r="H336" s="11">
        <v>952</v>
      </c>
      <c r="I336" s="14"/>
      <c r="J336" s="11"/>
      <c r="K336" s="14"/>
      <c r="L336" s="11"/>
      <c r="M336" s="14"/>
      <c r="N336" s="11"/>
      <c r="O336" s="14"/>
      <c r="P336" s="11">
        <v>105.21212497159411</v>
      </c>
      <c r="Q336" s="14"/>
      <c r="R336" s="11">
        <f t="shared" si="110"/>
        <v>14.999999999999986</v>
      </c>
      <c r="S336" s="14"/>
      <c r="T336" s="11">
        <f t="shared" si="111"/>
        <v>120.21212497159409</v>
      </c>
      <c r="U336" s="14"/>
      <c r="V336" s="26">
        <v>12.627324051638036</v>
      </c>
      <c r="W336" s="14"/>
      <c r="X336" s="13">
        <f t="shared" si="107"/>
        <v>1.1425691193296379</v>
      </c>
      <c r="Y336" s="14"/>
      <c r="Z336" s="11"/>
    </row>
    <row r="337" spans="2:26" x14ac:dyDescent="0.3">
      <c r="B337" s="62">
        <f>MAX(B$18:B336)+1</f>
        <v>213</v>
      </c>
      <c r="C337" s="64"/>
      <c r="D337" s="10" t="s">
        <v>43</v>
      </c>
      <c r="E337" s="62"/>
      <c r="F337" s="17"/>
      <c r="G337" s="62"/>
      <c r="H337" s="72">
        <f>SUM(H328:H331)</f>
        <v>54820.51602000001</v>
      </c>
      <c r="I337" s="67"/>
      <c r="J337" s="11"/>
      <c r="K337" s="67"/>
      <c r="L337" s="11"/>
      <c r="M337" s="68"/>
      <c r="N337" s="11"/>
      <c r="O337" s="12"/>
      <c r="P337" s="72">
        <f>SUM(P323:P336)</f>
        <v>2729.4087346202155</v>
      </c>
      <c r="Q337" s="12"/>
      <c r="R337" s="72">
        <f>SUM(R323:R336)</f>
        <v>-1078.3236909088348</v>
      </c>
      <c r="S337" s="68"/>
      <c r="T337" s="72">
        <f>SUM(T323:T336)</f>
        <v>1651.0850437113804</v>
      </c>
      <c r="U337" s="68"/>
      <c r="V337" s="20">
        <f>T337/$H337*100</f>
        <v>3.0118013539110429</v>
      </c>
      <c r="W337" s="68"/>
      <c r="X337" s="73">
        <f t="shared" ref="X337" si="112">T337/P337</f>
        <v>0.60492407119856351</v>
      </c>
      <c r="Y337" s="14"/>
      <c r="Z337" s="11"/>
    </row>
    <row r="338" spans="2:26" x14ac:dyDescent="0.3">
      <c r="B338" s="62"/>
      <c r="C338" s="64"/>
      <c r="D338" s="10"/>
      <c r="E338" s="62"/>
      <c r="F338" s="17"/>
      <c r="G338" s="62"/>
      <c r="H338" s="68"/>
      <c r="I338" s="67"/>
      <c r="J338" s="11"/>
      <c r="K338" s="67"/>
      <c r="L338" s="11"/>
      <c r="M338" s="68"/>
      <c r="N338" s="11"/>
      <c r="O338" s="12"/>
      <c r="P338" s="68"/>
      <c r="Q338" s="12"/>
      <c r="R338" s="68"/>
      <c r="S338" s="68"/>
      <c r="T338" s="68"/>
      <c r="U338" s="68"/>
      <c r="V338" s="26"/>
      <c r="W338" s="68"/>
      <c r="X338" s="77"/>
      <c r="Y338" s="14"/>
      <c r="Z338" s="11"/>
    </row>
    <row r="339" spans="2:26" x14ac:dyDescent="0.3">
      <c r="B339" s="62"/>
      <c r="C339" s="64"/>
      <c r="D339" s="10" t="s">
        <v>44</v>
      </c>
      <c r="E339" s="62"/>
      <c r="F339" s="70"/>
      <c r="G339" s="62"/>
      <c r="H339" s="11"/>
      <c r="I339" s="67"/>
      <c r="J339" s="18"/>
      <c r="K339" s="67"/>
      <c r="L339" s="67"/>
      <c r="M339" s="68"/>
      <c r="N339" s="19"/>
      <c r="O339" s="12"/>
      <c r="P339" s="11"/>
      <c r="Q339" s="12"/>
      <c r="R339" s="11"/>
      <c r="S339" s="68"/>
      <c r="T339" s="11"/>
      <c r="U339" s="68"/>
      <c r="V339" s="21"/>
      <c r="W339" s="68"/>
      <c r="X339" s="13"/>
      <c r="Y339" s="14"/>
      <c r="Z339" s="19"/>
    </row>
    <row r="340" spans="2:26" x14ac:dyDescent="0.3">
      <c r="B340" s="62">
        <f>MAX(B$18:B339)+1</f>
        <v>214</v>
      </c>
      <c r="D340" s="22" t="s">
        <v>45</v>
      </c>
      <c r="E340" s="62"/>
      <c r="F340" s="70"/>
      <c r="H340" s="11"/>
      <c r="I340" s="14"/>
      <c r="J340" s="11"/>
      <c r="K340" s="14"/>
      <c r="L340" s="11"/>
      <c r="M340" s="14"/>
      <c r="N340" s="11"/>
      <c r="O340" s="14"/>
      <c r="P340" s="11"/>
      <c r="Q340" s="14"/>
      <c r="R340" s="11"/>
      <c r="S340" s="14"/>
      <c r="T340" s="11"/>
      <c r="U340" s="14"/>
      <c r="V340" s="26"/>
      <c r="W340" s="14"/>
      <c r="X340" s="11"/>
      <c r="Y340" s="14"/>
      <c r="Z340" s="11"/>
    </row>
    <row r="341" spans="2:26" x14ac:dyDescent="0.3">
      <c r="B341" s="62">
        <f>MAX(B$18:B340)+1</f>
        <v>215</v>
      </c>
      <c r="D341" s="16" t="s">
        <v>34</v>
      </c>
      <c r="E341" s="62"/>
      <c r="F341" s="70" t="s">
        <v>40</v>
      </c>
      <c r="H341" s="11">
        <v>0</v>
      </c>
      <c r="I341" s="14"/>
      <c r="J341" s="11"/>
      <c r="K341" s="14"/>
      <c r="L341" s="11"/>
      <c r="M341" s="14"/>
      <c r="N341" s="11"/>
      <c r="O341" s="14"/>
      <c r="P341" s="11">
        <v>0</v>
      </c>
      <c r="Q341" s="14"/>
      <c r="R341" s="11">
        <f t="shared" ref="R341:R349" si="113">T341-P341</f>
        <v>0</v>
      </c>
      <c r="S341" s="14"/>
      <c r="T341" s="11">
        <f t="shared" ref="T341:T349" si="114">$H341*V341/100</f>
        <v>0</v>
      </c>
      <c r="U341" s="14"/>
      <c r="V341" s="26">
        <f>V342+(V296-V297)</f>
        <v>1.7132619778378064</v>
      </c>
      <c r="W341" s="14"/>
      <c r="X341" s="11" t="str">
        <f>IFERROR(T341/P341,"-")</f>
        <v>-</v>
      </c>
      <c r="Y341" s="14"/>
      <c r="Z341" s="11"/>
    </row>
    <row r="342" spans="2:26" x14ac:dyDescent="0.3">
      <c r="B342" s="62">
        <f>MAX(B$18:B341)+1</f>
        <v>216</v>
      </c>
      <c r="D342" s="16" t="s">
        <v>36</v>
      </c>
      <c r="E342" s="62"/>
      <c r="F342" s="70" t="s">
        <v>40</v>
      </c>
      <c r="H342" s="11">
        <v>8461.6675999999989</v>
      </c>
      <c r="I342" s="14"/>
      <c r="J342" s="11"/>
      <c r="K342" s="14"/>
      <c r="L342" s="11"/>
      <c r="M342" s="14"/>
      <c r="N342" s="11"/>
      <c r="O342" s="14"/>
      <c r="P342" s="11">
        <v>384.94351773837184</v>
      </c>
      <c r="Q342" s="14"/>
      <c r="R342" s="11">
        <f t="shared" si="113"/>
        <v>0</v>
      </c>
      <c r="S342" s="14"/>
      <c r="T342" s="11">
        <f t="shared" si="114"/>
        <v>384.9435177383719</v>
      </c>
      <c r="U342" s="14"/>
      <c r="V342" s="26">
        <v>4.549263052337011</v>
      </c>
      <c r="W342" s="14"/>
      <c r="X342" s="13">
        <f t="shared" ref="X342:X348" si="115">IFERROR(T342/P342,"-")</f>
        <v>1.0000000000000002</v>
      </c>
      <c r="Y342" s="14"/>
      <c r="Z342" s="11"/>
    </row>
    <row r="343" spans="2:26" x14ac:dyDescent="0.3">
      <c r="B343" s="62">
        <f>MAX(B$18:B342)+1</f>
        <v>217</v>
      </c>
      <c r="D343" s="16" t="s">
        <v>37</v>
      </c>
      <c r="E343" s="62"/>
      <c r="F343" s="70" t="s">
        <v>40</v>
      </c>
      <c r="H343" s="11">
        <v>44184.829519999999</v>
      </c>
      <c r="I343" s="14"/>
      <c r="J343" s="11"/>
      <c r="K343" s="14"/>
      <c r="L343" s="11"/>
      <c r="M343" s="14"/>
      <c r="N343" s="11"/>
      <c r="O343" s="14"/>
      <c r="P343" s="11">
        <v>196.75773297097152</v>
      </c>
      <c r="Q343" s="14"/>
      <c r="R343" s="11">
        <f t="shared" si="113"/>
        <v>0</v>
      </c>
      <c r="S343" s="14"/>
      <c r="T343" s="11">
        <f t="shared" si="114"/>
        <v>196.75773297097152</v>
      </c>
      <c r="U343" s="14"/>
      <c r="V343" s="26">
        <v>0.44530608154074758</v>
      </c>
      <c r="W343" s="14"/>
      <c r="X343" s="13">
        <f t="shared" si="115"/>
        <v>1</v>
      </c>
      <c r="Y343" s="14"/>
      <c r="Z343" s="11"/>
    </row>
    <row r="344" spans="2:26" x14ac:dyDescent="0.3">
      <c r="B344" s="62">
        <f>MAX(B$18:B343)+1</f>
        <v>218</v>
      </c>
      <c r="D344" s="16" t="s">
        <v>38</v>
      </c>
      <c r="E344" s="62"/>
      <c r="F344" s="70" t="s">
        <v>40</v>
      </c>
      <c r="H344" s="11">
        <v>2174.0189</v>
      </c>
      <c r="I344" s="14"/>
      <c r="J344" s="11"/>
      <c r="K344" s="14"/>
      <c r="L344" s="11"/>
      <c r="M344" s="14"/>
      <c r="N344" s="11"/>
      <c r="O344" s="14"/>
      <c r="P344" s="11">
        <v>2.5421485345057957</v>
      </c>
      <c r="Q344" s="14"/>
      <c r="R344" s="11">
        <f t="shared" si="113"/>
        <v>0</v>
      </c>
      <c r="S344" s="14"/>
      <c r="T344" s="11">
        <f t="shared" si="114"/>
        <v>2.5421485345057957</v>
      </c>
      <c r="U344" s="14"/>
      <c r="V344" s="26">
        <v>0.11693313864501342</v>
      </c>
      <c r="W344" s="14"/>
      <c r="X344" s="13">
        <f t="shared" si="115"/>
        <v>1</v>
      </c>
      <c r="Y344" s="14"/>
      <c r="Z344" s="11"/>
    </row>
    <row r="345" spans="2:26" x14ac:dyDescent="0.3">
      <c r="B345" s="62"/>
      <c r="D345" s="22" t="s">
        <v>46</v>
      </c>
      <c r="E345" s="62"/>
      <c r="F345" s="70"/>
      <c r="H345" s="11"/>
      <c r="I345" s="14"/>
      <c r="J345" s="11"/>
      <c r="K345" s="14"/>
      <c r="L345" s="11"/>
      <c r="M345" s="14"/>
      <c r="N345" s="11"/>
      <c r="O345" s="14"/>
      <c r="P345" s="11"/>
      <c r="Q345" s="14"/>
      <c r="R345" s="11"/>
      <c r="S345" s="14"/>
      <c r="T345" s="11"/>
      <c r="U345" s="14"/>
      <c r="V345" s="26"/>
      <c r="W345" s="14"/>
      <c r="X345" s="11"/>
      <c r="Y345" s="14"/>
      <c r="Z345" s="11"/>
    </row>
    <row r="346" spans="2:26" x14ac:dyDescent="0.3">
      <c r="B346" s="62">
        <f>MAX(B$18:B345)+1</f>
        <v>219</v>
      </c>
      <c r="D346" s="16" t="s">
        <v>34</v>
      </c>
      <c r="E346" s="62"/>
      <c r="F346" s="70" t="s">
        <v>40</v>
      </c>
      <c r="H346" s="11">
        <v>0</v>
      </c>
      <c r="I346" s="14"/>
      <c r="J346" s="11"/>
      <c r="K346" s="14"/>
      <c r="L346" s="11"/>
      <c r="M346" s="14"/>
      <c r="N346" s="11"/>
      <c r="O346" s="14"/>
      <c r="P346" s="11">
        <v>0</v>
      </c>
      <c r="Q346" s="14"/>
      <c r="R346" s="11">
        <f t="shared" si="113"/>
        <v>0</v>
      </c>
      <c r="S346" s="14"/>
      <c r="T346" s="11">
        <f t="shared" si="114"/>
        <v>0</v>
      </c>
      <c r="U346" s="14"/>
      <c r="V346" s="26">
        <v>2.5919054930057994</v>
      </c>
      <c r="W346" s="14"/>
      <c r="X346" s="11" t="str">
        <f t="shared" si="115"/>
        <v>-</v>
      </c>
      <c r="Y346" s="14"/>
      <c r="Z346" s="11"/>
    </row>
    <row r="347" spans="2:26" x14ac:dyDescent="0.3">
      <c r="B347" s="62">
        <f>MAX(B$18:B346)+1</f>
        <v>220</v>
      </c>
      <c r="D347" s="16" t="s">
        <v>36</v>
      </c>
      <c r="E347" s="62"/>
      <c r="F347" s="70" t="s">
        <v>40</v>
      </c>
      <c r="H347" s="11">
        <v>0</v>
      </c>
      <c r="I347" s="14"/>
      <c r="J347" s="11"/>
      <c r="K347" s="14"/>
      <c r="L347" s="11"/>
      <c r="M347" s="14"/>
      <c r="N347" s="11"/>
      <c r="O347" s="14"/>
      <c r="P347" s="11">
        <v>0</v>
      </c>
      <c r="Q347" s="14"/>
      <c r="R347" s="11">
        <f t="shared" si="113"/>
        <v>0</v>
      </c>
      <c r="S347" s="14"/>
      <c r="T347" s="11">
        <f t="shared" si="114"/>
        <v>0</v>
      </c>
      <c r="U347" s="14"/>
      <c r="V347" s="26">
        <v>7.1411685453428104</v>
      </c>
      <c r="W347" s="14"/>
      <c r="X347" s="11" t="str">
        <f t="shared" si="115"/>
        <v>-</v>
      </c>
      <c r="Y347" s="14"/>
      <c r="Z347" s="11"/>
    </row>
    <row r="348" spans="2:26" x14ac:dyDescent="0.3">
      <c r="B348" s="62">
        <f>MAX(B$18:B347)+1</f>
        <v>221</v>
      </c>
      <c r="D348" s="16" t="s">
        <v>37</v>
      </c>
      <c r="E348" s="62"/>
      <c r="F348" s="70" t="s">
        <v>40</v>
      </c>
      <c r="H348" s="11">
        <v>0</v>
      </c>
      <c r="I348" s="14"/>
      <c r="J348" s="11"/>
      <c r="K348" s="14"/>
      <c r="L348" s="11"/>
      <c r="M348" s="14"/>
      <c r="N348" s="11"/>
      <c r="O348" s="14"/>
      <c r="P348" s="11">
        <v>0</v>
      </c>
      <c r="Q348" s="14"/>
      <c r="R348" s="11">
        <f t="shared" si="113"/>
        <v>0</v>
      </c>
      <c r="S348" s="14"/>
      <c r="T348" s="11">
        <f t="shared" si="114"/>
        <v>0</v>
      </c>
      <c r="U348" s="14"/>
      <c r="V348" s="26">
        <v>3.0372115745465469</v>
      </c>
      <c r="W348" s="14"/>
      <c r="X348" s="11" t="str">
        <f t="shared" si="115"/>
        <v>-</v>
      </c>
      <c r="Y348" s="14"/>
      <c r="Z348" s="11"/>
    </row>
    <row r="349" spans="2:26" x14ac:dyDescent="0.3">
      <c r="B349" s="62">
        <f>MAX(B$18:B348)+1</f>
        <v>222</v>
      </c>
      <c r="D349" s="16" t="s">
        <v>38</v>
      </c>
      <c r="E349" s="62"/>
      <c r="F349" s="70" t="s">
        <v>40</v>
      </c>
      <c r="H349" s="11">
        <v>0</v>
      </c>
      <c r="I349" s="14"/>
      <c r="J349" s="11"/>
      <c r="K349" s="14"/>
      <c r="L349" s="11"/>
      <c r="M349" s="14"/>
      <c r="N349" s="11"/>
      <c r="O349" s="14"/>
      <c r="P349" s="11">
        <v>0</v>
      </c>
      <c r="Q349" s="14"/>
      <c r="R349" s="11">
        <f t="shared" si="113"/>
        <v>0</v>
      </c>
      <c r="S349" s="14"/>
      <c r="T349" s="11">
        <f t="shared" si="114"/>
        <v>0</v>
      </c>
      <c r="U349" s="14"/>
      <c r="V349" s="26">
        <v>2.7088386316508126</v>
      </c>
      <c r="W349" s="14"/>
      <c r="X349" s="11" t="str">
        <f>IFERROR(T349/P349,"-")</f>
        <v>-</v>
      </c>
      <c r="Y349" s="14"/>
      <c r="Z349" s="11"/>
    </row>
    <row r="350" spans="2:26" x14ac:dyDescent="0.3">
      <c r="B350" s="62">
        <f>MAX(B$18:B349)+1</f>
        <v>223</v>
      </c>
      <c r="C350" s="64"/>
      <c r="D350" s="10" t="s">
        <v>44</v>
      </c>
      <c r="E350" s="62"/>
      <c r="F350" s="17"/>
      <c r="G350" s="62"/>
      <c r="H350" s="72">
        <f>SUM(H341:H345)</f>
        <v>54820.516020000003</v>
      </c>
      <c r="I350" s="67"/>
      <c r="J350" s="11"/>
      <c r="K350" s="67"/>
      <c r="L350" s="11"/>
      <c r="M350" s="68"/>
      <c r="N350" s="11"/>
      <c r="O350" s="12"/>
      <c r="P350" s="72">
        <f>SUM(P341:P349)</f>
        <v>584.24339924384924</v>
      </c>
      <c r="Q350" s="12"/>
      <c r="R350" s="72">
        <f>SUM(R341:R349)</f>
        <v>0</v>
      </c>
      <c r="S350" s="68"/>
      <c r="T350" s="72">
        <f>SUM(T341:T349)</f>
        <v>584.24339924384924</v>
      </c>
      <c r="U350" s="68"/>
      <c r="V350" s="20">
        <f>T350/$H350*100</f>
        <v>1.0657385987222403</v>
      </c>
      <c r="W350" s="68"/>
      <c r="X350" s="73">
        <f t="shared" ref="X350" si="116">T350/P350</f>
        <v>1</v>
      </c>
      <c r="Y350" s="14"/>
      <c r="Z350" s="11"/>
    </row>
    <row r="351" spans="2:26" x14ac:dyDescent="0.3">
      <c r="B351" s="62"/>
      <c r="D351" s="39"/>
      <c r="F351" s="48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36"/>
      <c r="W351" s="14"/>
      <c r="X351" s="14"/>
      <c r="Y351" s="14"/>
      <c r="Z351" s="14"/>
    </row>
    <row r="352" spans="2:26" x14ac:dyDescent="0.3">
      <c r="B352" s="62"/>
      <c r="D352" s="10" t="s">
        <v>48</v>
      </c>
      <c r="F352" s="48"/>
      <c r="H352" s="11"/>
      <c r="I352" s="14"/>
      <c r="J352" s="11"/>
      <c r="K352" s="14"/>
      <c r="L352" s="11"/>
      <c r="M352" s="14"/>
      <c r="N352" s="11"/>
      <c r="O352" s="14"/>
      <c r="P352" s="11"/>
      <c r="Q352" s="14"/>
      <c r="R352" s="11"/>
      <c r="S352" s="14"/>
      <c r="T352" s="11"/>
      <c r="U352" s="14"/>
      <c r="V352" s="26"/>
      <c r="W352" s="14"/>
      <c r="X352" s="13"/>
      <c r="Y352" s="14"/>
      <c r="Z352" s="11"/>
    </row>
    <row r="353" spans="2:26" x14ac:dyDescent="0.3">
      <c r="B353" s="62">
        <f>MAX(B$18:B352)+1</f>
        <v>224</v>
      </c>
      <c r="D353" s="16" t="s">
        <v>34</v>
      </c>
      <c r="F353" s="70" t="s">
        <v>40</v>
      </c>
      <c r="H353" s="11">
        <v>0</v>
      </c>
      <c r="I353" s="14"/>
      <c r="J353" s="11"/>
      <c r="K353" s="14"/>
      <c r="L353" s="11"/>
      <c r="M353" s="14"/>
      <c r="N353" s="11"/>
      <c r="O353" s="14"/>
      <c r="P353" s="11">
        <v>0</v>
      </c>
      <c r="Q353" s="14"/>
      <c r="R353" s="11">
        <f>ROUND(T353-P353,0)</f>
        <v>0</v>
      </c>
      <c r="S353" s="14"/>
      <c r="T353" s="11">
        <f t="shared" ref="T353:T356" si="117">$H353*V353/100</f>
        <v>0</v>
      </c>
      <c r="U353" s="14"/>
      <c r="V353" s="26">
        <v>13.431863087937938</v>
      </c>
      <c r="W353" s="14"/>
      <c r="X353" s="13" t="str">
        <f>IFERROR(T353/P353,"-")</f>
        <v>-</v>
      </c>
      <c r="Y353" s="14"/>
      <c r="Z353" s="11"/>
    </row>
    <row r="354" spans="2:26" x14ac:dyDescent="0.3">
      <c r="B354" s="62">
        <f>MAX(B$18:B353)+1</f>
        <v>225</v>
      </c>
      <c r="D354" s="16" t="s">
        <v>36</v>
      </c>
      <c r="F354" s="70" t="s">
        <v>40</v>
      </c>
      <c r="H354" s="11">
        <v>489.30824999999999</v>
      </c>
      <c r="I354" s="14"/>
      <c r="J354" s="11"/>
      <c r="K354" s="14"/>
      <c r="L354" s="11"/>
      <c r="M354" s="14"/>
      <c r="N354" s="11"/>
      <c r="O354" s="14"/>
      <c r="P354" s="11">
        <v>51.780532030224329</v>
      </c>
      <c r="Q354" s="14"/>
      <c r="R354" s="11">
        <f t="shared" ref="R354:R356" si="118">ROUND(T354-P354,0)</f>
        <v>0</v>
      </c>
      <c r="S354" s="14"/>
      <c r="T354" s="11">
        <f t="shared" si="117"/>
        <v>51.852364274057692</v>
      </c>
      <c r="U354" s="14"/>
      <c r="V354" s="26">
        <v>10.59707541699076</v>
      </c>
      <c r="W354" s="14"/>
      <c r="X354" s="13">
        <f t="shared" ref="X354:X356" si="119">T354/P354</f>
        <v>1.0013872442212728</v>
      </c>
      <c r="Y354" s="14"/>
      <c r="Z354" s="11"/>
    </row>
    <row r="355" spans="2:26" x14ac:dyDescent="0.3">
      <c r="B355" s="62">
        <f>MAX(B$18:B354)+1</f>
        <v>226</v>
      </c>
      <c r="D355" s="16" t="s">
        <v>37</v>
      </c>
      <c r="F355" s="70" t="s">
        <v>40</v>
      </c>
      <c r="H355" s="11">
        <v>3902.1992399999999</v>
      </c>
      <c r="I355" s="14"/>
      <c r="J355" s="11"/>
      <c r="K355" s="14"/>
      <c r="L355" s="11"/>
      <c r="M355" s="14"/>
      <c r="N355" s="11"/>
      <c r="O355" s="14"/>
      <c r="P355" s="11">
        <v>573.35467633020335</v>
      </c>
      <c r="Q355" s="14"/>
      <c r="R355" s="11">
        <f t="shared" si="118"/>
        <v>0</v>
      </c>
      <c r="S355" s="14"/>
      <c r="T355" s="11">
        <f t="shared" si="117"/>
        <v>573.18662569996116</v>
      </c>
      <c r="U355" s="14"/>
      <c r="V355" s="26">
        <v>14.688809833809541</v>
      </c>
      <c r="W355" s="14"/>
      <c r="X355" s="13">
        <f t="shared" si="119"/>
        <v>0.99970689934663515</v>
      </c>
      <c r="Y355" s="14"/>
      <c r="Z355" s="11"/>
    </row>
    <row r="356" spans="2:26" x14ac:dyDescent="0.3">
      <c r="B356" s="62">
        <f>MAX(B$18:B355)+1</f>
        <v>227</v>
      </c>
      <c r="D356" s="16" t="s">
        <v>38</v>
      </c>
      <c r="F356" s="70" t="s">
        <v>40</v>
      </c>
      <c r="H356" s="11">
        <v>2174.0189</v>
      </c>
      <c r="I356" s="14"/>
      <c r="J356" s="11"/>
      <c r="K356" s="14"/>
      <c r="L356" s="11"/>
      <c r="M356" s="14"/>
      <c r="N356" s="11"/>
      <c r="O356" s="14"/>
      <c r="P356" s="11">
        <v>341.197104427483</v>
      </c>
      <c r="Q356" s="14"/>
      <c r="R356" s="11">
        <f t="shared" si="118"/>
        <v>0</v>
      </c>
      <c r="S356" s="14"/>
      <c r="T356" s="11">
        <f t="shared" si="117"/>
        <v>341.1971044280337</v>
      </c>
      <c r="U356" s="14"/>
      <c r="V356" s="26">
        <v>15.694302585319461</v>
      </c>
      <c r="W356" s="14"/>
      <c r="X356" s="13">
        <f t="shared" si="119"/>
        <v>1.000000000001614</v>
      </c>
      <c r="Y356" s="14"/>
      <c r="Z356" s="11"/>
    </row>
    <row r="357" spans="2:26" x14ac:dyDescent="0.3">
      <c r="B357" s="62"/>
      <c r="D357" s="10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2:26" ht="12.9" thickBot="1" x14ac:dyDescent="0.35">
      <c r="B358" s="62">
        <f>MAX(B$18:B357)+1</f>
        <v>228</v>
      </c>
      <c r="D358" s="24" t="s">
        <v>122</v>
      </c>
      <c r="H358" s="74">
        <f>H337</f>
        <v>54820.51602000001</v>
      </c>
      <c r="I358" s="67"/>
      <c r="J358" s="74">
        <v>3064.2329786065911</v>
      </c>
      <c r="K358" s="68"/>
      <c r="L358" s="25">
        <f>J358/$H358*100</f>
        <v>5.5895733952753668</v>
      </c>
      <c r="M358" s="68"/>
      <c r="N358" s="74">
        <f>J358-P358</f>
        <v>-1215.7514680453842</v>
      </c>
      <c r="O358" s="12"/>
      <c r="P358" s="74">
        <f>SUM(P337,P350,P353:P356)</f>
        <v>4279.9844466519753</v>
      </c>
      <c r="Q358" s="12"/>
      <c r="R358" s="74">
        <f>SUM(R337,R350,R353:R356)</f>
        <v>-1078.3236909088348</v>
      </c>
      <c r="S358" s="68"/>
      <c r="T358" s="74">
        <f>SUM(T337,T350,T353:T356)</f>
        <v>3201.564537357282</v>
      </c>
      <c r="U358" s="68"/>
      <c r="V358" s="25">
        <f>T358/$H358*100</f>
        <v>5.8400846431092779</v>
      </c>
      <c r="W358" s="68"/>
      <c r="X358" s="75">
        <f t="shared" ref="X358" si="120">T358/P358</f>
        <v>0.74803181583094558</v>
      </c>
      <c r="Y358" s="14"/>
      <c r="Z358" s="76">
        <f>V358/L358-1</f>
        <v>4.4817597000454068E-2</v>
      </c>
    </row>
    <row r="359" spans="2:26" ht="12.9" thickTop="1" x14ac:dyDescent="0.3">
      <c r="B359" s="62"/>
      <c r="D359" s="10"/>
      <c r="H359" s="68"/>
      <c r="I359" s="67"/>
      <c r="J359" s="68"/>
      <c r="K359" s="68"/>
      <c r="L359" s="26"/>
      <c r="M359" s="68"/>
      <c r="N359" s="68"/>
      <c r="O359" s="12"/>
      <c r="P359" s="68"/>
      <c r="Q359" s="12"/>
      <c r="R359" s="68"/>
      <c r="S359" s="68"/>
      <c r="T359" s="68"/>
      <c r="U359" s="68"/>
      <c r="V359" s="26"/>
      <c r="W359" s="68"/>
      <c r="X359" s="77"/>
      <c r="Y359" s="14"/>
      <c r="Z359" s="40"/>
    </row>
    <row r="360" spans="2:26" x14ac:dyDescent="0.3">
      <c r="B360" s="62">
        <f>MAX(B$18:B359)+1</f>
        <v>229</v>
      </c>
      <c r="D360" s="2" t="s">
        <v>123</v>
      </c>
      <c r="H360" s="11">
        <f>H328</f>
        <v>0</v>
      </c>
      <c r="I360" s="67"/>
      <c r="J360" s="68">
        <v>0</v>
      </c>
      <c r="K360" s="68"/>
      <c r="L360" s="26" t="str">
        <f>IFERROR(J360/$H360*100,"-")</f>
        <v>-</v>
      </c>
      <c r="M360" s="68"/>
      <c r="N360" s="68">
        <f>J360-P360</f>
        <v>0</v>
      </c>
      <c r="O360" s="12"/>
      <c r="P360" s="68">
        <f>P323+P328+P333+P341+P346+P353</f>
        <v>0</v>
      </c>
      <c r="Q360" s="68"/>
      <c r="R360" s="68">
        <f>R323+R328+R333+R341+R346+R353</f>
        <v>0</v>
      </c>
      <c r="S360" s="68"/>
      <c r="T360" s="68">
        <f>T323+T328+T333+T341+T346+T353</f>
        <v>0</v>
      </c>
      <c r="U360" s="68"/>
      <c r="V360" s="26" t="str">
        <f>IFERROR(T360/$H360*100,"-")</f>
        <v>-</v>
      </c>
      <c r="W360" s="68"/>
      <c r="X360" s="77" t="str">
        <f>IFERROR(T360/P360,"-")</f>
        <v>-</v>
      </c>
      <c r="Y360" s="14"/>
      <c r="Z360" s="40" t="str">
        <f>IFERROR(V360/L360-1,"-")</f>
        <v>-</v>
      </c>
    </row>
    <row r="361" spans="2:26" x14ac:dyDescent="0.3">
      <c r="B361" s="62">
        <f>MAX(B$18:B360)+1</f>
        <v>230</v>
      </c>
      <c r="D361" s="64" t="s">
        <v>124</v>
      </c>
      <c r="H361" s="11">
        <f>H329</f>
        <v>8461.6675999999989</v>
      </c>
      <c r="I361" s="67"/>
      <c r="J361" s="68">
        <v>385.62900370775321</v>
      </c>
      <c r="K361" s="68"/>
      <c r="L361" s="26">
        <f t="shared" ref="L361:L363" si="121">J361/$H361*100</f>
        <v>4.5573641265198512</v>
      </c>
      <c r="M361" s="68"/>
      <c r="N361" s="68">
        <f t="shared" ref="N361:N363" si="122">J361-P361</f>
        <v>-495.36980020394708</v>
      </c>
      <c r="O361" s="12"/>
      <c r="P361" s="68">
        <f>P324+P329+P334+P342+P347+P354</f>
        <v>880.99880391170029</v>
      </c>
      <c r="Q361" s="68"/>
      <c r="R361" s="68">
        <f>R324+R329+R334+R342+R347+R354</f>
        <v>-196.04038034157364</v>
      </c>
      <c r="S361" s="68"/>
      <c r="T361" s="68">
        <f>T324+T329+T334+T342+T347+T354</f>
        <v>685.03025581396014</v>
      </c>
      <c r="U361" s="68"/>
      <c r="V361" s="26">
        <f t="shared" ref="V361:V363" si="123">T361/$H361*100</f>
        <v>8.0956885592381376</v>
      </c>
      <c r="W361" s="68"/>
      <c r="X361" s="77">
        <f t="shared" ref="X361:X363" si="124">IFERROR(T361/P361,"-")</f>
        <v>0.77756093739557286</v>
      </c>
      <c r="Y361" s="14"/>
      <c r="Z361" s="40">
        <f t="shared" ref="Z361:Z363" si="125">V361/L361-1</f>
        <v>0.77639713099252927</v>
      </c>
    </row>
    <row r="362" spans="2:26" x14ac:dyDescent="0.3">
      <c r="B362" s="62">
        <f>MAX(B$18:B361)+1</f>
        <v>231</v>
      </c>
      <c r="D362" s="64" t="s">
        <v>125</v>
      </c>
      <c r="H362" s="11">
        <f>H330</f>
        <v>44184.829520000007</v>
      </c>
      <c r="I362" s="67"/>
      <c r="J362" s="68">
        <v>2289.0599931731563</v>
      </c>
      <c r="K362" s="68"/>
      <c r="L362" s="26">
        <f t="shared" si="121"/>
        <v>5.1806468827429262</v>
      </c>
      <c r="M362" s="68"/>
      <c r="N362" s="68">
        <f t="shared" si="122"/>
        <v>-659.52102048069128</v>
      </c>
      <c r="O362" s="12"/>
      <c r="P362" s="68">
        <f>P325+P330+P335+P343+P348+P355</f>
        <v>2948.5810136538475</v>
      </c>
      <c r="Q362" s="68"/>
      <c r="R362" s="68">
        <f>R325+R330+R335+R343+R348+R355</f>
        <v>-897.2833105672612</v>
      </c>
      <c r="S362" s="68"/>
      <c r="T362" s="68">
        <f>T325+T330+T335+T343+T348+T355</f>
        <v>2051.129652456344</v>
      </c>
      <c r="U362" s="68"/>
      <c r="V362" s="26">
        <f t="shared" si="123"/>
        <v>4.642158122456741</v>
      </c>
      <c r="W362" s="68"/>
      <c r="X362" s="77">
        <f t="shared" si="124"/>
        <v>0.69563279521854071</v>
      </c>
      <c r="Y362" s="14"/>
      <c r="Z362" s="35">
        <f t="shared" si="125"/>
        <v>-0.10394237871720735</v>
      </c>
    </row>
    <row r="363" spans="2:26" x14ac:dyDescent="0.3">
      <c r="B363" s="62">
        <f>MAX(B$18:B362)+1</f>
        <v>232</v>
      </c>
      <c r="D363" s="64" t="s">
        <v>126</v>
      </c>
      <c r="H363" s="11">
        <f>H331</f>
        <v>2174.0189</v>
      </c>
      <c r="I363" s="67"/>
      <c r="J363" s="68">
        <v>389.54398172568182</v>
      </c>
      <c r="K363" s="68"/>
      <c r="L363" s="26">
        <f t="shared" si="121"/>
        <v>17.918150652953468</v>
      </c>
      <c r="M363" s="68"/>
      <c r="N363" s="68">
        <f t="shared" si="122"/>
        <v>-60.860647360745645</v>
      </c>
      <c r="O363" s="12"/>
      <c r="P363" s="68">
        <f>P326+P331+P336+P344+P349+P356</f>
        <v>450.40462908642746</v>
      </c>
      <c r="Q363" s="68"/>
      <c r="R363" s="68">
        <f>R326+R331+R336+R344+R349+R356</f>
        <v>14.999999999999986</v>
      </c>
      <c r="S363" s="68"/>
      <c r="T363" s="68">
        <f>T326+T331+T336+T344+T349+T356</f>
        <v>465.40462908697816</v>
      </c>
      <c r="U363" s="68"/>
      <c r="V363" s="26">
        <f t="shared" si="123"/>
        <v>21.407570517762203</v>
      </c>
      <c r="W363" s="68"/>
      <c r="X363" s="77">
        <f t="shared" si="124"/>
        <v>1.0333033877359914</v>
      </c>
      <c r="Y363" s="14"/>
      <c r="Z363" s="35">
        <f t="shared" si="125"/>
        <v>0.19474218809704946</v>
      </c>
    </row>
    <row r="364" spans="2:26" x14ac:dyDescent="0.3">
      <c r="D364" s="16"/>
    </row>
    <row r="365" spans="2:26" x14ac:dyDescent="0.3">
      <c r="V365" s="5" t="s">
        <v>8</v>
      </c>
    </row>
    <row r="366" spans="2:26" x14ac:dyDescent="0.3">
      <c r="D366" s="38" t="s">
        <v>127</v>
      </c>
      <c r="V366" s="63" t="s">
        <v>128</v>
      </c>
    </row>
    <row r="367" spans="2:26" x14ac:dyDescent="0.3">
      <c r="B367" s="62"/>
      <c r="C367" s="64"/>
      <c r="D367" s="34" t="s">
        <v>83</v>
      </c>
      <c r="E367" s="62"/>
      <c r="F367" s="70"/>
      <c r="G367" s="62"/>
      <c r="H367" s="11"/>
      <c r="I367" s="67"/>
      <c r="J367" s="14"/>
      <c r="K367" s="14"/>
      <c r="L367" s="14"/>
      <c r="M367" s="14"/>
      <c r="N367" s="14"/>
      <c r="O367" s="12"/>
      <c r="P367" s="11"/>
      <c r="Q367" s="12"/>
      <c r="R367" s="11"/>
      <c r="S367" s="68"/>
      <c r="T367" s="11"/>
      <c r="U367" s="68"/>
      <c r="V367" s="21"/>
      <c r="W367" s="68"/>
      <c r="X367" s="13"/>
      <c r="Y367" s="14"/>
      <c r="Z367" s="67"/>
    </row>
    <row r="368" spans="2:26" x14ac:dyDescent="0.3">
      <c r="B368" s="62"/>
      <c r="D368" s="22" t="s">
        <v>84</v>
      </c>
      <c r="F368" s="48"/>
      <c r="H368" s="11"/>
      <c r="I368" s="14"/>
      <c r="J368" s="11"/>
      <c r="K368" s="14"/>
      <c r="L368" s="11"/>
      <c r="M368" s="14"/>
      <c r="N368" s="11"/>
      <c r="O368" s="14"/>
      <c r="P368" s="11"/>
      <c r="Q368" s="14"/>
      <c r="R368" s="11"/>
      <c r="S368" s="14"/>
      <c r="T368" s="11"/>
      <c r="U368" s="14"/>
      <c r="V368" s="42"/>
      <c r="W368" s="14"/>
      <c r="X368" s="11"/>
      <c r="Y368" s="14"/>
      <c r="Z368" s="11"/>
    </row>
    <row r="369" spans="2:26" x14ac:dyDescent="0.3">
      <c r="B369" s="62">
        <f>MAX(B$18:B368)+1</f>
        <v>233</v>
      </c>
      <c r="D369" s="16" t="s">
        <v>34</v>
      </c>
      <c r="F369" s="48" t="s">
        <v>214</v>
      </c>
      <c r="H369" s="11">
        <v>11791272</v>
      </c>
      <c r="I369" s="14"/>
      <c r="J369" s="11"/>
      <c r="K369" s="14"/>
      <c r="L369" s="11"/>
      <c r="M369" s="14"/>
      <c r="O369" s="14"/>
      <c r="P369" s="11">
        <v>213.15567322332925</v>
      </c>
      <c r="Q369" s="14"/>
      <c r="R369" s="11">
        <f t="shared" ref="R369:R370" si="126">T369-P369</f>
        <v>-36.891411551146973</v>
      </c>
      <c r="S369" s="14"/>
      <c r="T369" s="11">
        <f>$H369*V369/1000</f>
        <v>176.26426167218227</v>
      </c>
      <c r="U369" s="14"/>
      <c r="V369" s="42">
        <v>1.4948706269534132E-2</v>
      </c>
      <c r="W369" s="14"/>
      <c r="X369" s="13">
        <f>T369/P369</f>
        <v>0.82692737662912308</v>
      </c>
      <c r="Y369" s="14"/>
      <c r="Z369" s="11"/>
    </row>
    <row r="370" spans="2:26" x14ac:dyDescent="0.3">
      <c r="B370" s="62">
        <f>MAX(B$18:B369)+1</f>
        <v>234</v>
      </c>
      <c r="D370" s="16" t="s">
        <v>38</v>
      </c>
      <c r="F370" s="48" t="s">
        <v>214</v>
      </c>
      <c r="H370" s="11">
        <v>29220408</v>
      </c>
      <c r="I370" s="14"/>
      <c r="J370" s="11"/>
      <c r="K370" s="14"/>
      <c r="L370" s="11"/>
      <c r="M370" s="14"/>
      <c r="O370" s="14"/>
      <c r="P370" s="11">
        <v>509.18143035094954</v>
      </c>
      <c r="Q370" s="14"/>
      <c r="R370" s="11">
        <f t="shared" si="126"/>
        <v>-72.374134083004208</v>
      </c>
      <c r="S370" s="14"/>
      <c r="T370" s="11">
        <f t="shared" ref="T370" si="127">$H370*V370/1000</f>
        <v>436.80729626794533</v>
      </c>
      <c r="U370" s="14"/>
      <c r="V370" s="42">
        <v>1.4948706269534132E-2</v>
      </c>
      <c r="W370" s="14"/>
      <c r="X370" s="13">
        <f>T370/P370</f>
        <v>0.8578617958767254</v>
      </c>
      <c r="Y370" s="14"/>
      <c r="Z370" s="11"/>
    </row>
    <row r="371" spans="2:26" x14ac:dyDescent="0.3">
      <c r="B371" s="62"/>
      <c r="D371" s="22" t="s">
        <v>85</v>
      </c>
      <c r="F371" s="48"/>
      <c r="H371" s="11"/>
      <c r="I371" s="14"/>
      <c r="J371" s="14"/>
      <c r="K371" s="14"/>
      <c r="L371" s="14"/>
      <c r="M371" s="14"/>
      <c r="N371" s="14"/>
      <c r="O371" s="14"/>
      <c r="P371" s="11"/>
      <c r="Q371" s="14"/>
      <c r="R371" s="14"/>
      <c r="S371" s="14"/>
      <c r="T371" s="11"/>
      <c r="U371" s="14"/>
      <c r="V371" s="42"/>
      <c r="W371" s="14"/>
      <c r="X371" s="13"/>
      <c r="Y371" s="14"/>
      <c r="Z371" s="14"/>
    </row>
    <row r="372" spans="2:26" x14ac:dyDescent="0.3">
      <c r="B372" s="62"/>
      <c r="D372" s="16" t="s">
        <v>86</v>
      </c>
      <c r="F372" s="48"/>
      <c r="H372" s="11"/>
      <c r="I372" s="14"/>
      <c r="J372" s="11"/>
      <c r="K372" s="14"/>
      <c r="L372" s="11"/>
      <c r="M372" s="14"/>
      <c r="N372" s="11"/>
      <c r="O372" s="14"/>
      <c r="P372" s="11"/>
      <c r="Q372" s="14"/>
      <c r="R372" s="11"/>
      <c r="S372" s="14"/>
      <c r="T372" s="11"/>
      <c r="U372" s="14"/>
      <c r="V372" s="42"/>
      <c r="W372" s="14"/>
      <c r="X372" s="13"/>
      <c r="Y372" s="14"/>
      <c r="Z372" s="11"/>
    </row>
    <row r="373" spans="2:26" x14ac:dyDescent="0.3">
      <c r="B373" s="62">
        <f>MAX(B$18:B372)+1</f>
        <v>235</v>
      </c>
      <c r="D373" s="16" t="s">
        <v>34</v>
      </c>
      <c r="F373" s="48" t="s">
        <v>214</v>
      </c>
      <c r="H373" s="11">
        <v>141504</v>
      </c>
      <c r="I373" s="14"/>
      <c r="J373" s="11"/>
      <c r="K373" s="14"/>
      <c r="L373" s="11"/>
      <c r="M373" s="14"/>
      <c r="N373" s="11"/>
      <c r="O373" s="14"/>
      <c r="P373" s="11">
        <v>330.914733926851</v>
      </c>
      <c r="Q373" s="14"/>
      <c r="R373" s="11">
        <f t="shared" ref="R373:R377" si="128">T373-P373</f>
        <v>33.215378187435249</v>
      </c>
      <c r="S373" s="14"/>
      <c r="T373" s="11">
        <f t="shared" ref="T373:T377" si="129">$H373*V373/1000</f>
        <v>364.13011211428625</v>
      </c>
      <c r="U373" s="14"/>
      <c r="V373" s="42">
        <v>2.5732849397493092</v>
      </c>
      <c r="W373" s="14"/>
      <c r="X373" s="13">
        <f t="shared" ref="X373" si="130">T373/P373</f>
        <v>1.1003744311813495</v>
      </c>
      <c r="Y373" s="14"/>
      <c r="Z373" s="11"/>
    </row>
    <row r="374" spans="2:26" x14ac:dyDescent="0.3">
      <c r="B374" s="62">
        <f>MAX(B$18:B373)+1</f>
        <v>236</v>
      </c>
      <c r="D374" s="16" t="s">
        <v>38</v>
      </c>
      <c r="F374" s="48" t="s">
        <v>214</v>
      </c>
      <c r="H374" s="11">
        <v>381888</v>
      </c>
      <c r="I374" s="14"/>
      <c r="J374" s="11"/>
      <c r="K374" s="14"/>
      <c r="L374" s="11"/>
      <c r="M374" s="14"/>
      <c r="N374" s="11"/>
      <c r="O374" s="14"/>
      <c r="P374" s="11">
        <v>914.61681446939906</v>
      </c>
      <c r="Q374" s="14"/>
      <c r="R374" s="11">
        <f t="shared" si="128"/>
        <v>68.089824601585178</v>
      </c>
      <c r="S374" s="14"/>
      <c r="T374" s="11">
        <f t="shared" si="129"/>
        <v>982.70663907098424</v>
      </c>
      <c r="U374" s="14"/>
      <c r="V374" s="42">
        <v>2.5732849397493092</v>
      </c>
      <c r="W374" s="14"/>
      <c r="X374" s="13">
        <f>T374/P374</f>
        <v>1.0744462856186243</v>
      </c>
      <c r="Y374" s="14"/>
      <c r="Z374" s="11"/>
    </row>
    <row r="375" spans="2:26" x14ac:dyDescent="0.3">
      <c r="B375" s="62">
        <f>MAX(B$18:B374)+1</f>
        <v>237</v>
      </c>
      <c r="D375" s="16" t="s">
        <v>87</v>
      </c>
      <c r="F375" s="48" t="s">
        <v>214</v>
      </c>
      <c r="H375" s="11">
        <v>0</v>
      </c>
      <c r="I375" s="14"/>
      <c r="J375" s="11"/>
      <c r="K375" s="14"/>
      <c r="L375" s="11"/>
      <c r="M375" s="14"/>
      <c r="N375" s="11"/>
      <c r="O375" s="14"/>
      <c r="P375" s="11">
        <v>0</v>
      </c>
      <c r="Q375" s="14"/>
      <c r="R375" s="11">
        <f t="shared" si="128"/>
        <v>0</v>
      </c>
      <c r="S375" s="14"/>
      <c r="T375" s="11">
        <f t="shared" si="129"/>
        <v>0</v>
      </c>
      <c r="U375" s="14"/>
      <c r="V375" s="42">
        <v>2.39499868144632</v>
      </c>
      <c r="W375" s="14"/>
      <c r="X375" s="13" t="str">
        <f>IFERROR(T375/P375,"-")</f>
        <v>-</v>
      </c>
      <c r="Y375" s="14"/>
      <c r="Z375" s="11"/>
    </row>
    <row r="376" spans="2:26" x14ac:dyDescent="0.3">
      <c r="B376" s="62">
        <f>MAX(B$18:B375)+1</f>
        <v>238</v>
      </c>
      <c r="D376" s="16" t="s">
        <v>88</v>
      </c>
      <c r="F376" s="48" t="s">
        <v>214</v>
      </c>
      <c r="H376" s="11">
        <v>0</v>
      </c>
      <c r="I376" s="14"/>
      <c r="J376" s="11"/>
      <c r="K376" s="14"/>
      <c r="L376" s="11"/>
      <c r="M376" s="14"/>
      <c r="N376" s="11"/>
      <c r="O376" s="14"/>
      <c r="P376" s="11">
        <v>0</v>
      </c>
      <c r="Q376" s="14"/>
      <c r="R376" s="11">
        <f t="shared" si="128"/>
        <v>0</v>
      </c>
      <c r="S376" s="14"/>
      <c r="T376" s="11">
        <f t="shared" si="129"/>
        <v>0</v>
      </c>
      <c r="U376" s="14"/>
      <c r="V376" s="42">
        <v>2.39499868144632</v>
      </c>
      <c r="W376" s="14"/>
      <c r="X376" s="13" t="str">
        <f t="shared" ref="X376:X377" si="131">IFERROR(T376/P376,"-")</f>
        <v>-</v>
      </c>
      <c r="Y376" s="14"/>
      <c r="Z376" s="11"/>
    </row>
    <row r="377" spans="2:26" x14ac:dyDescent="0.3">
      <c r="B377" s="62">
        <f>MAX(B$18:B376)+1</f>
        <v>239</v>
      </c>
      <c r="D377" s="22" t="s">
        <v>89</v>
      </c>
      <c r="F377" s="48" t="s">
        <v>90</v>
      </c>
      <c r="H377" s="11">
        <v>12157001.3192</v>
      </c>
      <c r="I377" s="14"/>
      <c r="J377" s="11"/>
      <c r="K377" s="14"/>
      <c r="L377" s="11"/>
      <c r="M377" s="14"/>
      <c r="N377" s="11"/>
      <c r="O377" s="14"/>
      <c r="P377" s="11">
        <v>0</v>
      </c>
      <c r="Q377" s="14"/>
      <c r="R377" s="11">
        <f t="shared" si="128"/>
        <v>0</v>
      </c>
      <c r="S377" s="14"/>
      <c r="T377" s="11">
        <f t="shared" si="129"/>
        <v>0</v>
      </c>
      <c r="U377" s="14"/>
      <c r="V377" s="42">
        <v>0</v>
      </c>
      <c r="W377" s="14"/>
      <c r="X377" s="13" t="str">
        <f t="shared" si="131"/>
        <v>-</v>
      </c>
      <c r="Y377" s="14"/>
      <c r="Z377" s="11"/>
    </row>
    <row r="378" spans="2:26" x14ac:dyDescent="0.3">
      <c r="B378" s="62"/>
      <c r="D378" s="22" t="s">
        <v>91</v>
      </c>
      <c r="H378" s="14"/>
      <c r="I378" s="14"/>
      <c r="J378" s="14"/>
      <c r="K378" s="14"/>
      <c r="L378" s="11"/>
      <c r="M378" s="14"/>
      <c r="N378" s="11"/>
      <c r="O378" s="14"/>
      <c r="P378" s="11"/>
      <c r="Q378" s="14"/>
      <c r="R378" s="11"/>
      <c r="S378" s="14"/>
      <c r="T378" s="11"/>
      <c r="U378" s="14"/>
      <c r="V378" s="83"/>
      <c r="W378" s="68"/>
      <c r="X378" s="13"/>
      <c r="Y378" s="14"/>
      <c r="Z378" s="11"/>
    </row>
    <row r="379" spans="2:26" x14ac:dyDescent="0.3">
      <c r="B379" s="62">
        <f>MAX(B$18:B378)+1</f>
        <v>240</v>
      </c>
      <c r="D379" s="16" t="s">
        <v>34</v>
      </c>
      <c r="H379" s="11">
        <v>522359</v>
      </c>
      <c r="I379" s="14"/>
      <c r="J379" s="14"/>
      <c r="K379" s="14"/>
      <c r="L379" s="11"/>
      <c r="M379" s="14"/>
      <c r="N379" s="11"/>
      <c r="O379" s="14"/>
      <c r="P379" s="11">
        <v>15.20475686845505</v>
      </c>
      <c r="Q379" s="14"/>
      <c r="R379" s="11">
        <f>ROUND(T379-P379,0)</f>
        <v>0</v>
      </c>
      <c r="S379" s="14"/>
      <c r="T379" s="11">
        <v>15.232390203071921</v>
      </c>
      <c r="U379" s="14"/>
      <c r="V379" s="42">
        <v>7.9936318892803778E-3</v>
      </c>
      <c r="W379" s="68"/>
      <c r="X379" s="13">
        <f>T379/P379</f>
        <v>1.0018174137775397</v>
      </c>
      <c r="Y379" s="14"/>
      <c r="Z379" s="11"/>
    </row>
    <row r="380" spans="2:26" x14ac:dyDescent="0.3">
      <c r="B380" s="62">
        <f>MAX(B$18:B379)+1</f>
        <v>241</v>
      </c>
      <c r="D380" s="16" t="s">
        <v>38</v>
      </c>
      <c r="H380" s="11">
        <v>11634642.3192</v>
      </c>
      <c r="I380" s="14"/>
      <c r="J380" s="14"/>
      <c r="K380" s="14"/>
      <c r="L380" s="11"/>
      <c r="M380" s="14"/>
      <c r="N380" s="11"/>
      <c r="O380" s="14"/>
      <c r="P380" s="11">
        <v>339.41085799600052</v>
      </c>
      <c r="Q380" s="14"/>
      <c r="R380" s="11">
        <f>ROUND(T380-P380,0)</f>
        <v>0</v>
      </c>
      <c r="S380" s="14"/>
      <c r="T380" s="11">
        <v>339.27511860469139</v>
      </c>
      <c r="U380" s="14"/>
      <c r="V380" s="42">
        <v>7.9936318892803778E-3</v>
      </c>
      <c r="W380" s="68"/>
      <c r="X380" s="13">
        <f t="shared" ref="X380" si="132">T380/P380</f>
        <v>0.99960007351529478</v>
      </c>
      <c r="Y380" s="14"/>
      <c r="Z380" s="11"/>
    </row>
    <row r="381" spans="2:26" x14ac:dyDescent="0.3">
      <c r="B381" s="62"/>
      <c r="D381" s="22"/>
      <c r="H381" s="14"/>
      <c r="I381" s="14"/>
      <c r="J381" s="14"/>
      <c r="K381" s="14"/>
      <c r="L381" s="11"/>
      <c r="M381" s="14"/>
      <c r="N381" s="11"/>
      <c r="O381" s="14"/>
      <c r="P381" s="11"/>
      <c r="Q381" s="14"/>
      <c r="R381" s="11"/>
      <c r="S381" s="14"/>
      <c r="T381" s="11"/>
      <c r="U381" s="14"/>
      <c r="V381" s="42"/>
      <c r="W381" s="14"/>
      <c r="X381" s="13"/>
      <c r="Y381" s="14"/>
      <c r="Z381" s="11"/>
    </row>
    <row r="382" spans="2:26" x14ac:dyDescent="0.3">
      <c r="B382" s="62"/>
      <c r="D382" s="22" t="s">
        <v>129</v>
      </c>
      <c r="F382" s="48"/>
      <c r="H382" s="11"/>
      <c r="I382" s="14"/>
      <c r="J382" s="11"/>
      <c r="K382" s="14"/>
      <c r="L382" s="11"/>
      <c r="M382" s="14"/>
      <c r="N382" s="11"/>
      <c r="O382" s="14"/>
      <c r="P382" s="11"/>
      <c r="Q382" s="14"/>
      <c r="R382" s="11"/>
      <c r="S382" s="14"/>
      <c r="T382" s="11"/>
      <c r="U382" s="14"/>
      <c r="V382" s="42"/>
      <c r="W382" s="14"/>
      <c r="X382" s="13"/>
      <c r="Y382" s="14"/>
      <c r="Z382" s="11"/>
    </row>
    <row r="383" spans="2:26" x14ac:dyDescent="0.3">
      <c r="B383" s="62">
        <f>MAX(B$18:B382)+1</f>
        <v>242</v>
      </c>
      <c r="D383" s="16" t="s">
        <v>34</v>
      </c>
      <c r="F383" s="48" t="s">
        <v>214</v>
      </c>
      <c r="H383" s="11">
        <v>141504</v>
      </c>
      <c r="I383" s="14"/>
      <c r="J383" s="11"/>
      <c r="K383" s="14"/>
      <c r="L383" s="11"/>
      <c r="M383" s="14"/>
      <c r="N383" s="11"/>
      <c r="O383" s="14"/>
      <c r="P383" s="11">
        <v>2044.9033787180686</v>
      </c>
      <c r="Q383" s="14"/>
      <c r="R383" s="11">
        <f t="shared" ref="R383:R384" si="133">T383-P383</f>
        <v>131.16277697639066</v>
      </c>
      <c r="S383" s="14"/>
      <c r="T383" s="11">
        <f t="shared" ref="T383:T384" si="134">$H383*V383/1000</f>
        <v>2176.0661556944592</v>
      </c>
      <c r="U383" s="14"/>
      <c r="V383" s="42">
        <v>15.378124686895488</v>
      </c>
      <c r="W383" s="14"/>
      <c r="X383" s="13">
        <f>IFERROR(T383/P383,"-")</f>
        <v>1.0641413077710378</v>
      </c>
      <c r="Y383" s="14"/>
      <c r="Z383" s="11"/>
    </row>
    <row r="384" spans="2:26" x14ac:dyDescent="0.3">
      <c r="B384" s="62">
        <f>MAX(B$18:B383)+1</f>
        <v>243</v>
      </c>
      <c r="D384" s="16" t="s">
        <v>38</v>
      </c>
      <c r="F384" s="48" t="s">
        <v>214</v>
      </c>
      <c r="H384" s="11">
        <v>0</v>
      </c>
      <c r="I384" s="14"/>
      <c r="J384" s="11"/>
      <c r="K384" s="14"/>
      <c r="L384" s="11"/>
      <c r="M384" s="14"/>
      <c r="N384" s="11"/>
      <c r="O384" s="14"/>
      <c r="P384" s="11">
        <v>0</v>
      </c>
      <c r="Q384" s="14"/>
      <c r="R384" s="11">
        <f t="shared" si="133"/>
        <v>0</v>
      </c>
      <c r="S384" s="14"/>
      <c r="T384" s="11">
        <f t="shared" si="134"/>
        <v>0</v>
      </c>
      <c r="U384" s="14"/>
      <c r="V384" s="42">
        <v>0</v>
      </c>
      <c r="W384" s="14"/>
      <c r="X384" s="13" t="str">
        <f t="shared" ref="X384" si="135">IFERROR(T384/P384,"-")</f>
        <v>-</v>
      </c>
      <c r="Y384" s="14"/>
      <c r="Z384" s="11"/>
    </row>
    <row r="385" spans="2:26" x14ac:dyDescent="0.3">
      <c r="B385" s="62"/>
      <c r="D385" s="22" t="s">
        <v>73</v>
      </c>
      <c r="F385" s="48"/>
      <c r="H385" s="11"/>
      <c r="I385" s="14"/>
      <c r="J385" s="11"/>
      <c r="K385" s="14"/>
      <c r="L385" s="11"/>
      <c r="M385" s="14"/>
      <c r="N385" s="11"/>
      <c r="O385" s="14"/>
      <c r="P385" s="11"/>
      <c r="Q385" s="14"/>
      <c r="R385" s="11"/>
      <c r="S385" s="14"/>
      <c r="T385" s="11"/>
      <c r="U385" s="14"/>
      <c r="V385" s="42"/>
      <c r="W385" s="14"/>
      <c r="X385" s="13"/>
      <c r="Y385" s="14"/>
      <c r="Z385" s="11"/>
    </row>
    <row r="386" spans="2:26" x14ac:dyDescent="0.3">
      <c r="B386" s="62">
        <f>MAX(B$18:B385)+1</f>
        <v>244</v>
      </c>
      <c r="D386" s="16" t="s">
        <v>34</v>
      </c>
      <c r="F386" s="48" t="s">
        <v>90</v>
      </c>
      <c r="H386" s="11">
        <v>522359</v>
      </c>
      <c r="I386" s="14"/>
      <c r="J386" s="11"/>
      <c r="K386" s="14"/>
      <c r="L386" s="11"/>
      <c r="M386" s="14"/>
      <c r="N386" s="11"/>
      <c r="O386" s="14"/>
      <c r="P386" s="11">
        <v>23.404193485694147</v>
      </c>
      <c r="Q386" s="14"/>
      <c r="R386" s="11">
        <f t="shared" ref="R386:R387" si="136">T386-P386</f>
        <v>0</v>
      </c>
      <c r="S386" s="14"/>
      <c r="T386" s="11">
        <f t="shared" ref="T386:T387" si="137">$H386*V386/1000</f>
        <v>23.404193485694147</v>
      </c>
      <c r="U386" s="14"/>
      <c r="V386" s="42">
        <v>4.4804805671375715E-2</v>
      </c>
      <c r="W386" s="14"/>
      <c r="X386" s="13">
        <f t="shared" ref="X386" si="138">T386/P386</f>
        <v>1</v>
      </c>
      <c r="Y386" s="14"/>
      <c r="Z386" s="11"/>
    </row>
    <row r="387" spans="2:26" x14ac:dyDescent="0.3">
      <c r="B387" s="62">
        <f>MAX(B$18:B386)+1</f>
        <v>245</v>
      </c>
      <c r="D387" s="16" t="s">
        <v>38</v>
      </c>
      <c r="F387" s="48" t="s">
        <v>90</v>
      </c>
      <c r="H387" s="11">
        <v>0</v>
      </c>
      <c r="I387" s="14"/>
      <c r="J387" s="11"/>
      <c r="K387" s="14"/>
      <c r="L387" s="11"/>
      <c r="M387" s="14"/>
      <c r="N387" s="11"/>
      <c r="O387" s="14"/>
      <c r="P387" s="11">
        <v>0</v>
      </c>
      <c r="Q387" s="14"/>
      <c r="R387" s="11">
        <f t="shared" si="136"/>
        <v>0</v>
      </c>
      <c r="S387" s="14"/>
      <c r="T387" s="11">
        <f t="shared" si="137"/>
        <v>0</v>
      </c>
      <c r="U387" s="14"/>
      <c r="V387" s="42">
        <v>0</v>
      </c>
      <c r="W387" s="14"/>
      <c r="X387" s="13" t="str">
        <f>IFERROR(T387/P387,"-")</f>
        <v>-</v>
      </c>
      <c r="Y387" s="14"/>
      <c r="Z387" s="11"/>
    </row>
    <row r="388" spans="2:26" x14ac:dyDescent="0.3">
      <c r="B388" s="62"/>
      <c r="D388" s="10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2:26" ht="12.9" thickBot="1" x14ac:dyDescent="0.35">
      <c r="B389" s="62">
        <f>MAX(B$18:B388)+1</f>
        <v>246</v>
      </c>
      <c r="D389" s="24" t="s">
        <v>130</v>
      </c>
      <c r="H389" s="74">
        <f>H377</f>
        <v>12157001.3192</v>
      </c>
      <c r="I389" s="67"/>
      <c r="J389" s="74">
        <v>4352.7395267253905</v>
      </c>
      <c r="K389" s="68"/>
      <c r="L389" s="75">
        <f>IFERROR(J389/$H389*1000,"-")</f>
        <v>0.35804384752767515</v>
      </c>
      <c r="M389" s="68"/>
      <c r="N389" s="74">
        <f>J389-P389</f>
        <v>-38.052312313356197</v>
      </c>
      <c r="O389" s="12"/>
      <c r="P389" s="74">
        <f>SUM(P369:P387)</f>
        <v>4390.7918390387467</v>
      </c>
      <c r="Q389" s="12"/>
      <c r="R389" s="74">
        <f>SUM(R368:R387)</f>
        <v>123.20243413125991</v>
      </c>
      <c r="S389" s="68"/>
      <c r="T389" s="74">
        <f>SUM(T368:T387)</f>
        <v>4513.8861671133145</v>
      </c>
      <c r="U389" s="68"/>
      <c r="V389" s="75">
        <f>IFERROR(T389/$H389*1000,"-")</f>
        <v>0.37129930717243304</v>
      </c>
      <c r="W389" s="68"/>
      <c r="X389" s="75">
        <f>T389/P389</f>
        <v>1.0280346535629701</v>
      </c>
      <c r="Y389" s="14"/>
      <c r="Z389" s="76">
        <f>IFERROR(V389/L389-1,"-")</f>
        <v>3.7021889180020917E-2</v>
      </c>
    </row>
    <row r="390" spans="2:26" ht="12.9" thickTop="1" x14ac:dyDescent="0.3">
      <c r="B390" s="62"/>
      <c r="D390" s="85"/>
    </row>
    <row r="391" spans="2:26" x14ac:dyDescent="0.3">
      <c r="B391" s="62">
        <f>MAX(B$18:B390)+1</f>
        <v>247</v>
      </c>
      <c r="D391" s="2" t="s">
        <v>131</v>
      </c>
      <c r="H391" s="41">
        <f>H379</f>
        <v>522359</v>
      </c>
      <c r="J391" s="11">
        <v>2692.0861500000001</v>
      </c>
      <c r="L391" s="42">
        <f t="shared" ref="L391:L392" si="139">IFERROR(J391/$H391*1000,"-")</f>
        <v>5.153708752026863</v>
      </c>
      <c r="N391" s="23">
        <f>J391-P391</f>
        <v>64.503413777601963</v>
      </c>
      <c r="P391" s="23">
        <f>SUM(P369,P373,P379,P383,P386)</f>
        <v>2627.5827362223981</v>
      </c>
      <c r="Q391" s="23"/>
      <c r="R391" s="23">
        <f>SUM(R369,R373,R379,R383,R386)</f>
        <v>127.48674361267894</v>
      </c>
      <c r="S391" s="23"/>
      <c r="T391" s="23">
        <f>SUM(T369,T373,T379,T383,T386)</f>
        <v>2755.0971131696938</v>
      </c>
      <c r="U391" s="23"/>
      <c r="V391" s="42">
        <f t="shared" ref="V391:V392" si="140">IFERROR(T391/$H391*1000,"-")</f>
        <v>5.2743364490124485</v>
      </c>
      <c r="X391" s="13">
        <f t="shared" ref="X391:X392" si="141">T391/P391</f>
        <v>1.0485291576891007</v>
      </c>
      <c r="Z391" s="35">
        <f>IFERROR(V391/L391-1,"-")</f>
        <v>2.3405998047162591E-2</v>
      </c>
    </row>
    <row r="392" spans="2:26" x14ac:dyDescent="0.3">
      <c r="B392" s="62">
        <f>MAX(B$18:B391)+1</f>
        <v>248</v>
      </c>
      <c r="D392" s="64" t="s">
        <v>132</v>
      </c>
      <c r="H392" s="41">
        <f>H380</f>
        <v>11634642.3192</v>
      </c>
      <c r="J392" s="11">
        <v>1660.6533767253904</v>
      </c>
      <c r="L392" s="42">
        <f t="shared" si="139"/>
        <v>0.14273351351634653</v>
      </c>
      <c r="N392" s="23">
        <f>J392-P392</f>
        <v>-102.55572609095861</v>
      </c>
      <c r="P392" s="23">
        <f>SUM(P370,P374,P380,P384,P387)</f>
        <v>1763.2091028163491</v>
      </c>
      <c r="Q392" s="23"/>
      <c r="R392" s="23">
        <f>SUM(R370,R374,R380,R384,R387)</f>
        <v>-4.2843094814190295</v>
      </c>
      <c r="S392" s="23"/>
      <c r="T392" s="23">
        <f>SUM(T370,T374,T380,T384,T387)</f>
        <v>1758.789053943621</v>
      </c>
      <c r="U392" s="23"/>
      <c r="V392" s="42">
        <f t="shared" si="140"/>
        <v>0.1511682959983385</v>
      </c>
      <c r="X392" s="13">
        <f t="shared" si="141"/>
        <v>0.9974931794160613</v>
      </c>
      <c r="Z392" s="35">
        <f>IFERROR(V392/L392-1,"-")</f>
        <v>5.9094618174770686E-2</v>
      </c>
    </row>
    <row r="393" spans="2:26" x14ac:dyDescent="0.3">
      <c r="D393" s="85"/>
    </row>
    <row r="394" spans="2:26" x14ac:dyDescent="0.3">
      <c r="D394" s="7"/>
    </row>
    <row r="395" spans="2:26" x14ac:dyDescent="0.3">
      <c r="D395" s="38" t="s">
        <v>133</v>
      </c>
      <c r="F395" s="55"/>
      <c r="H395" s="11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2:26" x14ac:dyDescent="0.3">
      <c r="B396" s="62"/>
      <c r="D396" s="10" t="s">
        <v>33</v>
      </c>
      <c r="F396" s="48"/>
      <c r="H396" s="11"/>
      <c r="I396" s="14"/>
      <c r="J396" s="11"/>
      <c r="K396" s="14"/>
      <c r="L396" s="11"/>
      <c r="M396" s="14"/>
      <c r="N396" s="11"/>
      <c r="O396" s="14"/>
      <c r="P396" s="11"/>
      <c r="Q396" s="14"/>
      <c r="R396" s="11"/>
      <c r="S396" s="14"/>
      <c r="T396" s="11"/>
      <c r="U396" s="14"/>
      <c r="V396" s="71"/>
      <c r="W396" s="14"/>
      <c r="X396" s="13"/>
      <c r="Y396" s="14"/>
      <c r="Z396" s="11"/>
    </row>
    <row r="397" spans="2:26" x14ac:dyDescent="0.3">
      <c r="B397" s="62">
        <f>MAX(B$18:B396)+1</f>
        <v>249</v>
      </c>
      <c r="D397" s="16" t="s">
        <v>34</v>
      </c>
      <c r="F397" s="48" t="s">
        <v>35</v>
      </c>
      <c r="H397" s="11">
        <v>0</v>
      </c>
      <c r="I397" s="14"/>
      <c r="J397" s="11"/>
      <c r="K397" s="14"/>
      <c r="L397" s="11"/>
      <c r="M397" s="14"/>
      <c r="N397" s="11"/>
      <c r="O397" s="14"/>
      <c r="P397" s="11">
        <v>0</v>
      </c>
      <c r="Q397" s="14"/>
      <c r="R397" s="11">
        <f t="shared" ref="R397:R400" si="142">T397-P397</f>
        <v>0</v>
      </c>
      <c r="S397" s="14"/>
      <c r="T397" s="11">
        <f>$H397*V397/1000</f>
        <v>0</v>
      </c>
      <c r="U397" s="14"/>
      <c r="V397" s="71">
        <v>500</v>
      </c>
      <c r="W397" s="14"/>
      <c r="X397" s="13" t="str">
        <f>IFERROR(T397/P397,"-")</f>
        <v>-</v>
      </c>
      <c r="Y397" s="14"/>
      <c r="Z397" s="11"/>
    </row>
    <row r="398" spans="2:26" x14ac:dyDescent="0.3">
      <c r="B398" s="62">
        <f>MAX(B$18:B397)+1</f>
        <v>250</v>
      </c>
      <c r="D398" s="16" t="s">
        <v>36</v>
      </c>
      <c r="F398" s="48" t="s">
        <v>35</v>
      </c>
      <c r="H398" s="11">
        <v>12</v>
      </c>
      <c r="I398" s="14"/>
      <c r="J398" s="11"/>
      <c r="K398" s="14"/>
      <c r="L398" s="11"/>
      <c r="M398" s="14"/>
      <c r="N398" s="11"/>
      <c r="O398" s="14"/>
      <c r="P398" s="11">
        <v>38.71870624309598</v>
      </c>
      <c r="Q398" s="14"/>
      <c r="R398" s="11">
        <f t="shared" si="142"/>
        <v>-32.71870624309598</v>
      </c>
      <c r="S398" s="14"/>
      <c r="T398" s="11">
        <f t="shared" ref="T398:T400" si="143">$H398*V398/1000</f>
        <v>6</v>
      </c>
      <c r="U398" s="14"/>
      <c r="V398" s="71">
        <v>500</v>
      </c>
      <c r="W398" s="14"/>
      <c r="X398" s="13">
        <f t="shared" ref="X398:X410" si="144">IFERROR(T398/P398,"-")</f>
        <v>0.15496385551544284</v>
      </c>
      <c r="Y398" s="14"/>
      <c r="Z398" s="11"/>
    </row>
    <row r="399" spans="2:26" x14ac:dyDescent="0.3">
      <c r="B399" s="62">
        <f>MAX(B$18:B398)+1</f>
        <v>251</v>
      </c>
      <c r="D399" s="16" t="s">
        <v>37</v>
      </c>
      <c r="F399" s="48" t="s">
        <v>35</v>
      </c>
      <c r="H399" s="11">
        <v>0</v>
      </c>
      <c r="I399" s="14"/>
      <c r="J399" s="11"/>
      <c r="K399" s="14"/>
      <c r="L399" s="11"/>
      <c r="M399" s="14"/>
      <c r="N399" s="11"/>
      <c r="O399" s="14"/>
      <c r="P399" s="11">
        <v>0</v>
      </c>
      <c r="Q399" s="14"/>
      <c r="R399" s="11">
        <f t="shared" si="142"/>
        <v>0</v>
      </c>
      <c r="S399" s="14"/>
      <c r="T399" s="11">
        <f t="shared" si="143"/>
        <v>0</v>
      </c>
      <c r="U399" s="14"/>
      <c r="V399" s="71">
        <v>500</v>
      </c>
      <c r="W399" s="14"/>
      <c r="X399" s="13" t="str">
        <f t="shared" si="144"/>
        <v>-</v>
      </c>
      <c r="Y399" s="14"/>
      <c r="Z399" s="11"/>
    </row>
    <row r="400" spans="2:26" x14ac:dyDescent="0.3">
      <c r="B400" s="62">
        <f>MAX(B$18:B399)+1</f>
        <v>252</v>
      </c>
      <c r="D400" s="16" t="s">
        <v>38</v>
      </c>
      <c r="F400" s="48" t="s">
        <v>35</v>
      </c>
      <c r="H400" s="11">
        <v>48</v>
      </c>
      <c r="I400" s="14"/>
      <c r="J400" s="11"/>
      <c r="K400" s="14"/>
      <c r="L400" s="11"/>
      <c r="M400" s="14"/>
      <c r="N400" s="11"/>
      <c r="O400" s="14"/>
      <c r="P400" s="11">
        <v>154.87482497238392</v>
      </c>
      <c r="Q400" s="14"/>
      <c r="R400" s="11">
        <f t="shared" si="142"/>
        <v>-130.87482497238392</v>
      </c>
      <c r="S400" s="14"/>
      <c r="T400" s="11">
        <f t="shared" si="143"/>
        <v>24</v>
      </c>
      <c r="U400" s="14"/>
      <c r="V400" s="71">
        <v>500</v>
      </c>
      <c r="W400" s="14"/>
      <c r="X400" s="13">
        <f t="shared" si="144"/>
        <v>0.15496385551544284</v>
      </c>
      <c r="Y400" s="14"/>
      <c r="Z400" s="11"/>
    </row>
    <row r="401" spans="2:26" x14ac:dyDescent="0.3">
      <c r="B401" s="62"/>
      <c r="D401" s="10" t="s">
        <v>112</v>
      </c>
      <c r="F401" s="48"/>
      <c r="H401" s="11"/>
      <c r="I401" s="14"/>
      <c r="J401" s="11"/>
      <c r="K401" s="14"/>
      <c r="L401" s="11"/>
      <c r="M401" s="14"/>
      <c r="N401" s="11"/>
      <c r="O401" s="14"/>
      <c r="P401" s="11"/>
      <c r="Q401" s="14"/>
      <c r="R401" s="11"/>
      <c r="S401" s="14"/>
      <c r="T401" s="11"/>
      <c r="U401" s="14"/>
      <c r="V401" s="26"/>
      <c r="W401" s="14"/>
      <c r="X401" s="13"/>
      <c r="Y401" s="14"/>
      <c r="Z401" s="11"/>
    </row>
    <row r="402" spans="2:26" x14ac:dyDescent="0.3">
      <c r="B402" s="62">
        <f>MAX(B$18:B401)+1</f>
        <v>253</v>
      </c>
      <c r="D402" s="16" t="s">
        <v>34</v>
      </c>
      <c r="F402" s="48" t="s">
        <v>40</v>
      </c>
      <c r="H402" s="11">
        <v>0</v>
      </c>
      <c r="I402" s="14"/>
      <c r="J402" s="11"/>
      <c r="K402" s="14"/>
      <c r="L402" s="11"/>
      <c r="M402" s="14"/>
      <c r="N402" s="11"/>
      <c r="O402" s="14"/>
      <c r="P402" s="11">
        <v>0</v>
      </c>
      <c r="Q402" s="14"/>
      <c r="R402" s="11">
        <f t="shared" ref="R402:R405" si="145">T402-P402</f>
        <v>0</v>
      </c>
      <c r="S402" s="14"/>
      <c r="T402" s="11">
        <f>$H402*V402/100</f>
        <v>0</v>
      </c>
      <c r="U402" s="14"/>
      <c r="V402" s="26">
        <v>6.6846298017213632E-2</v>
      </c>
      <c r="W402" s="14"/>
      <c r="X402" s="13" t="str">
        <f t="shared" si="144"/>
        <v>-</v>
      </c>
      <c r="Y402" s="14"/>
      <c r="Z402" s="11"/>
    </row>
    <row r="403" spans="2:26" x14ac:dyDescent="0.3">
      <c r="B403" s="62">
        <f>MAX(B$18:B402)+1</f>
        <v>254</v>
      </c>
      <c r="D403" s="16" t="s">
        <v>36</v>
      </c>
      <c r="F403" s="48" t="s">
        <v>40</v>
      </c>
      <c r="H403" s="11">
        <v>188852.1</v>
      </c>
      <c r="I403" s="14"/>
      <c r="J403" s="11"/>
      <c r="K403" s="14"/>
      <c r="L403" s="11"/>
      <c r="M403" s="14"/>
      <c r="N403" s="11"/>
      <c r="O403" s="14"/>
      <c r="P403" s="11">
        <v>126.24063757776629</v>
      </c>
      <c r="Q403" s="14"/>
      <c r="R403" s="11">
        <f t="shared" si="145"/>
        <v>0</v>
      </c>
      <c r="S403" s="14"/>
      <c r="T403" s="11">
        <f t="shared" ref="T403:T405" si="146">$H403*V403/100</f>
        <v>126.24063757776631</v>
      </c>
      <c r="U403" s="14"/>
      <c r="V403" s="26">
        <v>6.6846298017213632E-2</v>
      </c>
      <c r="W403" s="14"/>
      <c r="X403" s="13">
        <f t="shared" si="144"/>
        <v>1.0000000000000002</v>
      </c>
      <c r="Y403" s="14"/>
      <c r="Z403" s="11"/>
    </row>
    <row r="404" spans="2:26" x14ac:dyDescent="0.3">
      <c r="B404" s="62">
        <f>MAX(B$18:B403)+1</f>
        <v>255</v>
      </c>
      <c r="D404" s="16" t="s">
        <v>37</v>
      </c>
      <c r="F404" s="48" t="s">
        <v>40</v>
      </c>
      <c r="H404" s="11">
        <v>0</v>
      </c>
      <c r="I404" s="14"/>
      <c r="J404" s="11"/>
      <c r="K404" s="14"/>
      <c r="L404" s="11"/>
      <c r="M404" s="14"/>
      <c r="N404" s="11"/>
      <c r="O404" s="14"/>
      <c r="P404" s="11">
        <v>0</v>
      </c>
      <c r="Q404" s="14"/>
      <c r="R404" s="11">
        <f t="shared" si="145"/>
        <v>0</v>
      </c>
      <c r="S404" s="14"/>
      <c r="T404" s="11">
        <f t="shared" si="146"/>
        <v>0</v>
      </c>
      <c r="U404" s="14"/>
      <c r="V404" s="26">
        <v>6.6846298017213632E-2</v>
      </c>
      <c r="W404" s="14"/>
      <c r="X404" s="13" t="str">
        <f t="shared" si="144"/>
        <v>-</v>
      </c>
      <c r="Y404" s="14"/>
      <c r="Z404" s="11"/>
    </row>
    <row r="405" spans="2:26" x14ac:dyDescent="0.3">
      <c r="B405" s="62">
        <f>MAX(B$18:B404)+1</f>
        <v>256</v>
      </c>
      <c r="D405" s="16" t="s">
        <v>38</v>
      </c>
      <c r="F405" s="48" t="s">
        <v>40</v>
      </c>
      <c r="H405" s="11">
        <v>90073.425800000012</v>
      </c>
      <c r="I405" s="14"/>
      <c r="J405" s="11"/>
      <c r="K405" s="14"/>
      <c r="L405" s="11"/>
      <c r="M405" s="14"/>
      <c r="N405" s="11"/>
      <c r="O405" s="14"/>
      <c r="P405" s="11">
        <v>60.2107506445818</v>
      </c>
      <c r="Q405" s="14"/>
      <c r="R405" s="11">
        <f t="shared" si="145"/>
        <v>0</v>
      </c>
      <c r="S405" s="14"/>
      <c r="T405" s="11">
        <f t="shared" si="146"/>
        <v>60.2107506445818</v>
      </c>
      <c r="U405" s="14"/>
      <c r="V405" s="26">
        <v>6.6846298017213632E-2</v>
      </c>
      <c r="W405" s="14"/>
      <c r="X405" s="13">
        <f t="shared" si="144"/>
        <v>1</v>
      </c>
      <c r="Y405" s="14"/>
      <c r="Z405" s="11"/>
    </row>
    <row r="406" spans="2:26" x14ac:dyDescent="0.3">
      <c r="B406" s="62"/>
      <c r="D406" s="10" t="s">
        <v>121</v>
      </c>
      <c r="F406" s="48"/>
      <c r="H406" s="11"/>
      <c r="I406" s="14"/>
      <c r="J406" s="11"/>
      <c r="K406" s="14"/>
      <c r="L406" s="11"/>
      <c r="M406" s="14"/>
      <c r="N406" s="11"/>
      <c r="O406" s="14"/>
      <c r="P406" s="11"/>
      <c r="Q406" s="14"/>
      <c r="R406" s="11"/>
      <c r="S406" s="14"/>
      <c r="T406" s="11"/>
      <c r="U406" s="14"/>
      <c r="V406" s="26"/>
      <c r="W406" s="14"/>
      <c r="X406" s="13"/>
      <c r="Y406" s="14"/>
      <c r="Z406" s="11"/>
    </row>
    <row r="407" spans="2:26" x14ac:dyDescent="0.3">
      <c r="B407" s="62">
        <f>MAX(B$18:B406)+1</f>
        <v>257</v>
      </c>
      <c r="D407" s="16" t="s">
        <v>34</v>
      </c>
      <c r="F407" s="48" t="s">
        <v>42</v>
      </c>
      <c r="H407" s="11">
        <v>0</v>
      </c>
      <c r="I407" s="14"/>
      <c r="J407" s="11"/>
      <c r="K407" s="14"/>
      <c r="L407" s="11"/>
      <c r="M407" s="14"/>
      <c r="N407" s="11"/>
      <c r="O407" s="14"/>
      <c r="P407" s="11">
        <v>0</v>
      </c>
      <c r="Q407" s="14"/>
      <c r="R407" s="11">
        <f t="shared" ref="R407:R410" si="147">T407-P407</f>
        <v>0</v>
      </c>
      <c r="S407" s="14"/>
      <c r="T407" s="11">
        <f t="shared" ref="T407:T410" si="148">$H407*V407/100</f>
        <v>0</v>
      </c>
      <c r="U407" s="14"/>
      <c r="V407" s="26">
        <v>0</v>
      </c>
      <c r="W407" s="14"/>
      <c r="X407" s="13" t="str">
        <f t="shared" si="144"/>
        <v>-</v>
      </c>
      <c r="Y407" s="14"/>
      <c r="Z407" s="11"/>
    </row>
    <row r="408" spans="2:26" x14ac:dyDescent="0.3">
      <c r="B408" s="62">
        <f>MAX(B$18:B407)+1</f>
        <v>258</v>
      </c>
      <c r="D408" s="16" t="s">
        <v>36</v>
      </c>
      <c r="F408" s="48" t="s">
        <v>42</v>
      </c>
      <c r="H408" s="11">
        <v>15025.2</v>
      </c>
      <c r="I408" s="14"/>
      <c r="J408" s="11"/>
      <c r="K408" s="14"/>
      <c r="L408" s="11"/>
      <c r="M408" s="14"/>
      <c r="N408" s="11"/>
      <c r="O408" s="14"/>
      <c r="P408" s="11">
        <v>4042.150670527908</v>
      </c>
      <c r="Q408" s="14"/>
      <c r="R408" s="11">
        <f t="shared" si="147"/>
        <v>-85.481535174780674</v>
      </c>
      <c r="S408" s="14"/>
      <c r="T408" s="11">
        <f t="shared" si="148"/>
        <v>3956.6691353531273</v>
      </c>
      <c r="U408" s="14"/>
      <c r="V408" s="26">
        <v>26.333553865193991</v>
      </c>
      <c r="W408" s="14"/>
      <c r="X408" s="13">
        <f t="shared" si="144"/>
        <v>0.97885246193368225</v>
      </c>
      <c r="Y408" s="14"/>
      <c r="Z408" s="11"/>
    </row>
    <row r="409" spans="2:26" x14ac:dyDescent="0.3">
      <c r="B409" s="62">
        <f>MAX(B$18:B408)+1</f>
        <v>259</v>
      </c>
      <c r="D409" s="16" t="s">
        <v>37</v>
      </c>
      <c r="F409" s="48" t="s">
        <v>42</v>
      </c>
      <c r="H409" s="11">
        <v>0</v>
      </c>
      <c r="I409" s="14"/>
      <c r="J409" s="11"/>
      <c r="K409" s="14"/>
      <c r="L409" s="11"/>
      <c r="M409" s="14"/>
      <c r="N409" s="11"/>
      <c r="O409" s="14"/>
      <c r="P409" s="11">
        <v>0</v>
      </c>
      <c r="Q409" s="14"/>
      <c r="R409" s="11">
        <f t="shared" si="147"/>
        <v>0</v>
      </c>
      <c r="S409" s="14"/>
      <c r="T409" s="11">
        <f t="shared" si="148"/>
        <v>0</v>
      </c>
      <c r="U409" s="14"/>
      <c r="V409" s="26">
        <v>0</v>
      </c>
      <c r="W409" s="14"/>
      <c r="X409" s="13" t="str">
        <f t="shared" si="144"/>
        <v>-</v>
      </c>
      <c r="Y409" s="14"/>
      <c r="Z409" s="11"/>
    </row>
    <row r="410" spans="2:26" x14ac:dyDescent="0.3">
      <c r="B410" s="62">
        <f>MAX(B$18:B409)+1</f>
        <v>260</v>
      </c>
      <c r="D410" s="16" t="s">
        <v>38</v>
      </c>
      <c r="F410" s="48" t="s">
        <v>42</v>
      </c>
      <c r="H410" s="11">
        <v>6040.4639999999999</v>
      </c>
      <c r="I410" s="14"/>
      <c r="J410" s="11"/>
      <c r="K410" s="14"/>
      <c r="L410" s="11"/>
      <c r="M410" s="14"/>
      <c r="N410" s="11"/>
      <c r="O410" s="14"/>
      <c r="P410" s="11">
        <v>1555.6142335717966</v>
      </c>
      <c r="Q410" s="14"/>
      <c r="R410" s="11">
        <f t="shared" si="147"/>
        <v>77.232444965394507</v>
      </c>
      <c r="S410" s="14"/>
      <c r="T410" s="11">
        <f t="shared" si="148"/>
        <v>1632.8466785371911</v>
      </c>
      <c r="U410" s="14"/>
      <c r="V410" s="26">
        <v>27.031808790470254</v>
      </c>
      <c r="W410" s="14"/>
      <c r="X410" s="13">
        <f t="shared" si="144"/>
        <v>1.0496475561219722</v>
      </c>
      <c r="Y410" s="14"/>
      <c r="Z410" s="11"/>
    </row>
    <row r="411" spans="2:26" x14ac:dyDescent="0.3">
      <c r="B411" s="62">
        <f>MAX(B$18:B410)+1</f>
        <v>261</v>
      </c>
      <c r="C411" s="64"/>
      <c r="D411" s="10" t="s">
        <v>43</v>
      </c>
      <c r="E411" s="62"/>
      <c r="F411" s="17"/>
      <c r="G411" s="62"/>
      <c r="H411" s="72">
        <f>SUM(H402:H405)</f>
        <v>278925.5258</v>
      </c>
      <c r="I411" s="67"/>
      <c r="J411" s="11"/>
      <c r="K411" s="67"/>
      <c r="L411" s="11"/>
      <c r="M411" s="68"/>
      <c r="N411" s="11"/>
      <c r="O411" s="12"/>
      <c r="P411" s="72">
        <f>SUM(P397:P410)</f>
        <v>5977.8098235375328</v>
      </c>
      <c r="Q411" s="12"/>
      <c r="R411" s="72">
        <f>SUM(R397:R410)</f>
        <v>-171.84262142486608</v>
      </c>
      <c r="S411" s="68"/>
      <c r="T411" s="72">
        <f>SUM(T397:T410)</f>
        <v>5805.9672021126662</v>
      </c>
      <c r="U411" s="68"/>
      <c r="V411" s="20">
        <f>T411/$H411*100</f>
        <v>2.0815474616244916</v>
      </c>
      <c r="W411" s="68"/>
      <c r="X411" s="73">
        <f t="shared" ref="X411" si="149">T411/P411</f>
        <v>0.97125324717620842</v>
      </c>
      <c r="Y411" s="14"/>
      <c r="Z411" s="11"/>
    </row>
    <row r="412" spans="2:26" x14ac:dyDescent="0.3">
      <c r="B412" s="62"/>
      <c r="D412" s="10"/>
      <c r="F412" s="48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2"/>
      <c r="U412" s="14"/>
      <c r="V412" s="36"/>
      <c r="W412" s="14"/>
      <c r="X412" s="14"/>
      <c r="Y412" s="14"/>
      <c r="Z412" s="14"/>
    </row>
    <row r="413" spans="2:26" x14ac:dyDescent="0.3">
      <c r="B413" s="62"/>
      <c r="C413" s="64"/>
      <c r="D413" s="10" t="s">
        <v>44</v>
      </c>
      <c r="E413" s="62"/>
      <c r="F413" s="70"/>
      <c r="G413" s="62"/>
      <c r="H413" s="11"/>
      <c r="I413" s="67"/>
      <c r="J413" s="18"/>
      <c r="K413" s="67"/>
      <c r="L413" s="67"/>
      <c r="M413" s="68"/>
      <c r="N413" s="19"/>
      <c r="O413" s="12"/>
      <c r="P413" s="11"/>
      <c r="Q413" s="12"/>
      <c r="R413" s="11"/>
      <c r="S413" s="68"/>
      <c r="T413" s="11"/>
      <c r="U413" s="68"/>
      <c r="V413" s="21"/>
      <c r="W413" s="68"/>
      <c r="X413" s="13"/>
      <c r="Y413" s="14"/>
      <c r="Z413" s="19"/>
    </row>
    <row r="414" spans="2:26" x14ac:dyDescent="0.3">
      <c r="B414" s="62">
        <f>MAX(B$18:B413)+1</f>
        <v>262</v>
      </c>
      <c r="D414" s="22" t="s">
        <v>45</v>
      </c>
      <c r="E414" s="62"/>
      <c r="F414" s="70"/>
      <c r="H414" s="11"/>
      <c r="I414" s="14"/>
      <c r="J414" s="11"/>
      <c r="K414" s="14"/>
      <c r="L414" s="11"/>
      <c r="M414" s="14"/>
      <c r="N414" s="11"/>
      <c r="O414" s="14"/>
      <c r="P414" s="11"/>
      <c r="Q414" s="14"/>
      <c r="R414" s="11"/>
      <c r="S414" s="14"/>
      <c r="T414" s="11"/>
      <c r="U414" s="14"/>
      <c r="V414" s="26"/>
      <c r="W414" s="14"/>
      <c r="X414" s="11"/>
      <c r="Y414" s="14"/>
      <c r="Z414" s="11"/>
    </row>
    <row r="415" spans="2:26" x14ac:dyDescent="0.3">
      <c r="B415" s="62">
        <f>MAX(B$18:B414)+1</f>
        <v>263</v>
      </c>
      <c r="D415" s="16" t="s">
        <v>34</v>
      </c>
      <c r="E415" s="62"/>
      <c r="F415" s="70" t="s">
        <v>40</v>
      </c>
      <c r="H415" s="11">
        <v>0</v>
      </c>
      <c r="I415" s="14"/>
      <c r="J415" s="11"/>
      <c r="K415" s="14"/>
      <c r="L415" s="11"/>
      <c r="M415" s="14"/>
      <c r="N415" s="11"/>
      <c r="O415" s="14"/>
      <c r="P415" s="11">
        <v>0</v>
      </c>
      <c r="Q415" s="14"/>
      <c r="R415" s="11">
        <f t="shared" ref="R415:R423" si="150">T415-P415</f>
        <v>0</v>
      </c>
      <c r="S415" s="14"/>
      <c r="T415" s="11">
        <f t="shared" ref="T415:T423" si="151">$H415*V415/100</f>
        <v>0</v>
      </c>
      <c r="U415" s="14"/>
      <c r="V415" s="26">
        <v>0</v>
      </c>
      <c r="W415" s="14"/>
      <c r="X415" s="13" t="str">
        <f>IFERROR(T415/P415,"-")</f>
        <v>-</v>
      </c>
      <c r="Y415" s="14"/>
      <c r="Z415" s="11"/>
    </row>
    <row r="416" spans="2:26" x14ac:dyDescent="0.3">
      <c r="B416" s="62">
        <f>MAX(B$18:B415)+1</f>
        <v>264</v>
      </c>
      <c r="D416" s="16" t="s">
        <v>36</v>
      </c>
      <c r="E416" s="62"/>
      <c r="F416" s="70" t="s">
        <v>40</v>
      </c>
      <c r="H416" s="11">
        <v>188850.1</v>
      </c>
      <c r="I416" s="14"/>
      <c r="J416" s="11"/>
      <c r="K416" s="14"/>
      <c r="L416" s="11"/>
      <c r="M416" s="14"/>
      <c r="N416" s="11"/>
      <c r="O416" s="14"/>
      <c r="P416" s="11">
        <v>14099.084766782589</v>
      </c>
      <c r="Q416" s="14"/>
      <c r="R416" s="11">
        <f t="shared" si="150"/>
        <v>0</v>
      </c>
      <c r="S416" s="14"/>
      <c r="T416" s="11">
        <f t="shared" si="151"/>
        <v>14099.084766782589</v>
      </c>
      <c r="U416" s="14"/>
      <c r="V416" s="26">
        <v>7.4657544617570171</v>
      </c>
      <c r="W416" s="14"/>
      <c r="X416" s="13">
        <f t="shared" ref="X416:X423" si="152">IFERROR(T416/P416,"-")</f>
        <v>1</v>
      </c>
      <c r="Y416" s="14"/>
      <c r="Z416" s="11"/>
    </row>
    <row r="417" spans="2:26" x14ac:dyDescent="0.3">
      <c r="B417" s="62">
        <f>MAX(B$18:B416)+1</f>
        <v>265</v>
      </c>
      <c r="D417" s="16" t="s">
        <v>37</v>
      </c>
      <c r="E417" s="62"/>
      <c r="F417" s="70" t="s">
        <v>40</v>
      </c>
      <c r="H417" s="11">
        <v>0</v>
      </c>
      <c r="I417" s="14"/>
      <c r="J417" s="11"/>
      <c r="K417" s="14"/>
      <c r="L417" s="11"/>
      <c r="M417" s="14"/>
      <c r="N417" s="11"/>
      <c r="O417" s="14"/>
      <c r="P417" s="11">
        <v>0</v>
      </c>
      <c r="Q417" s="14"/>
      <c r="R417" s="11">
        <f t="shared" si="150"/>
        <v>0</v>
      </c>
      <c r="S417" s="14"/>
      <c r="T417" s="11">
        <f t="shared" si="151"/>
        <v>0</v>
      </c>
      <c r="U417" s="14"/>
      <c r="V417" s="26">
        <v>0</v>
      </c>
      <c r="W417" s="14"/>
      <c r="X417" s="13" t="str">
        <f t="shared" si="152"/>
        <v>-</v>
      </c>
      <c r="Y417" s="14"/>
      <c r="Z417" s="11"/>
    </row>
    <row r="418" spans="2:26" x14ac:dyDescent="0.3">
      <c r="B418" s="62">
        <f>MAX(B$18:B417)+1</f>
        <v>266</v>
      </c>
      <c r="D418" s="16" t="s">
        <v>38</v>
      </c>
      <c r="E418" s="62"/>
      <c r="F418" s="70" t="s">
        <v>40</v>
      </c>
      <c r="H418" s="11">
        <v>90073.425800000012</v>
      </c>
      <c r="I418" s="14"/>
      <c r="J418" s="11"/>
      <c r="K418" s="14"/>
      <c r="L418" s="11"/>
      <c r="M418" s="14"/>
      <c r="N418" s="11"/>
      <c r="O418" s="14"/>
      <c r="P418" s="11">
        <v>182.15294229543045</v>
      </c>
      <c r="Q418" s="14"/>
      <c r="R418" s="11">
        <f t="shared" si="150"/>
        <v>0</v>
      </c>
      <c r="S418" s="14"/>
      <c r="T418" s="11">
        <f t="shared" si="151"/>
        <v>182.15294229543045</v>
      </c>
      <c r="U418" s="14"/>
      <c r="V418" s="26">
        <v>0.20222717264011336</v>
      </c>
      <c r="W418" s="14"/>
      <c r="X418" s="13">
        <f t="shared" si="152"/>
        <v>1</v>
      </c>
      <c r="Y418" s="14"/>
      <c r="Z418" s="11"/>
    </row>
    <row r="419" spans="2:26" x14ac:dyDescent="0.3">
      <c r="B419" s="62"/>
      <c r="D419" s="22" t="s">
        <v>46</v>
      </c>
      <c r="E419" s="62"/>
      <c r="F419" s="70"/>
      <c r="H419" s="11"/>
      <c r="I419" s="14"/>
      <c r="J419" s="11"/>
      <c r="K419" s="14"/>
      <c r="L419" s="11"/>
      <c r="M419" s="14"/>
      <c r="N419" s="11"/>
      <c r="O419" s="14"/>
      <c r="P419" s="11"/>
      <c r="Q419" s="14"/>
      <c r="R419" s="11"/>
      <c r="S419" s="14"/>
      <c r="T419" s="11"/>
      <c r="U419" s="14"/>
      <c r="V419" s="26"/>
      <c r="W419" s="14"/>
      <c r="X419" s="13"/>
      <c r="Y419" s="14"/>
      <c r="Z419" s="11"/>
    </row>
    <row r="420" spans="2:26" x14ac:dyDescent="0.3">
      <c r="B420" s="62">
        <f>MAX(B$18:B419)+1</f>
        <v>267</v>
      </c>
      <c r="D420" s="16" t="s">
        <v>34</v>
      </c>
      <c r="E420" s="62"/>
      <c r="F420" s="70" t="s">
        <v>40</v>
      </c>
      <c r="H420" s="11">
        <v>0</v>
      </c>
      <c r="I420" s="14"/>
      <c r="J420" s="11"/>
      <c r="K420" s="14"/>
      <c r="L420" s="11"/>
      <c r="M420" s="14"/>
      <c r="N420" s="11"/>
      <c r="O420" s="14"/>
      <c r="P420" s="11">
        <v>0</v>
      </c>
      <c r="Q420" s="14"/>
      <c r="R420" s="11">
        <f t="shared" si="150"/>
        <v>0</v>
      </c>
      <c r="S420" s="14"/>
      <c r="T420" s="11">
        <f t="shared" si="151"/>
        <v>0</v>
      </c>
      <c r="U420" s="14"/>
      <c r="V420" s="26">
        <v>2.5919054930057994</v>
      </c>
      <c r="W420" s="14"/>
      <c r="X420" s="13" t="str">
        <f t="shared" si="152"/>
        <v>-</v>
      </c>
      <c r="Y420" s="14"/>
      <c r="Z420" s="11"/>
    </row>
    <row r="421" spans="2:26" x14ac:dyDescent="0.3">
      <c r="B421" s="62">
        <f>MAX(B$18:B420)+1</f>
        <v>268</v>
      </c>
      <c r="D421" s="16" t="s">
        <v>36</v>
      </c>
      <c r="E421" s="62"/>
      <c r="F421" s="70" t="s">
        <v>40</v>
      </c>
      <c r="H421" s="11">
        <v>2</v>
      </c>
      <c r="I421" s="14"/>
      <c r="J421" s="11"/>
      <c r="K421" s="14"/>
      <c r="L421" s="11"/>
      <c r="M421" s="14"/>
      <c r="N421" s="11"/>
      <c r="O421" s="14"/>
      <c r="P421" s="11">
        <v>0.20115319909525634</v>
      </c>
      <c r="Q421" s="14"/>
      <c r="R421" s="11">
        <f t="shared" si="150"/>
        <v>0</v>
      </c>
      <c r="S421" s="14"/>
      <c r="T421" s="11">
        <f t="shared" si="151"/>
        <v>0.20115319909525634</v>
      </c>
      <c r="U421" s="14"/>
      <c r="V421" s="26">
        <v>10.057659954762817</v>
      </c>
      <c r="W421" s="14"/>
      <c r="X421" s="13">
        <f t="shared" si="152"/>
        <v>1</v>
      </c>
      <c r="Y421" s="14"/>
      <c r="Z421" s="11"/>
    </row>
    <row r="422" spans="2:26" x14ac:dyDescent="0.3">
      <c r="B422" s="62">
        <f>MAX(B$18:B421)+1</f>
        <v>269</v>
      </c>
      <c r="D422" s="16" t="s">
        <v>37</v>
      </c>
      <c r="E422" s="62"/>
      <c r="F422" s="70" t="s">
        <v>40</v>
      </c>
      <c r="H422" s="11">
        <v>0</v>
      </c>
      <c r="I422" s="14"/>
      <c r="J422" s="11"/>
      <c r="K422" s="14"/>
      <c r="L422" s="11"/>
      <c r="M422" s="14"/>
      <c r="N422" s="11"/>
      <c r="O422" s="14"/>
      <c r="P422" s="11">
        <v>0</v>
      </c>
      <c r="Q422" s="14"/>
      <c r="R422" s="11">
        <f t="shared" si="150"/>
        <v>0</v>
      </c>
      <c r="S422" s="14"/>
      <c r="T422" s="11">
        <f t="shared" si="151"/>
        <v>0</v>
      </c>
      <c r="U422" s="14"/>
      <c r="V422" s="26">
        <v>2.5919054930057994</v>
      </c>
      <c r="W422" s="14"/>
      <c r="X422" s="13" t="str">
        <f t="shared" si="152"/>
        <v>-</v>
      </c>
      <c r="Y422" s="14"/>
      <c r="Z422" s="11"/>
    </row>
    <row r="423" spans="2:26" x14ac:dyDescent="0.3">
      <c r="B423" s="62">
        <f>MAX(B$18:B422)+1</f>
        <v>270</v>
      </c>
      <c r="D423" s="16" t="s">
        <v>38</v>
      </c>
      <c r="E423" s="62"/>
      <c r="F423" s="70" t="s">
        <v>40</v>
      </c>
      <c r="H423" s="11">
        <v>0</v>
      </c>
      <c r="I423" s="14"/>
      <c r="J423" s="11"/>
      <c r="K423" s="14"/>
      <c r="L423" s="11"/>
      <c r="M423" s="14"/>
      <c r="N423" s="11"/>
      <c r="O423" s="14"/>
      <c r="P423" s="11">
        <v>0</v>
      </c>
      <c r="Q423" s="14"/>
      <c r="R423" s="11">
        <f t="shared" si="150"/>
        <v>0</v>
      </c>
      <c r="S423" s="14"/>
      <c r="T423" s="11">
        <f t="shared" si="151"/>
        <v>0</v>
      </c>
      <c r="U423" s="14"/>
      <c r="V423" s="26">
        <v>2.7941326656459129</v>
      </c>
      <c r="W423" s="14"/>
      <c r="X423" s="13" t="str">
        <f t="shared" si="152"/>
        <v>-</v>
      </c>
      <c r="Y423" s="14"/>
      <c r="Z423" s="11"/>
    </row>
    <row r="424" spans="2:26" x14ac:dyDescent="0.3">
      <c r="B424" s="62">
        <f>MAX(B$18:B423)+1</f>
        <v>271</v>
      </c>
      <c r="C424" s="64"/>
      <c r="D424" s="10" t="s">
        <v>44</v>
      </c>
      <c r="E424" s="62"/>
      <c r="F424" s="17"/>
      <c r="G424" s="62"/>
      <c r="H424" s="72">
        <f>SUM(H415:H423)</f>
        <v>278925.5258</v>
      </c>
      <c r="I424" s="67"/>
      <c r="J424" s="11"/>
      <c r="K424" s="67"/>
      <c r="L424" s="11"/>
      <c r="M424" s="68"/>
      <c r="N424" s="11"/>
      <c r="O424" s="12"/>
      <c r="P424" s="72">
        <f>SUM(P414:P423)</f>
        <v>14281.438862277115</v>
      </c>
      <c r="Q424" s="12"/>
      <c r="R424" s="72">
        <f>SUM(R414:R419)</f>
        <v>0</v>
      </c>
      <c r="S424" s="68"/>
      <c r="T424" s="72">
        <f>SUM(T414:T423)</f>
        <v>14281.438862277115</v>
      </c>
      <c r="U424" s="68"/>
      <c r="V424" s="20">
        <f>T424/$H424*100</f>
        <v>5.120162029386095</v>
      </c>
      <c r="W424" s="68"/>
      <c r="X424" s="73">
        <f t="shared" ref="X424" si="153">T424/P424</f>
        <v>1</v>
      </c>
      <c r="Y424" s="14"/>
      <c r="Z424" s="11"/>
    </row>
    <row r="425" spans="2:26" x14ac:dyDescent="0.3">
      <c r="B425" s="62"/>
      <c r="D425" s="10"/>
      <c r="F425" s="48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43"/>
      <c r="U425" s="14"/>
      <c r="V425" s="36"/>
      <c r="W425" s="14"/>
      <c r="X425" s="14"/>
      <c r="Y425" s="14"/>
      <c r="Z425" s="14"/>
    </row>
    <row r="426" spans="2:26" x14ac:dyDescent="0.3">
      <c r="B426" s="62"/>
      <c r="D426" s="10" t="s">
        <v>48</v>
      </c>
      <c r="F426" s="48"/>
      <c r="H426" s="11"/>
      <c r="I426" s="14"/>
      <c r="J426" s="11"/>
      <c r="K426" s="14"/>
      <c r="L426" s="11"/>
      <c r="M426" s="14"/>
      <c r="N426" s="11"/>
      <c r="O426" s="14"/>
      <c r="P426" s="11"/>
      <c r="Q426" s="14"/>
      <c r="R426" s="11"/>
      <c r="S426" s="14"/>
      <c r="T426" s="42"/>
      <c r="U426" s="14"/>
      <c r="V426" s="26"/>
      <c r="W426" s="14"/>
      <c r="X426" s="13"/>
      <c r="Y426" s="14"/>
      <c r="Z426" s="11"/>
    </row>
    <row r="427" spans="2:26" x14ac:dyDescent="0.3">
      <c r="B427" s="62">
        <f>MAX(B$18:B426)+1</f>
        <v>272</v>
      </c>
      <c r="D427" s="16" t="s">
        <v>34</v>
      </c>
      <c r="F427" s="48" t="s">
        <v>40</v>
      </c>
      <c r="H427" s="11">
        <v>0</v>
      </c>
      <c r="I427" s="14"/>
      <c r="J427" s="11"/>
      <c r="K427" s="14"/>
      <c r="L427" s="11"/>
      <c r="M427" s="14"/>
      <c r="N427" s="11"/>
      <c r="O427" s="14"/>
      <c r="P427" s="11">
        <v>0</v>
      </c>
      <c r="Q427" s="14"/>
      <c r="R427" s="11">
        <f t="shared" ref="R427:R430" si="154">T427-P427</f>
        <v>0</v>
      </c>
      <c r="S427" s="14"/>
      <c r="T427" s="42">
        <f t="shared" ref="T427:T430" si="155">$H427*V427/100</f>
        <v>0</v>
      </c>
      <c r="U427" s="14"/>
      <c r="V427" s="26">
        <v>13.431863087937938</v>
      </c>
      <c r="W427" s="14"/>
      <c r="X427" s="13" t="str">
        <f>IFERROR(T427/P427,"-")</f>
        <v>-</v>
      </c>
      <c r="Y427" s="14"/>
      <c r="Z427" s="11"/>
    </row>
    <row r="428" spans="2:26" x14ac:dyDescent="0.3">
      <c r="B428" s="62">
        <f>MAX(B$18:B427)+1</f>
        <v>273</v>
      </c>
      <c r="D428" s="16" t="s">
        <v>36</v>
      </c>
      <c r="F428" s="48" t="s">
        <v>40</v>
      </c>
      <c r="H428" s="11">
        <v>140305.60000000001</v>
      </c>
      <c r="I428" s="14"/>
      <c r="J428" s="11"/>
      <c r="K428" s="14"/>
      <c r="L428" s="11"/>
      <c r="M428" s="14"/>
      <c r="N428" s="11"/>
      <c r="O428" s="14"/>
      <c r="P428" s="11">
        <v>14847.69287012807</v>
      </c>
      <c r="Q428" s="14"/>
      <c r="R428" s="11">
        <f t="shared" si="154"/>
        <v>20.597376133318903</v>
      </c>
      <c r="S428" s="14"/>
      <c r="T428" s="11">
        <f t="shared" si="155"/>
        <v>14868.290246261389</v>
      </c>
      <c r="U428" s="14"/>
      <c r="V428" s="26">
        <v>10.59707541699076</v>
      </c>
      <c r="W428" s="14"/>
      <c r="X428" s="13">
        <f t="shared" ref="X428:X430" si="156">IFERROR(T428/P428,"-")</f>
        <v>1.0013872442212728</v>
      </c>
      <c r="Y428" s="14"/>
      <c r="Z428" s="11"/>
    </row>
    <row r="429" spans="2:26" x14ac:dyDescent="0.3">
      <c r="B429" s="62">
        <f>MAX(B$18:B428)+1</f>
        <v>274</v>
      </c>
      <c r="D429" s="16" t="s">
        <v>37</v>
      </c>
      <c r="F429" s="48" t="s">
        <v>40</v>
      </c>
      <c r="H429" s="11">
        <v>0</v>
      </c>
      <c r="I429" s="14"/>
      <c r="J429" s="11"/>
      <c r="K429" s="14"/>
      <c r="L429" s="11"/>
      <c r="M429" s="14"/>
      <c r="N429" s="11"/>
      <c r="O429" s="14"/>
      <c r="P429" s="11">
        <v>0</v>
      </c>
      <c r="Q429" s="14"/>
      <c r="R429" s="11">
        <f t="shared" si="154"/>
        <v>0</v>
      </c>
      <c r="S429" s="14"/>
      <c r="T429" s="11">
        <f t="shared" si="155"/>
        <v>0</v>
      </c>
      <c r="U429" s="14"/>
      <c r="V429" s="26">
        <v>14.688809833809541</v>
      </c>
      <c r="W429" s="14"/>
      <c r="X429" s="13" t="str">
        <f t="shared" si="156"/>
        <v>-</v>
      </c>
      <c r="Y429" s="14"/>
      <c r="Z429" s="11"/>
    </row>
    <row r="430" spans="2:26" x14ac:dyDescent="0.3">
      <c r="B430" s="62">
        <f>MAX(B$18:B429)+1</f>
        <v>275</v>
      </c>
      <c r="D430" s="16" t="s">
        <v>38</v>
      </c>
      <c r="F430" s="48" t="s">
        <v>40</v>
      </c>
      <c r="H430" s="11">
        <v>15795.3217</v>
      </c>
      <c r="I430" s="14"/>
      <c r="J430" s="11"/>
      <c r="K430" s="14"/>
      <c r="L430" s="11"/>
      <c r="M430" s="14"/>
      <c r="N430" s="11"/>
      <c r="O430" s="14"/>
      <c r="P430" s="11">
        <v>2478.965581918625</v>
      </c>
      <c r="Q430" s="14"/>
      <c r="R430" s="11">
        <f t="shared" si="154"/>
        <v>4.0008671930991113E-9</v>
      </c>
      <c r="S430" s="14"/>
      <c r="T430" s="11">
        <f t="shared" si="155"/>
        <v>2478.9655819226259</v>
      </c>
      <c r="U430" s="14"/>
      <c r="V430" s="26">
        <v>15.694302585319461</v>
      </c>
      <c r="W430" s="14"/>
      <c r="X430" s="13">
        <f t="shared" si="156"/>
        <v>1.0000000000016138</v>
      </c>
      <c r="Y430" s="14"/>
      <c r="Z430" s="11"/>
    </row>
    <row r="431" spans="2:26" x14ac:dyDescent="0.3">
      <c r="B431" s="62"/>
      <c r="D431" s="10"/>
      <c r="F431" s="48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2"/>
      <c r="U431" s="14"/>
      <c r="V431" s="36"/>
      <c r="W431" s="14"/>
      <c r="X431" s="14"/>
      <c r="Y431" s="14"/>
      <c r="Z431" s="14"/>
    </row>
    <row r="432" spans="2:26" ht="12.9" thickBot="1" x14ac:dyDescent="0.35">
      <c r="B432" s="62">
        <f>MAX(B$18:B431)+1</f>
        <v>276</v>
      </c>
      <c r="D432" s="24" t="s">
        <v>134</v>
      </c>
      <c r="F432" s="48"/>
      <c r="H432" s="74">
        <f>H411</f>
        <v>278925.5258</v>
      </c>
      <c r="I432" s="67"/>
      <c r="J432" s="74">
        <v>33816.012821194956</v>
      </c>
      <c r="K432" s="68"/>
      <c r="L432" s="25">
        <f>J432/$H432*100</f>
        <v>12.123670906133666</v>
      </c>
      <c r="M432" s="68"/>
      <c r="N432" s="74">
        <f>J432-P432</f>
        <v>-3769.8943166663812</v>
      </c>
      <c r="O432" s="12"/>
      <c r="P432" s="74">
        <f>SUM(P411,P424,P427:P430)</f>
        <v>37585.907137861337</v>
      </c>
      <c r="Q432" s="12"/>
      <c r="R432" s="74">
        <f>R411+SUM(R427:R430)</f>
        <v>-151.24524528754631</v>
      </c>
      <c r="S432" s="68"/>
      <c r="T432" s="74">
        <f>SUM(T411,T424,T427:T430)</f>
        <v>37434.661892573793</v>
      </c>
      <c r="U432" s="68"/>
      <c r="V432" s="25">
        <f>T432/$H432*100</f>
        <v>13.421024047621888</v>
      </c>
      <c r="W432" s="68"/>
      <c r="X432" s="75">
        <f t="shared" ref="X432" si="157">T432/P432</f>
        <v>0.99597601184048079</v>
      </c>
      <c r="Y432" s="14"/>
      <c r="Z432" s="31">
        <f>V432/L432-1</f>
        <v>0.10700992723514613</v>
      </c>
    </row>
    <row r="433" spans="2:26" ht="12.9" thickTop="1" x14ac:dyDescent="0.3">
      <c r="B433" s="62"/>
      <c r="D433" s="10"/>
      <c r="F433" s="48"/>
      <c r="H433" s="68"/>
      <c r="I433" s="67"/>
      <c r="J433" s="68"/>
      <c r="K433" s="68"/>
      <c r="L433" s="26"/>
      <c r="M433" s="68"/>
      <c r="N433" s="68"/>
      <c r="O433" s="12"/>
      <c r="P433" s="68"/>
      <c r="Q433" s="12"/>
      <c r="R433" s="68"/>
      <c r="S433" s="68"/>
      <c r="T433" s="68"/>
      <c r="U433" s="68"/>
      <c r="V433" s="26"/>
      <c r="W433" s="68"/>
      <c r="X433" s="77"/>
      <c r="Y433" s="14"/>
      <c r="Z433" s="40"/>
    </row>
    <row r="434" spans="2:26" x14ac:dyDescent="0.3">
      <c r="B434" s="62">
        <f>MAX(B$18:B433)+1</f>
        <v>277</v>
      </c>
      <c r="D434" s="2" t="s">
        <v>135</v>
      </c>
      <c r="F434" s="48"/>
      <c r="H434" s="11">
        <f>H402</f>
        <v>0</v>
      </c>
      <c r="I434" s="67"/>
      <c r="J434" s="11">
        <v>0</v>
      </c>
      <c r="K434" s="68"/>
      <c r="L434" s="26" t="str">
        <f>IFERROR(J434/$H434*100,"-")</f>
        <v>-</v>
      </c>
      <c r="M434" s="68"/>
      <c r="N434" s="68">
        <f>J434-P434</f>
        <v>0</v>
      </c>
      <c r="O434" s="12"/>
      <c r="P434" s="68">
        <f>P397+P402+P407+P415+P420+P427</f>
        <v>0</v>
      </c>
      <c r="Q434" s="68"/>
      <c r="R434" s="68">
        <f>R397+R402+R407+R427</f>
        <v>0</v>
      </c>
      <c r="S434" s="68"/>
      <c r="T434" s="68">
        <f>T397+T402+T407+T415+T420+T427</f>
        <v>0</v>
      </c>
      <c r="U434" s="68"/>
      <c r="V434" s="26" t="str">
        <f>IFERROR(T434/$H434*100,"-")</f>
        <v>-</v>
      </c>
      <c r="W434" s="68"/>
      <c r="X434" s="77" t="str">
        <f>IFERROR(T434/P434,"-")</f>
        <v>-</v>
      </c>
      <c r="Y434" s="14"/>
      <c r="Z434" s="40" t="str">
        <f>IFERROR(V434/L434-1,"-")</f>
        <v>-</v>
      </c>
    </row>
    <row r="435" spans="2:26" x14ac:dyDescent="0.3">
      <c r="B435" s="62">
        <f>MAX(B$18:B434)+1</f>
        <v>278</v>
      </c>
      <c r="D435" s="64" t="s">
        <v>136</v>
      </c>
      <c r="F435" s="48"/>
      <c r="H435" s="11">
        <f>H403</f>
        <v>188852.1</v>
      </c>
      <c r="I435" s="67"/>
      <c r="J435" s="11">
        <v>29315.707925300005</v>
      </c>
      <c r="K435" s="68"/>
      <c r="L435" s="26">
        <f t="shared" ref="L435:L437" si="158">IFERROR(J435/$H435*100,"-")</f>
        <v>15.523104019123963</v>
      </c>
      <c r="M435" s="68"/>
      <c r="N435" s="68">
        <f t="shared" ref="N435:N437" si="159">J435-P435</f>
        <v>-3838.3808791585179</v>
      </c>
      <c r="O435" s="12"/>
      <c r="P435" s="68">
        <f>P398+P403+P408+P416+P421+P428</f>
        <v>33154.088804458523</v>
      </c>
      <c r="Q435" s="68"/>
      <c r="R435" s="68">
        <f>R398+R403+R408+R428</f>
        <v>-97.602865284557751</v>
      </c>
      <c r="S435" s="68"/>
      <c r="T435" s="68">
        <f>T398+T403+T408+T416+T421+T428</f>
        <v>33056.485939173966</v>
      </c>
      <c r="U435" s="68"/>
      <c r="V435" s="26">
        <f t="shared" ref="V435:V437" si="160">IFERROR(T435/$H435*100,"-")</f>
        <v>17.503901698299341</v>
      </c>
      <c r="W435" s="68"/>
      <c r="X435" s="77">
        <f t="shared" ref="X435:X437" si="161">IFERROR(T435/P435,"-")</f>
        <v>0.99705608361429521</v>
      </c>
      <c r="Y435" s="14"/>
      <c r="Z435" s="40">
        <f t="shared" ref="Z435:Z437" si="162">IFERROR(V435/L435-1,"-")</f>
        <v>0.12760319564534894</v>
      </c>
    </row>
    <row r="436" spans="2:26" x14ac:dyDescent="0.3">
      <c r="B436" s="62">
        <f>MAX(B$18:B435)+1</f>
        <v>279</v>
      </c>
      <c r="D436" s="64" t="s">
        <v>137</v>
      </c>
      <c r="F436" s="48"/>
      <c r="H436" s="11">
        <f>H404</f>
        <v>0</v>
      </c>
      <c r="I436" s="67"/>
      <c r="J436" s="11">
        <v>0</v>
      </c>
      <c r="K436" s="68"/>
      <c r="L436" s="26" t="str">
        <f t="shared" si="158"/>
        <v>-</v>
      </c>
      <c r="M436" s="68"/>
      <c r="N436" s="68">
        <f t="shared" si="159"/>
        <v>0</v>
      </c>
      <c r="O436" s="12"/>
      <c r="P436" s="68">
        <f>P399+P404+P409+P417+P422+P429</f>
        <v>0</v>
      </c>
      <c r="Q436" s="68"/>
      <c r="R436" s="68">
        <f>R399+R404+R409+R429</f>
        <v>0</v>
      </c>
      <c r="S436" s="68"/>
      <c r="T436" s="68">
        <f>T399+T404+T409+T417+T422+T429</f>
        <v>0</v>
      </c>
      <c r="U436" s="68"/>
      <c r="V436" s="26" t="str">
        <f t="shared" si="160"/>
        <v>-</v>
      </c>
      <c r="W436" s="68"/>
      <c r="X436" s="77" t="str">
        <f t="shared" si="161"/>
        <v>-</v>
      </c>
      <c r="Y436" s="14"/>
      <c r="Z436" s="40" t="str">
        <f t="shared" si="162"/>
        <v>-</v>
      </c>
    </row>
    <row r="437" spans="2:26" x14ac:dyDescent="0.3">
      <c r="B437" s="62">
        <f>MAX(B$18:B436)+1</f>
        <v>280</v>
      </c>
      <c r="D437" s="64" t="s">
        <v>138</v>
      </c>
      <c r="F437" s="48"/>
      <c r="H437" s="11">
        <f>H405</f>
        <v>90073.425800000012</v>
      </c>
      <c r="J437" s="11">
        <v>4500.3048958949512</v>
      </c>
      <c r="L437" s="26">
        <f t="shared" si="158"/>
        <v>4.9962626112250641</v>
      </c>
      <c r="N437" s="68">
        <f t="shared" si="159"/>
        <v>68.486562492133089</v>
      </c>
      <c r="P437" s="23">
        <f>P400+P405+P410+P418+P423+P430</f>
        <v>4431.8183334028181</v>
      </c>
      <c r="Q437" s="23"/>
      <c r="R437" s="68">
        <f>R400+R405+R410+R430</f>
        <v>-53.642380002988546</v>
      </c>
      <c r="S437" s="23"/>
      <c r="T437" s="23">
        <f>T400+T405+T410+T418+T423+T430</f>
        <v>4378.1759533998293</v>
      </c>
      <c r="V437" s="26">
        <f t="shared" si="160"/>
        <v>4.8606744048141097</v>
      </c>
      <c r="X437" s="77">
        <f t="shared" si="161"/>
        <v>0.98789607877229901</v>
      </c>
      <c r="Z437" s="35">
        <f t="shared" si="162"/>
        <v>-2.7137926278400504E-2</v>
      </c>
    </row>
    <row r="438" spans="2:26" x14ac:dyDescent="0.3">
      <c r="B438" s="62"/>
      <c r="D438" s="85"/>
      <c r="F438" s="48"/>
      <c r="H438" s="11"/>
    </row>
    <row r="439" spans="2:26" x14ac:dyDescent="0.3">
      <c r="B439" s="62"/>
      <c r="D439" s="85"/>
      <c r="F439" s="48"/>
      <c r="V439" s="37"/>
    </row>
    <row r="440" spans="2:26" x14ac:dyDescent="0.3">
      <c r="B440" s="62"/>
      <c r="D440" s="38" t="s">
        <v>139</v>
      </c>
      <c r="F440" s="55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2:26" x14ac:dyDescent="0.3">
      <c r="B441" s="62"/>
      <c r="D441" s="34" t="s">
        <v>45</v>
      </c>
      <c r="F441" s="48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2:26" x14ac:dyDescent="0.3">
      <c r="B442" s="62">
        <f>MAX(B$18:B441)+1</f>
        <v>281</v>
      </c>
      <c r="D442" s="10" t="s">
        <v>33</v>
      </c>
      <c r="F442" s="48" t="s">
        <v>35</v>
      </c>
      <c r="H442" s="11">
        <v>12</v>
      </c>
      <c r="I442" s="14"/>
      <c r="J442" s="11"/>
      <c r="K442" s="14"/>
      <c r="L442" s="11"/>
      <c r="M442" s="14"/>
      <c r="N442" s="11"/>
      <c r="O442" s="14"/>
      <c r="P442" s="11">
        <v>344.52367214370162</v>
      </c>
      <c r="Q442" s="14"/>
      <c r="R442" s="11">
        <f t="shared" ref="R442:R445" si="163">T442-P442</f>
        <v>0</v>
      </c>
      <c r="S442" s="14"/>
      <c r="T442" s="11">
        <f>$H442*V442/1000</f>
        <v>344.52367214370162</v>
      </c>
      <c r="U442" s="14"/>
      <c r="V442" s="71">
        <v>28710.306011975135</v>
      </c>
      <c r="W442" s="14"/>
      <c r="X442" s="14"/>
      <c r="Y442" s="14"/>
      <c r="Z442" s="14"/>
    </row>
    <row r="443" spans="2:26" x14ac:dyDescent="0.3">
      <c r="B443" s="62">
        <f>MAX(B$18:B442)+1</f>
        <v>282</v>
      </c>
      <c r="D443" s="10" t="s">
        <v>73</v>
      </c>
      <c r="F443" s="48" t="s">
        <v>40</v>
      </c>
      <c r="H443" s="11">
        <v>249200.14546999999</v>
      </c>
      <c r="I443" s="14"/>
      <c r="J443" s="11"/>
      <c r="K443" s="14"/>
      <c r="L443" s="11"/>
      <c r="M443" s="14"/>
      <c r="N443" s="11"/>
      <c r="O443" s="14"/>
      <c r="P443" s="11">
        <v>0</v>
      </c>
      <c r="Q443" s="14"/>
      <c r="R443" s="11">
        <f t="shared" si="163"/>
        <v>0</v>
      </c>
      <c r="S443" s="14"/>
      <c r="T443" s="11">
        <f>$H443*V443/100</f>
        <v>0</v>
      </c>
      <c r="U443" s="14"/>
      <c r="V443" s="26">
        <v>0</v>
      </c>
      <c r="W443" s="14"/>
      <c r="X443" s="14"/>
      <c r="Y443" s="14"/>
      <c r="Z443" s="14"/>
    </row>
    <row r="444" spans="2:26" x14ac:dyDescent="0.3">
      <c r="B444" s="62">
        <f>MAX(B$18:B443)+1</f>
        <v>283</v>
      </c>
      <c r="D444" s="10" t="s">
        <v>74</v>
      </c>
      <c r="F444" s="48"/>
      <c r="H444" s="14"/>
      <c r="I444" s="14"/>
      <c r="J444" s="14"/>
      <c r="K444" s="14"/>
      <c r="L444" s="14"/>
      <c r="M444" s="14"/>
      <c r="N444" s="14"/>
      <c r="O444" s="14"/>
      <c r="P444" s="11">
        <v>267.98621520102262</v>
      </c>
      <c r="Q444" s="14"/>
      <c r="R444" s="11">
        <f t="shared" si="163"/>
        <v>-1.5403438226258004E-5</v>
      </c>
      <c r="S444" s="14"/>
      <c r="T444" s="11">
        <v>267.98619979758439</v>
      </c>
      <c r="U444" s="14"/>
      <c r="V444" s="83">
        <v>7.5405425405559072E-3</v>
      </c>
      <c r="W444" s="68"/>
      <c r="X444" s="13">
        <f>T444/P444</f>
        <v>0.9999999425215278</v>
      </c>
      <c r="Y444" s="14"/>
      <c r="Z444" s="14"/>
    </row>
    <row r="445" spans="2:26" x14ac:dyDescent="0.3">
      <c r="B445" s="62">
        <f>MAX(B$18:B444)+1</f>
        <v>284</v>
      </c>
      <c r="D445" s="10" t="s">
        <v>75</v>
      </c>
      <c r="F445" s="48" t="s">
        <v>42</v>
      </c>
      <c r="H445" s="11">
        <v>28200</v>
      </c>
      <c r="I445" s="14"/>
      <c r="J445" s="11"/>
      <c r="K445" s="14"/>
      <c r="L445" s="11"/>
      <c r="M445" s="14"/>
      <c r="N445" s="11"/>
      <c r="O445" s="14"/>
      <c r="P445" s="11">
        <v>6337.0592174399535</v>
      </c>
      <c r="Q445" s="14"/>
      <c r="R445" s="11">
        <f t="shared" si="163"/>
        <v>-195.16543699368594</v>
      </c>
      <c r="S445" s="14"/>
      <c r="T445" s="11">
        <f>$H445*V445/100</f>
        <v>6141.8937804462676</v>
      </c>
      <c r="U445" s="14"/>
      <c r="V445" s="26">
        <v>21.779765178887473</v>
      </c>
      <c r="W445" s="14"/>
      <c r="X445" s="14"/>
      <c r="Y445" s="14"/>
      <c r="Z445" s="14"/>
    </row>
    <row r="446" spans="2:26" x14ac:dyDescent="0.3">
      <c r="B446" s="62">
        <f>MAX(B$18:B445)+1</f>
        <v>285</v>
      </c>
      <c r="C446" s="64"/>
      <c r="D446" s="10" t="s">
        <v>82</v>
      </c>
      <c r="E446" s="62"/>
      <c r="F446" s="17"/>
      <c r="G446" s="62"/>
      <c r="H446" s="72">
        <f>H443</f>
        <v>249200.14546999999</v>
      </c>
      <c r="I446" s="67"/>
      <c r="J446" s="14"/>
      <c r="K446" s="14"/>
      <c r="L446" s="14"/>
      <c r="M446" s="14"/>
      <c r="N446" s="14"/>
      <c r="O446" s="12"/>
      <c r="P446" s="72">
        <f>SUM(P442:P445)</f>
        <v>6949.5691047846776</v>
      </c>
      <c r="Q446" s="12"/>
      <c r="R446" s="72">
        <f>SUM(R442:R445)</f>
        <v>-195.16545239712417</v>
      </c>
      <c r="S446" s="68"/>
      <c r="T446" s="72">
        <f>SUM(T442:T445)</f>
        <v>6754.4036523875538</v>
      </c>
      <c r="U446" s="68"/>
      <c r="V446" s="20">
        <f>T446/$H446*100</f>
        <v>2.7104332702729836</v>
      </c>
      <c r="W446" s="68"/>
      <c r="X446" s="73">
        <f t="shared" ref="X446" si="164">T446/P446</f>
        <v>0.97191689880991972</v>
      </c>
      <c r="Y446" s="14"/>
      <c r="Z446" s="67"/>
    </row>
    <row r="447" spans="2:26" x14ac:dyDescent="0.3">
      <c r="B447" s="62"/>
      <c r="D447" s="10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2:26" x14ac:dyDescent="0.3">
      <c r="B448" s="62"/>
      <c r="D448" s="34" t="s">
        <v>83</v>
      </c>
      <c r="F448" s="48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2:26" x14ac:dyDescent="0.3">
      <c r="B449" s="62">
        <f>MAX(B$18:B448)+1</f>
        <v>286</v>
      </c>
      <c r="D449" s="22" t="s">
        <v>84</v>
      </c>
      <c r="F449" s="48" t="s">
        <v>214</v>
      </c>
      <c r="H449" s="11">
        <v>38472252</v>
      </c>
      <c r="I449" s="14"/>
      <c r="J449" s="11"/>
      <c r="K449" s="14"/>
      <c r="L449" s="11"/>
      <c r="M449" s="14"/>
      <c r="N449" s="11"/>
      <c r="O449" s="14"/>
      <c r="P449" s="11">
        <v>661.91979317350342</v>
      </c>
      <c r="Q449" s="14"/>
      <c r="R449" s="11">
        <f>T449-P449</f>
        <v>-86.809398498006317</v>
      </c>
      <c r="S449" s="14"/>
      <c r="T449" s="11">
        <f>$H449*V449/1000</f>
        <v>575.1103946754971</v>
      </c>
      <c r="U449" s="14"/>
      <c r="V449" s="42">
        <v>1.4948706269534132E-2</v>
      </c>
      <c r="W449" s="14"/>
      <c r="X449" s="14"/>
      <c r="Y449" s="14"/>
      <c r="Z449" s="14"/>
    </row>
    <row r="450" spans="2:26" x14ac:dyDescent="0.3">
      <c r="B450" s="62"/>
      <c r="D450" s="22" t="s">
        <v>85</v>
      </c>
      <c r="F450" s="48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43"/>
      <c r="W450" s="14"/>
      <c r="X450" s="14"/>
      <c r="Y450" s="14"/>
      <c r="Z450" s="14"/>
    </row>
    <row r="451" spans="2:26" x14ac:dyDescent="0.3">
      <c r="B451" s="62">
        <f>MAX(B$18:B450)+1</f>
        <v>287</v>
      </c>
      <c r="D451" s="16" t="s">
        <v>86</v>
      </c>
      <c r="F451" s="48" t="s">
        <v>214</v>
      </c>
      <c r="H451" s="11">
        <v>0</v>
      </c>
      <c r="I451" s="14"/>
      <c r="J451" s="11"/>
      <c r="K451" s="14"/>
      <c r="L451" s="11"/>
      <c r="M451" s="14"/>
      <c r="N451" s="11"/>
      <c r="O451" s="14"/>
      <c r="P451" s="11">
        <v>0</v>
      </c>
      <c r="Q451" s="14"/>
      <c r="R451" s="11">
        <f t="shared" ref="R451:R455" si="165">T451-P451</f>
        <v>0</v>
      </c>
      <c r="S451" s="14"/>
      <c r="T451" s="11">
        <f>$H451*V451/1000</f>
        <v>0</v>
      </c>
      <c r="U451" s="14"/>
      <c r="V451" s="42">
        <v>2.5732849397493092</v>
      </c>
      <c r="W451" s="14"/>
      <c r="X451" s="14"/>
      <c r="Y451" s="14"/>
      <c r="Z451" s="14"/>
    </row>
    <row r="452" spans="2:26" x14ac:dyDescent="0.3">
      <c r="B452" s="62">
        <f>MAX(B$18:B451)+1</f>
        <v>288</v>
      </c>
      <c r="D452" s="16" t="s">
        <v>87</v>
      </c>
      <c r="F452" s="48" t="s">
        <v>214</v>
      </c>
      <c r="H452" s="11">
        <v>649668</v>
      </c>
      <c r="I452" s="14"/>
      <c r="J452" s="11"/>
      <c r="K452" s="14"/>
      <c r="L452" s="11"/>
      <c r="M452" s="14"/>
      <c r="N452" s="11"/>
      <c r="O452" s="14"/>
      <c r="P452" s="11">
        <v>1555.9464466616012</v>
      </c>
      <c r="Q452" s="14"/>
      <c r="R452" s="11">
        <f t="shared" si="165"/>
        <v>7.5567162666629883E-3</v>
      </c>
      <c r="S452" s="14"/>
      <c r="T452" s="11">
        <f>$H452*V452/1000</f>
        <v>1555.9540033778678</v>
      </c>
      <c r="U452" s="14"/>
      <c r="V452" s="42">
        <v>2.39499868144632</v>
      </c>
      <c r="W452" s="14"/>
      <c r="X452" s="14"/>
      <c r="Y452" s="14"/>
      <c r="Z452" s="14"/>
    </row>
    <row r="453" spans="2:26" x14ac:dyDescent="0.3">
      <c r="B453" s="62">
        <f>MAX(B$18:B452)+1</f>
        <v>289</v>
      </c>
      <c r="D453" s="16" t="s">
        <v>88</v>
      </c>
      <c r="F453" s="48" t="s">
        <v>214</v>
      </c>
      <c r="H453" s="11">
        <v>0</v>
      </c>
      <c r="I453" s="14"/>
      <c r="J453" s="11"/>
      <c r="K453" s="14"/>
      <c r="L453" s="11"/>
      <c r="M453" s="14"/>
      <c r="N453" s="11"/>
      <c r="O453" s="14"/>
      <c r="P453" s="11">
        <v>0</v>
      </c>
      <c r="Q453" s="14"/>
      <c r="R453" s="11">
        <f t="shared" si="165"/>
        <v>0</v>
      </c>
      <c r="S453" s="14"/>
      <c r="T453" s="11">
        <f>$H453*V453/1000</f>
        <v>0</v>
      </c>
      <c r="U453" s="14"/>
      <c r="V453" s="42">
        <v>2.39499868144632</v>
      </c>
      <c r="W453" s="14"/>
      <c r="X453" s="14"/>
      <c r="Y453" s="14"/>
      <c r="Z453" s="14"/>
    </row>
    <row r="454" spans="2:26" x14ac:dyDescent="0.3">
      <c r="B454" s="62">
        <f>MAX(B$18:B453)+1</f>
        <v>290</v>
      </c>
      <c r="D454" s="10" t="s">
        <v>89</v>
      </c>
      <c r="F454" s="48" t="s">
        <v>90</v>
      </c>
      <c r="H454" s="11">
        <v>6433273.9271999998</v>
      </c>
      <c r="I454" s="14"/>
      <c r="J454" s="11"/>
      <c r="K454" s="14"/>
      <c r="L454" s="11"/>
      <c r="M454" s="14"/>
      <c r="N454" s="11"/>
      <c r="O454" s="14"/>
      <c r="P454" s="11">
        <v>0</v>
      </c>
      <c r="Q454" s="14"/>
      <c r="R454" s="11">
        <f t="shared" si="165"/>
        <v>0</v>
      </c>
      <c r="S454" s="14"/>
      <c r="T454" s="11">
        <f>$H454*V454/1000</f>
        <v>0</v>
      </c>
      <c r="U454" s="14"/>
      <c r="V454" s="42">
        <v>0</v>
      </c>
      <c r="W454" s="14"/>
      <c r="X454" s="14"/>
      <c r="Y454" s="14"/>
      <c r="Z454" s="14"/>
    </row>
    <row r="455" spans="2:26" x14ac:dyDescent="0.3">
      <c r="B455" s="62">
        <f>MAX(B$18:B454)+1</f>
        <v>291</v>
      </c>
      <c r="D455" s="10" t="s">
        <v>91</v>
      </c>
      <c r="F455" s="48"/>
      <c r="H455" s="11">
        <v>0</v>
      </c>
      <c r="I455" s="14"/>
      <c r="J455" s="11"/>
      <c r="K455" s="14"/>
      <c r="L455" s="11"/>
      <c r="M455" s="14"/>
      <c r="N455" s="11"/>
      <c r="O455" s="14"/>
      <c r="P455" s="11">
        <v>187.67427166634133</v>
      </c>
      <c r="Q455" s="14"/>
      <c r="R455" s="11">
        <f t="shared" si="165"/>
        <v>-9.306270545124562E-3</v>
      </c>
      <c r="S455" s="14"/>
      <c r="T455" s="11">
        <v>187.6649653957962</v>
      </c>
      <c r="U455" s="14"/>
      <c r="V455" s="83">
        <v>7.9936318892803778E-3</v>
      </c>
      <c r="W455" s="68"/>
      <c r="X455" s="13">
        <f>T455/P455</f>
        <v>0.99995041264600371</v>
      </c>
      <c r="Y455" s="14"/>
      <c r="Z455" s="14"/>
    </row>
    <row r="456" spans="2:26" x14ac:dyDescent="0.3">
      <c r="B456" s="62">
        <f>MAX(B$18:B455)+1</f>
        <v>292</v>
      </c>
      <c r="C456" s="64"/>
      <c r="D456" s="10" t="s">
        <v>92</v>
      </c>
      <c r="E456" s="62"/>
      <c r="F456" s="17"/>
      <c r="G456" s="62"/>
      <c r="H456" s="72">
        <f>H446</f>
        <v>249200.14546999999</v>
      </c>
      <c r="I456" s="67"/>
      <c r="J456" s="11"/>
      <c r="K456" s="14"/>
      <c r="L456" s="11"/>
      <c r="M456" s="14"/>
      <c r="N456" s="11"/>
      <c r="O456" s="12"/>
      <c r="P456" s="72">
        <f>SUM(P449:P455)</f>
        <v>2405.5405115014455</v>
      </c>
      <c r="Q456" s="12"/>
      <c r="R456" s="72">
        <f>SUM(R449:R455)</f>
        <v>-86.811148052284778</v>
      </c>
      <c r="S456" s="68"/>
      <c r="T456" s="72">
        <f>SUM(T449:T455)</f>
        <v>2318.7293634491612</v>
      </c>
      <c r="U456" s="68"/>
      <c r="V456" s="20">
        <f>T456/$H456*100</f>
        <v>0.93046870381072944</v>
      </c>
      <c r="W456" s="68"/>
      <c r="X456" s="73">
        <f t="shared" ref="X456" si="166">T456/P456</f>
        <v>0.96391199913814785</v>
      </c>
      <c r="Y456" s="14"/>
      <c r="Z456" s="67"/>
    </row>
    <row r="457" spans="2:26" x14ac:dyDescent="0.3">
      <c r="B457" s="62"/>
      <c r="D457" s="10"/>
      <c r="F457" s="48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43"/>
      <c r="W457" s="14"/>
      <c r="X457" s="14"/>
      <c r="Y457" s="14"/>
      <c r="Z457" s="14"/>
    </row>
    <row r="458" spans="2:26" ht="12.9" thickBot="1" x14ac:dyDescent="0.35">
      <c r="B458" s="62">
        <f>MAX(B$18:B457)+1</f>
        <v>293</v>
      </c>
      <c r="D458" s="24" t="s">
        <v>140</v>
      </c>
      <c r="F458" s="48"/>
      <c r="H458" s="74">
        <f>H443</f>
        <v>249200.14546999999</v>
      </c>
      <c r="I458" s="67"/>
      <c r="J458" s="74">
        <v>8385.5420590421272</v>
      </c>
      <c r="K458" s="68"/>
      <c r="L458" s="25">
        <f>J458/$H458*100</f>
        <v>3.3649828105945558</v>
      </c>
      <c r="M458" s="68"/>
      <c r="N458" s="74">
        <f>J458-P458</f>
        <v>-969.56755724399591</v>
      </c>
      <c r="O458" s="12"/>
      <c r="P458" s="74">
        <f>P446+P456</f>
        <v>9355.1096162861231</v>
      </c>
      <c r="Q458" s="12"/>
      <c r="R458" s="74">
        <f>R446+R456</f>
        <v>-281.97660044940892</v>
      </c>
      <c r="S458" s="68"/>
      <c r="T458" s="74">
        <f>T446+T456</f>
        <v>9073.1330158367145</v>
      </c>
      <c r="U458" s="68"/>
      <c r="V458" s="25">
        <f>T458/$H458*100</f>
        <v>3.6409019740837127</v>
      </c>
      <c r="W458" s="68"/>
      <c r="X458" s="75">
        <f t="shared" ref="X458" si="167">T458/P458</f>
        <v>0.96985854661087867</v>
      </c>
      <c r="Y458" s="14"/>
      <c r="Z458" s="31">
        <f t="shared" ref="Z458" si="168">V458/L458-1</f>
        <v>8.1997198505868507E-2</v>
      </c>
    </row>
    <row r="459" spans="2:26" ht="12.9" thickTop="1" x14ac:dyDescent="0.3">
      <c r="B459" s="62"/>
      <c r="D459" s="85"/>
      <c r="F459" s="55"/>
    </row>
    <row r="460" spans="2:26" ht="12.9" thickBot="1" x14ac:dyDescent="0.35">
      <c r="B460" s="62">
        <f>MAX(B$18:B459)+1</f>
        <v>294</v>
      </c>
      <c r="D460" s="24" t="s">
        <v>141</v>
      </c>
      <c r="J460" s="74">
        <f>J458+J432+J389+J358+J313+J263+J224+J197+J160+J100+J54</f>
        <v>5097046.0842818581</v>
      </c>
      <c r="K460" s="68"/>
      <c r="L460" s="11"/>
      <c r="M460" s="68"/>
      <c r="N460" s="74">
        <f>N458+N432+N389+N358+N313+N263+N224+N197+N160+N100+N54</f>
        <v>-11523.675765866843</v>
      </c>
      <c r="O460" s="12"/>
      <c r="P460" s="74">
        <f>P458+P432+P389+P358+P313+P263+P224+P197+P160+P100+P54</f>
        <v>5108569.7600477245</v>
      </c>
      <c r="Q460" s="12"/>
      <c r="R460" s="74">
        <f>R458+R432+R389+R358+R313+R263+R224+R197+R160+R100+R54</f>
        <v>-19200.907416937411</v>
      </c>
      <c r="S460" s="68"/>
      <c r="T460" s="74">
        <f>T458+T432+T389+T358+T313+T263+T224+T197+T160+T100+T54</f>
        <v>5089368.0047030654</v>
      </c>
    </row>
    <row r="461" spans="2:26" ht="12.9" thickTop="1" x14ac:dyDescent="0.3">
      <c r="B461" s="62"/>
      <c r="D461" s="24"/>
      <c r="J461" s="68"/>
      <c r="K461" s="68"/>
      <c r="L461" s="11"/>
      <c r="M461" s="68"/>
      <c r="N461" s="68"/>
      <c r="O461" s="12"/>
      <c r="P461" s="68"/>
      <c r="Q461" s="12"/>
      <c r="R461" s="68"/>
      <c r="S461" s="68"/>
      <c r="T461" s="68"/>
    </row>
    <row r="462" spans="2:26" x14ac:dyDescent="0.3">
      <c r="B462" s="62">
        <f>MAX(B$18:B461)+1</f>
        <v>295</v>
      </c>
      <c r="D462" s="24" t="s">
        <v>142</v>
      </c>
      <c r="H462" s="23"/>
      <c r="J462" s="68">
        <f>J56+J102+J162+J226+J265+J315+J360+J391+J434</f>
        <v>365693.52719745442</v>
      </c>
      <c r="K462" s="68"/>
      <c r="L462" s="68"/>
      <c r="M462" s="68"/>
      <c r="N462" s="68">
        <f>N56+N102+N162+N226+N265+N315+N360+N391+N434</f>
        <v>47293.796412381402</v>
      </c>
      <c r="O462" s="68"/>
      <c r="P462" s="68">
        <f>P56+P102+P162+P226+P265+P315+P360+P391+P434</f>
        <v>318399.73078507307</v>
      </c>
      <c r="Q462" s="68"/>
      <c r="R462" s="68">
        <f>R56+R102+R162+R226+R265+R315+R360+R391+R434</f>
        <v>-786.06010446470964</v>
      </c>
      <c r="S462" s="68"/>
      <c r="T462" s="68">
        <f>T56+T102+T162+T226+T265+T315+T360+T391+T434</f>
        <v>317612.97793417238</v>
      </c>
      <c r="U462" s="68"/>
    </row>
    <row r="463" spans="2:26" x14ac:dyDescent="0.3">
      <c r="B463" s="62">
        <f>MAX(B$18:B462)+1</f>
        <v>296</v>
      </c>
      <c r="D463" s="24" t="s">
        <v>143</v>
      </c>
      <c r="J463" s="68">
        <f>J57+J103+J163+J227+J266+J316+J361+J435</f>
        <v>663572.79450682038</v>
      </c>
      <c r="K463" s="68"/>
      <c r="L463" s="68"/>
      <c r="M463" s="68"/>
      <c r="N463" s="68">
        <f>N57+N103+N163+N227+N266+N316+N361+N435</f>
        <v>-77609.649117142515</v>
      </c>
      <c r="O463" s="68"/>
      <c r="P463" s="68">
        <f>P57+P103+P163+P227+P266+P316+P361+P435</f>
        <v>741182.4436239627</v>
      </c>
      <c r="Q463" s="68"/>
      <c r="R463" s="68">
        <f>R57+R103+R163+R227+R266+R316+R361+R435</f>
        <v>-1878.3106727677689</v>
      </c>
      <c r="S463" s="68"/>
      <c r="T463" s="68">
        <f>T57+T103+T163+T227+T266+T316+T361+T435</f>
        <v>739304.89083623199</v>
      </c>
      <c r="U463" s="68"/>
    </row>
    <row r="464" spans="2:26" x14ac:dyDescent="0.3">
      <c r="B464" s="62">
        <f>MAX(B$18:B463)+1</f>
        <v>297</v>
      </c>
      <c r="D464" s="24" t="s">
        <v>144</v>
      </c>
      <c r="F464" s="48"/>
      <c r="J464" s="68">
        <f>J58+J104+J164+J267+J317+J362+J436</f>
        <v>2586788.2051947615</v>
      </c>
      <c r="K464" s="68"/>
      <c r="L464" s="68"/>
      <c r="M464" s="68"/>
      <c r="N464" s="68">
        <f>N58+N104+N164+N267+N317+N362+N436</f>
        <v>91403.101718712715</v>
      </c>
      <c r="O464" s="68"/>
      <c r="P464" s="68">
        <f>P58+P104+P164+P267+P317+P362+P436</f>
        <v>2495385.1034760484</v>
      </c>
      <c r="Q464" s="68"/>
      <c r="R464" s="68">
        <f>R58+R104+R164+R267+R317+R362+R436</f>
        <v>-11429.226470542648</v>
      </c>
      <c r="S464" s="68"/>
      <c r="T464" s="68">
        <f>T58+T104+T164+T267+T317+T362+T436</f>
        <v>2483955.0996775953</v>
      </c>
      <c r="U464" s="68"/>
      <c r="V464" s="26"/>
      <c r="W464" s="68"/>
      <c r="X464" s="77"/>
      <c r="Y464" s="14"/>
      <c r="Z464" s="15"/>
    </row>
    <row r="465" spans="2:21" x14ac:dyDescent="0.3">
      <c r="B465" s="62">
        <f>MAX(B$18:B464)+1</f>
        <v>298</v>
      </c>
      <c r="D465" s="24" t="s">
        <v>145</v>
      </c>
      <c r="F465" s="48"/>
      <c r="J465" s="68">
        <f>J59+J105+J165+J197+J268+J318+J363+J392+J437+J458</f>
        <v>1480991.5573828206</v>
      </c>
      <c r="K465" s="68"/>
      <c r="L465" s="68"/>
      <c r="M465" s="68"/>
      <c r="N465" s="68">
        <f>N59+N105+N165+N197+N268+N318+N363+N392+N437+N458</f>
        <v>-72610.924779819106</v>
      </c>
      <c r="O465" s="68"/>
      <c r="P465" s="68">
        <f>P59+P105+P165+P197+P268+P318+P363+P392+P437+P458</f>
        <v>1553602.4821626397</v>
      </c>
      <c r="Q465" s="68"/>
      <c r="R465" s="68">
        <f>R59+R105+R165+R197+R268+R318+R363+R392+R437+R458</f>
        <v>-5107.310169162266</v>
      </c>
      <c r="S465" s="68"/>
      <c r="T465" s="68">
        <f>T59+T105+T165+T197+T268+T318+T363+T392+T437+T458</f>
        <v>1548495.0362550661</v>
      </c>
      <c r="U465" s="68"/>
    </row>
    <row r="466" spans="2:21" x14ac:dyDescent="0.3">
      <c r="D466" s="24"/>
      <c r="F466" s="48"/>
    </row>
    <row r="467" spans="2:21" x14ac:dyDescent="0.3">
      <c r="B467" s="44" t="s">
        <v>146</v>
      </c>
      <c r="F467" s="48"/>
    </row>
    <row r="468" spans="2:21" x14ac:dyDescent="0.3">
      <c r="B468" s="84" t="s">
        <v>147</v>
      </c>
      <c r="C468" s="45"/>
      <c r="D468" s="45" t="s">
        <v>148</v>
      </c>
      <c r="F468" s="48"/>
    </row>
    <row r="469" spans="2:21" x14ac:dyDescent="0.3">
      <c r="B469" s="84" t="s">
        <v>149</v>
      </c>
      <c r="C469" s="45"/>
      <c r="D469" s="45" t="s">
        <v>150</v>
      </c>
      <c r="F469" s="48"/>
    </row>
    <row r="470" spans="2:21" x14ac:dyDescent="0.3">
      <c r="B470" s="84"/>
      <c r="D470" s="55"/>
      <c r="F470" s="55"/>
    </row>
    <row r="471" spans="2:21" x14ac:dyDescent="0.3">
      <c r="B471" s="84"/>
      <c r="F471" s="48"/>
    </row>
    <row r="472" spans="2:21" x14ac:dyDescent="0.3">
      <c r="B472" s="84"/>
      <c r="D472" s="45"/>
      <c r="F472" s="48"/>
    </row>
    <row r="473" spans="2:21" x14ac:dyDescent="0.3">
      <c r="D473" s="45"/>
      <c r="F473" s="48"/>
    </row>
    <row r="476" spans="2:21" x14ac:dyDescent="0.3">
      <c r="P476" s="37"/>
      <c r="R476" s="37"/>
      <c r="T476" s="37"/>
    </row>
  </sheetData>
  <mergeCells count="2">
    <mergeCell ref="B8:Z8"/>
    <mergeCell ref="B9:Z9"/>
  </mergeCells>
  <pageMargins left="0.70866141732283505" right="0.70866141732283505" top="0.74803149606299202" bottom="0.74803149606299202" header="0.31496062992126" footer="0.31496062992126"/>
  <pageSetup scale="53" fitToHeight="0" orientation="landscape" blackAndWhite="1" r:id="rId1"/>
  <headerFooter>
    <oddHeader xml:space="preserve">&amp;R&amp;"Arial,Regular"&amp;10Filed: 2025-02-28
 EB-2025-0064
 Phase 3 Exhibit 8
 Tab 2
 Schedule 14
 Attachment 2
 Page &amp;P of 11
</oddHeader>
  </headerFooter>
  <rowBreaks count="8" manualBreakCount="8">
    <brk id="62" max="26" man="1"/>
    <brk id="107" max="26" man="1"/>
    <brk id="161" max="26" man="1"/>
    <brk id="211" max="26" man="1"/>
    <brk id="264" max="26" man="1"/>
    <brk id="319" max="26" man="1"/>
    <brk id="364" max="26" man="1"/>
    <brk id="412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AFD7-464C-4F82-B3FC-AEA3C086CAE0}">
  <sheetPr>
    <pageSetUpPr fitToPage="1"/>
  </sheetPr>
  <dimension ref="A1:AX253"/>
  <sheetViews>
    <sheetView view="pageBreakPreview" topLeftCell="E1" zoomScaleNormal="85" zoomScaleSheetLayoutView="100" zoomScalePageLayoutView="80" workbookViewId="0">
      <selection activeCell="AD31" sqref="AD31"/>
    </sheetView>
  </sheetViews>
  <sheetFormatPr defaultColWidth="0" defaultRowHeight="0" customHeight="1" zeroHeight="1" x14ac:dyDescent="0.3"/>
  <cols>
    <col min="1" max="1" width="1.53515625" style="55" customWidth="1"/>
    <col min="2" max="2" width="5.07421875" style="55" customWidth="1"/>
    <col min="3" max="3" width="1.53515625" style="55" customWidth="1"/>
    <col min="4" max="4" width="55.84375" style="55" customWidth="1"/>
    <col min="5" max="5" width="1.53515625" style="55" customWidth="1"/>
    <col min="6" max="6" width="14.4609375" style="55" customWidth="1"/>
    <col min="7" max="7" width="1.53515625" style="55" customWidth="1"/>
    <col min="8" max="8" width="14.4609375" style="55" customWidth="1"/>
    <col min="9" max="9" width="1.53515625" style="55" customWidth="1"/>
    <col min="10" max="10" width="14.4609375" style="55" customWidth="1"/>
    <col min="11" max="11" width="1.53515625" style="55" customWidth="1"/>
    <col min="12" max="12" width="14.4609375" style="55" customWidth="1"/>
    <col min="13" max="13" width="1.53515625" style="55" customWidth="1"/>
    <col min="14" max="14" width="14.4609375" style="55" customWidth="1"/>
    <col min="15" max="15" width="1.53515625" style="55" customWidth="1"/>
    <col min="16" max="16" width="14.4609375" style="55" customWidth="1"/>
    <col min="17" max="17" width="1.53515625" style="55" customWidth="1"/>
    <col min="18" max="18" width="14.4609375" style="55" customWidth="1"/>
    <col min="19" max="19" width="1.53515625" style="55" customWidth="1"/>
    <col min="20" max="20" width="14.4609375" style="55" customWidth="1"/>
    <col min="21" max="21" width="1.53515625" style="55" customWidth="1"/>
    <col min="22" max="22" width="14.4609375" style="55" customWidth="1"/>
    <col min="23" max="23" width="1.53515625" style="55" customWidth="1"/>
    <col min="24" max="24" width="14.4609375" style="55" customWidth="1"/>
    <col min="25" max="25" width="1.53515625" style="55" customWidth="1"/>
    <col min="26" max="26" width="14.4609375" style="55" customWidth="1"/>
    <col min="27" max="27" width="1.53515625" style="55" customWidth="1"/>
    <col min="28" max="28" width="8.84375" style="55" customWidth="1"/>
    <col min="29" max="39" width="9.07421875" style="55" customWidth="1"/>
    <col min="40" max="50" width="0" style="55" hidden="1" customWidth="1"/>
    <col min="51" max="16384" width="9.07421875" style="55" hidden="1"/>
  </cols>
  <sheetData>
    <row r="1" spans="1:27" ht="12.45" x14ac:dyDescent="0.3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45" x14ac:dyDescent="0.3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45" x14ac:dyDescent="0.3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45" x14ac:dyDescent="0.3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45" x14ac:dyDescent="0.3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45" x14ac:dyDescent="0.3">
      <c r="A6" s="2"/>
      <c r="B6" s="99" t="s">
        <v>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46"/>
    </row>
    <row r="7" spans="1:27" ht="12.45" x14ac:dyDescent="0.3">
      <c r="A7" s="2"/>
      <c r="B7" s="99" t="s">
        <v>151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46"/>
    </row>
    <row r="8" spans="1:27" ht="12.45" x14ac:dyDescent="0.3">
      <c r="A8" s="2"/>
      <c r="B8" s="58"/>
      <c r="C8" s="58"/>
      <c r="D8" s="58"/>
      <c r="E8" s="58"/>
      <c r="F8" s="59"/>
      <c r="G8" s="58"/>
      <c r="H8" s="59"/>
      <c r="I8" s="58"/>
      <c r="J8" s="59"/>
      <c r="K8" s="59"/>
      <c r="L8" s="59"/>
      <c r="M8" s="59"/>
      <c r="N8" s="59"/>
      <c r="O8" s="58"/>
      <c r="P8" s="58"/>
      <c r="Q8" s="58"/>
      <c r="R8" s="58"/>
      <c r="S8" s="58"/>
      <c r="T8" s="58"/>
      <c r="U8" s="58"/>
      <c r="V8" s="58"/>
      <c r="W8" s="58"/>
      <c r="X8" s="3"/>
      <c r="Y8" s="2"/>
      <c r="Z8" s="3"/>
      <c r="AA8" s="2"/>
    </row>
    <row r="9" spans="1:27" ht="12.45" x14ac:dyDescent="0.3">
      <c r="A9" s="2"/>
      <c r="B9" s="59"/>
      <c r="C9" s="59"/>
      <c r="D9" s="59"/>
      <c r="E9" s="59"/>
      <c r="F9" s="58"/>
      <c r="G9" s="59"/>
      <c r="H9" s="58"/>
      <c r="I9" s="59"/>
      <c r="J9" s="60" t="s">
        <v>2</v>
      </c>
      <c r="K9" s="60"/>
      <c r="L9" s="60"/>
      <c r="M9" s="59"/>
      <c r="N9" s="59"/>
      <c r="O9" s="59"/>
      <c r="P9" s="60" t="s">
        <v>3</v>
      </c>
      <c r="Q9" s="60"/>
      <c r="R9" s="60"/>
      <c r="S9" s="60"/>
      <c r="T9" s="60"/>
      <c r="U9" s="60"/>
      <c r="V9" s="60"/>
      <c r="W9" s="60"/>
      <c r="X9" s="4"/>
      <c r="Y9" s="4"/>
      <c r="Z9" s="4"/>
      <c r="AA9" s="4"/>
    </row>
    <row r="10" spans="1:27" ht="12.45" x14ac:dyDescent="0.3">
      <c r="A10" s="2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3"/>
      <c r="Y10" s="2"/>
      <c r="Z10" s="3"/>
      <c r="AA10" s="2"/>
    </row>
    <row r="11" spans="1:27" ht="37.299999999999997" x14ac:dyDescent="0.3">
      <c r="A11" s="5"/>
      <c r="B11" s="61" t="s">
        <v>4</v>
      </c>
      <c r="C11" s="61"/>
      <c r="D11" s="61"/>
      <c r="E11" s="61"/>
      <c r="F11" s="62" t="s">
        <v>5</v>
      </c>
      <c r="G11" s="61"/>
      <c r="H11" s="5" t="s">
        <v>6</v>
      </c>
      <c r="I11" s="61"/>
      <c r="J11" s="5" t="s">
        <v>7</v>
      </c>
      <c r="K11" s="5"/>
      <c r="L11" s="5" t="s">
        <v>8</v>
      </c>
      <c r="M11" s="61"/>
      <c r="N11" s="5" t="s">
        <v>9</v>
      </c>
      <c r="O11" s="61"/>
      <c r="P11" s="61" t="s">
        <v>10</v>
      </c>
      <c r="Q11" s="61"/>
      <c r="R11" s="5" t="s">
        <v>11</v>
      </c>
      <c r="S11" s="61"/>
      <c r="T11" s="5" t="s">
        <v>7</v>
      </c>
      <c r="U11" s="61"/>
      <c r="V11" s="5" t="s">
        <v>8</v>
      </c>
      <c r="W11" s="61"/>
      <c r="X11" s="61" t="s">
        <v>12</v>
      </c>
      <c r="Y11" s="61"/>
      <c r="Z11" s="61" t="s">
        <v>13</v>
      </c>
      <c r="AA11" s="61"/>
    </row>
    <row r="12" spans="1:27" ht="14.15" x14ac:dyDescent="0.3">
      <c r="A12" s="2"/>
      <c r="B12" s="63" t="s">
        <v>14</v>
      </c>
      <c r="C12" s="64"/>
      <c r="D12" s="65" t="s">
        <v>15</v>
      </c>
      <c r="E12" s="62"/>
      <c r="F12" s="63" t="s">
        <v>16</v>
      </c>
      <c r="G12" s="62"/>
      <c r="H12" s="63" t="s">
        <v>17</v>
      </c>
      <c r="I12" s="62"/>
      <c r="J12" s="63" t="s">
        <v>18</v>
      </c>
      <c r="K12" s="2"/>
      <c r="L12" s="63" t="s">
        <v>19</v>
      </c>
      <c r="M12" s="62"/>
      <c r="N12" s="63" t="s">
        <v>18</v>
      </c>
      <c r="O12" s="62"/>
      <c r="P12" s="63" t="s">
        <v>18</v>
      </c>
      <c r="Q12" s="62"/>
      <c r="R12" s="63" t="s">
        <v>18</v>
      </c>
      <c r="S12" s="62"/>
      <c r="T12" s="63" t="s">
        <v>18</v>
      </c>
      <c r="U12" s="62"/>
      <c r="V12" s="63" t="s">
        <v>19</v>
      </c>
      <c r="W12" s="62"/>
      <c r="X12" s="63" t="s">
        <v>20</v>
      </c>
      <c r="Y12" s="62"/>
      <c r="Z12" s="63" t="s">
        <v>21</v>
      </c>
      <c r="AA12" s="62"/>
    </row>
    <row r="13" spans="1:27" ht="12.45" x14ac:dyDescent="0.3">
      <c r="A13" s="2"/>
      <c r="B13" s="62"/>
      <c r="C13" s="64"/>
      <c r="D13" s="47"/>
      <c r="E13" s="62"/>
      <c r="F13" s="62"/>
      <c r="G13" s="62"/>
      <c r="H13" s="62" t="s">
        <v>22</v>
      </c>
      <c r="I13" s="62"/>
      <c r="J13" s="62" t="s">
        <v>23</v>
      </c>
      <c r="K13" s="62"/>
      <c r="L13" s="62" t="s">
        <v>24</v>
      </c>
      <c r="M13" s="62"/>
      <c r="N13" s="62" t="s">
        <v>25</v>
      </c>
      <c r="O13" s="62"/>
      <c r="P13" s="62" t="s">
        <v>26</v>
      </c>
      <c r="Q13" s="62"/>
      <c r="R13" s="62" t="s">
        <v>27</v>
      </c>
      <c r="S13" s="62"/>
      <c r="T13" s="66" t="s">
        <v>28</v>
      </c>
      <c r="U13" s="62"/>
      <c r="V13" s="66" t="s">
        <v>29</v>
      </c>
      <c r="W13" s="62"/>
      <c r="X13" s="66" t="s">
        <v>30</v>
      </c>
      <c r="Y13" s="62"/>
      <c r="Z13" s="66" t="s">
        <v>31</v>
      </c>
      <c r="AA13" s="62"/>
    </row>
    <row r="14" spans="1:27" ht="12.45" x14ac:dyDescent="0.3">
      <c r="D14" s="86" t="s">
        <v>152</v>
      </c>
    </row>
    <row r="15" spans="1:27" ht="12.45" x14ac:dyDescent="0.3">
      <c r="B15" s="62">
        <v>1</v>
      </c>
      <c r="D15" s="39" t="s">
        <v>153</v>
      </c>
      <c r="F15" s="48" t="s">
        <v>35</v>
      </c>
      <c r="H15" s="11">
        <v>12</v>
      </c>
      <c r="I15" s="87"/>
      <c r="J15" s="68"/>
      <c r="K15" s="87"/>
      <c r="L15" s="71"/>
      <c r="M15" s="87"/>
      <c r="N15" s="68"/>
      <c r="O15" s="87"/>
      <c r="P15" s="11">
        <v>0</v>
      </c>
      <c r="Q15" s="87"/>
      <c r="R15" s="11">
        <f>T15-P15</f>
        <v>25.345637999999994</v>
      </c>
      <c r="S15" s="87"/>
      <c r="T15" s="68">
        <f>V15*H15/1000</f>
        <v>25.345637999999994</v>
      </c>
      <c r="U15" s="87"/>
      <c r="V15" s="71">
        <v>2112.1364999999996</v>
      </c>
      <c r="W15" s="87"/>
      <c r="X15" s="13" t="str">
        <f>IFERROR(T15/P15,"")</f>
        <v/>
      </c>
      <c r="Y15" s="87"/>
      <c r="Z15" s="87"/>
      <c r="AA15" s="87"/>
    </row>
    <row r="16" spans="1:27" ht="12.45" x14ac:dyDescent="0.3">
      <c r="B16" s="62"/>
      <c r="D16" s="39" t="s">
        <v>154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</row>
    <row r="17" spans="2:27" ht="12.45" x14ac:dyDescent="0.3">
      <c r="B17" s="62">
        <f>MAX(B$15:B16)+1</f>
        <v>2</v>
      </c>
      <c r="D17" s="88" t="s">
        <v>155</v>
      </c>
      <c r="F17" s="48" t="s">
        <v>214</v>
      </c>
      <c r="H17" s="11">
        <v>8863</v>
      </c>
      <c r="I17" s="87"/>
      <c r="J17" s="68"/>
      <c r="K17" s="87"/>
      <c r="L17" s="42"/>
      <c r="M17" s="87"/>
      <c r="N17" s="68"/>
      <c r="O17" s="87"/>
      <c r="P17" s="11">
        <v>313.83230779949275</v>
      </c>
      <c r="Q17" s="87"/>
      <c r="R17" s="11">
        <f>T17-P17</f>
        <v>0</v>
      </c>
      <c r="S17" s="87"/>
      <c r="T17" s="68">
        <f>$H$17*V17*12/1000</f>
        <v>313.83230779949275</v>
      </c>
      <c r="U17" s="87"/>
      <c r="V17" s="42">
        <v>2.9507720090967386</v>
      </c>
      <c r="W17" s="87"/>
      <c r="X17" s="13">
        <f>T17/P17</f>
        <v>1</v>
      </c>
      <c r="Y17" s="87"/>
      <c r="Z17" s="87"/>
      <c r="AA17" s="87"/>
    </row>
    <row r="18" spans="2:27" ht="12.45" x14ac:dyDescent="0.3"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</row>
    <row r="19" spans="2:27" ht="12.9" thickBot="1" x14ac:dyDescent="0.35">
      <c r="B19" s="62">
        <f>MAX(B$15:B18)+1</f>
        <v>3</v>
      </c>
      <c r="D19" s="55" t="str">
        <f>"Total " &amp;D14</f>
        <v>Total Rate E60</v>
      </c>
      <c r="H19" s="74">
        <f>H17</f>
        <v>8863</v>
      </c>
      <c r="I19" s="67"/>
      <c r="J19" s="74">
        <v>543.41803200000004</v>
      </c>
      <c r="K19" s="68"/>
      <c r="L19" s="25">
        <f>J19/$H19*100</f>
        <v>6.1313103012523982</v>
      </c>
      <c r="M19" s="68"/>
      <c r="N19" s="74">
        <f>J19-P19</f>
        <v>229.58572420050729</v>
      </c>
      <c r="O19" s="12"/>
      <c r="P19" s="74">
        <f>SUM(P15:P17)</f>
        <v>313.83230779949275</v>
      </c>
      <c r="Q19" s="12"/>
      <c r="R19" s="74">
        <f>SUM(R15:R17)</f>
        <v>25.345637999999994</v>
      </c>
      <c r="S19" s="68"/>
      <c r="T19" s="74">
        <f>SUM(T15:T17)</f>
        <v>339.17794579949276</v>
      </c>
      <c r="U19" s="68"/>
      <c r="V19" s="25">
        <f>T19/$H19*100</f>
        <v>3.8268977298825764</v>
      </c>
      <c r="W19" s="68"/>
      <c r="X19" s="75">
        <f t="shared" ref="X19" si="0">T19/P19</f>
        <v>1.0807617232837397</v>
      </c>
      <c r="Y19" s="14"/>
      <c r="Z19" s="76">
        <f t="shared" ref="Z19" si="1">V19/L19-1</f>
        <v>-0.37584340999657384</v>
      </c>
      <c r="AA19" s="14"/>
    </row>
    <row r="20" spans="2:27" ht="12.9" thickTop="1" x14ac:dyDescent="0.3"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</row>
    <row r="21" spans="2:27" ht="12.45" x14ac:dyDescent="0.3">
      <c r="D21" s="86" t="s">
        <v>156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</row>
    <row r="22" spans="2:27" ht="12.45" x14ac:dyDescent="0.3">
      <c r="B22" s="62"/>
      <c r="D22" s="39" t="s">
        <v>154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</row>
    <row r="23" spans="2:27" ht="12.45" x14ac:dyDescent="0.3">
      <c r="B23" s="62"/>
      <c r="D23" s="51" t="s">
        <v>157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</row>
    <row r="24" spans="2:27" ht="12.45" x14ac:dyDescent="0.3">
      <c r="B24" s="62">
        <f>MAX(B$15:B23)+1</f>
        <v>4</v>
      </c>
      <c r="D24" s="49" t="s">
        <v>158</v>
      </c>
      <c r="F24" s="48" t="s">
        <v>214</v>
      </c>
      <c r="H24" s="11">
        <v>1867861</v>
      </c>
      <c r="I24" s="87"/>
      <c r="J24" s="68"/>
      <c r="K24" s="87"/>
      <c r="L24" s="42"/>
      <c r="M24" s="87"/>
      <c r="N24" s="68"/>
      <c r="O24" s="87"/>
      <c r="P24" s="11">
        <v>84664.45789169395</v>
      </c>
      <c r="Q24" s="87"/>
      <c r="R24" s="11">
        <f t="shared" ref="R24:R28" si="2">T24-P24</f>
        <v>-11426.609451635304</v>
      </c>
      <c r="S24" s="87"/>
      <c r="T24" s="68">
        <f>V24*(H24)*12/1000</f>
        <v>73237.848440058646</v>
      </c>
      <c r="U24" s="87"/>
      <c r="V24" s="42">
        <v>3.2674562168552983</v>
      </c>
      <c r="W24" s="87"/>
      <c r="X24" s="13">
        <f t="shared" ref="X24:X28" si="3">IFERROR(T24/P24,"")</f>
        <v>0.86503652493407956</v>
      </c>
      <c r="Y24" s="87"/>
      <c r="Z24" s="87"/>
      <c r="AA24" s="87"/>
    </row>
    <row r="25" spans="2:27" ht="12.45" x14ac:dyDescent="0.3">
      <c r="B25" s="62">
        <f>MAX(B$15:B24)+1</f>
        <v>5</v>
      </c>
      <c r="D25" s="50" t="s">
        <v>159</v>
      </c>
      <c r="F25" s="48" t="s">
        <v>214</v>
      </c>
      <c r="H25" s="11">
        <v>451429</v>
      </c>
      <c r="I25" s="87"/>
      <c r="J25" s="68"/>
      <c r="K25" s="87"/>
      <c r="L25" s="42"/>
      <c r="M25" s="87"/>
      <c r="N25" s="68"/>
      <c r="O25" s="87"/>
      <c r="P25" s="11">
        <v>275.74339749549102</v>
      </c>
      <c r="Q25" s="87"/>
      <c r="R25" s="11">
        <f t="shared" si="2"/>
        <v>0</v>
      </c>
      <c r="S25" s="87"/>
      <c r="T25" s="68">
        <f>P25</f>
        <v>275.74339749549102</v>
      </c>
      <c r="U25" s="87"/>
      <c r="V25" s="42">
        <v>5.0999999999999997E-2</v>
      </c>
      <c r="W25" s="87"/>
      <c r="X25" s="13">
        <f t="shared" si="3"/>
        <v>1</v>
      </c>
      <c r="Y25" s="87"/>
      <c r="Z25" s="87"/>
      <c r="AA25" s="87"/>
    </row>
    <row r="26" spans="2:27" ht="12.45" x14ac:dyDescent="0.3">
      <c r="B26" s="62">
        <f>MAX(B$15:B25)+1</f>
        <v>6</v>
      </c>
      <c r="D26" s="49" t="s">
        <v>160</v>
      </c>
      <c r="F26" s="48" t="s">
        <v>214</v>
      </c>
      <c r="H26" s="11">
        <v>49500</v>
      </c>
      <c r="I26" s="87"/>
      <c r="J26" s="68"/>
      <c r="K26" s="87"/>
      <c r="L26" s="42"/>
      <c r="M26" s="87"/>
      <c r="N26" s="68"/>
      <c r="O26" s="87"/>
      <c r="P26" s="11">
        <v>1565.1397432714073</v>
      </c>
      <c r="Q26" s="87"/>
      <c r="R26" s="11">
        <f t="shared" si="2"/>
        <v>-212.99093951692157</v>
      </c>
      <c r="S26" s="87"/>
      <c r="T26" s="68">
        <f>V26*(H26)*12/1000</f>
        <v>1352.1488037544857</v>
      </c>
      <c r="U26" s="87"/>
      <c r="V26" s="42">
        <v>2.2763447874654643</v>
      </c>
      <c r="W26" s="87"/>
      <c r="X26" s="13">
        <f t="shared" si="3"/>
        <v>0.86391570437555021</v>
      </c>
      <c r="Y26" s="87"/>
      <c r="Z26" s="87"/>
      <c r="AA26" s="87"/>
    </row>
    <row r="27" spans="2:27" ht="12.45" x14ac:dyDescent="0.3">
      <c r="B27" s="62">
        <f>MAX(B$15:B26)+1</f>
        <v>7</v>
      </c>
      <c r="D27" s="50" t="s">
        <v>159</v>
      </c>
      <c r="F27" s="48" t="s">
        <v>214</v>
      </c>
      <c r="H27" s="11">
        <v>49500</v>
      </c>
      <c r="I27" s="87"/>
      <c r="J27" s="68"/>
      <c r="K27" s="87"/>
      <c r="L27" s="42"/>
      <c r="M27" s="87"/>
      <c r="N27" s="68"/>
      <c r="O27" s="87"/>
      <c r="P27" s="11">
        <v>30.235758393959635</v>
      </c>
      <c r="Q27" s="87"/>
      <c r="R27" s="11">
        <f t="shared" si="2"/>
        <v>0</v>
      </c>
      <c r="S27" s="87"/>
      <c r="T27" s="68">
        <f>P27</f>
        <v>30.235758393959635</v>
      </c>
      <c r="U27" s="87"/>
      <c r="V27" s="42">
        <v>5.0999999999999997E-2</v>
      </c>
      <c r="W27" s="87"/>
      <c r="X27" s="13">
        <f t="shared" si="3"/>
        <v>1</v>
      </c>
      <c r="Y27" s="87"/>
      <c r="Z27" s="87"/>
      <c r="AA27" s="87"/>
    </row>
    <row r="28" spans="2:27" ht="12.45" x14ac:dyDescent="0.3">
      <c r="B28" s="62">
        <f>MAX(B$15:B27)+1</f>
        <v>8</v>
      </c>
      <c r="D28" s="49" t="s">
        <v>161</v>
      </c>
      <c r="F28" s="48" t="s">
        <v>214</v>
      </c>
      <c r="H28" s="11">
        <v>383738.83333333331</v>
      </c>
      <c r="I28" s="87"/>
      <c r="J28" s="68"/>
      <c r="K28" s="87"/>
      <c r="L28" s="42"/>
      <c r="M28" s="87"/>
      <c r="N28" s="68"/>
      <c r="O28" s="87"/>
      <c r="P28" s="11">
        <v>7025.6860181488182</v>
      </c>
      <c r="Q28" s="87"/>
      <c r="R28" s="11">
        <f t="shared" si="2"/>
        <v>-835.70366882387589</v>
      </c>
      <c r="S28" s="87"/>
      <c r="T28" s="68">
        <f>V28*H28*12/1000</f>
        <v>6189.9823493249423</v>
      </c>
      <c r="U28" s="87"/>
      <c r="V28" s="42">
        <v>1.3442263790792051</v>
      </c>
      <c r="W28" s="87"/>
      <c r="X28" s="13">
        <f t="shared" si="3"/>
        <v>0.88105023955453199</v>
      </c>
      <c r="Y28" s="87"/>
      <c r="Z28" s="87"/>
      <c r="AA28" s="87"/>
    </row>
    <row r="29" spans="2:27" ht="12.45" x14ac:dyDescent="0.3">
      <c r="B29" s="62">
        <f>MAX(B$15:B28)+1</f>
        <v>9</v>
      </c>
      <c r="D29" s="49" t="s">
        <v>162</v>
      </c>
      <c r="F29" s="48" t="s">
        <v>214</v>
      </c>
      <c r="H29" s="11">
        <v>8863</v>
      </c>
      <c r="I29" s="87"/>
      <c r="J29" s="68"/>
      <c r="K29" s="87"/>
      <c r="L29" s="42"/>
      <c r="M29" s="87"/>
      <c r="N29" s="68"/>
      <c r="O29" s="87"/>
      <c r="P29" s="11">
        <v>215.24235173808376</v>
      </c>
      <c r="Q29" s="87"/>
      <c r="R29" s="11">
        <f>T29-P29</f>
        <v>0</v>
      </c>
      <c r="S29" s="87"/>
      <c r="T29" s="68">
        <f>V29*H29*12/1000</f>
        <v>215.24235173808376</v>
      </c>
      <c r="U29" s="87"/>
      <c r="V29" s="42">
        <v>2.023791339821766</v>
      </c>
      <c r="W29" s="87"/>
      <c r="X29" s="13">
        <f>IFERROR(T29/P29,"")</f>
        <v>1</v>
      </c>
      <c r="Y29" s="87"/>
      <c r="Z29" s="87"/>
      <c r="AA29" s="87"/>
    </row>
    <row r="30" spans="2:27" ht="12.45" x14ac:dyDescent="0.3"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</row>
    <row r="31" spans="2:27" ht="12.45" x14ac:dyDescent="0.3">
      <c r="B31" s="62"/>
      <c r="D31" s="51" t="s">
        <v>163</v>
      </c>
      <c r="F31" s="48"/>
      <c r="H31" s="11"/>
      <c r="I31" s="87"/>
      <c r="J31" s="68"/>
      <c r="K31" s="87"/>
      <c r="L31" s="42"/>
      <c r="M31" s="87"/>
      <c r="N31" s="87"/>
      <c r="O31" s="87"/>
      <c r="P31" s="11"/>
      <c r="Q31" s="87"/>
      <c r="R31" s="87"/>
      <c r="S31" s="87"/>
      <c r="T31" s="68"/>
      <c r="U31" s="87"/>
      <c r="V31" s="42"/>
      <c r="W31" s="87"/>
      <c r="X31" s="87"/>
      <c r="Y31" s="87"/>
      <c r="Z31" s="87"/>
      <c r="AA31" s="87"/>
    </row>
    <row r="32" spans="2:27" ht="12.45" x14ac:dyDescent="0.3">
      <c r="B32" s="62">
        <f>MAX(B$15:B31)+1</f>
        <v>10</v>
      </c>
      <c r="D32" s="49" t="s">
        <v>164</v>
      </c>
      <c r="F32" s="48" t="s">
        <v>214</v>
      </c>
      <c r="H32" s="11">
        <v>1047191</v>
      </c>
      <c r="I32" s="87"/>
      <c r="J32" s="68"/>
      <c r="K32" s="87"/>
      <c r="L32" s="42"/>
      <c r="M32" s="87"/>
      <c r="N32" s="68"/>
      <c r="O32" s="87"/>
      <c r="P32" s="11">
        <v>0</v>
      </c>
      <c r="Q32" s="87"/>
      <c r="R32" s="11">
        <f>T32-P32</f>
        <v>11249.262717320275</v>
      </c>
      <c r="S32" s="87"/>
      <c r="T32" s="68">
        <f>V32*H32*12/1000</f>
        <v>11249.262717320275</v>
      </c>
      <c r="U32" s="87"/>
      <c r="V32" s="42">
        <v>0.89519348406994481</v>
      </c>
      <c r="W32" s="87"/>
      <c r="X32" s="13" t="str">
        <f>IFERROR(T32/P32,"")</f>
        <v/>
      </c>
      <c r="Y32" s="87"/>
      <c r="Z32" s="87"/>
      <c r="AA32" s="87"/>
    </row>
    <row r="33" spans="2:27" ht="12.45" x14ac:dyDescent="0.3">
      <c r="B33" s="62">
        <f>MAX(B$15:B32)+1</f>
        <v>11</v>
      </c>
      <c r="D33" s="49" t="s">
        <v>165</v>
      </c>
      <c r="F33" s="48" t="s">
        <v>214</v>
      </c>
      <c r="H33" s="11">
        <v>63329</v>
      </c>
      <c r="I33" s="87"/>
      <c r="J33" s="68"/>
      <c r="K33" s="87"/>
      <c r="L33" s="42"/>
      <c r="M33" s="87"/>
      <c r="N33" s="68"/>
      <c r="O33" s="87"/>
      <c r="P33" s="11">
        <v>0</v>
      </c>
      <c r="Q33" s="87"/>
      <c r="R33" s="11">
        <f>T33-P33</f>
        <v>973.92754954899681</v>
      </c>
      <c r="S33" s="87"/>
      <c r="T33" s="68">
        <f>V33*H33*12/1000</f>
        <v>973.92754954899681</v>
      </c>
      <c r="U33" s="87"/>
      <c r="V33" s="42">
        <v>1.281571304285289</v>
      </c>
      <c r="W33" s="87"/>
      <c r="X33" s="13" t="str">
        <f>IFERROR(T33/P33,"")</f>
        <v/>
      </c>
      <c r="Y33" s="87"/>
      <c r="Z33" s="87"/>
      <c r="AA33" s="87"/>
    </row>
    <row r="34" spans="2:27" ht="12.45" x14ac:dyDescent="0.3"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2:27" ht="12.45" x14ac:dyDescent="0.3">
      <c r="B35" s="62">
        <f>MAX(B$15:B33)+1</f>
        <v>12</v>
      </c>
      <c r="D35" s="51" t="s">
        <v>166</v>
      </c>
      <c r="F35" s="48" t="s">
        <v>214</v>
      </c>
      <c r="H35" s="11">
        <v>54513</v>
      </c>
      <c r="I35" s="87"/>
      <c r="J35" s="68"/>
      <c r="K35" s="87"/>
      <c r="L35" s="42"/>
      <c r="M35" s="87"/>
      <c r="N35" s="68"/>
      <c r="O35" s="87"/>
      <c r="P35" s="11">
        <v>2470.908484651648</v>
      </c>
      <c r="Q35" s="87"/>
      <c r="R35" s="11">
        <f>T35-P35</f>
        <v>252.11379310680513</v>
      </c>
      <c r="S35" s="87"/>
      <c r="T35" s="68">
        <f>V35*H35*12/1000</f>
        <v>2723.0222777584531</v>
      </c>
      <c r="U35" s="87"/>
      <c r="V35" s="42">
        <v>4.1626497009252432</v>
      </c>
      <c r="W35" s="87"/>
      <c r="X35" s="13">
        <f t="shared" ref="X35" si="4">IFERROR(T35/P35,"")</f>
        <v>1.1020328331351974</v>
      </c>
      <c r="Y35" s="87"/>
      <c r="Z35" s="87"/>
      <c r="AA35" s="87"/>
    </row>
    <row r="36" spans="2:27" ht="12.45" x14ac:dyDescent="0.3"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</row>
    <row r="37" spans="2:27" ht="12.45" x14ac:dyDescent="0.3">
      <c r="B37" s="62"/>
      <c r="D37" s="51" t="s">
        <v>167</v>
      </c>
      <c r="H37" s="11"/>
      <c r="I37" s="87"/>
      <c r="J37" s="68"/>
      <c r="K37" s="87"/>
      <c r="L37" s="42"/>
      <c r="M37" s="87"/>
      <c r="N37" s="87"/>
      <c r="O37" s="87"/>
      <c r="P37" s="11"/>
      <c r="Q37" s="87"/>
      <c r="R37" s="87"/>
      <c r="S37" s="87"/>
      <c r="T37" s="68"/>
      <c r="U37" s="87"/>
      <c r="V37" s="42"/>
      <c r="W37" s="87"/>
      <c r="X37" s="87"/>
      <c r="Y37" s="87"/>
      <c r="Z37" s="87"/>
      <c r="AA37" s="87"/>
    </row>
    <row r="38" spans="2:27" ht="12.45" x14ac:dyDescent="0.3">
      <c r="B38" s="62">
        <f>MAX(B$15:B37)+1</f>
        <v>13</v>
      </c>
      <c r="D38" s="49" t="s">
        <v>168</v>
      </c>
      <c r="F38" s="48" t="s">
        <v>214</v>
      </c>
      <c r="H38" s="11">
        <v>36927</v>
      </c>
      <c r="I38" s="87"/>
      <c r="J38" s="68"/>
      <c r="K38" s="87"/>
      <c r="L38" s="42"/>
      <c r="M38" s="87"/>
      <c r="N38" s="68"/>
      <c r="O38" s="87"/>
      <c r="P38" s="11">
        <v>0</v>
      </c>
      <c r="Q38" s="87"/>
      <c r="R38" s="11">
        <f t="shared" ref="R38:R45" si="5">T38-P38</f>
        <v>509.07614870037958</v>
      </c>
      <c r="S38" s="87"/>
      <c r="T38" s="68">
        <f>V38*H38*12/1000</f>
        <v>509.07614870037958</v>
      </c>
      <c r="U38" s="87"/>
      <c r="V38" s="42">
        <v>1.1488345219405394</v>
      </c>
      <c r="W38" s="87"/>
      <c r="X38" s="13" t="str">
        <f>IFERROR(T38/P38,"")</f>
        <v/>
      </c>
      <c r="Y38" s="87"/>
      <c r="Z38" s="87"/>
      <c r="AA38" s="87"/>
    </row>
    <row r="39" spans="2:27" ht="12.45" x14ac:dyDescent="0.3">
      <c r="B39" s="62">
        <f>MAX(B$15:B38)+1</f>
        <v>14</v>
      </c>
      <c r="D39" s="49" t="s">
        <v>169</v>
      </c>
      <c r="F39" s="48" t="s">
        <v>214</v>
      </c>
      <c r="H39" s="11">
        <v>0</v>
      </c>
      <c r="I39" s="87"/>
      <c r="J39" s="68"/>
      <c r="K39" s="87"/>
      <c r="L39" s="42"/>
      <c r="M39" s="87"/>
      <c r="N39" s="68"/>
      <c r="O39" s="87"/>
      <c r="P39" s="11">
        <v>0</v>
      </c>
      <c r="Q39" s="87"/>
      <c r="R39" s="11">
        <f t="shared" si="5"/>
        <v>0</v>
      </c>
      <c r="S39" s="87"/>
      <c r="T39" s="68">
        <f>V39*H39*12/1000</f>
        <v>0</v>
      </c>
      <c r="U39" s="87"/>
      <c r="V39" s="42">
        <v>4.193246005082969</v>
      </c>
      <c r="W39" s="87"/>
      <c r="X39" s="13" t="str">
        <f>IFERROR(T39/P39,"")</f>
        <v/>
      </c>
      <c r="Y39" s="87"/>
      <c r="Z39" s="87"/>
      <c r="AA39" s="87"/>
    </row>
    <row r="40" spans="2:27" ht="12.45" x14ac:dyDescent="0.3">
      <c r="B40" s="62">
        <f>MAX(B$15:B39)+1</f>
        <v>15</v>
      </c>
      <c r="D40" s="89" t="s">
        <v>170</v>
      </c>
      <c r="F40" s="48" t="s">
        <v>214</v>
      </c>
      <c r="H40" s="11">
        <v>1210000</v>
      </c>
      <c r="I40" s="87"/>
      <c r="J40" s="68"/>
      <c r="K40" s="87"/>
      <c r="L40" s="42"/>
      <c r="M40" s="87"/>
      <c r="N40" s="87"/>
      <c r="O40" s="87"/>
      <c r="P40" s="11">
        <v>18379.517237415243</v>
      </c>
      <c r="Q40" s="87"/>
      <c r="R40" s="11">
        <f t="shared" si="5"/>
        <v>0</v>
      </c>
      <c r="S40" s="87"/>
      <c r="T40" s="68">
        <f>V40*H40*12/1000</f>
        <v>18379.517237415243</v>
      </c>
      <c r="U40" s="87"/>
      <c r="V40" s="42">
        <v>1.265806972273777</v>
      </c>
      <c r="W40" s="87"/>
      <c r="X40" s="13">
        <f t="shared" ref="X40:X45" si="6">IFERROR(T40/P40,"")</f>
        <v>1</v>
      </c>
      <c r="Y40" s="87"/>
      <c r="Z40" s="87"/>
      <c r="AA40" s="87"/>
    </row>
    <row r="41" spans="2:27" ht="12.45" x14ac:dyDescent="0.3">
      <c r="B41" s="62">
        <f>MAX(B$15:B40)+1</f>
        <v>16</v>
      </c>
      <c r="D41" s="49" t="s">
        <v>171</v>
      </c>
      <c r="F41" s="48" t="s">
        <v>214</v>
      </c>
      <c r="H41" s="11">
        <v>203626</v>
      </c>
      <c r="I41" s="87"/>
      <c r="J41" s="68"/>
      <c r="K41" s="87"/>
      <c r="L41" s="42"/>
      <c r="M41" s="87"/>
      <c r="N41" s="68"/>
      <c r="O41" s="87"/>
      <c r="P41" s="11">
        <v>0</v>
      </c>
      <c r="Q41" s="87"/>
      <c r="R41" s="11">
        <f t="shared" si="5"/>
        <v>34.003754328717498</v>
      </c>
      <c r="S41" s="87"/>
      <c r="T41" s="68">
        <f>V41*H41*12/1000</f>
        <v>34.003754328717498</v>
      </c>
      <c r="U41" s="87"/>
      <c r="V41" s="42">
        <v>1.3915935067524735E-2</v>
      </c>
      <c r="W41" s="87"/>
      <c r="X41" s="13" t="str">
        <f>IFERROR(T41/P41,"")</f>
        <v/>
      </c>
      <c r="Y41" s="87"/>
      <c r="Z41" s="87"/>
      <c r="AA41" s="87"/>
    </row>
    <row r="42" spans="2:27" ht="12.45" x14ac:dyDescent="0.3">
      <c r="B42" s="62">
        <f>MAX(B$15:B41)+1</f>
        <v>17</v>
      </c>
      <c r="D42" s="50" t="s">
        <v>159</v>
      </c>
      <c r="F42" s="48" t="s">
        <v>214</v>
      </c>
      <c r="H42" s="11">
        <v>110781</v>
      </c>
      <c r="I42" s="87"/>
      <c r="J42" s="68"/>
      <c r="K42" s="87"/>
      <c r="L42" s="42"/>
      <c r="M42" s="87"/>
      <c r="N42" s="68"/>
      <c r="O42" s="87"/>
      <c r="P42" s="11">
        <v>67.667627285681675</v>
      </c>
      <c r="Q42" s="87"/>
      <c r="R42" s="11">
        <f t="shared" si="5"/>
        <v>0</v>
      </c>
      <c r="S42" s="87"/>
      <c r="T42" s="68">
        <f>P42</f>
        <v>67.667627285681675</v>
      </c>
      <c r="U42" s="87"/>
      <c r="V42" s="42">
        <v>5.0999999999999997E-2</v>
      </c>
      <c r="W42" s="87"/>
      <c r="X42" s="13">
        <f t="shared" si="6"/>
        <v>1</v>
      </c>
      <c r="Y42" s="87"/>
      <c r="Z42" s="87"/>
      <c r="AA42" s="87"/>
    </row>
    <row r="43" spans="2:27" ht="12.45" x14ac:dyDescent="0.3">
      <c r="B43" s="62">
        <f>MAX(B$15:B42)+1</f>
        <v>18</v>
      </c>
      <c r="D43" s="49" t="s">
        <v>172</v>
      </c>
      <c r="F43" s="48" t="s">
        <v>214</v>
      </c>
      <c r="H43" s="11">
        <v>500000</v>
      </c>
      <c r="I43" s="87"/>
      <c r="J43" s="68"/>
      <c r="K43" s="87"/>
      <c r="L43" s="42"/>
      <c r="M43" s="87"/>
      <c r="N43" s="68"/>
      <c r="O43" s="87"/>
      <c r="P43" s="11">
        <v>0</v>
      </c>
      <c r="Q43" s="87"/>
      <c r="R43" s="11">
        <v>141.15476268023593</v>
      </c>
      <c r="S43" s="87"/>
      <c r="T43" s="68">
        <v>141.15476268023593</v>
      </c>
      <c r="U43" s="87"/>
      <c r="V43" s="42">
        <v>2.0873902601287103E-2</v>
      </c>
      <c r="W43" s="87"/>
      <c r="X43" s="13" t="str">
        <f>IFERROR(T43/P43,"")</f>
        <v/>
      </c>
      <c r="Y43" s="87"/>
      <c r="Z43" s="87"/>
      <c r="AA43" s="87"/>
    </row>
    <row r="44" spans="2:27" ht="12.45" x14ac:dyDescent="0.3">
      <c r="B44" s="62">
        <f>MAX(B$15:B43)+1</f>
        <v>19</v>
      </c>
      <c r="D44" s="49" t="s">
        <v>173</v>
      </c>
      <c r="F44" s="48" t="s">
        <v>90</v>
      </c>
      <c r="H44" s="11">
        <v>45665000</v>
      </c>
      <c r="I44" s="87"/>
      <c r="J44" s="11"/>
      <c r="K44" s="87"/>
      <c r="L44" s="42"/>
      <c r="M44" s="87"/>
      <c r="N44" s="68"/>
      <c r="O44" s="87"/>
      <c r="P44" s="11">
        <v>16.867807185072671</v>
      </c>
      <c r="Q44" s="87"/>
      <c r="R44" s="11">
        <f t="shared" si="5"/>
        <v>12796.834495314806</v>
      </c>
      <c r="S44" s="87"/>
      <c r="T44" s="11">
        <v>12813.702302499878</v>
      </c>
      <c r="U44" s="87"/>
      <c r="V44" s="42">
        <v>0</v>
      </c>
      <c r="W44" s="87"/>
      <c r="X44" s="13">
        <f t="shared" si="6"/>
        <v>759.65430253669774</v>
      </c>
      <c r="Y44" s="87"/>
      <c r="Z44" s="87"/>
      <c r="AA44" s="87"/>
    </row>
    <row r="45" spans="2:27" ht="12.45" x14ac:dyDescent="0.3">
      <c r="B45" s="62">
        <f>MAX(B$15:B44)+1</f>
        <v>20</v>
      </c>
      <c r="D45" s="89" t="s">
        <v>174</v>
      </c>
      <c r="F45" s="48" t="s">
        <v>214</v>
      </c>
      <c r="H45" s="11">
        <v>91095.48</v>
      </c>
      <c r="I45" s="87"/>
      <c r="J45" s="68"/>
      <c r="K45" s="87"/>
      <c r="L45" s="42"/>
      <c r="M45" s="87"/>
      <c r="N45" s="68"/>
      <c r="O45" s="87"/>
      <c r="P45" s="11">
        <v>0</v>
      </c>
      <c r="Q45" s="87"/>
      <c r="R45" s="11">
        <f t="shared" si="5"/>
        <v>179.27590463999999</v>
      </c>
      <c r="S45" s="87"/>
      <c r="T45" s="68">
        <v>179.27590463999999</v>
      </c>
      <c r="U45" s="87"/>
      <c r="V45" s="42">
        <v>0.16400000000000001</v>
      </c>
      <c r="W45" s="87"/>
      <c r="X45" s="13" t="str">
        <f t="shared" si="6"/>
        <v/>
      </c>
      <c r="Y45" s="87"/>
      <c r="Z45" s="87"/>
      <c r="AA45" s="87"/>
    </row>
    <row r="46" spans="2:27" ht="12.45" x14ac:dyDescent="0.3"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</row>
    <row r="47" spans="2:27" ht="12.9" thickBot="1" x14ac:dyDescent="0.35">
      <c r="B47" s="62">
        <f>MAX(B$15:B46)+1</f>
        <v>21</v>
      </c>
      <c r="D47" s="55" t="str">
        <f>"Total " &amp;LEFT(D22,6)</f>
        <v>Total Demand</v>
      </c>
      <c r="H47" s="72">
        <f>SUM(H24:H45)</f>
        <v>51793354.313333333</v>
      </c>
      <c r="I47" s="67"/>
      <c r="J47" s="72">
        <v>142270.45494913991</v>
      </c>
      <c r="K47" s="68"/>
      <c r="L47" s="20">
        <f>J47/$H47*100</f>
        <v>0.27468862914042769</v>
      </c>
      <c r="M47" s="68"/>
      <c r="N47" s="72">
        <f>J47-P47</f>
        <v>27558.988631860557</v>
      </c>
      <c r="O47" s="12"/>
      <c r="P47" s="72">
        <f>SUM(P24:P45)</f>
        <v>114711.46631727935</v>
      </c>
      <c r="Q47" s="12"/>
      <c r="R47" s="72">
        <f>SUM(R24:R45)</f>
        <v>13660.345065664116</v>
      </c>
      <c r="S47" s="68"/>
      <c r="T47" s="72">
        <f>SUM(T24:T45)</f>
        <v>128371.81138294349</v>
      </c>
      <c r="U47" s="68"/>
      <c r="V47" s="20">
        <f>T47/$H47*100</f>
        <v>0.24785382813079615</v>
      </c>
      <c r="W47" s="68"/>
      <c r="X47" s="73">
        <f t="shared" ref="X47" si="7">T47/P47</f>
        <v>1.1190843906386927</v>
      </c>
      <c r="Y47" s="14"/>
      <c r="Z47" s="76">
        <f t="shared" ref="Z47" si="8">V47/L47-1</f>
        <v>-9.769170676487271E-2</v>
      </c>
      <c r="AA47" s="14"/>
    </row>
    <row r="48" spans="2:27" ht="12.9" thickTop="1" x14ac:dyDescent="0.3"/>
    <row r="49" spans="2:27" ht="12.45" x14ac:dyDescent="0.3">
      <c r="B49" s="62"/>
      <c r="D49" s="55" t="s">
        <v>175</v>
      </c>
      <c r="H49" s="17"/>
    </row>
    <row r="50" spans="2:27" ht="12.45" x14ac:dyDescent="0.3">
      <c r="B50" s="62">
        <f>MAX(B$15:B49)+1</f>
        <v>22</v>
      </c>
      <c r="D50" s="39" t="s">
        <v>176</v>
      </c>
      <c r="F50" s="48" t="s">
        <v>90</v>
      </c>
      <c r="H50" s="11">
        <v>402163120.17195404</v>
      </c>
      <c r="I50" s="87"/>
      <c r="J50" s="11"/>
      <c r="K50" s="87"/>
      <c r="L50" s="42"/>
      <c r="M50" s="87"/>
      <c r="N50" s="68"/>
      <c r="O50" s="87"/>
      <c r="P50" s="11">
        <v>14280.266419524896</v>
      </c>
      <c r="Q50" s="87"/>
      <c r="R50" s="11">
        <f>T50-P50</f>
        <v>-9.2635454893752467E-3</v>
      </c>
      <c r="S50" s="87"/>
      <c r="T50" s="11">
        <v>14280.257155979407</v>
      </c>
      <c r="U50" s="87"/>
      <c r="V50" s="42">
        <v>0</v>
      </c>
      <c r="W50" s="87"/>
      <c r="X50" s="13">
        <f>IFERROR(T50/P50,"")</f>
        <v>0.99999935130443529</v>
      </c>
      <c r="Y50" s="87"/>
      <c r="Z50" s="87"/>
      <c r="AA50" s="87"/>
    </row>
    <row r="51" spans="2:27" ht="12.45" x14ac:dyDescent="0.3">
      <c r="B51" s="62">
        <f>MAX(B$15:B50)+1</f>
        <v>23</v>
      </c>
      <c r="D51" s="39" t="s">
        <v>177</v>
      </c>
      <c r="F51" s="48" t="s">
        <v>90</v>
      </c>
      <c r="H51" s="11">
        <v>222367415.58668202</v>
      </c>
      <c r="I51" s="87"/>
      <c r="J51" s="11"/>
      <c r="K51" s="87"/>
      <c r="L51" s="42"/>
      <c r="M51" s="87"/>
      <c r="N51" s="68"/>
      <c r="O51" s="87"/>
      <c r="P51" s="11">
        <v>3993.2055152894104</v>
      </c>
      <c r="Q51" s="87"/>
      <c r="R51" s="11">
        <f>T51-P51</f>
        <v>-1.6181858412892325E-2</v>
      </c>
      <c r="S51" s="87"/>
      <c r="T51" s="11">
        <v>3993.1893334309975</v>
      </c>
      <c r="U51" s="87"/>
      <c r="V51" s="42">
        <v>0</v>
      </c>
      <c r="W51" s="87"/>
      <c r="X51" s="13">
        <f>IFERROR(T51/P51,"")</f>
        <v>0.99999594765199262</v>
      </c>
      <c r="Y51" s="87"/>
      <c r="Z51" s="87"/>
      <c r="AA51" s="87"/>
    </row>
    <row r="52" spans="2:27" ht="12.45" x14ac:dyDescent="0.3"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</row>
    <row r="53" spans="2:27" ht="12.45" x14ac:dyDescent="0.3">
      <c r="B53" s="62">
        <f>MAX(B$15:B52)+1</f>
        <v>24</v>
      </c>
      <c r="D53" s="39" t="s">
        <v>178</v>
      </c>
      <c r="F53" s="48" t="s">
        <v>90</v>
      </c>
      <c r="H53" s="11"/>
      <c r="I53" s="87"/>
      <c r="J53" s="11"/>
      <c r="K53" s="87"/>
      <c r="L53" s="42"/>
      <c r="M53" s="87"/>
      <c r="N53" s="68"/>
      <c r="O53" s="87"/>
      <c r="P53" s="11">
        <v>2015.5593671640891</v>
      </c>
      <c r="Q53" s="87"/>
      <c r="R53" s="11">
        <f>T53-P53</f>
        <v>-2.9789099737627112E-3</v>
      </c>
      <c r="S53" s="87"/>
      <c r="T53" s="11">
        <v>2015.5563882541153</v>
      </c>
      <c r="U53" s="87"/>
      <c r="V53" s="42">
        <v>0</v>
      </c>
      <c r="W53" s="87"/>
      <c r="X53" s="13">
        <f>IFERROR(T53/P53,"")</f>
        <v>0.99999852204305051</v>
      </c>
      <c r="Y53" s="87"/>
      <c r="Z53" s="87"/>
      <c r="AA53" s="87"/>
    </row>
    <row r="54" spans="2:27" ht="12.45" x14ac:dyDescent="0.3">
      <c r="B54" s="62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</row>
    <row r="55" spans="2:27" ht="12.45" x14ac:dyDescent="0.3">
      <c r="B55" s="62">
        <f>MAX(B$15:B54)+1</f>
        <v>25</v>
      </c>
      <c r="D55" s="55" t="str">
        <f>"Total " &amp;D49</f>
        <v>Total Commodity</v>
      </c>
      <c r="H55" s="72">
        <f>SUM(H50:H53)</f>
        <v>624530535.758636</v>
      </c>
      <c r="I55" s="67"/>
      <c r="J55" s="72">
        <v>16203.307197464526</v>
      </c>
      <c r="K55" s="68"/>
      <c r="L55" s="20">
        <f>J55/$H55*100</f>
        <v>2.5944779750091615E-3</v>
      </c>
      <c r="M55" s="68"/>
      <c r="N55" s="72">
        <f>J55-P55</f>
        <v>-4085.7241045138708</v>
      </c>
      <c r="O55" s="12"/>
      <c r="P55" s="72">
        <f>SUM(P50:P53)</f>
        <v>20289.031301978397</v>
      </c>
      <c r="Q55" s="12"/>
      <c r="R55" s="72">
        <f>SUM(R50:R53)</f>
        <v>-2.8424313876030283E-2</v>
      </c>
      <c r="S55" s="68"/>
      <c r="T55" s="72">
        <f>SUM(T50:T53)</f>
        <v>20289.002877664519</v>
      </c>
      <c r="U55" s="68"/>
      <c r="V55" s="20">
        <f>T55/$H55*100</f>
        <v>3.2486806834863338E-3</v>
      </c>
      <c r="W55" s="68"/>
      <c r="X55" s="73">
        <f t="shared" ref="X55" si="9">T55/P55</f>
        <v>0.99999859903050792</v>
      </c>
      <c r="Y55" s="14"/>
      <c r="Z55" s="52">
        <f t="shared" ref="Z55" si="10">V55/L55-1</f>
        <v>0.25215196073301116</v>
      </c>
      <c r="AA55" s="14"/>
    </row>
    <row r="56" spans="2:27" ht="12.45" x14ac:dyDescent="0.3"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</row>
    <row r="57" spans="2:27" ht="12.9" thickBot="1" x14ac:dyDescent="0.35">
      <c r="B57" s="62">
        <f>MAX(B$15:B56)+1</f>
        <v>26</v>
      </c>
      <c r="D57" s="55" t="str">
        <f>"Total " &amp;D21</f>
        <v>Total Rate E70</v>
      </c>
      <c r="H57" s="74">
        <f>H47+H55</f>
        <v>676323890.07196927</v>
      </c>
      <c r="I57" s="67"/>
      <c r="J57" s="74">
        <f>J47+J55</f>
        <v>158473.76214660442</v>
      </c>
      <c r="K57" s="68"/>
      <c r="L57" s="25">
        <f>J57/$H57*100</f>
        <v>2.343163748507255E-2</v>
      </c>
      <c r="M57" s="68"/>
      <c r="N57" s="74">
        <f>J57-P57</f>
        <v>23473.264527346677</v>
      </c>
      <c r="O57" s="12"/>
      <c r="P57" s="74">
        <f>P47+P55</f>
        <v>135000.49761925775</v>
      </c>
      <c r="Q57" s="12"/>
      <c r="R57" s="74">
        <f>R47+R55</f>
        <v>13660.31664135024</v>
      </c>
      <c r="S57" s="68"/>
      <c r="T57" s="74">
        <f>T47+T55</f>
        <v>148660.81426060799</v>
      </c>
      <c r="U57" s="68"/>
      <c r="V57" s="25">
        <f>T57/$H57*100</f>
        <v>2.1980713152804442E-2</v>
      </c>
      <c r="W57" s="68"/>
      <c r="X57" s="75">
        <f t="shared" ref="X57" si="11">T57/P57</f>
        <v>1.1011871576938663</v>
      </c>
      <c r="Y57" s="14"/>
      <c r="Z57" s="76">
        <f t="shared" ref="Z57" si="12">V57/L57-1</f>
        <v>-6.1921593537474284E-2</v>
      </c>
      <c r="AA57" s="14"/>
    </row>
    <row r="58" spans="2:27" ht="12.9" thickTop="1" x14ac:dyDescent="0.3"/>
    <row r="59" spans="2:27" ht="12.45" x14ac:dyDescent="0.3"/>
    <row r="60" spans="2:27" ht="12.45" x14ac:dyDescent="0.3"/>
    <row r="61" spans="2:27" ht="12.45" x14ac:dyDescent="0.3"/>
    <row r="62" spans="2:27" ht="12.45" x14ac:dyDescent="0.3"/>
    <row r="63" spans="2:27" ht="12.45" x14ac:dyDescent="0.3"/>
    <row r="64" spans="2:27" ht="12.45" x14ac:dyDescent="0.3">
      <c r="B64" s="99" t="s">
        <v>179</v>
      </c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46"/>
    </row>
    <row r="65" spans="2:27" ht="12.45" x14ac:dyDescent="0.3">
      <c r="B65" s="99" t="s">
        <v>151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46"/>
    </row>
    <row r="66" spans="2:27" ht="12.45" x14ac:dyDescent="0.3">
      <c r="B66" s="58"/>
      <c r="C66" s="58"/>
      <c r="D66" s="58"/>
      <c r="E66" s="58"/>
      <c r="F66" s="59"/>
      <c r="G66" s="58"/>
      <c r="H66" s="59"/>
      <c r="I66" s="58"/>
      <c r="J66" s="59"/>
      <c r="K66" s="59"/>
      <c r="L66" s="59"/>
      <c r="M66" s="59"/>
      <c r="N66" s="59"/>
      <c r="O66" s="58"/>
      <c r="P66" s="58"/>
      <c r="Q66" s="58"/>
      <c r="R66" s="58"/>
      <c r="S66" s="58"/>
      <c r="T66" s="58"/>
      <c r="U66" s="58"/>
      <c r="V66" s="58"/>
      <c r="W66" s="58"/>
      <c r="X66" s="3"/>
      <c r="Y66" s="2"/>
      <c r="Z66" s="3"/>
      <c r="AA66" s="2"/>
    </row>
    <row r="67" spans="2:27" ht="12.45" x14ac:dyDescent="0.3">
      <c r="B67" s="59"/>
      <c r="C67" s="59"/>
      <c r="D67" s="59"/>
      <c r="E67" s="59"/>
      <c r="F67" s="58"/>
      <c r="G67" s="59"/>
      <c r="H67" s="58"/>
      <c r="I67" s="59"/>
      <c r="J67" s="60" t="s">
        <v>2</v>
      </c>
      <c r="K67" s="60"/>
      <c r="L67" s="60"/>
      <c r="M67" s="59"/>
      <c r="N67" s="59"/>
      <c r="O67" s="59"/>
      <c r="P67" s="60" t="s">
        <v>180</v>
      </c>
      <c r="Q67" s="60"/>
      <c r="R67" s="60"/>
      <c r="S67" s="60"/>
      <c r="T67" s="60"/>
      <c r="U67" s="60"/>
      <c r="V67" s="60"/>
      <c r="W67" s="60"/>
      <c r="X67" s="4"/>
      <c r="Y67" s="4"/>
      <c r="Z67" s="4"/>
      <c r="AA67" s="4"/>
    </row>
    <row r="68" spans="2:27" ht="12.45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3"/>
      <c r="Y68" s="2"/>
      <c r="Z68" s="3"/>
      <c r="AA68" s="2"/>
    </row>
    <row r="69" spans="2:27" ht="37.299999999999997" x14ac:dyDescent="0.3">
      <c r="B69" s="61" t="s">
        <v>4</v>
      </c>
      <c r="C69" s="61"/>
      <c r="D69" s="61"/>
      <c r="E69" s="61"/>
      <c r="F69" s="62" t="s">
        <v>5</v>
      </c>
      <c r="G69" s="61"/>
      <c r="H69" s="5" t="s">
        <v>181</v>
      </c>
      <c r="I69" s="61"/>
      <c r="J69" s="5" t="s">
        <v>7</v>
      </c>
      <c r="K69" s="5"/>
      <c r="L69" s="5" t="s">
        <v>8</v>
      </c>
      <c r="M69" s="61"/>
      <c r="N69" s="5" t="s">
        <v>9</v>
      </c>
      <c r="O69" s="61"/>
      <c r="P69" s="61" t="s">
        <v>10</v>
      </c>
      <c r="Q69" s="61"/>
      <c r="R69" s="5" t="s">
        <v>9</v>
      </c>
      <c r="S69" s="61"/>
      <c r="T69" s="5" t="s">
        <v>7</v>
      </c>
      <c r="U69" s="61"/>
      <c r="V69" s="5" t="s">
        <v>8</v>
      </c>
      <c r="W69" s="61"/>
      <c r="X69" s="61" t="s">
        <v>12</v>
      </c>
      <c r="Y69" s="61"/>
      <c r="Z69" s="61" t="s">
        <v>13</v>
      </c>
      <c r="AA69" s="61"/>
    </row>
    <row r="70" spans="2:27" ht="12.45" x14ac:dyDescent="0.3">
      <c r="B70" s="63" t="s">
        <v>14</v>
      </c>
      <c r="C70" s="64"/>
      <c r="D70" s="65" t="s">
        <v>15</v>
      </c>
      <c r="E70" s="62"/>
      <c r="F70" s="63" t="s">
        <v>16</v>
      </c>
      <c r="G70" s="62"/>
      <c r="H70" s="63" t="s">
        <v>182</v>
      </c>
      <c r="I70" s="62"/>
      <c r="J70" s="63" t="s">
        <v>18</v>
      </c>
      <c r="K70" s="2"/>
      <c r="L70" s="63" t="s">
        <v>128</v>
      </c>
      <c r="M70" s="62"/>
      <c r="N70" s="63" t="s">
        <v>18</v>
      </c>
      <c r="O70" s="62"/>
      <c r="P70" s="63" t="s">
        <v>18</v>
      </c>
      <c r="Q70" s="62"/>
      <c r="R70" s="63" t="s">
        <v>18</v>
      </c>
      <c r="S70" s="62"/>
      <c r="T70" s="63" t="s">
        <v>18</v>
      </c>
      <c r="U70" s="62"/>
      <c r="V70" s="63" t="s">
        <v>128</v>
      </c>
      <c r="W70" s="62"/>
      <c r="X70" s="63" t="s">
        <v>20</v>
      </c>
      <c r="Y70" s="62"/>
      <c r="Z70" s="63" t="s">
        <v>21</v>
      </c>
      <c r="AA70" s="62"/>
    </row>
    <row r="71" spans="2:27" ht="12.45" x14ac:dyDescent="0.3">
      <c r="B71" s="62"/>
      <c r="C71" s="64"/>
      <c r="D71" s="64"/>
      <c r="E71" s="62"/>
      <c r="F71" s="62"/>
      <c r="G71" s="62"/>
      <c r="H71" s="62" t="s">
        <v>22</v>
      </c>
      <c r="I71" s="62"/>
      <c r="J71" s="62" t="s">
        <v>23</v>
      </c>
      <c r="K71" s="62"/>
      <c r="L71" s="62" t="s">
        <v>24</v>
      </c>
      <c r="M71" s="62"/>
      <c r="N71" s="62" t="s">
        <v>25</v>
      </c>
      <c r="O71" s="62"/>
      <c r="P71" s="62" t="s">
        <v>26</v>
      </c>
      <c r="Q71" s="62"/>
      <c r="R71" s="62" t="s">
        <v>183</v>
      </c>
      <c r="S71" s="62"/>
      <c r="T71" s="66" t="s">
        <v>28</v>
      </c>
      <c r="U71" s="62"/>
      <c r="V71" s="66" t="s">
        <v>29</v>
      </c>
      <c r="W71" s="62"/>
      <c r="X71" s="66" t="s">
        <v>184</v>
      </c>
      <c r="Y71" s="62"/>
      <c r="Z71" s="66" t="s">
        <v>31</v>
      </c>
      <c r="AA71" s="62"/>
    </row>
    <row r="72" spans="2:27" ht="12.45" x14ac:dyDescent="0.3"/>
    <row r="73" spans="2:27" ht="12.45" x14ac:dyDescent="0.3">
      <c r="D73" s="90" t="s">
        <v>185</v>
      </c>
      <c r="F73" s="48"/>
    </row>
    <row r="74" spans="2:27" ht="12.45" x14ac:dyDescent="0.3">
      <c r="B74" s="62">
        <f>MAX(B$15:B73)+1</f>
        <v>27</v>
      </c>
      <c r="D74" s="39" t="s">
        <v>153</v>
      </c>
      <c r="F74" s="48" t="s">
        <v>35</v>
      </c>
      <c r="H74" s="11">
        <v>24</v>
      </c>
      <c r="I74" s="87"/>
      <c r="J74" s="68"/>
      <c r="K74" s="87"/>
      <c r="L74" s="71"/>
      <c r="M74" s="87"/>
      <c r="N74" s="68"/>
      <c r="O74" s="87"/>
      <c r="P74" s="11">
        <v>0</v>
      </c>
      <c r="Q74" s="87"/>
      <c r="R74" s="11">
        <f>T74-P74</f>
        <v>40.065047932398556</v>
      </c>
      <c r="S74" s="87"/>
      <c r="T74" s="68">
        <f>V74*H74/1000</f>
        <v>40.065047932398556</v>
      </c>
      <c r="U74" s="87"/>
      <c r="V74" s="71">
        <v>1669.3769971832733</v>
      </c>
      <c r="W74" s="87"/>
      <c r="X74" s="13" t="str">
        <f>IFERROR(T74/P74,"")</f>
        <v/>
      </c>
      <c r="Y74" s="87"/>
      <c r="Z74" s="87"/>
      <c r="AA74" s="87"/>
    </row>
    <row r="75" spans="2:27" ht="12.45" x14ac:dyDescent="0.3">
      <c r="B75" s="62">
        <f>MAX(B$15:B74)+1</f>
        <v>28</v>
      </c>
      <c r="D75" s="39" t="s">
        <v>186</v>
      </c>
      <c r="F75" s="48" t="s">
        <v>90</v>
      </c>
      <c r="H75" s="11">
        <v>5198226.8965517245</v>
      </c>
      <c r="I75" s="87"/>
      <c r="J75" s="68"/>
      <c r="K75" s="87"/>
      <c r="L75" s="42"/>
      <c r="M75" s="87"/>
      <c r="N75" s="68"/>
      <c r="O75" s="87"/>
      <c r="P75" s="11">
        <v>0</v>
      </c>
      <c r="Q75" s="87"/>
      <c r="R75" s="11">
        <f>T75-P75</f>
        <v>214.62667684121266</v>
      </c>
      <c r="S75" s="87"/>
      <c r="T75" s="68">
        <f>V75*H75/1000</f>
        <v>214.62667684121266</v>
      </c>
      <c r="U75" s="87"/>
      <c r="V75" s="42">
        <v>4.1288439522250669E-2</v>
      </c>
      <c r="W75" s="87"/>
      <c r="X75" s="13" t="str">
        <f>IFERROR(T75/P75,"")</f>
        <v/>
      </c>
      <c r="Y75" s="87"/>
      <c r="Z75" s="87"/>
      <c r="AA75" s="87"/>
    </row>
    <row r="76" spans="2:27" ht="12.45" x14ac:dyDescent="0.3">
      <c r="B76" s="62">
        <f>MAX(B$15:B75)+1</f>
        <v>29</v>
      </c>
      <c r="D76" s="39" t="s">
        <v>187</v>
      </c>
      <c r="F76" s="48"/>
      <c r="H76" s="11"/>
      <c r="I76" s="87"/>
      <c r="J76" s="68"/>
      <c r="K76" s="87"/>
      <c r="L76" s="42"/>
      <c r="M76" s="87"/>
      <c r="N76" s="87"/>
      <c r="O76" s="87"/>
      <c r="P76" s="11"/>
      <c r="Q76" s="87"/>
      <c r="R76" s="87"/>
      <c r="S76" s="87"/>
      <c r="T76" s="68"/>
      <c r="U76" s="87"/>
      <c r="V76" s="42"/>
      <c r="W76" s="87"/>
      <c r="X76" s="87"/>
      <c r="Y76" s="87"/>
      <c r="Z76" s="87"/>
      <c r="AA76" s="87"/>
    </row>
    <row r="77" spans="2:27" ht="12.45" x14ac:dyDescent="0.3">
      <c r="B77" s="62">
        <f>MAX(B$15:B76)+1</f>
        <v>30</v>
      </c>
      <c r="D77" s="39" t="s">
        <v>188</v>
      </c>
      <c r="F77" s="48" t="s">
        <v>189</v>
      </c>
      <c r="H77" s="11">
        <v>7333.333333333333</v>
      </c>
      <c r="I77" s="87"/>
      <c r="J77" s="68"/>
      <c r="K77" s="87"/>
      <c r="L77" s="42"/>
      <c r="M77" s="87"/>
      <c r="N77" s="68"/>
      <c r="O77" s="87"/>
      <c r="P77" s="11">
        <v>4.0222614449731955</v>
      </c>
      <c r="Q77" s="87"/>
      <c r="R77" s="11">
        <f t="shared" ref="R77:R85" si="13">T77-P77</f>
        <v>97.075176485794273</v>
      </c>
      <c r="S77" s="87"/>
      <c r="T77" s="68">
        <f>V77*H77*12/1000</f>
        <v>101.09743793076747</v>
      </c>
      <c r="U77" s="87"/>
      <c r="V77" s="42">
        <v>1.1488345219405394</v>
      </c>
      <c r="W77" s="87"/>
      <c r="X77" s="13">
        <f>IFERROR(T77/P77,"")</f>
        <v>25.134477038312259</v>
      </c>
      <c r="Y77" s="87"/>
      <c r="Z77" s="87"/>
      <c r="AA77" s="87"/>
    </row>
    <row r="78" spans="2:27" ht="12.45" x14ac:dyDescent="0.3">
      <c r="B78" s="62">
        <f>MAX(B$15:B77)+1</f>
        <v>31</v>
      </c>
      <c r="D78" s="39" t="s">
        <v>190</v>
      </c>
      <c r="F78" s="48" t="s">
        <v>90</v>
      </c>
      <c r="H78" s="11">
        <v>655235.89655172406</v>
      </c>
      <c r="I78" s="87"/>
      <c r="J78" s="68"/>
      <c r="K78" s="87"/>
      <c r="L78" s="42"/>
      <c r="M78" s="87"/>
      <c r="N78" s="68"/>
      <c r="O78" s="87"/>
      <c r="P78" s="11">
        <v>10.448574332140192</v>
      </c>
      <c r="Q78" s="87"/>
      <c r="R78" s="11">
        <f t="shared" si="13"/>
        <v>-4.3685872697096784E-9</v>
      </c>
      <c r="S78" s="87"/>
      <c r="T78" s="68">
        <f>V78*H78/1000</f>
        <v>10.448574327771604</v>
      </c>
      <c r="U78" s="87"/>
      <c r="V78" s="42">
        <v>1.59462788634731E-2</v>
      </c>
      <c r="W78" s="87"/>
      <c r="X78" s="13">
        <f t="shared" ref="X78:X88" si="14">IFERROR(T78/P78,"")</f>
        <v>0.99999999958189634</v>
      </c>
      <c r="Y78" s="87"/>
      <c r="Z78" s="87"/>
      <c r="AA78" s="87"/>
    </row>
    <row r="79" spans="2:27" ht="12.45" x14ac:dyDescent="0.3">
      <c r="B79" s="62">
        <f>MAX(B$15:B78)+1</f>
        <v>32</v>
      </c>
      <c r="D79" s="39" t="s">
        <v>191</v>
      </c>
      <c r="F79" s="48" t="s">
        <v>90</v>
      </c>
      <c r="H79" s="11">
        <v>642043</v>
      </c>
      <c r="I79" s="87"/>
      <c r="J79" s="68"/>
      <c r="K79" s="87"/>
      <c r="L79" s="42"/>
      <c r="M79" s="87"/>
      <c r="N79" s="68"/>
      <c r="O79" s="87"/>
      <c r="P79" s="11">
        <v>23.443650525938015</v>
      </c>
      <c r="Q79" s="87"/>
      <c r="R79" s="11">
        <f t="shared" si="13"/>
        <v>-9.8018766436780425E-9</v>
      </c>
      <c r="S79" s="87"/>
      <c r="T79" s="68">
        <f>V79*H79/1000</f>
        <v>23.443650516136138</v>
      </c>
      <c r="U79" s="87"/>
      <c r="V79" s="42">
        <v>3.6514143937611869E-2</v>
      </c>
      <c r="W79" s="87"/>
      <c r="X79" s="13">
        <f t="shared" si="14"/>
        <v>0.99999999958189634</v>
      </c>
      <c r="Y79" s="87"/>
      <c r="Z79" s="87"/>
      <c r="AA79" s="87"/>
    </row>
    <row r="80" spans="2:27" ht="12.45" x14ac:dyDescent="0.3">
      <c r="B80" s="62">
        <f>MAX(B$15:B79)+1</f>
        <v>33</v>
      </c>
      <c r="D80" s="39" t="s">
        <v>192</v>
      </c>
      <c r="F80" s="48" t="s">
        <v>90</v>
      </c>
      <c r="H80" s="11">
        <v>4542991</v>
      </c>
      <c r="I80" s="87"/>
      <c r="J80" s="68"/>
      <c r="K80" s="87"/>
      <c r="L80" s="42"/>
      <c r="M80" s="87"/>
      <c r="N80" s="68"/>
      <c r="O80" s="87"/>
      <c r="P80" s="11">
        <v>72.443801390537558</v>
      </c>
      <c r="Q80" s="87"/>
      <c r="R80" s="11">
        <f t="shared" si="13"/>
        <v>-3.0289044161690981E-8</v>
      </c>
      <c r="S80" s="87"/>
      <c r="T80" s="68">
        <f t="shared" ref="T80:T81" si="15">V80*H80/1000</f>
        <v>72.443801360248514</v>
      </c>
      <c r="U80" s="87"/>
      <c r="V80" s="42">
        <v>1.59462788634731E-2</v>
      </c>
      <c r="W80" s="87"/>
      <c r="X80" s="13">
        <f t="shared" si="14"/>
        <v>0.999999999581896</v>
      </c>
      <c r="Y80" s="87"/>
      <c r="Z80" s="87"/>
      <c r="AA80" s="87"/>
    </row>
    <row r="81" spans="2:27" ht="12.45" x14ac:dyDescent="0.3">
      <c r="B81" s="62">
        <f>MAX(B$15:B80)+1</f>
        <v>34</v>
      </c>
      <c r="D81" s="39" t="s">
        <v>193</v>
      </c>
      <c r="F81" s="48" t="s">
        <v>90</v>
      </c>
      <c r="H81" s="11">
        <v>5048908.75</v>
      </c>
      <c r="I81" s="87"/>
      <c r="J81" s="68"/>
      <c r="K81" s="87"/>
      <c r="L81" s="42"/>
      <c r="M81" s="87"/>
      <c r="N81" s="68"/>
      <c r="O81" s="87"/>
      <c r="P81" s="11">
        <v>184.35658090244817</v>
      </c>
      <c r="Q81" s="87"/>
      <c r="R81" s="11">
        <f t="shared" si="13"/>
        <v>-7.7080130722606555E-8</v>
      </c>
      <c r="S81" s="87"/>
      <c r="T81" s="68">
        <f t="shared" si="15"/>
        <v>184.35658082536804</v>
      </c>
      <c r="U81" s="87"/>
      <c r="V81" s="42">
        <v>3.6514143937611869E-2</v>
      </c>
      <c r="W81" s="87"/>
      <c r="X81" s="13">
        <f t="shared" si="14"/>
        <v>0.99999999958189656</v>
      </c>
      <c r="Y81" s="87"/>
      <c r="Z81" s="87"/>
      <c r="AA81" s="87"/>
    </row>
    <row r="82" spans="2:27" ht="12.45" x14ac:dyDescent="0.3">
      <c r="B82" s="62">
        <f>MAX(B$15:B81)+1</f>
        <v>35</v>
      </c>
      <c r="D82" s="39" t="s">
        <v>194</v>
      </c>
      <c r="F82" s="48"/>
      <c r="H82" s="11"/>
      <c r="I82" s="87"/>
      <c r="J82" s="68"/>
      <c r="K82" s="87"/>
      <c r="L82" s="42"/>
      <c r="M82" s="87"/>
      <c r="N82" s="68"/>
      <c r="O82" s="87"/>
      <c r="P82" s="11"/>
      <c r="Q82" s="87"/>
      <c r="R82" s="11">
        <f t="shared" si="13"/>
        <v>0</v>
      </c>
      <c r="S82" s="87"/>
      <c r="T82" s="68"/>
      <c r="U82" s="87"/>
      <c r="V82" s="42"/>
      <c r="W82" s="87"/>
      <c r="X82" s="87"/>
      <c r="Y82" s="87"/>
      <c r="Z82" s="87"/>
      <c r="AA82" s="87"/>
    </row>
    <row r="83" spans="2:27" ht="12.45" x14ac:dyDescent="0.3">
      <c r="B83" s="62">
        <f>MAX(B$15:B82)+1</f>
        <v>36</v>
      </c>
      <c r="D83" s="39" t="s">
        <v>188</v>
      </c>
      <c r="F83" s="48" t="s">
        <v>189</v>
      </c>
      <c r="H83" s="11">
        <v>0</v>
      </c>
      <c r="I83" s="87"/>
      <c r="J83" s="68"/>
      <c r="K83" s="87"/>
      <c r="L83" s="42"/>
      <c r="M83" s="87"/>
      <c r="N83" s="68"/>
      <c r="O83" s="87"/>
      <c r="P83" s="11">
        <v>0</v>
      </c>
      <c r="Q83" s="87"/>
      <c r="R83" s="11">
        <f t="shared" si="13"/>
        <v>0</v>
      </c>
      <c r="S83" s="87"/>
      <c r="T83" s="68">
        <v>0</v>
      </c>
      <c r="U83" s="87"/>
      <c r="V83" s="42">
        <v>1.0162639647515981</v>
      </c>
      <c r="W83" s="87"/>
      <c r="X83" s="13" t="str">
        <f t="shared" si="14"/>
        <v/>
      </c>
      <c r="Y83" s="87"/>
      <c r="Z83" s="87"/>
      <c r="AA83" s="87"/>
    </row>
    <row r="84" spans="2:27" ht="12.45" x14ac:dyDescent="0.3">
      <c r="B84" s="62">
        <f>MAX(B$15:B83)+1</f>
        <v>37</v>
      </c>
      <c r="D84" s="39" t="s">
        <v>195</v>
      </c>
      <c r="F84" s="48" t="s">
        <v>90</v>
      </c>
      <c r="H84" s="11">
        <v>0</v>
      </c>
      <c r="I84" s="87"/>
      <c r="J84" s="68"/>
      <c r="K84" s="87"/>
      <c r="L84" s="42"/>
      <c r="M84" s="87"/>
      <c r="N84" s="68"/>
      <c r="O84" s="87"/>
      <c r="P84" s="11">
        <v>0</v>
      </c>
      <c r="Q84" s="87"/>
      <c r="R84" s="11">
        <f t="shared" si="13"/>
        <v>0</v>
      </c>
      <c r="S84" s="87"/>
      <c r="T84" s="68">
        <v>0</v>
      </c>
      <c r="U84" s="87"/>
      <c r="V84" s="42">
        <v>1.59462788634731E-2</v>
      </c>
      <c r="W84" s="87"/>
      <c r="X84" s="13" t="str">
        <f t="shared" si="14"/>
        <v/>
      </c>
      <c r="Y84" s="87"/>
      <c r="Z84" s="87"/>
      <c r="AA84" s="87"/>
    </row>
    <row r="85" spans="2:27" ht="12.45" x14ac:dyDescent="0.3">
      <c r="B85" s="62">
        <f>MAX(B$15:B84)+1</f>
        <v>38</v>
      </c>
      <c r="D85" s="39" t="s">
        <v>196</v>
      </c>
      <c r="F85" s="48" t="s">
        <v>90</v>
      </c>
      <c r="H85" s="11">
        <v>0</v>
      </c>
      <c r="I85" s="87"/>
      <c r="J85" s="68"/>
      <c r="K85" s="87"/>
      <c r="L85" s="42"/>
      <c r="M85" s="87"/>
      <c r="N85" s="68"/>
      <c r="O85" s="87"/>
      <c r="P85" s="11">
        <v>0</v>
      </c>
      <c r="Q85" s="87"/>
      <c r="R85" s="11">
        <f t="shared" si="13"/>
        <v>0</v>
      </c>
      <c r="S85" s="87"/>
      <c r="T85" s="68">
        <v>0</v>
      </c>
      <c r="U85" s="87"/>
      <c r="V85" s="42">
        <v>1.59462788634731E-2</v>
      </c>
      <c r="W85" s="87"/>
      <c r="X85" s="13" t="str">
        <f t="shared" si="14"/>
        <v/>
      </c>
      <c r="Y85" s="87"/>
      <c r="Z85" s="87"/>
      <c r="AA85" s="87"/>
    </row>
    <row r="86" spans="2:27" ht="12.45" x14ac:dyDescent="0.3">
      <c r="D86" s="39"/>
      <c r="F86" s="48"/>
      <c r="H86" s="11"/>
      <c r="I86" s="87"/>
      <c r="J86" s="68"/>
      <c r="K86" s="87"/>
      <c r="L86" s="42"/>
      <c r="M86" s="87"/>
      <c r="N86" s="68"/>
      <c r="O86" s="87"/>
      <c r="P86" s="11"/>
      <c r="Q86" s="87"/>
      <c r="R86" s="87"/>
      <c r="S86" s="87"/>
      <c r="T86" s="68"/>
      <c r="U86" s="87"/>
      <c r="V86" s="42"/>
      <c r="W86" s="87"/>
      <c r="X86" s="87"/>
      <c r="Y86" s="87"/>
      <c r="Z86" s="87"/>
      <c r="AA86" s="87"/>
    </row>
    <row r="87" spans="2:27" ht="12.45" x14ac:dyDescent="0.3">
      <c r="B87" s="62">
        <f>MAX(B$15:B86)+1</f>
        <v>39</v>
      </c>
      <c r="D87" s="39" t="s">
        <v>197</v>
      </c>
      <c r="F87" s="48" t="s">
        <v>90</v>
      </c>
      <c r="H87" s="11">
        <v>0</v>
      </c>
      <c r="I87" s="87"/>
      <c r="J87" s="68"/>
      <c r="K87" s="87"/>
      <c r="L87" s="42"/>
      <c r="M87" s="87"/>
      <c r="N87" s="68"/>
      <c r="O87" s="87"/>
      <c r="P87" s="11">
        <v>0</v>
      </c>
      <c r="Q87" s="87"/>
      <c r="R87" s="11">
        <f>T87-P87</f>
        <v>0</v>
      </c>
      <c r="S87" s="87"/>
      <c r="T87" s="68"/>
      <c r="U87" s="87"/>
      <c r="V87" s="42">
        <v>0</v>
      </c>
      <c r="W87" s="87"/>
      <c r="X87" s="13" t="str">
        <f t="shared" si="14"/>
        <v/>
      </c>
      <c r="Y87" s="87"/>
      <c r="Z87" s="87"/>
      <c r="AA87" s="87"/>
    </row>
    <row r="88" spans="2:27" ht="12.45" x14ac:dyDescent="0.3">
      <c r="B88" s="62">
        <f>MAX(B$15:B87)+1</f>
        <v>40</v>
      </c>
      <c r="D88" s="39" t="s">
        <v>198</v>
      </c>
      <c r="F88" s="48" t="s">
        <v>90</v>
      </c>
      <c r="H88" s="11">
        <v>0</v>
      </c>
      <c r="I88" s="87"/>
      <c r="J88" s="68"/>
      <c r="K88" s="87"/>
      <c r="L88" s="42"/>
      <c r="M88" s="87"/>
      <c r="N88" s="68"/>
      <c r="O88" s="87"/>
      <c r="P88" s="11">
        <v>0</v>
      </c>
      <c r="Q88" s="87"/>
      <c r="R88" s="11">
        <f>T88-P88</f>
        <v>0</v>
      </c>
      <c r="S88" s="87"/>
      <c r="T88" s="68"/>
      <c r="U88" s="87"/>
      <c r="V88" s="42">
        <v>0</v>
      </c>
      <c r="W88" s="87"/>
      <c r="X88" s="13" t="str">
        <f t="shared" si="14"/>
        <v/>
      </c>
      <c r="Y88" s="87"/>
      <c r="Z88" s="87"/>
      <c r="AA88" s="87"/>
    </row>
    <row r="89" spans="2:27" ht="12.45" x14ac:dyDescent="0.3">
      <c r="D89" s="39"/>
      <c r="F89" s="48"/>
      <c r="H89" s="87"/>
      <c r="I89" s="87"/>
      <c r="J89" s="87"/>
      <c r="K89" s="87"/>
      <c r="L89" s="42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</row>
    <row r="90" spans="2:27" ht="12.9" thickBot="1" x14ac:dyDescent="0.35">
      <c r="B90" s="62">
        <f>MAX(B$15:B89)+1</f>
        <v>41</v>
      </c>
      <c r="D90" s="55" t="str">
        <f>"Total " &amp;D73</f>
        <v>Total Rate E72</v>
      </c>
      <c r="H90" s="74">
        <f>SUM(H78:H81)</f>
        <v>10889178.646551725</v>
      </c>
      <c r="I90" s="67"/>
      <c r="J90" s="74">
        <v>603.30261955727349</v>
      </c>
      <c r="K90" s="68"/>
      <c r="L90" s="25">
        <f>J90/$H90*100</f>
        <v>5.5403868293438397E-3</v>
      </c>
      <c r="M90" s="68"/>
      <c r="N90" s="74">
        <f t="shared" ref="N90" si="16">J90-P90</f>
        <v>308.58775096123634</v>
      </c>
      <c r="O90" s="12"/>
      <c r="P90" s="74">
        <f>SUM(P74:P88)</f>
        <v>294.71486859603715</v>
      </c>
      <c r="Q90" s="12"/>
      <c r="R90" s="74">
        <f>SUM(R74:R88)</f>
        <v>351.76690113786583</v>
      </c>
      <c r="S90" s="68"/>
      <c r="T90" s="74">
        <f>SUM(T74:T88)</f>
        <v>646.48176973390298</v>
      </c>
      <c r="U90" s="68"/>
      <c r="V90" s="25">
        <f>T90/$H90*100</f>
        <v>5.9369194933598076E-3</v>
      </c>
      <c r="W90" s="68"/>
      <c r="X90" s="75">
        <f t="shared" ref="X90" si="17">T90/P90</f>
        <v>2.1935838283749076</v>
      </c>
      <c r="Y90" s="14"/>
      <c r="Z90" s="31">
        <f t="shared" ref="Z90" si="18">V90/L90-1</f>
        <v>7.1571295692891113E-2</v>
      </c>
      <c r="AA90" s="14"/>
    </row>
    <row r="91" spans="2:27" ht="12.9" thickTop="1" x14ac:dyDescent="0.3"/>
    <row r="92" spans="2:27" ht="12.45" x14ac:dyDescent="0.3"/>
    <row r="93" spans="2:27" ht="12.45" x14ac:dyDescent="0.3">
      <c r="D93" s="90" t="s">
        <v>199</v>
      </c>
    </row>
    <row r="94" spans="2:27" ht="12.45" x14ac:dyDescent="0.3">
      <c r="B94" s="62">
        <f>MAX(B$15:B93)+1</f>
        <v>42</v>
      </c>
      <c r="D94" s="39" t="s">
        <v>200</v>
      </c>
      <c r="F94" s="48" t="s">
        <v>35</v>
      </c>
      <c r="H94" s="11">
        <v>792</v>
      </c>
      <c r="I94" s="87"/>
      <c r="J94" s="11"/>
      <c r="K94" s="87"/>
      <c r="L94" s="71"/>
      <c r="M94" s="87"/>
      <c r="N94" s="68"/>
      <c r="O94" s="87"/>
      <c r="P94" s="11">
        <v>1.562587156008544</v>
      </c>
      <c r="Q94" s="87"/>
      <c r="R94" s="11">
        <f t="shared" ref="R94:R99" si="19">T94-P94</f>
        <v>308.01082801371666</v>
      </c>
      <c r="S94" s="87"/>
      <c r="T94" s="68">
        <f t="shared" ref="T94:T99" si="20">V94*H94/1000</f>
        <v>309.57341516972519</v>
      </c>
      <c r="U94" s="87"/>
      <c r="V94" s="71">
        <v>390.87552420419848</v>
      </c>
      <c r="W94" s="87"/>
      <c r="X94" s="13">
        <f>IFERROR(T94/P94,"")</f>
        <v>198.1159348323944</v>
      </c>
      <c r="Y94" s="87"/>
      <c r="Z94" s="87"/>
      <c r="AA94" s="87"/>
    </row>
    <row r="95" spans="2:27" ht="12.45" x14ac:dyDescent="0.3">
      <c r="B95" s="62">
        <f>MAX(B$15:B94)+1</f>
        <v>43</v>
      </c>
      <c r="D95" s="39" t="s">
        <v>201</v>
      </c>
      <c r="F95" s="48" t="s">
        <v>35</v>
      </c>
      <c r="H95" s="11">
        <v>105</v>
      </c>
      <c r="I95" s="87"/>
      <c r="J95" s="68"/>
      <c r="K95" s="87"/>
      <c r="L95" s="71"/>
      <c r="M95" s="87"/>
      <c r="N95" s="68"/>
      <c r="O95" s="87"/>
      <c r="P95" s="11">
        <v>0.20716117598598122</v>
      </c>
      <c r="Q95" s="87"/>
      <c r="R95" s="11">
        <f t="shared" si="19"/>
        <v>100.83143868660221</v>
      </c>
      <c r="S95" s="87"/>
      <c r="T95" s="68">
        <f t="shared" si="20"/>
        <v>101.0385998625882</v>
      </c>
      <c r="U95" s="87"/>
      <c r="V95" s="71">
        <v>962.27237964369715</v>
      </c>
      <c r="W95" s="87"/>
      <c r="X95" s="13">
        <f>IFERROR(T95/P95,"")</f>
        <v>487.72941832221289</v>
      </c>
      <c r="Y95" s="87"/>
      <c r="Z95" s="87"/>
      <c r="AA95" s="87"/>
    </row>
    <row r="96" spans="2:27" ht="12.45" x14ac:dyDescent="0.3">
      <c r="B96" s="62">
        <f>MAX(B$15:B95)+1</f>
        <v>44</v>
      </c>
      <c r="D96" s="39" t="s">
        <v>202</v>
      </c>
      <c r="F96" s="48" t="s">
        <v>203</v>
      </c>
      <c r="H96" s="11">
        <v>7.75</v>
      </c>
      <c r="I96" s="87"/>
      <c r="J96" s="68"/>
      <c r="K96" s="87"/>
      <c r="L96" s="68"/>
      <c r="M96" s="87"/>
      <c r="N96" s="68"/>
      <c r="O96" s="87"/>
      <c r="P96" s="11">
        <v>0</v>
      </c>
      <c r="Q96" s="87"/>
      <c r="R96" s="11">
        <f t="shared" si="19"/>
        <v>99.974999999999994</v>
      </c>
      <c r="S96" s="87"/>
      <c r="T96" s="68">
        <f t="shared" si="20"/>
        <v>99.974999999999994</v>
      </c>
      <c r="U96" s="87"/>
      <c r="V96" s="71">
        <v>12900</v>
      </c>
      <c r="W96" s="87"/>
      <c r="X96" s="13" t="str">
        <f t="shared" ref="X96:X99" si="21">IFERROR(T96/P96,"")</f>
        <v/>
      </c>
      <c r="Y96" s="87"/>
      <c r="Z96" s="87"/>
      <c r="AA96" s="87"/>
    </row>
    <row r="97" spans="2:31" ht="12.45" x14ac:dyDescent="0.3">
      <c r="B97" s="62">
        <f>MAX(B$15:B96)+1</f>
        <v>45</v>
      </c>
      <c r="D97" s="39" t="s">
        <v>186</v>
      </c>
      <c r="F97" s="48" t="s">
        <v>90</v>
      </c>
      <c r="H97" s="11">
        <v>4791112.166666666</v>
      </c>
      <c r="I97" s="87"/>
      <c r="J97" s="68"/>
      <c r="K97" s="87"/>
      <c r="L97" s="42"/>
      <c r="M97" s="87"/>
      <c r="N97" s="68"/>
      <c r="O97" s="87"/>
      <c r="P97" s="11">
        <v>0</v>
      </c>
      <c r="Q97" s="87"/>
      <c r="R97" s="11">
        <f t="shared" si="19"/>
        <v>197.81754493773602</v>
      </c>
      <c r="S97" s="87"/>
      <c r="T97" s="68">
        <f t="shared" si="20"/>
        <v>197.81754493773602</v>
      </c>
      <c r="U97" s="87"/>
      <c r="V97" s="42">
        <v>4.1288439522250669E-2</v>
      </c>
      <c r="W97" s="87"/>
      <c r="X97" s="13" t="str">
        <f t="shared" si="21"/>
        <v/>
      </c>
      <c r="Y97" s="87"/>
      <c r="Z97" s="87"/>
      <c r="AA97" s="87"/>
    </row>
    <row r="98" spans="2:31" ht="12.45" x14ac:dyDescent="0.3">
      <c r="B98" s="62">
        <f>MAX(B$15:B97)+1</f>
        <v>46</v>
      </c>
      <c r="D98" s="39" t="s">
        <v>204</v>
      </c>
      <c r="F98" s="48" t="s">
        <v>90</v>
      </c>
      <c r="H98" s="11">
        <v>0</v>
      </c>
      <c r="I98" s="87"/>
      <c r="J98" s="68"/>
      <c r="K98" s="87"/>
      <c r="L98" s="42"/>
      <c r="M98" s="87"/>
      <c r="N98" s="87"/>
      <c r="O98" s="87"/>
      <c r="P98" s="11">
        <v>0</v>
      </c>
      <c r="Q98" s="87"/>
      <c r="R98" s="11">
        <f t="shared" si="19"/>
        <v>0</v>
      </c>
      <c r="S98" s="87"/>
      <c r="T98" s="68">
        <f t="shared" si="20"/>
        <v>0</v>
      </c>
      <c r="U98" s="87"/>
      <c r="V98" s="42">
        <v>0</v>
      </c>
      <c r="W98" s="87"/>
      <c r="X98" s="13" t="str">
        <f t="shared" si="21"/>
        <v/>
      </c>
      <c r="Y98" s="87"/>
      <c r="Z98" s="87"/>
      <c r="AA98" s="87"/>
    </row>
    <row r="99" spans="2:31" ht="12.45" x14ac:dyDescent="0.3">
      <c r="B99" s="62">
        <f>MAX(B$15:B98)+1</f>
        <v>47</v>
      </c>
      <c r="D99" s="39" t="s">
        <v>205</v>
      </c>
      <c r="F99" s="48" t="s">
        <v>90</v>
      </c>
      <c r="H99" s="11">
        <v>4791112.166666666</v>
      </c>
      <c r="I99" s="87"/>
      <c r="J99" s="68"/>
      <c r="K99" s="87"/>
      <c r="L99" s="42"/>
      <c r="M99" s="87"/>
      <c r="N99" s="68"/>
      <c r="O99" s="87"/>
      <c r="P99" s="11">
        <v>76.400638686818198</v>
      </c>
      <c r="Q99" s="87"/>
      <c r="R99" s="11">
        <f t="shared" si="19"/>
        <v>-2.2801097273372761E-4</v>
      </c>
      <c r="S99" s="87"/>
      <c r="T99" s="68">
        <f t="shared" si="20"/>
        <v>76.400410675845464</v>
      </c>
      <c r="U99" s="87"/>
      <c r="V99" s="42">
        <v>1.59462788634731E-2</v>
      </c>
      <c r="W99" s="87"/>
      <c r="X99" s="13">
        <f t="shared" si="21"/>
        <v>0.99999701558813314</v>
      </c>
      <c r="Y99" s="87"/>
      <c r="Z99" s="87"/>
      <c r="AA99" s="87"/>
    </row>
    <row r="100" spans="2:31" ht="12.45" x14ac:dyDescent="0.3">
      <c r="D100" s="39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68"/>
      <c r="U100" s="87"/>
      <c r="V100" s="87"/>
      <c r="W100" s="87"/>
      <c r="X100" s="87"/>
      <c r="Y100" s="87"/>
      <c r="Z100" s="87"/>
      <c r="AA100" s="87"/>
    </row>
    <row r="101" spans="2:31" ht="12.9" thickBot="1" x14ac:dyDescent="0.35">
      <c r="B101" s="62">
        <f>MAX(B$15:B100)+1</f>
        <v>48</v>
      </c>
      <c r="D101" s="55" t="str">
        <f>"Total " &amp;D93</f>
        <v>Total Rate E80</v>
      </c>
      <c r="H101" s="74">
        <f>SUM(H97:H99)</f>
        <v>9582224.3333333321</v>
      </c>
      <c r="I101" s="67"/>
      <c r="J101" s="74">
        <v>424.03364183333326</v>
      </c>
      <c r="K101" s="68"/>
      <c r="L101" s="25">
        <f>J101/$H101*100</f>
        <v>4.4252109644131689E-3</v>
      </c>
      <c r="M101" s="68"/>
      <c r="N101" s="74">
        <f t="shared" ref="N101" si="22">J101-P101</f>
        <v>345.86325481452053</v>
      </c>
      <c r="O101" s="12"/>
      <c r="P101" s="74">
        <f>SUM(P94:P99)</f>
        <v>78.170387018812718</v>
      </c>
      <c r="Q101" s="12"/>
      <c r="R101" s="74">
        <f>SUM(R94:R99)</f>
        <v>706.63458362708218</v>
      </c>
      <c r="S101" s="68"/>
      <c r="T101" s="74">
        <f>SUM(T94:T99)</f>
        <v>784.80497064589485</v>
      </c>
      <c r="U101" s="68"/>
      <c r="V101" s="25">
        <f>T101/$H101*100</f>
        <v>8.190217045073998E-3</v>
      </c>
      <c r="W101" s="68"/>
      <c r="X101" s="75">
        <f t="shared" ref="X101" si="23">T101/P101</f>
        <v>10.039671038817056</v>
      </c>
      <c r="Y101" s="14"/>
      <c r="Z101" s="31">
        <f t="shared" ref="Z101" si="24">V101/L101-1</f>
        <v>0.85080826901551121</v>
      </c>
      <c r="AA101" s="14"/>
      <c r="AB101" s="91"/>
      <c r="AC101" s="91"/>
      <c r="AD101" s="91"/>
      <c r="AE101" s="91"/>
    </row>
    <row r="102" spans="2:31" ht="12.9" thickTop="1" x14ac:dyDescent="0.3"/>
    <row r="103" spans="2:31" ht="12.45" x14ac:dyDescent="0.3">
      <c r="D103" s="90" t="s">
        <v>206</v>
      </c>
      <c r="X103" s="53" t="str">
        <f>IFERROR(T104/P104,"")</f>
        <v/>
      </c>
    </row>
    <row r="104" spans="2:31" ht="12.45" x14ac:dyDescent="0.3">
      <c r="B104" s="62">
        <f>MAX(B$15:B103)+1</f>
        <v>49</v>
      </c>
      <c r="D104" s="39" t="s">
        <v>207</v>
      </c>
      <c r="H104" s="11">
        <v>0</v>
      </c>
      <c r="I104" s="87"/>
      <c r="J104" s="11"/>
      <c r="K104" s="87"/>
      <c r="L104" s="87"/>
      <c r="M104" s="87"/>
      <c r="N104" s="11"/>
      <c r="O104" s="87"/>
      <c r="P104" s="87"/>
      <c r="Q104" s="87"/>
      <c r="R104" s="11">
        <v>3560.977942268019</v>
      </c>
      <c r="S104" s="87"/>
      <c r="T104" s="11">
        <v>3560.977942268019</v>
      </c>
      <c r="U104" s="87"/>
      <c r="V104" s="87"/>
      <c r="W104" s="87"/>
      <c r="X104" s="13" t="str">
        <f>IFERROR(T108/P108,"")</f>
        <v/>
      </c>
      <c r="Y104" s="87"/>
      <c r="Z104" s="87"/>
      <c r="AA104" s="87"/>
    </row>
    <row r="105" spans="2:31" ht="12.45" x14ac:dyDescent="0.3"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</row>
    <row r="106" spans="2:31" ht="12.9" thickBot="1" x14ac:dyDescent="0.35">
      <c r="B106" s="62">
        <f>MAX(B$15:B105)+1</f>
        <v>50</v>
      </c>
      <c r="D106" s="55" t="str">
        <f>"Total " &amp;D103</f>
        <v>Total Rate E82</v>
      </c>
      <c r="H106" s="74">
        <f>SUM(H104)</f>
        <v>0</v>
      </c>
      <c r="I106" s="67"/>
      <c r="J106" s="74">
        <v>3560.977942268019</v>
      </c>
      <c r="K106" s="68"/>
      <c r="L106" s="25" t="str">
        <f>IFERROR(J106/$H106*100,"-")</f>
        <v>-</v>
      </c>
      <c r="M106" s="68"/>
      <c r="N106" s="74">
        <f t="shared" ref="N106" si="25">J106-P106</f>
        <v>3560.977942268019</v>
      </c>
      <c r="O106" s="12"/>
      <c r="P106" s="74">
        <f>SUM(P104)</f>
        <v>0</v>
      </c>
      <c r="Q106" s="12"/>
      <c r="R106" s="74">
        <f>SUM(R104)</f>
        <v>3560.977942268019</v>
      </c>
      <c r="S106" s="68"/>
      <c r="T106" s="74">
        <f>SUM(T104)</f>
        <v>3560.977942268019</v>
      </c>
      <c r="U106" s="68"/>
      <c r="V106" s="25" t="str">
        <f>IFERROR(T106/$H106*100,"-")</f>
        <v>-</v>
      </c>
      <c r="W106" s="68"/>
      <c r="X106" s="75" t="str">
        <f>IFERROR(T106/P106,"-")</f>
        <v>-</v>
      </c>
      <c r="Y106" s="14"/>
      <c r="Z106" s="54" t="str">
        <f>IFERROR(V106/L106-1,"-")</f>
        <v>-</v>
      </c>
      <c r="AA106" s="14"/>
    </row>
    <row r="107" spans="2:31" ht="12.9" thickTop="1" x14ac:dyDescent="0.3"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</row>
    <row r="108" spans="2:31" ht="12.45" x14ac:dyDescent="0.3">
      <c r="B108" s="62">
        <f>MAX(B$15:B107)+1</f>
        <v>51</v>
      </c>
      <c r="D108" s="55" t="s">
        <v>208</v>
      </c>
      <c r="H108" s="11">
        <v>0</v>
      </c>
      <c r="I108" s="87"/>
      <c r="J108" s="11">
        <v>1208.6017580038929</v>
      </c>
      <c r="K108" s="87"/>
      <c r="L108" s="87"/>
      <c r="M108" s="87"/>
      <c r="N108" s="11">
        <v>1208.6017580038929</v>
      </c>
      <c r="O108" s="87"/>
      <c r="P108" s="87"/>
      <c r="Q108" s="87"/>
      <c r="R108" s="11">
        <v>896.33644261240215</v>
      </c>
      <c r="S108" s="87"/>
      <c r="T108" s="11">
        <v>896.47523933125512</v>
      </c>
      <c r="U108" s="87"/>
      <c r="V108" s="87"/>
      <c r="W108" s="87"/>
      <c r="X108" s="87"/>
      <c r="Y108" s="87"/>
      <c r="Z108" s="87"/>
      <c r="AA108" s="87"/>
    </row>
    <row r="109" spans="2:31" ht="12.45" x14ac:dyDescent="0.3"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</row>
    <row r="110" spans="2:31" ht="12.9" thickBot="1" x14ac:dyDescent="0.35">
      <c r="B110" s="62">
        <f>MAX(B$15:B109)+1</f>
        <v>52</v>
      </c>
      <c r="D110" s="56" t="s">
        <v>209</v>
      </c>
      <c r="H110" s="92"/>
      <c r="J110" s="74">
        <f>J108+J106+J101+J90+J57+J19</f>
        <v>164814.09614026692</v>
      </c>
      <c r="K110" s="68"/>
      <c r="L110" s="25"/>
      <c r="M110" s="68"/>
      <c r="N110" s="74">
        <f>N108+N106+N101+N90+N57+N19</f>
        <v>29126.880957594854</v>
      </c>
      <c r="O110" s="12"/>
      <c r="P110" s="74">
        <f>P108+P106+P101+P90+P57+P19</f>
        <v>135687.21518267208</v>
      </c>
      <c r="Q110" s="12"/>
      <c r="R110" s="74">
        <f>R108+R106+R101+R90+R57+R19</f>
        <v>19201.378148995609</v>
      </c>
      <c r="S110" s="68"/>
      <c r="T110" s="74">
        <f>T108+T106+T101+T90+T57+T19</f>
        <v>154888.73212838656</v>
      </c>
    </row>
    <row r="111" spans="2:31" ht="12.9" thickTop="1" x14ac:dyDescent="0.3"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AB111" s="93"/>
      <c r="AC111" s="93"/>
      <c r="AD111" s="93"/>
      <c r="AE111" s="93"/>
    </row>
    <row r="112" spans="2:31" ht="12.9" thickBot="1" x14ac:dyDescent="0.35">
      <c r="B112" s="62">
        <f>MAX(B$15:B111)+1</f>
        <v>53</v>
      </c>
      <c r="D112" s="56" t="s">
        <v>210</v>
      </c>
      <c r="E112" s="2"/>
      <c r="J112" s="74">
        <v>5261860.1804221254</v>
      </c>
      <c r="K112" s="68"/>
      <c r="L112" s="25">
        <v>0</v>
      </c>
      <c r="M112" s="68"/>
      <c r="N112" s="74">
        <v>17603.205191728011</v>
      </c>
      <c r="O112" s="12"/>
      <c r="P112" s="74">
        <v>5244256.9752303967</v>
      </c>
      <c r="Q112" s="12"/>
      <c r="R112" s="74">
        <v>0</v>
      </c>
      <c r="S112" s="68"/>
      <c r="T112" s="74">
        <v>5244256.7368314518</v>
      </c>
      <c r="AB112" s="94"/>
      <c r="AC112" s="94"/>
      <c r="AD112" s="94"/>
      <c r="AE112" s="94"/>
    </row>
    <row r="113" spans="2:21" ht="12.9" thickTop="1" x14ac:dyDescent="0.3"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</row>
    <row r="114" spans="2:21" ht="12.45" x14ac:dyDescent="0.3"/>
    <row r="115" spans="2:21" ht="14.6" x14ac:dyDescent="0.4">
      <c r="B115" s="7" t="s">
        <v>146</v>
      </c>
      <c r="C115" s="95"/>
      <c r="D115" s="95"/>
    </row>
    <row r="116" spans="2:21" ht="14.6" x14ac:dyDescent="0.4">
      <c r="B116" s="96" t="s">
        <v>211</v>
      </c>
      <c r="C116" s="97"/>
      <c r="D116" s="45" t="s">
        <v>212</v>
      </c>
    </row>
    <row r="117" spans="2:21" ht="14.6" x14ac:dyDescent="0.4">
      <c r="B117" s="96" t="s">
        <v>149</v>
      </c>
      <c r="C117" s="97"/>
      <c r="D117" s="57" t="s">
        <v>213</v>
      </c>
    </row>
    <row r="118" spans="2:21" ht="12.45" x14ac:dyDescent="0.3">
      <c r="B118" s="98"/>
      <c r="U118" s="70"/>
    </row>
    <row r="119" spans="2:21" ht="12.45" x14ac:dyDescent="0.3">
      <c r="B119" s="98"/>
      <c r="D119" s="45"/>
    </row>
    <row r="120" spans="2:21" ht="12.45" x14ac:dyDescent="0.3"/>
    <row r="121" spans="2:21" ht="12.45" x14ac:dyDescent="0.3"/>
    <row r="122" spans="2:21" ht="12.45" x14ac:dyDescent="0.3"/>
    <row r="123" spans="2:21" ht="12.45" x14ac:dyDescent="0.3"/>
    <row r="124" spans="2:21" ht="12.45" x14ac:dyDescent="0.3"/>
    <row r="125" spans="2:21" ht="12.45" x14ac:dyDescent="0.3"/>
    <row r="126" spans="2:21" ht="12.45" x14ac:dyDescent="0.3"/>
    <row r="127" spans="2:21" ht="12.45" x14ac:dyDescent="0.3"/>
    <row r="128" spans="2:21" ht="12.45" x14ac:dyDescent="0.3"/>
    <row r="129" ht="12.45" x14ac:dyDescent="0.3"/>
    <row r="130" ht="12.45" x14ac:dyDescent="0.3"/>
    <row r="131" ht="12.45" x14ac:dyDescent="0.3"/>
    <row r="132" ht="12.45" x14ac:dyDescent="0.3"/>
    <row r="133" ht="12.45" x14ac:dyDescent="0.3"/>
    <row r="134" ht="12.45" x14ac:dyDescent="0.3"/>
    <row r="135" ht="12.45" x14ac:dyDescent="0.3"/>
    <row r="136" ht="12.45" x14ac:dyDescent="0.3"/>
    <row r="137" ht="12.45" x14ac:dyDescent="0.3"/>
    <row r="138" ht="12.45" x14ac:dyDescent="0.3"/>
    <row r="139" ht="12.45" x14ac:dyDescent="0.3"/>
    <row r="140" ht="12.45" x14ac:dyDescent="0.3"/>
    <row r="141" ht="12.45" x14ac:dyDescent="0.3"/>
    <row r="142" ht="12.45" x14ac:dyDescent="0.3"/>
    <row r="143" ht="12.45" x14ac:dyDescent="0.3"/>
    <row r="144" ht="12.45" x14ac:dyDescent="0.3"/>
    <row r="145" ht="12.45" x14ac:dyDescent="0.3"/>
    <row r="146" ht="12.45" x14ac:dyDescent="0.3"/>
    <row r="147" ht="12.45" x14ac:dyDescent="0.3"/>
    <row r="148" ht="12.45" x14ac:dyDescent="0.3"/>
    <row r="149" ht="12.45" x14ac:dyDescent="0.3"/>
    <row r="150" ht="12.45" x14ac:dyDescent="0.3"/>
    <row r="151" ht="12.45" x14ac:dyDescent="0.3"/>
    <row r="152" ht="12.45" x14ac:dyDescent="0.3"/>
    <row r="153" ht="12.45" x14ac:dyDescent="0.3"/>
    <row r="154" ht="12.45" x14ac:dyDescent="0.3"/>
    <row r="155" ht="12.45" x14ac:dyDescent="0.3"/>
    <row r="156" ht="12.45" x14ac:dyDescent="0.3"/>
    <row r="157" ht="12.45" x14ac:dyDescent="0.3"/>
    <row r="158" ht="12.45" x14ac:dyDescent="0.3"/>
    <row r="159" ht="12.45" x14ac:dyDescent="0.3"/>
    <row r="160" ht="12.45" x14ac:dyDescent="0.3"/>
    <row r="161" ht="12.45" x14ac:dyDescent="0.3"/>
    <row r="162" ht="12.45" x14ac:dyDescent="0.3"/>
    <row r="163" ht="12.45" x14ac:dyDescent="0.3"/>
    <row r="164" ht="12.45" x14ac:dyDescent="0.3"/>
    <row r="165" ht="12.45" x14ac:dyDescent="0.3"/>
    <row r="166" ht="12.45" x14ac:dyDescent="0.3"/>
    <row r="167" ht="12.45" x14ac:dyDescent="0.3"/>
    <row r="168" ht="12.45" x14ac:dyDescent="0.3"/>
    <row r="169" ht="12.45" x14ac:dyDescent="0.3"/>
    <row r="170" ht="12.45" x14ac:dyDescent="0.3"/>
    <row r="171" ht="12.45" x14ac:dyDescent="0.3"/>
    <row r="172" ht="12.45" x14ac:dyDescent="0.3"/>
    <row r="173" ht="12.45" x14ac:dyDescent="0.3"/>
    <row r="174" ht="12.45" x14ac:dyDescent="0.3"/>
    <row r="175" ht="12.45" x14ac:dyDescent="0.3"/>
    <row r="176" ht="12.45" x14ac:dyDescent="0.3"/>
    <row r="177" ht="12.45" x14ac:dyDescent="0.3"/>
    <row r="178" ht="12.45" x14ac:dyDescent="0.3"/>
    <row r="179" ht="12.45" x14ac:dyDescent="0.3"/>
    <row r="180" ht="12.45" x14ac:dyDescent="0.3"/>
    <row r="181" ht="12.45" x14ac:dyDescent="0.3"/>
    <row r="182" ht="12.45" x14ac:dyDescent="0.3"/>
    <row r="183" ht="12.45" x14ac:dyDescent="0.3"/>
    <row r="184" ht="12.45" x14ac:dyDescent="0.3"/>
    <row r="185" ht="12.45" x14ac:dyDescent="0.3"/>
    <row r="186" ht="12.45" x14ac:dyDescent="0.3"/>
    <row r="187" ht="12.45" x14ac:dyDescent="0.3"/>
    <row r="188" ht="12.45" x14ac:dyDescent="0.3"/>
    <row r="189" ht="12.45" x14ac:dyDescent="0.3"/>
    <row r="190" ht="12.45" x14ac:dyDescent="0.3"/>
    <row r="191" ht="12.45" x14ac:dyDescent="0.3"/>
    <row r="192" ht="12.45" x14ac:dyDescent="0.3"/>
    <row r="193" ht="12.45" x14ac:dyDescent="0.3"/>
    <row r="194" ht="12.45" x14ac:dyDescent="0.3"/>
    <row r="195" ht="12.45" x14ac:dyDescent="0.3"/>
    <row r="196" ht="12.45" x14ac:dyDescent="0.3"/>
    <row r="197" ht="12.45" x14ac:dyDescent="0.3"/>
    <row r="198" ht="12.45" x14ac:dyDescent="0.3"/>
    <row r="199" ht="12.45" x14ac:dyDescent="0.3"/>
    <row r="200" ht="12.45" x14ac:dyDescent="0.3"/>
    <row r="201" ht="12.45" x14ac:dyDescent="0.3"/>
    <row r="202" ht="12.45" x14ac:dyDescent="0.3"/>
    <row r="203" ht="12.45" x14ac:dyDescent="0.3"/>
    <row r="204" ht="12.45" x14ac:dyDescent="0.3"/>
    <row r="205" ht="12.45" x14ac:dyDescent="0.3"/>
    <row r="206" ht="12.45" x14ac:dyDescent="0.3"/>
    <row r="207" ht="12.45" x14ac:dyDescent="0.3"/>
    <row r="208" ht="12.45" x14ac:dyDescent="0.3"/>
    <row r="209" ht="12.45" x14ac:dyDescent="0.3"/>
    <row r="210" ht="12.45" x14ac:dyDescent="0.3"/>
    <row r="211" ht="12.45" x14ac:dyDescent="0.3"/>
    <row r="212" ht="12.45" x14ac:dyDescent="0.3"/>
    <row r="213" ht="12.45" x14ac:dyDescent="0.3"/>
    <row r="214" ht="12.45" x14ac:dyDescent="0.3"/>
    <row r="215" ht="12.45" x14ac:dyDescent="0.3"/>
    <row r="216" ht="12.45" x14ac:dyDescent="0.3"/>
    <row r="217" ht="12.45" x14ac:dyDescent="0.3"/>
    <row r="218" ht="12.45" x14ac:dyDescent="0.3"/>
    <row r="219" ht="12.45" x14ac:dyDescent="0.3"/>
    <row r="220" ht="12.45" x14ac:dyDescent="0.3"/>
    <row r="221" ht="12.45" x14ac:dyDescent="0.3"/>
    <row r="222" ht="12.45" x14ac:dyDescent="0.3"/>
    <row r="223" ht="12.45" x14ac:dyDescent="0.3"/>
    <row r="224" ht="12.45" x14ac:dyDescent="0.3"/>
    <row r="225" ht="12.45" x14ac:dyDescent="0.3"/>
    <row r="226" ht="12.45" x14ac:dyDescent="0.3"/>
    <row r="227" ht="12.45" x14ac:dyDescent="0.3"/>
    <row r="228" ht="12.45" x14ac:dyDescent="0.3"/>
    <row r="229" ht="12.45" x14ac:dyDescent="0.3"/>
    <row r="230" ht="12.45" x14ac:dyDescent="0.3"/>
    <row r="231" ht="12.45" x14ac:dyDescent="0.3"/>
    <row r="232" ht="12.45" x14ac:dyDescent="0.3"/>
    <row r="233" ht="12.45" x14ac:dyDescent="0.3"/>
    <row r="234" ht="12.45" x14ac:dyDescent="0.3"/>
    <row r="235" ht="12.45" x14ac:dyDescent="0.3"/>
    <row r="236" ht="12.45" x14ac:dyDescent="0.3"/>
    <row r="237" ht="12.45" x14ac:dyDescent="0.3"/>
    <row r="238" ht="12.45" x14ac:dyDescent="0.3"/>
    <row r="239" ht="12.45" x14ac:dyDescent="0.3"/>
    <row r="240" ht="12.45" x14ac:dyDescent="0.3"/>
    <row r="241" ht="12.45" x14ac:dyDescent="0.3"/>
    <row r="242" ht="12.45" x14ac:dyDescent="0.3"/>
    <row r="243" ht="12.45" x14ac:dyDescent="0.3"/>
    <row r="244" ht="12.45" x14ac:dyDescent="0.3"/>
    <row r="245" ht="12.45" x14ac:dyDescent="0.3"/>
    <row r="246" ht="12.45" x14ac:dyDescent="0.3"/>
    <row r="247" ht="12.45" x14ac:dyDescent="0.3"/>
    <row r="248" ht="12.45" x14ac:dyDescent="0.3"/>
    <row r="249" ht="12.45" x14ac:dyDescent="0.3"/>
    <row r="250" ht="12.45" x14ac:dyDescent="0.3"/>
    <row r="251" ht="12.45" x14ac:dyDescent="0.3"/>
    <row r="252" ht="12.45" x14ac:dyDescent="0.3"/>
    <row r="253" ht="12.45" x14ac:dyDescent="0.3"/>
  </sheetData>
  <mergeCells count="4">
    <mergeCell ref="B6:Z6"/>
    <mergeCell ref="B7:Z7"/>
    <mergeCell ref="B64:Z64"/>
    <mergeCell ref="B65:Z65"/>
  </mergeCells>
  <pageMargins left="0.7" right="0.7" top="0.75" bottom="0.75" header="0.3" footer="0.3"/>
  <pageSetup scale="51" firstPageNumber="10" fitToHeight="0" orientation="landscape" useFirstPageNumber="1" horizontalDpi="1200" verticalDpi="1200" r:id="rId1"/>
  <headerFooter>
    <oddHeader>&amp;R&amp;"Arial,Regular"&amp;10Filed: 2025-02-28
EB-2025-0064
Phase 3 Exhibit 8
Tab 2
Schedule 14
Attachment 2
Page &amp;P of 11</oddHeader>
  </headerFooter>
  <rowBreaks count="1" manualBreakCount="1">
    <brk id="58" max="26" man="1"/>
  </rowBreaks>
  <colBreaks count="1" manualBreakCount="1">
    <brk id="2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41557FD-0476-45D6-B81A-16068035268E}"/>
</file>

<file path=customXml/itemProps2.xml><?xml version="1.0" encoding="utf-8"?>
<ds:datastoreItem xmlns:ds="http://schemas.openxmlformats.org/officeDocument/2006/customXml" ds:itemID="{1D7CC6CA-9CB9-42BA-A932-74177ED36AB6}"/>
</file>

<file path=customXml/itemProps3.xml><?xml version="1.0" encoding="utf-8"?>
<ds:datastoreItem xmlns:ds="http://schemas.openxmlformats.org/officeDocument/2006/customXml" ds:itemID="{553B518B-1E99-48F7-BB95-C828280CE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8.2.14.2 p.1-9</vt:lpstr>
      <vt:lpstr>8.2.14.2 p.10-11</vt:lpstr>
      <vt:lpstr>'8.2.14.2 p.10-11'!Print_Area</vt:lpstr>
      <vt:lpstr>'8.2.14.2 p.1-9'!Print_Area</vt:lpstr>
      <vt:lpstr>'8.2.14.2 p.1-9'!Print_Titles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2025-02-28T16:04:17Z</dcterms:created>
  <dcterms:modified xsi:type="dcterms:W3CDTF">2025-02-28T16:04:27Z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2025-02-28T16:04:25Z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4b2fe15e-605d-4f10-8c39-c7cdf6699ae3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